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updateLinks="always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icenciasminsal-my.sharepoint.com/personal/csepulve_minsal_cl/Documents/Documentos/REM/REM25/SERIES REM/SERIE A/"/>
    </mc:Choice>
  </mc:AlternateContent>
  <xr:revisionPtr revIDLastSave="42" documentId="8_{0ED550C1-9825-47D9-8794-9FFFE35134A5}" xr6:coauthVersionLast="47" xr6:coauthVersionMax="47" xr10:uidLastSave="{29E461D8-2512-4940-BDA4-9210CCF7E2EC}"/>
  <workbookProtection workbookAlgorithmName="SHA-512" workbookHashValue="keQX1Z3HISRUdBWNqTPJzL4RJR+xInICAiY3+deY7b0M2Y6RRNYm5C2xp5ia1MUI6YJAPwqxHWy/Q7bFrGic9w==" workbookSaltValue="ry5WuZiQZ9VYXPnk12a5Ag==" workbookSpinCount="100000" lockStructure="1"/>
  <bookViews>
    <workbookView xWindow="-108" yWindow="-108" windowWidth="23256" windowHeight="12576" tabRatio="901" xr2:uid="{00000000-000D-0000-FFFF-FFFF00000000}"/>
  </bookViews>
  <sheets>
    <sheet name="NOMBRE" sheetId="17" r:id="rId1"/>
    <sheet name="A01" sheetId="32" r:id="rId2"/>
    <sheet name="A02" sheetId="33" r:id="rId3"/>
    <sheet name="A03" sheetId="34" r:id="rId4"/>
    <sheet name="A04" sheetId="28" r:id="rId5"/>
    <sheet name="A05" sheetId="29" r:id="rId6"/>
    <sheet name="A06" sheetId="45" r:id="rId7"/>
    <sheet name="A07" sheetId="46" r:id="rId8"/>
    <sheet name="A08" sheetId="4" r:id="rId9"/>
    <sheet name="A09" sheetId="13" r:id="rId10"/>
    <sheet name="A11" sheetId="47" r:id="rId11"/>
    <sheet name="A11a" sheetId="36" r:id="rId12"/>
    <sheet name="A19a" sheetId="37" r:id="rId13"/>
    <sheet name="A19b" sheetId="38" r:id="rId14"/>
    <sheet name="A21" sheetId="5" r:id="rId15"/>
    <sheet name="A23" sheetId="19" r:id="rId16"/>
    <sheet name="A24" sheetId="39" r:id="rId17"/>
    <sheet name="A25" sheetId="27" r:id="rId18"/>
    <sheet name="A26" sheetId="22" r:id="rId19"/>
    <sheet name="A27" sheetId="31" r:id="rId20"/>
    <sheet name="A28" sheetId="48" r:id="rId21"/>
    <sheet name="A29" sheetId="41" r:id="rId22"/>
    <sheet name="A30" sheetId="42" r:id="rId23"/>
    <sheet name="A30AR" sheetId="43" r:id="rId24"/>
    <sheet name="A31" sheetId="23" r:id="rId25"/>
    <sheet name="A32" sheetId="24" r:id="rId26"/>
    <sheet name="A33" sheetId="11" r:id="rId27"/>
    <sheet name="A34" sheetId="49" r:id="rId28"/>
    <sheet name="Control" sheetId="18" r:id="rId29"/>
    <sheet name="MACROS" sheetId="44" r:id="rId30"/>
  </sheets>
  <definedNames>
    <definedName name="_xleta.AND" hidden="1" xlm="1">#NAME?</definedName>
    <definedName name="_xleta.IF" hidden="1" xlm="1">#NAME?</definedName>
    <definedName name="_xleta.LEN" hidden="1" xlm="1">#NAME?</definedName>
    <definedName name="_xleta.MATCH" hidden="1" xlm="1">#NAME?</definedName>
    <definedName name="_xleta.NOT" hidden="1" xlm="1">#NAME?</definedName>
    <definedName name="_xleta.OR" hidden="1" xlm="1">#NAME?</definedName>
    <definedName name="_xleta.SUM" hidden="1" xlm="1">#NAME?</definedName>
    <definedName name="_xleta.T" hidden="1" xlm="1">#NAME?</definedName>
    <definedName name="_xleta.TRIM" hidden="1" xlm="1">#NAME?</definedName>
    <definedName name="_xleta.YEAR" hidden="1" xlm="1">#NAME?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23" i="42" l="1"/>
  <c r="AJ52" i="31"/>
  <c r="AJ51" i="31"/>
  <c r="AJ50" i="31"/>
  <c r="AJ49" i="31"/>
  <c r="AJ48" i="31"/>
  <c r="AJ47" i="31"/>
  <c r="AJ46" i="31"/>
  <c r="AJ45" i="31"/>
  <c r="AJ44" i="31"/>
  <c r="AJ43" i="31"/>
  <c r="AJ42" i="31"/>
  <c r="AJ41" i="31"/>
  <c r="AJ40" i="31"/>
  <c r="AJ39" i="31"/>
  <c r="AJ38" i="31"/>
  <c r="AJ37" i="31"/>
  <c r="AJ36" i="31"/>
  <c r="AJ35" i="31"/>
  <c r="AJ34" i="31"/>
  <c r="AJ33" i="31"/>
  <c r="AJ32" i="31"/>
  <c r="AJ31" i="31"/>
  <c r="AJ30" i="31"/>
  <c r="AJ29" i="31"/>
  <c r="AJ28" i="31"/>
  <c r="AJ27" i="31"/>
  <c r="AJ26" i="31"/>
  <c r="AJ25" i="31"/>
  <c r="AJ24" i="31"/>
  <c r="AJ23" i="31"/>
  <c r="AJ22" i="31"/>
  <c r="AJ21" i="31"/>
  <c r="AJ20" i="31"/>
  <c r="AJ19" i="31"/>
  <c r="AJ18" i="31"/>
  <c r="AJ17" i="31"/>
  <c r="AJ16" i="31"/>
  <c r="AJ15" i="31"/>
  <c r="AJ14" i="31"/>
  <c r="AJ13" i="31"/>
  <c r="AJ12" i="31"/>
  <c r="CR52" i="31"/>
  <c r="CR51" i="31"/>
  <c r="CR50" i="31"/>
  <c r="CR49" i="31"/>
  <c r="CR48" i="31"/>
  <c r="CR47" i="31"/>
  <c r="CR46" i="31"/>
  <c r="CR45" i="31"/>
  <c r="CR44" i="31"/>
  <c r="CR43" i="31"/>
  <c r="CR42" i="31"/>
  <c r="CR41" i="31"/>
  <c r="CR40" i="31"/>
  <c r="CR39" i="31"/>
  <c r="CR38" i="31"/>
  <c r="CR37" i="31"/>
  <c r="CR36" i="31"/>
  <c r="CR35" i="31"/>
  <c r="CR34" i="31"/>
  <c r="CR33" i="31"/>
  <c r="CR32" i="31"/>
  <c r="CR31" i="31"/>
  <c r="CR30" i="31"/>
  <c r="CR29" i="31"/>
  <c r="CR28" i="31"/>
  <c r="CR27" i="31"/>
  <c r="CR26" i="31"/>
  <c r="CR25" i="31"/>
  <c r="CR24" i="31"/>
  <c r="CR23" i="31"/>
  <c r="CR22" i="31"/>
  <c r="CR21" i="31"/>
  <c r="CR20" i="31"/>
  <c r="CR19" i="31"/>
  <c r="CR18" i="31"/>
  <c r="CR17" i="31"/>
  <c r="CR16" i="31"/>
  <c r="CR15" i="31"/>
  <c r="CR14" i="31"/>
  <c r="CR13" i="31"/>
  <c r="CR12" i="31"/>
  <c r="CH52" i="31"/>
  <c r="CH51" i="31"/>
  <c r="CH50" i="31"/>
  <c r="CH49" i="31"/>
  <c r="CH48" i="31"/>
  <c r="CH47" i="31"/>
  <c r="CH46" i="31"/>
  <c r="CH45" i="31"/>
  <c r="CH44" i="31"/>
  <c r="CH43" i="31"/>
  <c r="CH42" i="31"/>
  <c r="CH41" i="31"/>
  <c r="CH40" i="31"/>
  <c r="CH39" i="31"/>
  <c r="CH38" i="31"/>
  <c r="CH37" i="31"/>
  <c r="CH36" i="31"/>
  <c r="CH35" i="31"/>
  <c r="CH34" i="31"/>
  <c r="CH33" i="31"/>
  <c r="CH32" i="31"/>
  <c r="CH31" i="31"/>
  <c r="CH30" i="31"/>
  <c r="CH29" i="31"/>
  <c r="CH28" i="31"/>
  <c r="CH27" i="31"/>
  <c r="CH26" i="31"/>
  <c r="CH25" i="31"/>
  <c r="CH24" i="31"/>
  <c r="CH23" i="31"/>
  <c r="CH22" i="31"/>
  <c r="CH21" i="31"/>
  <c r="CH20" i="31"/>
  <c r="CH19" i="31"/>
  <c r="CH18" i="31"/>
  <c r="CH17" i="31"/>
  <c r="CH16" i="31"/>
  <c r="CH15" i="31"/>
  <c r="CH14" i="31"/>
  <c r="CH13" i="31"/>
  <c r="CH12" i="31"/>
  <c r="AH53" i="31"/>
  <c r="AA35" i="29" l="1"/>
  <c r="Z35" i="29"/>
  <c r="Y35" i="29"/>
  <c r="X35" i="29"/>
  <c r="W35" i="29"/>
  <c r="V35" i="29"/>
  <c r="U35" i="29"/>
  <c r="T35" i="29"/>
  <c r="S35" i="29"/>
  <c r="R35" i="29"/>
  <c r="Q35" i="29"/>
  <c r="CJ11" i="29"/>
  <c r="CX12" i="29"/>
  <c r="CX13" i="29"/>
  <c r="CX14" i="29"/>
  <c r="CJ12" i="29"/>
  <c r="CJ13" i="29"/>
  <c r="CJ14" i="29"/>
  <c r="CX11" i="29"/>
  <c r="CW11" i="29"/>
  <c r="CI12" i="29"/>
  <c r="CI13" i="29"/>
  <c r="CI14" i="29"/>
  <c r="CI11" i="29"/>
  <c r="BT46" i="22"/>
  <c r="BS46" i="22"/>
  <c r="BR46" i="22"/>
  <c r="BQ46" i="22"/>
  <c r="BS45" i="22"/>
  <c r="BR45" i="22"/>
  <c r="BQ45" i="22"/>
  <c r="BS44" i="22"/>
  <c r="BR44" i="22"/>
  <c r="BQ44" i="22"/>
  <c r="BS43" i="22"/>
  <c r="BR43" i="22"/>
  <c r="BQ43" i="22"/>
  <c r="BS42" i="22"/>
  <c r="BR42" i="22"/>
  <c r="BQ42" i="22"/>
  <c r="BT40" i="22"/>
  <c r="BS40" i="22"/>
  <c r="BR40" i="22"/>
  <c r="BQ40" i="22"/>
  <c r="BT39" i="22"/>
  <c r="BS39" i="22"/>
  <c r="BR39" i="22"/>
  <c r="BQ39" i="22"/>
  <c r="CC46" i="22"/>
  <c r="CB46" i="22"/>
  <c r="CA46" i="22"/>
  <c r="BZ46" i="22"/>
  <c r="CB45" i="22"/>
  <c r="CA45" i="22"/>
  <c r="BZ45" i="22"/>
  <c r="CB44" i="22"/>
  <c r="CA44" i="22"/>
  <c r="BZ44" i="22"/>
  <c r="CB43" i="22"/>
  <c r="CA43" i="22"/>
  <c r="BZ43" i="22"/>
  <c r="CB42" i="22"/>
  <c r="CA42" i="22"/>
  <c r="BZ42" i="22"/>
  <c r="CC40" i="22"/>
  <c r="CB40" i="22"/>
  <c r="CA40" i="22"/>
  <c r="BZ40" i="22"/>
  <c r="CC39" i="22"/>
  <c r="CB39" i="22"/>
  <c r="CA39" i="22"/>
  <c r="BZ39" i="22"/>
  <c r="CC38" i="22"/>
  <c r="CB38" i="22"/>
  <c r="CA38" i="22"/>
  <c r="BT38" i="22"/>
  <c r="BS38" i="22"/>
  <c r="BR38" i="22"/>
  <c r="BZ38" i="22"/>
  <c r="BQ38" i="22"/>
  <c r="A278" i="34" l="1"/>
  <c r="F55" i="13" l="1"/>
  <c r="E55" i="13"/>
  <c r="E54" i="13"/>
  <c r="E56" i="13"/>
  <c r="E60" i="13"/>
  <c r="F60" i="13"/>
  <c r="CA316" i="29"/>
  <c r="CM42" i="11" l="1"/>
  <c r="CN42" i="11"/>
  <c r="CM43" i="11"/>
  <c r="CN43" i="11"/>
  <c r="CM44" i="11"/>
  <c r="CN44" i="11"/>
  <c r="CM50" i="11"/>
  <c r="CN50" i="11"/>
  <c r="CM51" i="11"/>
  <c r="CN51" i="11"/>
  <c r="CL40" i="11"/>
  <c r="CM40" i="11"/>
  <c r="CN40" i="11"/>
  <c r="CL41" i="11"/>
  <c r="CM41" i="11"/>
  <c r="CN41" i="11"/>
  <c r="CK40" i="11"/>
  <c r="CK41" i="11"/>
  <c r="AX50" i="11"/>
  <c r="AX51" i="11"/>
  <c r="D74" i="28" l="1"/>
  <c r="D73" i="28"/>
  <c r="CJ44" i="11" l="1"/>
  <c r="B120" i="22" l="1"/>
  <c r="D115" i="22"/>
  <c r="M59" i="22"/>
  <c r="L59" i="22"/>
  <c r="K59" i="22"/>
  <c r="J59" i="22"/>
  <c r="I59" i="22"/>
  <c r="H59" i="22"/>
  <c r="G59" i="22"/>
  <c r="F59" i="22"/>
  <c r="E59" i="22"/>
  <c r="D59" i="22"/>
  <c r="CD130" i="39" l="1"/>
  <c r="CC130" i="39"/>
  <c r="CD129" i="39"/>
  <c r="CC129" i="39"/>
  <c r="CD128" i="39"/>
  <c r="CC128" i="39"/>
  <c r="CD127" i="39"/>
  <c r="CC127" i="39"/>
  <c r="CD126" i="39"/>
  <c r="CC126" i="39"/>
  <c r="CD125" i="39"/>
  <c r="CC125" i="39"/>
  <c r="CD124" i="39"/>
  <c r="CC124" i="39"/>
  <c r="CD123" i="39"/>
  <c r="CC123" i="39"/>
  <c r="CD122" i="39"/>
  <c r="CC122" i="39"/>
  <c r="M35" i="29"/>
  <c r="L35" i="29"/>
  <c r="K35" i="29"/>
  <c r="J35" i="29"/>
  <c r="I35" i="29"/>
  <c r="H35" i="29"/>
  <c r="G35" i="29"/>
  <c r="F35" i="29"/>
  <c r="E35" i="29"/>
  <c r="D35" i="29"/>
  <c r="C63" i="19"/>
  <c r="C32" i="5" l="1"/>
  <c r="C33" i="5"/>
  <c r="C34" i="5"/>
  <c r="C35" i="5"/>
  <c r="C36" i="5"/>
  <c r="C37" i="5"/>
  <c r="C31" i="5"/>
  <c r="Y330" i="13"/>
  <c r="AN335" i="13"/>
  <c r="AM335" i="13"/>
  <c r="AL335" i="13"/>
  <c r="AK335" i="13"/>
  <c r="AJ335" i="13"/>
  <c r="AI335" i="13"/>
  <c r="AH335" i="13"/>
  <c r="AG335" i="13"/>
  <c r="AF335" i="13"/>
  <c r="AE335" i="13"/>
  <c r="AD335" i="13"/>
  <c r="AC335" i="13"/>
  <c r="AB335" i="13"/>
  <c r="AA335" i="13"/>
  <c r="Z335" i="13"/>
  <c r="Y335" i="13"/>
  <c r="X335" i="13"/>
  <c r="AN334" i="13"/>
  <c r="AM334" i="13"/>
  <c r="AL334" i="13"/>
  <c r="AK334" i="13"/>
  <c r="AJ334" i="13"/>
  <c r="AI334" i="13"/>
  <c r="AH334" i="13"/>
  <c r="AG334" i="13"/>
  <c r="AF334" i="13"/>
  <c r="AE334" i="13"/>
  <c r="AD334" i="13"/>
  <c r="AC334" i="13"/>
  <c r="AB334" i="13"/>
  <c r="AA334" i="13"/>
  <c r="Z334" i="13"/>
  <c r="Y334" i="13"/>
  <c r="X334" i="13"/>
  <c r="AN333" i="13"/>
  <c r="AM333" i="13"/>
  <c r="AL333" i="13"/>
  <c r="AK333" i="13"/>
  <c r="AJ333" i="13"/>
  <c r="AI333" i="13"/>
  <c r="AH333" i="13"/>
  <c r="AG333" i="13"/>
  <c r="AF333" i="13"/>
  <c r="AE333" i="13"/>
  <c r="AD333" i="13"/>
  <c r="AC333" i="13"/>
  <c r="AB333" i="13"/>
  <c r="AA333" i="13"/>
  <c r="Z333" i="13"/>
  <c r="Y333" i="13"/>
  <c r="X333" i="13"/>
  <c r="AN332" i="13"/>
  <c r="AM332" i="13"/>
  <c r="AL332" i="13"/>
  <c r="AK332" i="13"/>
  <c r="AJ332" i="13"/>
  <c r="AI332" i="13"/>
  <c r="AH332" i="13"/>
  <c r="AG332" i="13"/>
  <c r="AF332" i="13"/>
  <c r="AE332" i="13"/>
  <c r="AD332" i="13"/>
  <c r="AC332" i="13"/>
  <c r="AB332" i="13"/>
  <c r="AA332" i="13"/>
  <c r="Z332" i="13"/>
  <c r="Y332" i="13"/>
  <c r="X332" i="13"/>
  <c r="AN331" i="13"/>
  <c r="AM331" i="13"/>
  <c r="AL331" i="13"/>
  <c r="AK331" i="13"/>
  <c r="AJ331" i="13"/>
  <c r="AI331" i="13"/>
  <c r="AH331" i="13"/>
  <c r="AG331" i="13"/>
  <c r="AF331" i="13"/>
  <c r="AE331" i="13"/>
  <c r="AD331" i="13"/>
  <c r="AC331" i="13"/>
  <c r="AB331" i="13"/>
  <c r="AA331" i="13"/>
  <c r="Z331" i="13"/>
  <c r="Y331" i="13"/>
  <c r="X331" i="13"/>
  <c r="AN330" i="13"/>
  <c r="AM330" i="13"/>
  <c r="AL330" i="13"/>
  <c r="AK330" i="13"/>
  <c r="AJ330" i="13"/>
  <c r="AI330" i="13"/>
  <c r="AH330" i="13"/>
  <c r="AG330" i="13"/>
  <c r="AF330" i="13"/>
  <c r="AE330" i="13"/>
  <c r="AD330" i="13"/>
  <c r="AC330" i="13"/>
  <c r="AB330" i="13"/>
  <c r="AA330" i="13"/>
  <c r="Z330" i="13"/>
  <c r="X330" i="13"/>
  <c r="W335" i="13"/>
  <c r="W334" i="13"/>
  <c r="W333" i="13"/>
  <c r="W332" i="13"/>
  <c r="W331" i="13"/>
  <c r="W330" i="13"/>
  <c r="CA103" i="13"/>
  <c r="CA102" i="13"/>
  <c r="CA101" i="13"/>
  <c r="CA100" i="13"/>
  <c r="CA99" i="13"/>
  <c r="CA98" i="13"/>
  <c r="CA97" i="13"/>
  <c r="CA96" i="13"/>
  <c r="CA95" i="13"/>
  <c r="CA94" i="13"/>
  <c r="CA93" i="13"/>
  <c r="CA92" i="13"/>
  <c r="CA91" i="13"/>
  <c r="CA142" i="13"/>
  <c r="CA141" i="13"/>
  <c r="CA140" i="13"/>
  <c r="CA139" i="13"/>
  <c r="CA138" i="13"/>
  <c r="CA137" i="13"/>
  <c r="CA136" i="13"/>
  <c r="CA135" i="13"/>
  <c r="CA134" i="13"/>
  <c r="CA133" i="13"/>
  <c r="CA132" i="13"/>
  <c r="CA131" i="13"/>
  <c r="CA130" i="13"/>
  <c r="CA129" i="13"/>
  <c r="CA128" i="13"/>
  <c r="CA126" i="13"/>
  <c r="CA120" i="13"/>
  <c r="CA119" i="13"/>
  <c r="CA118" i="13"/>
  <c r="CA117" i="13"/>
  <c r="CA116" i="13"/>
  <c r="CA115" i="13"/>
  <c r="CA114" i="13"/>
  <c r="CA113" i="13"/>
  <c r="CA112" i="13"/>
  <c r="CA111" i="13"/>
  <c r="CA109" i="13"/>
  <c r="CA108" i="13"/>
  <c r="CA107" i="13"/>
  <c r="CA106" i="13"/>
  <c r="CA105" i="13"/>
  <c r="CD110" i="13"/>
  <c r="CA110" i="13"/>
  <c r="F36" i="13"/>
  <c r="E36" i="13"/>
  <c r="BM37" i="5" l="1"/>
  <c r="BD37" i="5"/>
  <c r="P37" i="5" s="1"/>
  <c r="BM36" i="5"/>
  <c r="BD36" i="5"/>
  <c r="P36" i="5" s="1"/>
  <c r="BD35" i="5"/>
  <c r="P35" i="5" s="1"/>
  <c r="BM35" i="5"/>
  <c r="BD34" i="5"/>
  <c r="P34" i="5" s="1"/>
  <c r="BM34" i="5"/>
  <c r="BM33" i="5"/>
  <c r="BD33" i="5"/>
  <c r="P33" i="5" s="1"/>
  <c r="BM32" i="5"/>
  <c r="BD32" i="5"/>
  <c r="P32" i="5" s="1"/>
  <c r="BM31" i="5"/>
  <c r="A204" i="5"/>
  <c r="BL31" i="5"/>
  <c r="BD31" i="5"/>
  <c r="BA31" i="5"/>
  <c r="BB31" i="5"/>
  <c r="BJ31" i="5"/>
  <c r="BK31" i="5"/>
  <c r="BC31" i="5"/>
  <c r="D36" i="13"/>
  <c r="N35" i="29" l="1"/>
  <c r="O35" i="29"/>
  <c r="P35" i="29"/>
  <c r="D245" i="29"/>
  <c r="CG212" i="29"/>
  <c r="CG227" i="29"/>
  <c r="CG228" i="29"/>
  <c r="CG229" i="29"/>
  <c r="N63" i="29"/>
  <c r="CE43" i="29"/>
  <c r="CD44" i="29"/>
  <c r="E74" i="28"/>
  <c r="E73" i="28"/>
  <c r="B37" i="24"/>
  <c r="B14" i="46"/>
  <c r="CA44" i="11"/>
  <c r="CA42" i="11"/>
  <c r="CA50" i="11"/>
  <c r="BZ50" i="11" a="1"/>
  <c r="BZ50" i="11"/>
  <c r="CO84" i="37" l="1"/>
  <c r="CO83" i="37"/>
  <c r="CO82" i="37"/>
  <c r="CF84" i="37"/>
  <c r="CF83" i="37"/>
  <c r="CF82" i="37"/>
  <c r="B126" i="46"/>
  <c r="B12" i="42"/>
  <c r="C98" i="42"/>
  <c r="B98" i="42"/>
  <c r="B119" i="39"/>
  <c r="B118" i="39"/>
  <c r="C79" i="29"/>
  <c r="C75" i="29"/>
  <c r="C74" i="29"/>
  <c r="C73" i="29"/>
  <c r="C46" i="29"/>
  <c r="CB46" i="29" s="1"/>
  <c r="C45" i="29"/>
  <c r="CB45" i="29" s="1"/>
  <c r="C83" i="29"/>
  <c r="D32" i="28"/>
  <c r="D38" i="28"/>
  <c r="D47" i="28"/>
  <c r="C47" i="28"/>
  <c r="E47" i="11"/>
  <c r="D47" i="11"/>
  <c r="C47" i="11" s="1"/>
  <c r="E44" i="11"/>
  <c r="D44" i="11"/>
  <c r="C44" i="11"/>
  <c r="CN47" i="11" l="1"/>
  <c r="CM47" i="11"/>
  <c r="CD47" i="11"/>
  <c r="CA47" i="11"/>
  <c r="CE47" i="11"/>
  <c r="BZ47" i="11" a="1"/>
  <c r="BZ47" i="11" s="1"/>
  <c r="CJ47" i="11"/>
  <c r="CI47" i="11" a="1"/>
  <c r="CI47" i="11" s="1"/>
  <c r="CF45" i="29"/>
  <c r="CT45" i="29"/>
  <c r="CF46" i="29"/>
  <c r="CT46" i="29"/>
  <c r="B47" i="28"/>
  <c r="E106" i="29"/>
  <c r="E105" i="29"/>
  <c r="E104" i="29"/>
  <c r="E103" i="29"/>
  <c r="D106" i="29"/>
  <c r="D105" i="29"/>
  <c r="D104" i="29"/>
  <c r="D103" i="29"/>
  <c r="D95" i="29"/>
  <c r="F64" i="13"/>
  <c r="F66" i="13"/>
  <c r="F65" i="13"/>
  <c r="E66" i="13"/>
  <c r="E65" i="13"/>
  <c r="E64" i="13"/>
  <c r="F56" i="13"/>
  <c r="D55" i="13"/>
  <c r="AX47" i="11" l="1"/>
  <c r="E270" i="13"/>
  <c r="F67" i="13"/>
  <c r="E67" i="13"/>
  <c r="C52" i="38"/>
  <c r="D52" i="38"/>
  <c r="D167" i="31"/>
  <c r="C30" i="32"/>
  <c r="C29" i="32"/>
  <c r="O42" i="22"/>
  <c r="O46" i="22"/>
  <c r="O45" i="22"/>
  <c r="O44" i="22"/>
  <c r="O43" i="22"/>
  <c r="CI77" i="39"/>
  <c r="CA156" i="39"/>
  <c r="CA152" i="39"/>
  <c r="CJ78" i="39"/>
  <c r="CI78" i="39"/>
  <c r="CK78" i="39"/>
  <c r="CL78" i="39"/>
  <c r="CM78" i="39"/>
  <c r="CI79" i="39"/>
  <c r="CJ79" i="39"/>
  <c r="CK79" i="39"/>
  <c r="CL79" i="39"/>
  <c r="CM79" i="39"/>
  <c r="CM77" i="39"/>
  <c r="CL77" i="39"/>
  <c r="CK77" i="39"/>
  <c r="CJ77" i="39"/>
  <c r="CD77" i="39"/>
  <c r="CC77" i="39"/>
  <c r="CB77" i="39"/>
  <c r="CA77" i="39"/>
  <c r="CD78" i="39"/>
  <c r="CC78" i="39"/>
  <c r="CB78" i="39"/>
  <c r="CA78" i="39"/>
  <c r="CE79" i="39"/>
  <c r="CC79" i="39"/>
  <c r="CB79" i="39"/>
  <c r="CA79" i="39"/>
  <c r="CD79" i="39"/>
  <c r="CE78" i="39"/>
  <c r="CE77" i="39"/>
  <c r="CC13" i="39"/>
  <c r="CI14" i="39"/>
  <c r="CJ14" i="39"/>
  <c r="CK14" i="39"/>
  <c r="CL14" i="39"/>
  <c r="CM14" i="39"/>
  <c r="CI15" i="39"/>
  <c r="CJ15" i="39"/>
  <c r="CK15" i="39"/>
  <c r="CL15" i="39"/>
  <c r="CM15" i="39"/>
  <c r="CI16" i="39"/>
  <c r="CJ16" i="39"/>
  <c r="CK16" i="39"/>
  <c r="CL16" i="39"/>
  <c r="CM16" i="39"/>
  <c r="CI17" i="39"/>
  <c r="CJ17" i="39"/>
  <c r="CK17" i="39"/>
  <c r="CL17" i="39"/>
  <c r="CM17" i="39"/>
  <c r="CI18" i="39"/>
  <c r="CJ18" i="39"/>
  <c r="CK18" i="39"/>
  <c r="CL18" i="39"/>
  <c r="CM18" i="39"/>
  <c r="CI19" i="39"/>
  <c r="CJ19" i="39"/>
  <c r="CK19" i="39"/>
  <c r="CL19" i="39"/>
  <c r="CM19" i="39"/>
  <c r="CI20" i="39"/>
  <c r="CJ20" i="39"/>
  <c r="CK20" i="39"/>
  <c r="CL20" i="39"/>
  <c r="CM20" i="39"/>
  <c r="CI21" i="39"/>
  <c r="CJ21" i="39"/>
  <c r="CK21" i="39"/>
  <c r="CL21" i="39"/>
  <c r="CM21" i="39"/>
  <c r="CI22" i="39"/>
  <c r="CJ22" i="39"/>
  <c r="CK22" i="39"/>
  <c r="CL22" i="39"/>
  <c r="CM22" i="39"/>
  <c r="CI23" i="39"/>
  <c r="CJ23" i="39"/>
  <c r="CK23" i="39"/>
  <c r="CL23" i="39"/>
  <c r="CM23" i="39"/>
  <c r="CE14" i="39"/>
  <c r="CE15" i="39"/>
  <c r="CE16" i="39"/>
  <c r="CE17" i="39"/>
  <c r="CE18" i="39"/>
  <c r="CE19" i="39"/>
  <c r="CE20" i="39"/>
  <c r="CE21" i="39"/>
  <c r="CE22" i="39"/>
  <c r="CE23" i="39"/>
  <c r="CE13" i="39"/>
  <c r="CM13" i="39"/>
  <c r="CL13" i="39"/>
  <c r="CK13" i="39"/>
  <c r="CJ13" i="39"/>
  <c r="CI13" i="39"/>
  <c r="CA13" i="39"/>
  <c r="CA14" i="39"/>
  <c r="CB14" i="39"/>
  <c r="CC14" i="39"/>
  <c r="CD14" i="39"/>
  <c r="CA15" i="39"/>
  <c r="CB15" i="39"/>
  <c r="CC15" i="39"/>
  <c r="CD15" i="39"/>
  <c r="CA16" i="39"/>
  <c r="CB16" i="39"/>
  <c r="CC16" i="39"/>
  <c r="CD16" i="39"/>
  <c r="CA17" i="39"/>
  <c r="CB17" i="39"/>
  <c r="CC17" i="39"/>
  <c r="CD17" i="39"/>
  <c r="CA18" i="39"/>
  <c r="CB18" i="39"/>
  <c r="CC18" i="39"/>
  <c r="CD18" i="39"/>
  <c r="CA19" i="39"/>
  <c r="CB19" i="39"/>
  <c r="CC19" i="39"/>
  <c r="CD19" i="39"/>
  <c r="CA20" i="39"/>
  <c r="CB20" i="39"/>
  <c r="CC20" i="39"/>
  <c r="CD20" i="39"/>
  <c r="CA21" i="39"/>
  <c r="CB21" i="39"/>
  <c r="CC21" i="39"/>
  <c r="CD21" i="39"/>
  <c r="CA22" i="39"/>
  <c r="CB22" i="39"/>
  <c r="CC22" i="39"/>
  <c r="CD22" i="39"/>
  <c r="CA23" i="39"/>
  <c r="CB23" i="39"/>
  <c r="CC23" i="39"/>
  <c r="CD23" i="39"/>
  <c r="CD13" i="39"/>
  <c r="CB13" i="39"/>
  <c r="O39" i="22" l="1"/>
  <c r="O40" i="22"/>
  <c r="O38" i="22"/>
  <c r="M77" i="39"/>
  <c r="AG19" i="39"/>
  <c r="AG16" i="39"/>
  <c r="AG17" i="39"/>
  <c r="AG15" i="39"/>
  <c r="AG22" i="39"/>
  <c r="AG14" i="39"/>
  <c r="AG23" i="39"/>
  <c r="AG18" i="39"/>
  <c r="AG21" i="39"/>
  <c r="AG20" i="39"/>
  <c r="AG13" i="39"/>
  <c r="CG72" i="19"/>
  <c r="CF72" i="19"/>
  <c r="CF71" i="19"/>
  <c r="CA58" i="19"/>
  <c r="CF58" i="19"/>
  <c r="CF47" i="19"/>
  <c r="CG47" i="19"/>
  <c r="CH47" i="19"/>
  <c r="CF48" i="19"/>
  <c r="CG48" i="19"/>
  <c r="CH48" i="19"/>
  <c r="CF49" i="19"/>
  <c r="CG49" i="19"/>
  <c r="CH49" i="19"/>
  <c r="CF50" i="19"/>
  <c r="CG50" i="19"/>
  <c r="CH50" i="19"/>
  <c r="CF51" i="19"/>
  <c r="CG51" i="19"/>
  <c r="CH51" i="19"/>
  <c r="CF52" i="19"/>
  <c r="CG52" i="19"/>
  <c r="CH52" i="19"/>
  <c r="CF53" i="19"/>
  <c r="CG53" i="19"/>
  <c r="CH53" i="19"/>
  <c r="CH46" i="19"/>
  <c r="CG46" i="19"/>
  <c r="CF46" i="19"/>
  <c r="CK20" i="34"/>
  <c r="CK57" i="34"/>
  <c r="CK61" i="34"/>
  <c r="CL72" i="34"/>
  <c r="CK72" i="34"/>
  <c r="CK93" i="34"/>
  <c r="CB153" i="34"/>
  <c r="CK154" i="34"/>
  <c r="CL154" i="34"/>
  <c r="CK155" i="34"/>
  <c r="CL155" i="34"/>
  <c r="CK156" i="34"/>
  <c r="CL156" i="34"/>
  <c r="CK157" i="34"/>
  <c r="CL157" i="34"/>
  <c r="CL153" i="34"/>
  <c r="CK153" i="34"/>
  <c r="CK123" i="34"/>
  <c r="CL123" i="34"/>
  <c r="CK124" i="34"/>
  <c r="CL124" i="34"/>
  <c r="CK125" i="34"/>
  <c r="CL125" i="34"/>
  <c r="CK126" i="34"/>
  <c r="CL126" i="34"/>
  <c r="CK127" i="34"/>
  <c r="CL127" i="34"/>
  <c r="CK128" i="34"/>
  <c r="CL128" i="34"/>
  <c r="CK129" i="34"/>
  <c r="CL129" i="34"/>
  <c r="CK130" i="34"/>
  <c r="CL130" i="34"/>
  <c r="CK131" i="34"/>
  <c r="CL131" i="34"/>
  <c r="CK132" i="34"/>
  <c r="CL132" i="34"/>
  <c r="CK133" i="34"/>
  <c r="CL133" i="34"/>
  <c r="CK134" i="34"/>
  <c r="CL134" i="34"/>
  <c r="CK135" i="34"/>
  <c r="CL135" i="34"/>
  <c r="CK136" i="34"/>
  <c r="CL136" i="34"/>
  <c r="CK137" i="34"/>
  <c r="CL137" i="34"/>
  <c r="CK138" i="34"/>
  <c r="CL138" i="34"/>
  <c r="CK139" i="34"/>
  <c r="CL139" i="34"/>
  <c r="CK140" i="34"/>
  <c r="CL140" i="34"/>
  <c r="CK141" i="34"/>
  <c r="CL141" i="34"/>
  <c r="CK142" i="34"/>
  <c r="CL142" i="34"/>
  <c r="CK143" i="34"/>
  <c r="CL143" i="34"/>
  <c r="CK144" i="34"/>
  <c r="CL144" i="34"/>
  <c r="CK145" i="34"/>
  <c r="CL145" i="34"/>
  <c r="CK146" i="34"/>
  <c r="CL146" i="34"/>
  <c r="CK147" i="34"/>
  <c r="CL147" i="34"/>
  <c r="CK148" i="34"/>
  <c r="CL148" i="34"/>
  <c r="CK149" i="34"/>
  <c r="CL149" i="34"/>
  <c r="CK150" i="34"/>
  <c r="CL150" i="34"/>
  <c r="CK151" i="34"/>
  <c r="CL151" i="34"/>
  <c r="CK11" i="32"/>
  <c r="CL11" i="32"/>
  <c r="CL167" i="31"/>
  <c r="CB167" i="31"/>
  <c r="CB149" i="31"/>
  <c r="CB148" i="31"/>
  <c r="B202" i="41"/>
  <c r="A138" i="43"/>
  <c r="E27" i="18" s="1"/>
  <c r="U12" i="41"/>
  <c r="B138" i="43"/>
  <c r="D27" i="18" s="1"/>
  <c r="B174" i="42"/>
  <c r="CX11" i="32"/>
  <c r="B125" i="49" l="1"/>
  <c r="F34" i="49"/>
  <c r="B99" i="49"/>
  <c r="B98" i="49"/>
  <c r="B97" i="49"/>
  <c r="I90" i="24"/>
  <c r="D90" i="24"/>
  <c r="B70" i="24"/>
  <c r="C24" i="24"/>
  <c r="B19" i="24"/>
  <c r="B91" i="43"/>
  <c r="B85" i="43"/>
  <c r="B86" i="43"/>
  <c r="Q57" i="43"/>
  <c r="N57" i="43"/>
  <c r="I57" i="43"/>
  <c r="G57" i="43"/>
  <c r="H57" i="43"/>
  <c r="J57" i="43"/>
  <c r="K57" i="43"/>
  <c r="L57" i="43"/>
  <c r="M57" i="43"/>
  <c r="O57" i="43"/>
  <c r="P57" i="43"/>
  <c r="F57" i="43"/>
  <c r="F32" i="43"/>
  <c r="Q32" i="43"/>
  <c r="P32" i="43"/>
  <c r="O32" i="43"/>
  <c r="N32" i="43"/>
  <c r="M32" i="43"/>
  <c r="L32" i="43"/>
  <c r="K32" i="43"/>
  <c r="J32" i="43"/>
  <c r="I32" i="43"/>
  <c r="H32" i="43"/>
  <c r="G32" i="43"/>
  <c r="B128" i="42" l="1"/>
  <c r="H123" i="42"/>
  <c r="G124" i="42"/>
  <c r="V107" i="42"/>
  <c r="V99" i="42"/>
  <c r="W99" i="42"/>
  <c r="V100" i="42"/>
  <c r="W100" i="42"/>
  <c r="V101" i="42"/>
  <c r="W101" i="42"/>
  <c r="V102" i="42"/>
  <c r="W102" i="42"/>
  <c r="V103" i="42"/>
  <c r="W103" i="42"/>
  <c r="V104" i="42"/>
  <c r="W104" i="42"/>
  <c r="V105" i="42"/>
  <c r="W105" i="42"/>
  <c r="V106" i="42"/>
  <c r="W106" i="42"/>
  <c r="W107" i="42"/>
  <c r="V108" i="42"/>
  <c r="W108" i="42"/>
  <c r="V43" i="42"/>
  <c r="V14" i="42"/>
  <c r="W14" i="42"/>
  <c r="V15" i="42"/>
  <c r="W15" i="42"/>
  <c r="V16" i="42"/>
  <c r="W16" i="42"/>
  <c r="V17" i="42"/>
  <c r="W17" i="42"/>
  <c r="V18" i="42"/>
  <c r="W18" i="42"/>
  <c r="V19" i="42"/>
  <c r="W19" i="42"/>
  <c r="V20" i="42"/>
  <c r="W20" i="42"/>
  <c r="V21" i="42"/>
  <c r="W21" i="42"/>
  <c r="V22" i="42"/>
  <c r="W22" i="42"/>
  <c r="V23" i="42"/>
  <c r="W23" i="42"/>
  <c r="V24" i="42"/>
  <c r="W24" i="42"/>
  <c r="V25" i="42"/>
  <c r="W25" i="42"/>
  <c r="V26" i="42"/>
  <c r="W26" i="42"/>
  <c r="V27" i="42"/>
  <c r="W27" i="42"/>
  <c r="V28" i="42"/>
  <c r="W28" i="42"/>
  <c r="V29" i="42"/>
  <c r="W29" i="42"/>
  <c r="V30" i="42"/>
  <c r="W30" i="42"/>
  <c r="V31" i="42"/>
  <c r="W31" i="42"/>
  <c r="V32" i="42"/>
  <c r="W32" i="42"/>
  <c r="V33" i="42"/>
  <c r="W33" i="42"/>
  <c r="V34" i="42"/>
  <c r="W34" i="42"/>
  <c r="V35" i="42"/>
  <c r="W35" i="42"/>
  <c r="V36" i="42"/>
  <c r="W36" i="42"/>
  <c r="V37" i="42"/>
  <c r="W37" i="42"/>
  <c r="V38" i="42"/>
  <c r="W38" i="42"/>
  <c r="V39" i="42"/>
  <c r="W39" i="42"/>
  <c r="V40" i="42"/>
  <c r="W40" i="42"/>
  <c r="V41" i="42"/>
  <c r="W41" i="42"/>
  <c r="V42" i="42"/>
  <c r="W42" i="42"/>
  <c r="W43" i="42"/>
  <c r="V44" i="42"/>
  <c r="W44" i="42"/>
  <c r="V45" i="42"/>
  <c r="W45" i="42"/>
  <c r="V46" i="42"/>
  <c r="W46" i="42"/>
  <c r="V47" i="42"/>
  <c r="W47" i="42"/>
  <c r="V48" i="42"/>
  <c r="W48" i="42"/>
  <c r="V49" i="42"/>
  <c r="W49" i="42"/>
  <c r="V50" i="42"/>
  <c r="W50" i="42"/>
  <c r="V51" i="42"/>
  <c r="W51" i="42"/>
  <c r="V52" i="42"/>
  <c r="W52" i="42"/>
  <c r="V53" i="42"/>
  <c r="W53" i="42"/>
  <c r="V54" i="42"/>
  <c r="W54" i="42"/>
  <c r="V55" i="42"/>
  <c r="W55" i="42"/>
  <c r="V56" i="42"/>
  <c r="W56" i="42"/>
  <c r="V57" i="42"/>
  <c r="W57" i="42"/>
  <c r="V58" i="42"/>
  <c r="W58" i="42"/>
  <c r="V59" i="42"/>
  <c r="W59" i="42"/>
  <c r="V60" i="42"/>
  <c r="W60" i="42"/>
  <c r="V61" i="42"/>
  <c r="W61" i="42"/>
  <c r="V62" i="42"/>
  <c r="W62" i="42"/>
  <c r="V63" i="42"/>
  <c r="W63" i="42"/>
  <c r="V64" i="42"/>
  <c r="W64" i="42"/>
  <c r="V65" i="42"/>
  <c r="W65" i="42"/>
  <c r="V66" i="42"/>
  <c r="W66" i="42"/>
  <c r="V67" i="42"/>
  <c r="W67" i="42"/>
  <c r="Y13" i="42"/>
  <c r="X13" i="42"/>
  <c r="W13" i="42"/>
  <c r="V13" i="42"/>
  <c r="U13" i="42"/>
  <c r="T13" i="42"/>
  <c r="S13" i="42"/>
  <c r="R13" i="42"/>
  <c r="D166" i="31"/>
  <c r="D168" i="31"/>
  <c r="D165" i="31"/>
  <c r="D164" i="31"/>
  <c r="D163" i="31"/>
  <c r="D162" i="31"/>
  <c r="D161" i="31"/>
  <c r="D160" i="31"/>
  <c r="D159" i="31"/>
  <c r="D158" i="31"/>
  <c r="D157" i="31"/>
  <c r="D156" i="31"/>
  <c r="D155" i="31"/>
  <c r="D82" i="31"/>
  <c r="D92" i="31"/>
  <c r="D95" i="31"/>
  <c r="D94" i="31"/>
  <c r="D93" i="31"/>
  <c r="D96" i="31"/>
  <c r="D97" i="31"/>
  <c r="E98" i="31"/>
  <c r="D51" i="31"/>
  <c r="AG53" i="31"/>
  <c r="AC53" i="31"/>
  <c r="E53" i="31"/>
  <c r="I53" i="31"/>
  <c r="F53" i="31"/>
  <c r="G53" i="31"/>
  <c r="H53" i="31"/>
  <c r="J53" i="31"/>
  <c r="K53" i="31"/>
  <c r="L53" i="31"/>
  <c r="M53" i="31"/>
  <c r="N53" i="31"/>
  <c r="O53" i="31"/>
  <c r="P53" i="31"/>
  <c r="Q53" i="31"/>
  <c r="R53" i="31"/>
  <c r="S53" i="31"/>
  <c r="T53" i="31"/>
  <c r="U53" i="31"/>
  <c r="V53" i="31"/>
  <c r="W53" i="31"/>
  <c r="X53" i="31"/>
  <c r="Y53" i="31"/>
  <c r="Z53" i="31"/>
  <c r="AA53" i="31"/>
  <c r="AB53" i="31"/>
  <c r="AD53" i="31"/>
  <c r="AE53" i="31"/>
  <c r="AF53" i="31"/>
  <c r="AI53" i="31"/>
  <c r="D31" i="31"/>
  <c r="D52" i="31"/>
  <c r="CC52" i="31" s="1"/>
  <c r="D12" i="31"/>
  <c r="D23" i="31"/>
  <c r="D22" i="31"/>
  <c r="CB22" i="31" s="1"/>
  <c r="D24" i="31"/>
  <c r="C57" i="22"/>
  <c r="C50" i="22"/>
  <c r="E41" i="11"/>
  <c r="D41" i="11"/>
  <c r="CL163" i="31" l="1"/>
  <c r="CB163" i="31"/>
  <c r="CB168" i="31"/>
  <c r="CL168" i="31"/>
  <c r="CL166" i="31"/>
  <c r="CB166" i="31"/>
  <c r="CB155" i="31"/>
  <c r="CL155" i="31"/>
  <c r="CL164" i="31"/>
  <c r="CB164" i="31"/>
  <c r="CB157" i="31"/>
  <c r="CL157" i="31"/>
  <c r="CB156" i="31"/>
  <c r="CL156" i="31"/>
  <c r="CB158" i="31"/>
  <c r="CL158" i="31"/>
  <c r="CB159" i="31"/>
  <c r="CL159" i="31"/>
  <c r="CB160" i="31"/>
  <c r="CL160" i="31"/>
  <c r="CL161" i="31"/>
  <c r="CB161" i="31"/>
  <c r="CL165" i="31"/>
  <c r="CB165" i="31"/>
  <c r="CL162" i="31"/>
  <c r="CB162" i="31"/>
  <c r="BZ50" i="22"/>
  <c r="BT50" i="22"/>
  <c r="BQ50" i="22"/>
  <c r="BS50" i="22"/>
  <c r="BR50" i="22"/>
  <c r="C41" i="11"/>
  <c r="CI41" i="11" s="1" a="1"/>
  <c r="CI41" i="11" s="1"/>
  <c r="V12" i="42"/>
  <c r="CA41" i="11"/>
  <c r="BZ41" i="11" a="1"/>
  <c r="BZ41" i="11" s="1"/>
  <c r="CB41" i="11"/>
  <c r="CJ41" i="11"/>
  <c r="CC41" i="11"/>
  <c r="CF22" i="31"/>
  <c r="D53" i="31"/>
  <c r="A4" i="32"/>
  <c r="A4" i="11"/>
  <c r="A3" i="11"/>
  <c r="A2" i="11"/>
  <c r="A4" i="24"/>
  <c r="A3" i="24"/>
  <c r="A2" i="24"/>
  <c r="A4" i="23"/>
  <c r="A3" i="23"/>
  <c r="A2" i="23"/>
  <c r="A4" i="43"/>
  <c r="A3" i="43"/>
  <c r="A2" i="43"/>
  <c r="A4" i="42"/>
  <c r="A3" i="42"/>
  <c r="A2" i="42"/>
  <c r="A4" i="41"/>
  <c r="A3" i="41"/>
  <c r="A2" i="41"/>
  <c r="A4" i="48"/>
  <c r="A3" i="48"/>
  <c r="A2" i="48"/>
  <c r="A4" i="22"/>
  <c r="A3" i="22"/>
  <c r="A2" i="22"/>
  <c r="A4" i="27"/>
  <c r="A3" i="27"/>
  <c r="A2" i="27"/>
  <c r="A4" i="39"/>
  <c r="A3" i="39"/>
  <c r="A2" i="39"/>
  <c r="A4" i="19"/>
  <c r="A3" i="19"/>
  <c r="A2" i="19"/>
  <c r="A4" i="5"/>
  <c r="A3" i="5"/>
  <c r="A2" i="5"/>
  <c r="A4" i="38"/>
  <c r="A3" i="38"/>
  <c r="A2" i="38"/>
  <c r="A4" i="37"/>
  <c r="A3" i="37"/>
  <c r="A2" i="37"/>
  <c r="A4" i="36"/>
  <c r="A3" i="36"/>
  <c r="A2" i="36"/>
  <c r="A4" i="47"/>
  <c r="A3" i="47"/>
  <c r="A2" i="47"/>
  <c r="A4" i="13"/>
  <c r="A3" i="13"/>
  <c r="A2" i="13"/>
  <c r="A4" i="4"/>
  <c r="A3" i="4"/>
  <c r="A2" i="4"/>
  <c r="A4" i="46"/>
  <c r="A3" i="46"/>
  <c r="A2" i="46"/>
  <c r="A4" i="45"/>
  <c r="A3" i="45"/>
  <c r="A2" i="45"/>
  <c r="A4" i="28"/>
  <c r="A3" i="28"/>
  <c r="A2" i="28"/>
  <c r="A4" i="34"/>
  <c r="A3" i="34"/>
  <c r="A2" i="34"/>
  <c r="A4" i="33"/>
  <c r="A3" i="33"/>
  <c r="A2" i="33"/>
  <c r="A4" i="29"/>
  <c r="A2" i="29"/>
  <c r="A3" i="29"/>
  <c r="CL30" i="32"/>
  <c r="A4" i="49"/>
  <c r="A3" i="49"/>
  <c r="A2" i="49"/>
  <c r="CA168" i="31"/>
  <c r="CA167" i="31"/>
  <c r="D66" i="31"/>
  <c r="CK66" i="31" s="1"/>
  <c r="F98" i="31"/>
  <c r="G98" i="31"/>
  <c r="H98" i="31"/>
  <c r="I98" i="31"/>
  <c r="CK97" i="31"/>
  <c r="A3" i="32"/>
  <c r="A2" i="32"/>
  <c r="A4" i="31"/>
  <c r="A3" i="31"/>
  <c r="A2" i="31"/>
  <c r="AT100" i="5"/>
  <c r="AT101" i="5"/>
  <c r="CT191" i="13"/>
  <c r="CF191" i="13"/>
  <c r="CC44" i="13"/>
  <c r="CB17" i="13"/>
  <c r="AY17" i="13" s="1"/>
  <c r="CA12" i="13"/>
  <c r="AY12" i="13" s="1"/>
  <c r="AY16" i="13"/>
  <c r="CD55" i="29"/>
  <c r="CA98" i="32"/>
  <c r="M98" i="32" s="1"/>
  <c r="CX82" i="32"/>
  <c r="CU78" i="32"/>
  <c r="N79" i="32"/>
  <c r="N80" i="32"/>
  <c r="N81" i="32"/>
  <c r="N82" i="32"/>
  <c r="N78" i="32"/>
  <c r="CA72" i="32"/>
  <c r="CA78" i="32"/>
  <c r="B78" i="32"/>
  <c r="CD82" i="32"/>
  <c r="CC82" i="32"/>
  <c r="CB82" i="32"/>
  <c r="CA82" i="32"/>
  <c r="CW47" i="32"/>
  <c r="CU44" i="32"/>
  <c r="DD27" i="32"/>
  <c r="DF31" i="32"/>
  <c r="DG31" i="32"/>
  <c r="CJ30" i="32"/>
  <c r="CL27" i="32"/>
  <c r="CL28" i="32"/>
  <c r="DF27" i="32"/>
  <c r="CJ27" i="32"/>
  <c r="CJ28" i="32"/>
  <c r="CJ11" i="32"/>
  <c r="D160" i="19"/>
  <c r="C160" i="19"/>
  <c r="C165" i="19"/>
  <c r="CA124" i="19"/>
  <c r="AP124" i="19" s="1"/>
  <c r="D127" i="19"/>
  <c r="C127" i="19"/>
  <c r="B158" i="37"/>
  <c r="D175" i="37"/>
  <c r="C175" i="37"/>
  <c r="B170" i="37"/>
  <c r="B169" i="37"/>
  <c r="B168" i="37"/>
  <c r="B167" i="37"/>
  <c r="CB250" i="13"/>
  <c r="AJ231" i="13"/>
  <c r="CB91" i="13"/>
  <c r="AY91" i="13" s="1"/>
  <c r="CA81" i="13"/>
  <c r="CA73" i="13"/>
  <c r="CA74" i="13"/>
  <c r="CA75" i="13"/>
  <c r="CA76" i="13"/>
  <c r="CA77" i="13"/>
  <c r="CA78" i="13"/>
  <c r="CA79" i="13"/>
  <c r="CA80" i="13"/>
  <c r="CB44" i="13"/>
  <c r="CH48" i="13"/>
  <c r="AY48" i="13" s="1"/>
  <c r="AY15" i="13"/>
  <c r="D182" i="46"/>
  <c r="E177" i="46"/>
  <c r="D177" i="46"/>
  <c r="C177" i="46" s="1"/>
  <c r="E176" i="46"/>
  <c r="D176" i="46"/>
  <c r="E174" i="46"/>
  <c r="D174" i="46"/>
  <c r="CE41" i="11" l="1"/>
  <c r="CD41" i="11"/>
  <c r="AX41" i="11" s="1"/>
  <c r="CA66" i="31"/>
  <c r="CA97" i="31"/>
  <c r="CC12" i="46"/>
  <c r="B12" i="46"/>
  <c r="CB12" i="46" s="1"/>
  <c r="E212" i="29"/>
  <c r="D212" i="29"/>
  <c r="B411" i="29"/>
  <c r="C22" i="32"/>
  <c r="CL22" i="32" s="1"/>
  <c r="C12" i="32"/>
  <c r="C13" i="32"/>
  <c r="C14" i="32"/>
  <c r="C15" i="32"/>
  <c r="C16" i="32"/>
  <c r="C17" i="32"/>
  <c r="C18" i="32"/>
  <c r="C19" i="32"/>
  <c r="C20" i="32"/>
  <c r="C21" i="32"/>
  <c r="C11" i="32"/>
  <c r="E264" i="29"/>
  <c r="D264" i="29"/>
  <c r="E141" i="29"/>
  <c r="D141" i="29"/>
  <c r="E127" i="29"/>
  <c r="D127" i="29"/>
  <c r="B193" i="28"/>
  <c r="BQ193" i="28" s="1"/>
  <c r="V182" i="28"/>
  <c r="M182" i="28"/>
  <c r="M180" i="28"/>
  <c r="N180" i="28"/>
  <c r="E183" i="28"/>
  <c r="Q117" i="28"/>
  <c r="N117" i="28"/>
  <c r="M117" i="28"/>
  <c r="O117" i="28"/>
  <c r="P117" i="28"/>
  <c r="G200" i="32"/>
  <c r="B200" i="32"/>
  <c r="B183" i="32"/>
  <c r="B166" i="32"/>
  <c r="U399" i="29"/>
  <c r="T399" i="29"/>
  <c r="S399" i="29"/>
  <c r="R399" i="29"/>
  <c r="Q399" i="29"/>
  <c r="P399" i="29"/>
  <c r="O399" i="29"/>
  <c r="N399" i="29"/>
  <c r="M399" i="29"/>
  <c r="U395" i="29"/>
  <c r="T395" i="29"/>
  <c r="S395" i="29"/>
  <c r="R395" i="29"/>
  <c r="Q395" i="29"/>
  <c r="P395" i="29"/>
  <c r="O395" i="29"/>
  <c r="N395" i="29"/>
  <c r="M395" i="29"/>
  <c r="B65" i="5"/>
  <c r="B63" i="5"/>
  <c r="I139" i="5"/>
  <c r="H139" i="5"/>
  <c r="G139" i="5"/>
  <c r="F139" i="5"/>
  <c r="E139" i="5"/>
  <c r="D139" i="5"/>
  <c r="C139" i="5"/>
  <c r="B139" i="5"/>
  <c r="BV193" i="28" l="1"/>
  <c r="BW193" i="28"/>
  <c r="BU193" i="28"/>
  <c r="BP193" i="28"/>
  <c r="BO193" i="28"/>
  <c r="I193" i="28" l="1"/>
  <c r="B183" i="37"/>
  <c r="B184" i="37"/>
  <c r="B185" i="37"/>
  <c r="B186" i="37"/>
  <c r="L174" i="13" l="1"/>
  <c r="G146" i="46"/>
  <c r="F67" i="46"/>
  <c r="C210" i="28" l="1"/>
  <c r="A5" i="38"/>
  <c r="A5" i="37"/>
  <c r="A5" i="4"/>
  <c r="A5" i="49"/>
  <c r="A5" i="43"/>
  <c r="B186" i="28" l="1"/>
  <c r="B161" i="41"/>
  <c r="B160" i="41"/>
  <c r="B159" i="41"/>
  <c r="CA114" i="38"/>
  <c r="CB114" i="38"/>
  <c r="CC114" i="38"/>
  <c r="CD114" i="38"/>
  <c r="CE114" i="38"/>
  <c r="CF114" i="38"/>
  <c r="CG114" i="38"/>
  <c r="CM114" i="38"/>
  <c r="CN114" i="38"/>
  <c r="CO114" i="38"/>
  <c r="CP114" i="38"/>
  <c r="CQ114" i="38"/>
  <c r="CR114" i="38"/>
  <c r="CS114" i="38"/>
  <c r="CA115" i="38"/>
  <c r="CB115" i="38"/>
  <c r="CC115" i="38"/>
  <c r="CD115" i="38"/>
  <c r="CE115" i="38"/>
  <c r="CF115" i="38"/>
  <c r="CG115" i="38"/>
  <c r="CM115" i="38"/>
  <c r="CN115" i="38"/>
  <c r="CO115" i="38"/>
  <c r="CP115" i="38"/>
  <c r="CQ115" i="38"/>
  <c r="CR115" i="38"/>
  <c r="CS115" i="38"/>
  <c r="CA116" i="38"/>
  <c r="CB116" i="38"/>
  <c r="CC116" i="38"/>
  <c r="CD116" i="38"/>
  <c r="CE116" i="38"/>
  <c r="CF116" i="38"/>
  <c r="CG116" i="38"/>
  <c r="CM116" i="38"/>
  <c r="CN116" i="38"/>
  <c r="CO116" i="38"/>
  <c r="CP116" i="38"/>
  <c r="CQ116" i="38"/>
  <c r="CR116" i="38"/>
  <c r="CS116" i="38"/>
  <c r="CA117" i="38"/>
  <c r="CB117" i="38"/>
  <c r="CC117" i="38"/>
  <c r="CD117" i="38"/>
  <c r="CE117" i="38"/>
  <c r="CF117" i="38"/>
  <c r="CG117" i="38"/>
  <c r="CM117" i="38"/>
  <c r="CN117" i="38"/>
  <c r="CO117" i="38"/>
  <c r="CP117" i="38"/>
  <c r="CQ117" i="38"/>
  <c r="CR117" i="38"/>
  <c r="CS117" i="38"/>
  <c r="CA118" i="38"/>
  <c r="CB118" i="38"/>
  <c r="CC118" i="38"/>
  <c r="CD118" i="38"/>
  <c r="CE118" i="38"/>
  <c r="CF118" i="38"/>
  <c r="CG118" i="38"/>
  <c r="CM118" i="38"/>
  <c r="CN118" i="38"/>
  <c r="CO118" i="38"/>
  <c r="CP118" i="38"/>
  <c r="CQ118" i="38"/>
  <c r="CR118" i="38"/>
  <c r="CS118" i="38"/>
  <c r="CA119" i="38"/>
  <c r="CB119" i="38"/>
  <c r="CC119" i="38"/>
  <c r="CD119" i="38"/>
  <c r="CE119" i="38"/>
  <c r="CF119" i="38"/>
  <c r="CG119" i="38"/>
  <c r="CM119" i="38"/>
  <c r="CN119" i="38"/>
  <c r="CO119" i="38"/>
  <c r="CP119" i="38"/>
  <c r="CQ119" i="38"/>
  <c r="CR119" i="38"/>
  <c r="CS119" i="38"/>
  <c r="CA120" i="38"/>
  <c r="CB120" i="38"/>
  <c r="CC120" i="38"/>
  <c r="CD120" i="38"/>
  <c r="CE120" i="38"/>
  <c r="CF120" i="38"/>
  <c r="CG120" i="38"/>
  <c r="CM120" i="38"/>
  <c r="CN120" i="38"/>
  <c r="CO120" i="38"/>
  <c r="CP120" i="38"/>
  <c r="CQ120" i="38"/>
  <c r="CR120" i="38"/>
  <c r="CS120" i="38"/>
  <c r="CA121" i="38"/>
  <c r="CB121" i="38"/>
  <c r="CC121" i="38"/>
  <c r="CD121" i="38"/>
  <c r="CE121" i="38"/>
  <c r="CF121" i="38"/>
  <c r="CG121" i="38"/>
  <c r="CM121" i="38"/>
  <c r="CN121" i="38"/>
  <c r="CO121" i="38"/>
  <c r="CP121" i="38"/>
  <c r="CQ121" i="38"/>
  <c r="CR121" i="38"/>
  <c r="CS121" i="38"/>
  <c r="CA122" i="38"/>
  <c r="CB122" i="38"/>
  <c r="CC122" i="38"/>
  <c r="CD122" i="38"/>
  <c r="CE122" i="38"/>
  <c r="CF122" i="38"/>
  <c r="CG122" i="38"/>
  <c r="CM122" i="38"/>
  <c r="CN122" i="38"/>
  <c r="CO122" i="38"/>
  <c r="CP122" i="38"/>
  <c r="CQ122" i="38"/>
  <c r="CR122" i="38"/>
  <c r="CS122" i="38"/>
  <c r="CO113" i="38"/>
  <c r="CN113" i="38"/>
  <c r="CM113" i="38"/>
  <c r="CG113" i="38"/>
  <c r="CF113" i="38"/>
  <c r="CE113" i="38"/>
  <c r="CD113" i="38"/>
  <c r="CC113" i="38"/>
  <c r="CB113" i="38"/>
  <c r="CA113" i="38"/>
  <c r="CA78" i="38"/>
  <c r="CB78" i="38"/>
  <c r="CC78" i="38"/>
  <c r="CD78" i="38"/>
  <c r="CE78" i="38"/>
  <c r="CF78" i="38"/>
  <c r="CG78" i="38"/>
  <c r="CA79" i="38"/>
  <c r="CB79" i="38"/>
  <c r="CC79" i="38"/>
  <c r="CD79" i="38"/>
  <c r="CE79" i="38"/>
  <c r="CF79" i="38"/>
  <c r="CG79" i="38"/>
  <c r="S79" i="38" s="1"/>
  <c r="CA80" i="38"/>
  <c r="CB80" i="38"/>
  <c r="CC80" i="38"/>
  <c r="CD80" i="38"/>
  <c r="CE80" i="38"/>
  <c r="S80" i="38" s="1"/>
  <c r="CF80" i="38"/>
  <c r="CG80" i="38"/>
  <c r="CA81" i="38"/>
  <c r="S81" i="38" s="1"/>
  <c r="CB81" i="38"/>
  <c r="CC81" i="38"/>
  <c r="CD81" i="38"/>
  <c r="CE81" i="38"/>
  <c r="CF81" i="38"/>
  <c r="CG81" i="38"/>
  <c r="CA82" i="38"/>
  <c r="S82" i="38" s="1"/>
  <c r="CB82" i="38"/>
  <c r="CC82" i="38"/>
  <c r="CD82" i="38"/>
  <c r="CE82" i="38"/>
  <c r="CF82" i="38"/>
  <c r="CG82" i="38"/>
  <c r="CA83" i="38"/>
  <c r="CB83" i="38"/>
  <c r="CC83" i="38"/>
  <c r="S83" i="38" s="1"/>
  <c r="CD83" i="38"/>
  <c r="CE83" i="38"/>
  <c r="CF83" i="38"/>
  <c r="CG83" i="38"/>
  <c r="CA84" i="38"/>
  <c r="S84" i="38" s="1"/>
  <c r="CB84" i="38"/>
  <c r="CC84" i="38"/>
  <c r="CD84" i="38"/>
  <c r="CE84" i="38"/>
  <c r="CF84" i="38"/>
  <c r="CG84" i="38"/>
  <c r="CA85" i="38"/>
  <c r="CB85" i="38"/>
  <c r="CC85" i="38"/>
  <c r="CD85" i="38"/>
  <c r="CE85" i="38"/>
  <c r="S85" i="38" s="1"/>
  <c r="CF85" i="38"/>
  <c r="CG85" i="38"/>
  <c r="CA86" i="38"/>
  <c r="CB86" i="38"/>
  <c r="S86" i="38" s="1"/>
  <c r="CC86" i="38"/>
  <c r="CD86" i="38"/>
  <c r="CE86" i="38"/>
  <c r="CF86" i="38"/>
  <c r="CG86" i="38"/>
  <c r="CA87" i="38"/>
  <c r="CB87" i="38"/>
  <c r="CC87" i="38"/>
  <c r="CD87" i="38"/>
  <c r="CE87" i="38"/>
  <c r="CF87" i="38"/>
  <c r="CG87" i="38"/>
  <c r="CA88" i="38"/>
  <c r="S88" i="38" s="1"/>
  <c r="CB88" i="38"/>
  <c r="CC88" i="38"/>
  <c r="CD88" i="38"/>
  <c r="CE88" i="38"/>
  <c r="CF88" i="38"/>
  <c r="CG88" i="38"/>
  <c r="CA89" i="38"/>
  <c r="S89" i="38" s="1"/>
  <c r="CB89" i="38"/>
  <c r="CC89" i="38"/>
  <c r="CD89" i="38"/>
  <c r="CE89" i="38"/>
  <c r="CF89" i="38"/>
  <c r="CG89" i="38"/>
  <c r="CA90" i="38"/>
  <c r="CB90" i="38"/>
  <c r="S90" i="38" s="1"/>
  <c r="CC90" i="38"/>
  <c r="CD90" i="38"/>
  <c r="CE90" i="38"/>
  <c r="CF90" i="38"/>
  <c r="CG90" i="38"/>
  <c r="CG91" i="38"/>
  <c r="CF91" i="38"/>
  <c r="CE91" i="38"/>
  <c r="CD91" i="38"/>
  <c r="CC91" i="38"/>
  <c r="CB91" i="38"/>
  <c r="CA91" i="38"/>
  <c r="CS113" i="38"/>
  <c r="CR113" i="38"/>
  <c r="CQ113" i="38"/>
  <c r="CP113" i="38"/>
  <c r="CA98" i="38"/>
  <c r="CB98" i="38"/>
  <c r="U98" i="38" s="1"/>
  <c r="CC98" i="38"/>
  <c r="CD98" i="38"/>
  <c r="CE98" i="38"/>
  <c r="CF98" i="38"/>
  <c r="CG98" i="38"/>
  <c r="CM98" i="38"/>
  <c r="CN98" i="38"/>
  <c r="CO98" i="38"/>
  <c r="CP98" i="38"/>
  <c r="CQ98" i="38"/>
  <c r="CR98" i="38"/>
  <c r="CS98" i="38"/>
  <c r="CA99" i="38"/>
  <c r="CB99" i="38"/>
  <c r="U99" i="38" s="1"/>
  <c r="CC99" i="38"/>
  <c r="CD99" i="38"/>
  <c r="CE99" i="38"/>
  <c r="CF99" i="38"/>
  <c r="CG99" i="38"/>
  <c r="CM99" i="38"/>
  <c r="CN99" i="38"/>
  <c r="CO99" i="38"/>
  <c r="CP99" i="38"/>
  <c r="CQ99" i="38"/>
  <c r="CR99" i="38"/>
  <c r="CS99" i="38"/>
  <c r="CA100" i="38"/>
  <c r="U100" i="38" s="1"/>
  <c r="CB100" i="38"/>
  <c r="CC100" i="38"/>
  <c r="CD100" i="38"/>
  <c r="CE100" i="38"/>
  <c r="CF100" i="38"/>
  <c r="CG100" i="38"/>
  <c r="CM100" i="38"/>
  <c r="CN100" i="38"/>
  <c r="CO100" i="38"/>
  <c r="CP100" i="38"/>
  <c r="CQ100" i="38"/>
  <c r="CR100" i="38"/>
  <c r="CS100" i="38"/>
  <c r="CA101" i="38"/>
  <c r="U101" i="38" s="1"/>
  <c r="CB101" i="38"/>
  <c r="CC101" i="38"/>
  <c r="CD101" i="38"/>
  <c r="CE101" i="38"/>
  <c r="CF101" i="38"/>
  <c r="CG101" i="38"/>
  <c r="CM101" i="38"/>
  <c r="CN101" i="38"/>
  <c r="CO101" i="38"/>
  <c r="CP101" i="38"/>
  <c r="CQ101" i="38"/>
  <c r="CR101" i="38"/>
  <c r="CS101" i="38"/>
  <c r="CA102" i="38"/>
  <c r="CB102" i="38"/>
  <c r="CC102" i="38"/>
  <c r="CD102" i="38"/>
  <c r="CE102" i="38"/>
  <c r="CF102" i="38"/>
  <c r="CG102" i="38"/>
  <c r="CM102" i="38"/>
  <c r="CN102" i="38"/>
  <c r="CO102" i="38"/>
  <c r="CP102" i="38"/>
  <c r="CQ102" i="38"/>
  <c r="CR102" i="38"/>
  <c r="CS102" i="38"/>
  <c r="CA103" i="38"/>
  <c r="U103" i="38" s="1"/>
  <c r="CB103" i="38"/>
  <c r="CC103" i="38"/>
  <c r="CD103" i="38"/>
  <c r="CE103" i="38"/>
  <c r="CF103" i="38"/>
  <c r="CG103" i="38"/>
  <c r="CM103" i="38"/>
  <c r="CN103" i="38"/>
  <c r="CO103" i="38"/>
  <c r="CP103" i="38"/>
  <c r="CQ103" i="38"/>
  <c r="CR103" i="38"/>
  <c r="CS103" i="38"/>
  <c r="CA104" i="38"/>
  <c r="U104" i="38" s="1"/>
  <c r="CB104" i="38"/>
  <c r="CC104" i="38"/>
  <c r="CD104" i="38"/>
  <c r="CE104" i="38"/>
  <c r="CF104" i="38"/>
  <c r="CG104" i="38"/>
  <c r="CM104" i="38"/>
  <c r="CN104" i="38"/>
  <c r="CO104" i="38"/>
  <c r="CP104" i="38"/>
  <c r="CQ104" i="38"/>
  <c r="CR104" i="38"/>
  <c r="CS104" i="38"/>
  <c r="CA105" i="38"/>
  <c r="CB105" i="38"/>
  <c r="CC105" i="38"/>
  <c r="U105" i="38" s="1"/>
  <c r="CD105" i="38"/>
  <c r="CE105" i="38"/>
  <c r="CF105" i="38"/>
  <c r="CG105" i="38"/>
  <c r="CM105" i="38"/>
  <c r="CN105" i="38"/>
  <c r="CO105" i="38"/>
  <c r="CP105" i="38"/>
  <c r="CQ105" i="38"/>
  <c r="CR105" i="38"/>
  <c r="CS105" i="38"/>
  <c r="CA106" i="38"/>
  <c r="U106" i="38" s="1"/>
  <c r="CB106" i="38"/>
  <c r="CC106" i="38"/>
  <c r="CD106" i="38"/>
  <c r="CE106" i="38"/>
  <c r="CF106" i="38"/>
  <c r="CG106" i="38"/>
  <c r="CM106" i="38"/>
  <c r="CN106" i="38"/>
  <c r="CO106" i="38"/>
  <c r="CP106" i="38"/>
  <c r="CQ106" i="38"/>
  <c r="CR106" i="38"/>
  <c r="CS106" i="38"/>
  <c r="CA107" i="38"/>
  <c r="CB107" i="38"/>
  <c r="CC107" i="38"/>
  <c r="CD107" i="38"/>
  <c r="CE107" i="38"/>
  <c r="CF107" i="38"/>
  <c r="CG107" i="38"/>
  <c r="CM107" i="38"/>
  <c r="CN107" i="38"/>
  <c r="CO107" i="38"/>
  <c r="CP107" i="38"/>
  <c r="CQ107" i="38"/>
  <c r="CR107" i="38"/>
  <c r="CS107" i="38"/>
  <c r="CA108" i="38"/>
  <c r="U108" i="38" s="1"/>
  <c r="CB108" i="38"/>
  <c r="CC108" i="38"/>
  <c r="CD108" i="38"/>
  <c r="CE108" i="38"/>
  <c r="CF108" i="38"/>
  <c r="CG108" i="38"/>
  <c r="CM108" i="38"/>
  <c r="CN108" i="38"/>
  <c r="CO108" i="38"/>
  <c r="CP108" i="38"/>
  <c r="CQ108" i="38"/>
  <c r="CR108" i="38"/>
  <c r="CS108" i="38"/>
  <c r="U102" i="38"/>
  <c r="U107" i="38"/>
  <c r="U97" i="38"/>
  <c r="S87" i="38"/>
  <c r="S91" i="38"/>
  <c r="S78" i="38"/>
  <c r="X73" i="38"/>
  <c r="X63" i="38"/>
  <c r="X64" i="38"/>
  <c r="X65" i="38"/>
  <c r="X66" i="38"/>
  <c r="X67" i="38"/>
  <c r="X68" i="38"/>
  <c r="X69" i="38"/>
  <c r="X70" i="38"/>
  <c r="X71" i="38"/>
  <c r="X72" i="38"/>
  <c r="X62" i="38"/>
  <c r="CS97" i="38"/>
  <c r="CR97" i="38"/>
  <c r="CQ97" i="38"/>
  <c r="CP97" i="38"/>
  <c r="CO97" i="38"/>
  <c r="CN97" i="38"/>
  <c r="CM97" i="38"/>
  <c r="CG97" i="38"/>
  <c r="CF97" i="38"/>
  <c r="CE97" i="38"/>
  <c r="CD97" i="38"/>
  <c r="CC97" i="38"/>
  <c r="CB97" i="38"/>
  <c r="CA97" i="38"/>
  <c r="C82" i="38"/>
  <c r="CM79" i="38"/>
  <c r="CN79" i="38"/>
  <c r="CO79" i="38"/>
  <c r="CP79" i="38"/>
  <c r="CQ79" i="38"/>
  <c r="CR79" i="38"/>
  <c r="CS79" i="38"/>
  <c r="CM80" i="38"/>
  <c r="CN80" i="38"/>
  <c r="CO80" i="38"/>
  <c r="CP80" i="38"/>
  <c r="CQ80" i="38"/>
  <c r="CR80" i="38"/>
  <c r="CS80" i="38"/>
  <c r="CM81" i="38"/>
  <c r="CN81" i="38"/>
  <c r="CO81" i="38"/>
  <c r="CP81" i="38"/>
  <c r="CQ81" i="38"/>
  <c r="CR81" i="38"/>
  <c r="CS81" i="38"/>
  <c r="CM82" i="38"/>
  <c r="CN82" i="38"/>
  <c r="CO82" i="38"/>
  <c r="CP82" i="38"/>
  <c r="CQ82" i="38"/>
  <c r="CR82" i="38"/>
  <c r="CS82" i="38"/>
  <c r="CM83" i="38"/>
  <c r="CN83" i="38"/>
  <c r="CO83" i="38"/>
  <c r="CP83" i="38"/>
  <c r="CQ83" i="38"/>
  <c r="CR83" i="38"/>
  <c r="CS83" i="38"/>
  <c r="CM84" i="38"/>
  <c r="CN84" i="38"/>
  <c r="CO84" i="38"/>
  <c r="CP84" i="38"/>
  <c r="CQ84" i="38"/>
  <c r="CR84" i="38"/>
  <c r="CS84" i="38"/>
  <c r="CM85" i="38"/>
  <c r="CN85" i="38"/>
  <c r="CO85" i="38"/>
  <c r="CP85" i="38"/>
  <c r="CQ85" i="38"/>
  <c r="CR85" i="38"/>
  <c r="CS85" i="38"/>
  <c r="CM86" i="38"/>
  <c r="CN86" i="38"/>
  <c r="CO86" i="38"/>
  <c r="CP86" i="38"/>
  <c r="CQ86" i="38"/>
  <c r="CR86" i="38"/>
  <c r="CS86" i="38"/>
  <c r="CM87" i="38"/>
  <c r="CN87" i="38"/>
  <c r="CO87" i="38"/>
  <c r="CP87" i="38"/>
  <c r="CQ87" i="38"/>
  <c r="CR87" i="38"/>
  <c r="CS87" i="38"/>
  <c r="CM88" i="38"/>
  <c r="CN88" i="38"/>
  <c r="CO88" i="38"/>
  <c r="CP88" i="38"/>
  <c r="CQ88" i="38"/>
  <c r="CR88" i="38"/>
  <c r="CS88" i="38"/>
  <c r="CM89" i="38"/>
  <c r="CN89" i="38"/>
  <c r="CO89" i="38"/>
  <c r="CP89" i="38"/>
  <c r="CQ89" i="38"/>
  <c r="CR89" i="38"/>
  <c r="CS89" i="38"/>
  <c r="CM90" i="38"/>
  <c r="CN90" i="38"/>
  <c r="CO90" i="38"/>
  <c r="CP90" i="38"/>
  <c r="CQ90" i="38"/>
  <c r="CR90" i="38"/>
  <c r="CS90" i="38"/>
  <c r="CM91" i="38"/>
  <c r="CN91" i="38"/>
  <c r="CO91" i="38"/>
  <c r="CP91" i="38"/>
  <c r="CQ91" i="38"/>
  <c r="CR91" i="38"/>
  <c r="CS91" i="38"/>
  <c r="CP78" i="38"/>
  <c r="CQ78" i="38"/>
  <c r="CR78" i="38"/>
  <c r="CS78" i="38"/>
  <c r="CO78" i="38"/>
  <c r="CN78" i="38"/>
  <c r="CM78" i="38"/>
  <c r="CA63" i="38"/>
  <c r="CB63" i="38"/>
  <c r="CC63" i="38"/>
  <c r="CD63" i="38"/>
  <c r="CE63" i="38"/>
  <c r="CF63" i="38"/>
  <c r="CG63" i="38"/>
  <c r="CM63" i="38"/>
  <c r="CN63" i="38"/>
  <c r="CO63" i="38"/>
  <c r="CP63" i="38"/>
  <c r="CQ63" i="38"/>
  <c r="CR63" i="38"/>
  <c r="CS63" i="38"/>
  <c r="CA64" i="38"/>
  <c r="CB64" i="38"/>
  <c r="CC64" i="38"/>
  <c r="CD64" i="38"/>
  <c r="CE64" i="38"/>
  <c r="CF64" i="38"/>
  <c r="CG64" i="38"/>
  <c r="CM64" i="38"/>
  <c r="CN64" i="38"/>
  <c r="CO64" i="38"/>
  <c r="CP64" i="38"/>
  <c r="CQ64" i="38"/>
  <c r="CR64" i="38"/>
  <c r="CS64" i="38"/>
  <c r="CA65" i="38"/>
  <c r="CB65" i="38"/>
  <c r="CC65" i="38"/>
  <c r="CD65" i="38"/>
  <c r="CE65" i="38"/>
  <c r="CF65" i="38"/>
  <c r="CG65" i="38"/>
  <c r="CM65" i="38"/>
  <c r="CN65" i="38"/>
  <c r="CO65" i="38"/>
  <c r="CP65" i="38"/>
  <c r="CQ65" i="38"/>
  <c r="CR65" i="38"/>
  <c r="CS65" i="38"/>
  <c r="CA66" i="38"/>
  <c r="CB66" i="38"/>
  <c r="CC66" i="38"/>
  <c r="CD66" i="38"/>
  <c r="CE66" i="38"/>
  <c r="CF66" i="38"/>
  <c r="CG66" i="38"/>
  <c r="CM66" i="38"/>
  <c r="CN66" i="38"/>
  <c r="CO66" i="38"/>
  <c r="CP66" i="38"/>
  <c r="CQ66" i="38"/>
  <c r="CR66" i="38"/>
  <c r="CS66" i="38"/>
  <c r="CA67" i="38"/>
  <c r="CB67" i="38"/>
  <c r="CC67" i="38"/>
  <c r="CD67" i="38"/>
  <c r="CE67" i="38"/>
  <c r="CF67" i="38"/>
  <c r="CG67" i="38"/>
  <c r="CM67" i="38"/>
  <c r="CN67" i="38"/>
  <c r="CO67" i="38"/>
  <c r="CP67" i="38"/>
  <c r="CQ67" i="38"/>
  <c r="CR67" i="38"/>
  <c r="CS67" i="38"/>
  <c r="CA68" i="38"/>
  <c r="CB68" i="38"/>
  <c r="CC68" i="38"/>
  <c r="CD68" i="38"/>
  <c r="CE68" i="38"/>
  <c r="CF68" i="38"/>
  <c r="CG68" i="38"/>
  <c r="CM68" i="38"/>
  <c r="CN68" i="38"/>
  <c r="CO68" i="38"/>
  <c r="CP68" i="38"/>
  <c r="CQ68" i="38"/>
  <c r="CR68" i="38"/>
  <c r="CS68" i="38"/>
  <c r="CA69" i="38"/>
  <c r="CB69" i="38"/>
  <c r="CC69" i="38"/>
  <c r="CD69" i="38"/>
  <c r="CE69" i="38"/>
  <c r="CF69" i="38"/>
  <c r="CG69" i="38"/>
  <c r="CM69" i="38"/>
  <c r="CN69" i="38"/>
  <c r="CO69" i="38"/>
  <c r="CP69" i="38"/>
  <c r="CQ69" i="38"/>
  <c r="CR69" i="38"/>
  <c r="CS69" i="38"/>
  <c r="CA70" i="38"/>
  <c r="CB70" i="38"/>
  <c r="CC70" i="38"/>
  <c r="CD70" i="38"/>
  <c r="CE70" i="38"/>
  <c r="CF70" i="38"/>
  <c r="CG70" i="38"/>
  <c r="CM70" i="38"/>
  <c r="CN70" i="38"/>
  <c r="CO70" i="38"/>
  <c r="CP70" i="38"/>
  <c r="CQ70" i="38"/>
  <c r="CR70" i="38"/>
  <c r="CS70" i="38"/>
  <c r="CA71" i="38"/>
  <c r="CB71" i="38"/>
  <c r="CC71" i="38"/>
  <c r="CD71" i="38"/>
  <c r="CE71" i="38"/>
  <c r="CF71" i="38"/>
  <c r="CG71" i="38"/>
  <c r="CM71" i="38"/>
  <c r="CN71" i="38"/>
  <c r="CO71" i="38"/>
  <c r="CP71" i="38"/>
  <c r="CQ71" i="38"/>
  <c r="CR71" i="38"/>
  <c r="CS71" i="38"/>
  <c r="CA72" i="38"/>
  <c r="CB72" i="38"/>
  <c r="CC72" i="38"/>
  <c r="CD72" i="38"/>
  <c r="CE72" i="38"/>
  <c r="CF72" i="38"/>
  <c r="CG72" i="38"/>
  <c r="CM72" i="38"/>
  <c r="CN72" i="38"/>
  <c r="CO72" i="38"/>
  <c r="CP72" i="38"/>
  <c r="CQ72" i="38"/>
  <c r="CR72" i="38"/>
  <c r="CS72" i="38"/>
  <c r="CA73" i="38"/>
  <c r="CB73" i="38"/>
  <c r="CC73" i="38"/>
  <c r="CD73" i="38"/>
  <c r="CE73" i="38"/>
  <c r="CF73" i="38"/>
  <c r="CG73" i="38"/>
  <c r="CM73" i="38"/>
  <c r="CN73" i="38"/>
  <c r="CO73" i="38"/>
  <c r="CP73" i="38"/>
  <c r="CQ73" i="38"/>
  <c r="CR73" i="38"/>
  <c r="CS73" i="38"/>
  <c r="CP62" i="38"/>
  <c r="CQ62" i="38"/>
  <c r="CR62" i="38"/>
  <c r="CS62" i="38"/>
  <c r="CO62" i="38"/>
  <c r="CN62" i="38"/>
  <c r="CM62" i="38"/>
  <c r="CG62" i="38"/>
  <c r="CF62" i="38"/>
  <c r="CE62" i="38"/>
  <c r="CD62" i="38"/>
  <c r="CC62" i="38"/>
  <c r="CA62" i="38"/>
  <c r="CB62" i="38"/>
  <c r="CO13" i="38"/>
  <c r="CP13" i="38"/>
  <c r="CQ13" i="38"/>
  <c r="CR13" i="38"/>
  <c r="CS13" i="38"/>
  <c r="CT13" i="38"/>
  <c r="CU13" i="38"/>
  <c r="CO14" i="38"/>
  <c r="CP14" i="38"/>
  <c r="CQ14" i="38"/>
  <c r="CR14" i="38"/>
  <c r="CS14" i="38"/>
  <c r="CT14" i="38"/>
  <c r="CU14" i="38"/>
  <c r="CO15" i="38"/>
  <c r="CP15" i="38"/>
  <c r="CQ15" i="38"/>
  <c r="CR15" i="38"/>
  <c r="CS15" i="38"/>
  <c r="CT15" i="38"/>
  <c r="CU15" i="38"/>
  <c r="CO16" i="38"/>
  <c r="CP16" i="38"/>
  <c r="CQ16" i="38"/>
  <c r="CR16" i="38"/>
  <c r="CS16" i="38"/>
  <c r="CT16" i="38"/>
  <c r="CU16" i="38"/>
  <c r="CO17" i="38"/>
  <c r="CP17" i="38"/>
  <c r="CQ17" i="38"/>
  <c r="CR17" i="38"/>
  <c r="CS17" i="38"/>
  <c r="CT17" i="38"/>
  <c r="CU17" i="38"/>
  <c r="CO18" i="38"/>
  <c r="CP18" i="38"/>
  <c r="CQ18" i="38"/>
  <c r="CR18" i="38"/>
  <c r="CS18" i="38"/>
  <c r="CT18" i="38"/>
  <c r="CU18" i="38"/>
  <c r="CO19" i="38"/>
  <c r="CP19" i="38"/>
  <c r="CQ19" i="38"/>
  <c r="CR19" i="38"/>
  <c r="CS19" i="38"/>
  <c r="CT19" i="38"/>
  <c r="CU19" i="38"/>
  <c r="CO20" i="38"/>
  <c r="CP20" i="38"/>
  <c r="CQ20" i="38"/>
  <c r="CR20" i="38"/>
  <c r="CS20" i="38"/>
  <c r="CT20" i="38"/>
  <c r="CU20" i="38"/>
  <c r="CO21" i="38"/>
  <c r="CP21" i="38"/>
  <c r="CQ21" i="38"/>
  <c r="CR21" i="38"/>
  <c r="CS21" i="38"/>
  <c r="CT21" i="38"/>
  <c r="CU21" i="38"/>
  <c r="CU22" i="38"/>
  <c r="CO23" i="38"/>
  <c r="CP23" i="38"/>
  <c r="CQ23" i="38"/>
  <c r="CR23" i="38"/>
  <c r="CS23" i="38"/>
  <c r="CT23" i="38"/>
  <c r="CU23" i="38"/>
  <c r="CO24" i="38"/>
  <c r="CP24" i="38"/>
  <c r="CQ24" i="38"/>
  <c r="CR24" i="38"/>
  <c r="CS24" i="38"/>
  <c r="CT24" i="38"/>
  <c r="CU24" i="38"/>
  <c r="CO25" i="38"/>
  <c r="CP25" i="38"/>
  <c r="CQ25" i="38"/>
  <c r="CR25" i="38"/>
  <c r="CS25" i="38"/>
  <c r="CT25" i="38"/>
  <c r="CU25" i="38"/>
  <c r="CO26" i="38"/>
  <c r="CP26" i="38"/>
  <c r="CQ26" i="38"/>
  <c r="CR26" i="38"/>
  <c r="CS26" i="38"/>
  <c r="CT26" i="38"/>
  <c r="CU26" i="38"/>
  <c r="CO27" i="38"/>
  <c r="CP27" i="38"/>
  <c r="CQ27" i="38"/>
  <c r="CR27" i="38"/>
  <c r="CS27" i="38"/>
  <c r="CT27" i="38"/>
  <c r="CU27" i="38"/>
  <c r="CO28" i="38"/>
  <c r="CP28" i="38"/>
  <c r="CQ28" i="38"/>
  <c r="CR28" i="38"/>
  <c r="CS28" i="38"/>
  <c r="CT28" i="38"/>
  <c r="CU28" i="38"/>
  <c r="CO29" i="38"/>
  <c r="CP29" i="38"/>
  <c r="CQ29" i="38"/>
  <c r="CR29" i="38"/>
  <c r="CS29" i="38"/>
  <c r="CT29" i="38"/>
  <c r="CU29" i="38"/>
  <c r="CO30" i="38"/>
  <c r="CP30" i="38"/>
  <c r="CQ30" i="38"/>
  <c r="CR30" i="38"/>
  <c r="CS30" i="38"/>
  <c r="CT30" i="38"/>
  <c r="CU30" i="38"/>
  <c r="CO31" i="38"/>
  <c r="CP31" i="38"/>
  <c r="CQ31" i="38"/>
  <c r="CR31" i="38"/>
  <c r="CS31" i="38"/>
  <c r="CT31" i="38"/>
  <c r="CU31" i="38"/>
  <c r="CO32" i="38"/>
  <c r="CP32" i="38"/>
  <c r="CQ32" i="38"/>
  <c r="CR32" i="38"/>
  <c r="CS32" i="38"/>
  <c r="CT32" i="38"/>
  <c r="CU32" i="38"/>
  <c r="CO33" i="38"/>
  <c r="CP33" i="38"/>
  <c r="CQ33" i="38"/>
  <c r="CR33" i="38"/>
  <c r="CS33" i="38"/>
  <c r="CT33" i="38"/>
  <c r="CU33" i="38"/>
  <c r="CO34" i="38"/>
  <c r="CP34" i="38"/>
  <c r="CQ34" i="38"/>
  <c r="CR34" i="38"/>
  <c r="CS34" i="38"/>
  <c r="CT34" i="38"/>
  <c r="CU34" i="38"/>
  <c r="CO35" i="38"/>
  <c r="CP35" i="38"/>
  <c r="CQ35" i="38"/>
  <c r="CR35" i="38"/>
  <c r="CS35" i="38"/>
  <c r="CT35" i="38"/>
  <c r="CU35" i="38"/>
  <c r="CO36" i="38"/>
  <c r="CP36" i="38"/>
  <c r="CQ36" i="38"/>
  <c r="CR36" i="38"/>
  <c r="CS36" i="38"/>
  <c r="CT36" i="38"/>
  <c r="CU36" i="38"/>
  <c r="CO37" i="38"/>
  <c r="CP37" i="38"/>
  <c r="CQ37" i="38"/>
  <c r="CR37" i="38"/>
  <c r="CS37" i="38"/>
  <c r="CT37" i="38"/>
  <c r="CU37" i="38"/>
  <c r="CO38" i="38"/>
  <c r="CP38" i="38"/>
  <c r="CQ38" i="38"/>
  <c r="CR38" i="38"/>
  <c r="CS38" i="38"/>
  <c r="CT38" i="38"/>
  <c r="CU38" i="38"/>
  <c r="CO39" i="38"/>
  <c r="CP39" i="38"/>
  <c r="CQ39" i="38"/>
  <c r="CR39" i="38"/>
  <c r="CS39" i="38"/>
  <c r="CT39" i="38"/>
  <c r="CU39" i="38"/>
  <c r="CO40" i="38"/>
  <c r="CP40" i="38"/>
  <c r="CQ40" i="38"/>
  <c r="CR40" i="38"/>
  <c r="CS40" i="38"/>
  <c r="CT40" i="38"/>
  <c r="CU40" i="38"/>
  <c r="CO41" i="38"/>
  <c r="CP41" i="38"/>
  <c r="CQ41" i="38"/>
  <c r="CR41" i="38"/>
  <c r="CS41" i="38"/>
  <c r="CT41" i="38"/>
  <c r="CU41" i="38"/>
  <c r="CO42" i="38"/>
  <c r="CP42" i="38"/>
  <c r="CQ42" i="38"/>
  <c r="CR42" i="38"/>
  <c r="CS42" i="38"/>
  <c r="CT42" i="38"/>
  <c r="CU42" i="38"/>
  <c r="CO43" i="38"/>
  <c r="CP43" i="38"/>
  <c r="CQ43" i="38"/>
  <c r="CR43" i="38"/>
  <c r="CS43" i="38"/>
  <c r="CT43" i="38"/>
  <c r="CU43" i="38"/>
  <c r="CO44" i="38"/>
  <c r="CP44" i="38"/>
  <c r="CQ44" i="38"/>
  <c r="CR44" i="38"/>
  <c r="CS44" i="38"/>
  <c r="CT44" i="38"/>
  <c r="CU44" i="38"/>
  <c r="CO45" i="38"/>
  <c r="CP45" i="38"/>
  <c r="CQ45" i="38"/>
  <c r="CR45" i="38"/>
  <c r="CS45" i="38"/>
  <c r="CT45" i="38"/>
  <c r="CU45" i="38"/>
  <c r="CO46" i="38"/>
  <c r="CP46" i="38"/>
  <c r="CQ46" i="38"/>
  <c r="CR46" i="38"/>
  <c r="CS46" i="38"/>
  <c r="CT46" i="38"/>
  <c r="CU46" i="38"/>
  <c r="CO47" i="38"/>
  <c r="CP47" i="38"/>
  <c r="CQ47" i="38"/>
  <c r="CR47" i="38"/>
  <c r="CS47" i="38"/>
  <c r="CT47" i="38"/>
  <c r="CU47" i="38"/>
  <c r="CO48" i="38"/>
  <c r="CP48" i="38"/>
  <c r="CQ48" i="38"/>
  <c r="CR48" i="38"/>
  <c r="CS48" i="38"/>
  <c r="CT48" i="38"/>
  <c r="CU48" i="38"/>
  <c r="CO49" i="38"/>
  <c r="CP49" i="38"/>
  <c r="CQ49" i="38"/>
  <c r="CR49" i="38"/>
  <c r="CS49" i="38"/>
  <c r="CT49" i="38"/>
  <c r="CU49" i="38"/>
  <c r="CO50" i="38"/>
  <c r="CP50" i="38"/>
  <c r="CQ50" i="38"/>
  <c r="CR50" i="38"/>
  <c r="CS50" i="38"/>
  <c r="CT50" i="38"/>
  <c r="CU50" i="38"/>
  <c r="CO51" i="38"/>
  <c r="CP51" i="38"/>
  <c r="CQ51" i="38"/>
  <c r="CR51" i="38"/>
  <c r="CS51" i="38"/>
  <c r="CT51" i="38"/>
  <c r="CU51" i="38"/>
  <c r="CO53" i="38"/>
  <c r="CP53" i="38"/>
  <c r="CQ53" i="38"/>
  <c r="CR53" i="38"/>
  <c r="CS53" i="38"/>
  <c r="CT53" i="38"/>
  <c r="CU53" i="38"/>
  <c r="CO54" i="38"/>
  <c r="CP54" i="38"/>
  <c r="CQ54" i="38"/>
  <c r="CR54" i="38"/>
  <c r="CS54" i="38"/>
  <c r="CT54" i="38"/>
  <c r="CU54" i="38"/>
  <c r="CO55" i="38"/>
  <c r="CP55" i="38"/>
  <c r="CQ55" i="38"/>
  <c r="CR55" i="38"/>
  <c r="CS55" i="38"/>
  <c r="CT55" i="38"/>
  <c r="CU55" i="38"/>
  <c r="CO56" i="38"/>
  <c r="CP56" i="38"/>
  <c r="CQ56" i="38"/>
  <c r="CR56" i="38"/>
  <c r="CS56" i="38"/>
  <c r="CT56" i="38"/>
  <c r="CU56" i="38"/>
  <c r="CO57" i="38"/>
  <c r="CP57" i="38"/>
  <c r="CQ57" i="38"/>
  <c r="CR57" i="38"/>
  <c r="CS57" i="38"/>
  <c r="CT57" i="38"/>
  <c r="CU57" i="38"/>
  <c r="CU12" i="38"/>
  <c r="CT12" i="38"/>
  <c r="CS12" i="38"/>
  <c r="CR12" i="38"/>
  <c r="CQ12" i="38"/>
  <c r="CP12" i="38"/>
  <c r="CO12" i="38"/>
  <c r="CN12" i="38"/>
  <c r="S57" i="38"/>
  <c r="S13" i="38"/>
  <c r="S14" i="38"/>
  <c r="S15" i="38"/>
  <c r="S16" i="38"/>
  <c r="S17" i="38"/>
  <c r="S18" i="38"/>
  <c r="S19" i="38"/>
  <c r="S20" i="38"/>
  <c r="S21" i="38"/>
  <c r="S23" i="38"/>
  <c r="S24" i="38"/>
  <c r="S25" i="38"/>
  <c r="S26" i="38"/>
  <c r="S27" i="38"/>
  <c r="S28" i="38"/>
  <c r="S29" i="38"/>
  <c r="S30" i="38"/>
  <c r="S31" i="38"/>
  <c r="S32" i="38"/>
  <c r="S33" i="38"/>
  <c r="S34" i="38"/>
  <c r="S35" i="38"/>
  <c r="S36" i="38"/>
  <c r="S37" i="38"/>
  <c r="S38" i="38"/>
  <c r="S39" i="38"/>
  <c r="S40" i="38"/>
  <c r="S41" i="38"/>
  <c r="S42" i="38"/>
  <c r="S43" i="38"/>
  <c r="S44" i="38"/>
  <c r="S45" i="38"/>
  <c r="S46" i="38"/>
  <c r="S47" i="38"/>
  <c r="S48" i="38"/>
  <c r="S49" i="38"/>
  <c r="S50" i="38"/>
  <c r="S51" i="38"/>
  <c r="S53" i="38"/>
  <c r="S54" i="38"/>
  <c r="S55" i="38"/>
  <c r="S56" i="38"/>
  <c r="S12" i="38"/>
  <c r="CC13" i="38"/>
  <c r="CD13" i="38"/>
  <c r="CE13" i="38"/>
  <c r="CF13" i="38"/>
  <c r="CG13" i="38"/>
  <c r="CH13" i="38"/>
  <c r="CI13" i="38"/>
  <c r="CC14" i="38"/>
  <c r="CD14" i="38"/>
  <c r="CE14" i="38"/>
  <c r="CF14" i="38"/>
  <c r="CG14" i="38"/>
  <c r="CH14" i="38"/>
  <c r="CI14" i="38"/>
  <c r="CC15" i="38"/>
  <c r="CD15" i="38"/>
  <c r="CE15" i="38"/>
  <c r="CF15" i="38"/>
  <c r="CG15" i="38"/>
  <c r="CH15" i="38"/>
  <c r="CI15" i="38"/>
  <c r="CC16" i="38"/>
  <c r="CD16" i="38"/>
  <c r="CE16" i="38"/>
  <c r="CF16" i="38"/>
  <c r="CG16" i="38"/>
  <c r="CH16" i="38"/>
  <c r="CI16" i="38"/>
  <c r="CC17" i="38"/>
  <c r="CD17" i="38"/>
  <c r="CE17" i="38"/>
  <c r="CF17" i="38"/>
  <c r="CG17" i="38"/>
  <c r="CH17" i="38"/>
  <c r="CI17" i="38"/>
  <c r="CC18" i="38"/>
  <c r="CD18" i="38"/>
  <c r="CE18" i="38"/>
  <c r="CF18" i="38"/>
  <c r="CG18" i="38"/>
  <c r="CH18" i="38"/>
  <c r="CI18" i="38"/>
  <c r="CC19" i="38"/>
  <c r="CD19" i="38"/>
  <c r="CE19" i="38"/>
  <c r="CF19" i="38"/>
  <c r="CG19" i="38"/>
  <c r="CH19" i="38"/>
  <c r="CI19" i="38"/>
  <c r="CC20" i="38"/>
  <c r="CD20" i="38"/>
  <c r="CE20" i="38"/>
  <c r="CF20" i="38"/>
  <c r="CG20" i="38"/>
  <c r="CH20" i="38"/>
  <c r="CI20" i="38"/>
  <c r="CC21" i="38"/>
  <c r="CD21" i="38"/>
  <c r="CE21" i="38"/>
  <c r="CF21" i="38"/>
  <c r="CG21" i="38"/>
  <c r="CH21" i="38"/>
  <c r="CI21" i="38"/>
  <c r="CI22" i="38"/>
  <c r="CC23" i="38"/>
  <c r="CD23" i="38"/>
  <c r="CE23" i="38"/>
  <c r="CF23" i="38"/>
  <c r="CG23" i="38"/>
  <c r="CH23" i="38"/>
  <c r="CI23" i="38"/>
  <c r="CC24" i="38"/>
  <c r="CD24" i="38"/>
  <c r="CE24" i="38"/>
  <c r="CF24" i="38"/>
  <c r="CG24" i="38"/>
  <c r="CH24" i="38"/>
  <c r="CI24" i="38"/>
  <c r="CC25" i="38"/>
  <c r="CD25" i="38"/>
  <c r="CE25" i="38"/>
  <c r="CF25" i="38"/>
  <c r="CG25" i="38"/>
  <c r="CH25" i="38"/>
  <c r="CI25" i="38"/>
  <c r="CC26" i="38"/>
  <c r="CD26" i="38"/>
  <c r="CE26" i="38"/>
  <c r="CF26" i="38"/>
  <c r="CG26" i="38"/>
  <c r="CH26" i="38"/>
  <c r="CI26" i="38"/>
  <c r="CC27" i="38"/>
  <c r="CD27" i="38"/>
  <c r="CE27" i="38"/>
  <c r="CF27" i="38"/>
  <c r="CG27" i="38"/>
  <c r="CH27" i="38"/>
  <c r="CI27" i="38"/>
  <c r="CC28" i="38"/>
  <c r="CD28" i="38"/>
  <c r="CE28" i="38"/>
  <c r="CF28" i="38"/>
  <c r="CG28" i="38"/>
  <c r="CH28" i="38"/>
  <c r="CI28" i="38"/>
  <c r="CC29" i="38"/>
  <c r="CD29" i="38"/>
  <c r="CE29" i="38"/>
  <c r="CF29" i="38"/>
  <c r="CG29" i="38"/>
  <c r="CH29" i="38"/>
  <c r="CI29" i="38"/>
  <c r="CC30" i="38"/>
  <c r="CD30" i="38"/>
  <c r="CE30" i="38"/>
  <c r="CF30" i="38"/>
  <c r="CG30" i="38"/>
  <c r="CH30" i="38"/>
  <c r="CI30" i="38"/>
  <c r="CC31" i="38"/>
  <c r="CD31" i="38"/>
  <c r="CE31" i="38"/>
  <c r="CF31" i="38"/>
  <c r="CG31" i="38"/>
  <c r="CH31" i="38"/>
  <c r="CI31" i="38"/>
  <c r="CC32" i="38"/>
  <c r="CD32" i="38"/>
  <c r="CE32" i="38"/>
  <c r="CF32" i="38"/>
  <c r="CG32" i="38"/>
  <c r="CH32" i="38"/>
  <c r="CI32" i="38"/>
  <c r="CC33" i="38"/>
  <c r="CD33" i="38"/>
  <c r="CE33" i="38"/>
  <c r="CF33" i="38"/>
  <c r="CG33" i="38"/>
  <c r="CH33" i="38"/>
  <c r="CI33" i="38"/>
  <c r="CC34" i="38"/>
  <c r="CD34" i="38"/>
  <c r="CE34" i="38"/>
  <c r="CF34" i="38"/>
  <c r="CG34" i="38"/>
  <c r="CH34" i="38"/>
  <c r="CI34" i="38"/>
  <c r="CC35" i="38"/>
  <c r="CD35" i="38"/>
  <c r="CE35" i="38"/>
  <c r="CF35" i="38"/>
  <c r="CG35" i="38"/>
  <c r="CH35" i="38"/>
  <c r="CI35" i="38"/>
  <c r="CC36" i="38"/>
  <c r="CD36" i="38"/>
  <c r="CE36" i="38"/>
  <c r="CF36" i="38"/>
  <c r="CG36" i="38"/>
  <c r="CH36" i="38"/>
  <c r="CI36" i="38"/>
  <c r="CC37" i="38"/>
  <c r="CD37" i="38"/>
  <c r="CE37" i="38"/>
  <c r="CF37" i="38"/>
  <c r="CG37" i="38"/>
  <c r="CH37" i="38"/>
  <c r="CI37" i="38"/>
  <c r="CC38" i="38"/>
  <c r="CD38" i="38"/>
  <c r="CE38" i="38"/>
  <c r="CF38" i="38"/>
  <c r="CG38" i="38"/>
  <c r="CH38" i="38"/>
  <c r="CI38" i="38"/>
  <c r="CC39" i="38"/>
  <c r="CD39" i="38"/>
  <c r="CE39" i="38"/>
  <c r="CF39" i="38"/>
  <c r="CG39" i="38"/>
  <c r="CH39" i="38"/>
  <c r="CI39" i="38"/>
  <c r="CC40" i="38"/>
  <c r="CD40" i="38"/>
  <c r="CE40" i="38"/>
  <c r="CF40" i="38"/>
  <c r="CG40" i="38"/>
  <c r="CH40" i="38"/>
  <c r="CI40" i="38"/>
  <c r="CC41" i="38"/>
  <c r="CD41" i="38"/>
  <c r="CE41" i="38"/>
  <c r="CF41" i="38"/>
  <c r="CG41" i="38"/>
  <c r="CH41" i="38"/>
  <c r="CI41" i="38"/>
  <c r="CC42" i="38"/>
  <c r="CD42" i="38"/>
  <c r="CE42" i="38"/>
  <c r="CF42" i="38"/>
  <c r="CG42" i="38"/>
  <c r="CH42" i="38"/>
  <c r="CI42" i="38"/>
  <c r="CC43" i="38"/>
  <c r="CD43" i="38"/>
  <c r="CE43" i="38"/>
  <c r="CF43" i="38"/>
  <c r="CG43" i="38"/>
  <c r="CH43" i="38"/>
  <c r="CI43" i="38"/>
  <c r="CC44" i="38"/>
  <c r="CD44" i="38"/>
  <c r="CE44" i="38"/>
  <c r="CF44" i="38"/>
  <c r="CG44" i="38"/>
  <c r="CH44" i="38"/>
  <c r="CI44" i="38"/>
  <c r="CC45" i="38"/>
  <c r="CD45" i="38"/>
  <c r="CE45" i="38"/>
  <c r="CF45" i="38"/>
  <c r="CG45" i="38"/>
  <c r="CH45" i="38"/>
  <c r="CI45" i="38"/>
  <c r="CC46" i="38"/>
  <c r="CD46" i="38"/>
  <c r="CE46" i="38"/>
  <c r="CF46" i="38"/>
  <c r="CG46" i="38"/>
  <c r="CH46" i="38"/>
  <c r="CI46" i="38"/>
  <c r="CC47" i="38"/>
  <c r="CD47" i="38"/>
  <c r="CE47" i="38"/>
  <c r="CF47" i="38"/>
  <c r="CG47" i="38"/>
  <c r="CH47" i="38"/>
  <c r="CI47" i="38"/>
  <c r="CC48" i="38"/>
  <c r="CD48" i="38"/>
  <c r="CE48" i="38"/>
  <c r="CF48" i="38"/>
  <c r="CG48" i="38"/>
  <c r="CH48" i="38"/>
  <c r="CI48" i="38"/>
  <c r="CC49" i="38"/>
  <c r="CD49" i="38"/>
  <c r="CE49" i="38"/>
  <c r="CF49" i="38"/>
  <c r="CG49" i="38"/>
  <c r="CH49" i="38"/>
  <c r="CI49" i="38"/>
  <c r="CC50" i="38"/>
  <c r="CD50" i="38"/>
  <c r="CE50" i="38"/>
  <c r="CF50" i="38"/>
  <c r="CG50" i="38"/>
  <c r="CH50" i="38"/>
  <c r="CI50" i="38"/>
  <c r="CC51" i="38"/>
  <c r="CD51" i="38"/>
  <c r="CE51" i="38"/>
  <c r="CF51" i="38"/>
  <c r="CG51" i="38"/>
  <c r="CH51" i="38"/>
  <c r="CI51" i="38"/>
  <c r="CC53" i="38"/>
  <c r="CD53" i="38"/>
  <c r="CE53" i="38"/>
  <c r="CF53" i="38"/>
  <c r="CG53" i="38"/>
  <c r="CH53" i="38"/>
  <c r="CI53" i="38"/>
  <c r="CC54" i="38"/>
  <c r="CD54" i="38"/>
  <c r="CE54" i="38"/>
  <c r="CF54" i="38"/>
  <c r="CG54" i="38"/>
  <c r="CH54" i="38"/>
  <c r="CI54" i="38"/>
  <c r="CC55" i="38"/>
  <c r="CD55" i="38"/>
  <c r="CE55" i="38"/>
  <c r="CF55" i="38"/>
  <c r="CG55" i="38"/>
  <c r="CH55" i="38"/>
  <c r="CI55" i="38"/>
  <c r="CC56" i="38"/>
  <c r="CD56" i="38"/>
  <c r="CE56" i="38"/>
  <c r="CF56" i="38"/>
  <c r="CG56" i="38"/>
  <c r="CH56" i="38"/>
  <c r="CI56" i="38"/>
  <c r="CC57" i="38"/>
  <c r="CD57" i="38"/>
  <c r="CE57" i="38"/>
  <c r="CF57" i="38"/>
  <c r="CG57" i="38"/>
  <c r="CH57" i="38"/>
  <c r="CI57" i="38"/>
  <c r="CI12" i="38"/>
  <c r="CH12" i="38"/>
  <c r="CG12" i="38"/>
  <c r="CF12" i="38"/>
  <c r="CE12" i="38"/>
  <c r="CD12" i="38"/>
  <c r="CC12" i="38"/>
  <c r="B12" i="38"/>
  <c r="CA12" i="38"/>
  <c r="CA13" i="38"/>
  <c r="CJ122" i="37"/>
  <c r="CJ108" i="37"/>
  <c r="B151" i="37"/>
  <c r="CA122" i="37"/>
  <c r="CA113" i="37"/>
  <c r="B213" i="46"/>
  <c r="CT161" i="46"/>
  <c r="CS161" i="46"/>
  <c r="CT160" i="46"/>
  <c r="CS160" i="46"/>
  <c r="CT159" i="46"/>
  <c r="CS159" i="46"/>
  <c r="CT157" i="46"/>
  <c r="CS157" i="46"/>
  <c r="CH161" i="46"/>
  <c r="CG161" i="46"/>
  <c r="CH160" i="46"/>
  <c r="CG160" i="46"/>
  <c r="CH159" i="46"/>
  <c r="CG159" i="46"/>
  <c r="CH157" i="46"/>
  <c r="CG157" i="46"/>
  <c r="CA188" i="48"/>
  <c r="CA118" i="48"/>
  <c r="CB118" i="48"/>
  <c r="CC118" i="48"/>
  <c r="CM118" i="48"/>
  <c r="CN118" i="48"/>
  <c r="CO118" i="48"/>
  <c r="CO117" i="48"/>
  <c r="CN117" i="48"/>
  <c r="CM117" i="48"/>
  <c r="CC117" i="48"/>
  <c r="CB117" i="48"/>
  <c r="CA117" i="48"/>
  <c r="CA57" i="48"/>
  <c r="CB57" i="48"/>
  <c r="CC57" i="48"/>
  <c r="CM57" i="48"/>
  <c r="CN57" i="48"/>
  <c r="CO57" i="48"/>
  <c r="CA58" i="48"/>
  <c r="I58" i="48" s="1"/>
  <c r="CB58" i="48"/>
  <c r="CC58" i="48"/>
  <c r="CM58" i="48"/>
  <c r="CN58" i="48"/>
  <c r="CO58" i="48"/>
  <c r="CA59" i="48"/>
  <c r="I59" i="48" s="1"/>
  <c r="CB59" i="48"/>
  <c r="CC59" i="48"/>
  <c r="CM59" i="48"/>
  <c r="CN59" i="48"/>
  <c r="CO59" i="48"/>
  <c r="CA60" i="48"/>
  <c r="I60" i="48" s="1"/>
  <c r="CB60" i="48"/>
  <c r="CC60" i="48"/>
  <c r="CM60" i="48"/>
  <c r="CN60" i="48"/>
  <c r="CO60" i="48"/>
  <c r="I57" i="48"/>
  <c r="CM49" i="48"/>
  <c r="CB30" i="48"/>
  <c r="AT13" i="48"/>
  <c r="CD13" i="48"/>
  <c r="CA13" i="48"/>
  <c r="CB13" i="48"/>
  <c r="CC13" i="48"/>
  <c r="CQ24" i="31"/>
  <c r="CG24" i="31"/>
  <c r="CN13" i="38"/>
  <c r="CN14" i="38"/>
  <c r="CN15" i="38"/>
  <c r="CN16" i="38"/>
  <c r="CN17" i="38"/>
  <c r="CN18" i="38"/>
  <c r="CN19" i="38"/>
  <c r="CN20" i="38"/>
  <c r="CN21" i="38"/>
  <c r="CN22" i="38"/>
  <c r="CN23" i="38"/>
  <c r="CN24" i="38"/>
  <c r="CN25" i="38"/>
  <c r="CN26" i="38"/>
  <c r="CN27" i="38"/>
  <c r="CN28" i="38"/>
  <c r="CN29" i="38"/>
  <c r="CN30" i="38"/>
  <c r="CN31" i="38"/>
  <c r="CN32" i="38"/>
  <c r="CN33" i="38"/>
  <c r="CN34" i="38"/>
  <c r="CN35" i="38"/>
  <c r="CN36" i="38"/>
  <c r="CN37" i="38"/>
  <c r="CN38" i="38"/>
  <c r="CN39" i="38"/>
  <c r="CN40" i="38"/>
  <c r="CN41" i="38"/>
  <c r="CN42" i="38"/>
  <c r="CN43" i="38"/>
  <c r="CN44" i="38"/>
  <c r="CN45" i="38"/>
  <c r="CN46" i="38"/>
  <c r="CN47" i="38"/>
  <c r="CN48" i="38"/>
  <c r="CN49" i="38"/>
  <c r="CN50" i="38"/>
  <c r="CN51" i="38"/>
  <c r="CN53" i="38"/>
  <c r="CN54" i="38"/>
  <c r="CN55" i="38"/>
  <c r="CN56" i="38"/>
  <c r="CN57" i="38"/>
  <c r="CM13" i="38"/>
  <c r="CM14" i="38"/>
  <c r="CM15" i="38"/>
  <c r="CM16" i="38"/>
  <c r="CM17" i="38"/>
  <c r="CM18" i="38"/>
  <c r="CM19" i="38"/>
  <c r="CM20" i="38"/>
  <c r="CM21" i="38"/>
  <c r="CM22" i="38"/>
  <c r="CM23" i="38"/>
  <c r="CM24" i="38"/>
  <c r="CM25" i="38"/>
  <c r="CM26" i="38"/>
  <c r="CM27" i="38"/>
  <c r="CM28" i="38"/>
  <c r="CM29" i="38"/>
  <c r="CM30" i="38"/>
  <c r="CM31" i="38"/>
  <c r="CM32" i="38"/>
  <c r="CM33" i="38"/>
  <c r="CM34" i="38"/>
  <c r="CM35" i="38"/>
  <c r="CM36" i="38"/>
  <c r="CM37" i="38"/>
  <c r="CM38" i="38"/>
  <c r="CM39" i="38"/>
  <c r="CM40" i="38"/>
  <c r="CM41" i="38"/>
  <c r="CM42" i="38"/>
  <c r="CM43" i="38"/>
  <c r="CM44" i="38"/>
  <c r="CM45" i="38"/>
  <c r="CM46" i="38"/>
  <c r="CM47" i="38"/>
  <c r="CM48" i="38"/>
  <c r="CM49" i="38"/>
  <c r="CM50" i="38"/>
  <c r="CM51" i="38"/>
  <c r="CM53" i="38"/>
  <c r="CM54" i="38"/>
  <c r="CM55" i="38"/>
  <c r="CM56" i="38"/>
  <c r="CM57" i="38"/>
  <c r="CM12" i="38"/>
  <c r="CB13" i="38"/>
  <c r="CB14" i="38"/>
  <c r="CB15" i="38"/>
  <c r="CB16" i="38"/>
  <c r="CB17" i="38"/>
  <c r="CB18" i="38"/>
  <c r="CB19" i="38"/>
  <c r="CB20" i="38"/>
  <c r="CB21" i="38"/>
  <c r="CB22" i="38"/>
  <c r="CB23" i="38"/>
  <c r="CB24" i="38"/>
  <c r="CB25" i="38"/>
  <c r="CB26" i="38"/>
  <c r="CB27" i="38"/>
  <c r="CB28" i="38"/>
  <c r="CB29" i="38"/>
  <c r="CB30" i="38"/>
  <c r="CB31" i="38"/>
  <c r="CB32" i="38"/>
  <c r="CB33" i="38"/>
  <c r="CB34" i="38"/>
  <c r="CB35" i="38"/>
  <c r="CB36" i="38"/>
  <c r="CB37" i="38"/>
  <c r="CB38" i="38"/>
  <c r="CB39" i="38"/>
  <c r="CB40" i="38"/>
  <c r="CB41" i="38"/>
  <c r="CB42" i="38"/>
  <c r="CB43" i="38"/>
  <c r="CB44" i="38"/>
  <c r="CB45" i="38"/>
  <c r="CB46" i="38"/>
  <c r="CB47" i="38"/>
  <c r="CB48" i="38"/>
  <c r="CB49" i="38"/>
  <c r="CB50" i="38"/>
  <c r="CB51" i="38"/>
  <c r="CB53" i="38"/>
  <c r="CB54" i="38"/>
  <c r="CB55" i="38"/>
  <c r="CB56" i="38"/>
  <c r="CB57" i="38"/>
  <c r="CB12" i="38"/>
  <c r="CA14" i="38"/>
  <c r="CA15" i="38"/>
  <c r="CA16" i="38"/>
  <c r="CA17" i="38"/>
  <c r="CA18" i="38"/>
  <c r="CA19" i="38"/>
  <c r="CA20" i="38"/>
  <c r="CA21" i="38"/>
  <c r="CA22" i="38"/>
  <c r="CA23" i="38"/>
  <c r="CA24" i="38"/>
  <c r="CA25" i="38"/>
  <c r="CA26" i="38"/>
  <c r="CA27" i="38"/>
  <c r="CA28" i="38"/>
  <c r="CA29" i="38"/>
  <c r="CA30" i="38"/>
  <c r="CA31" i="38"/>
  <c r="CA32" i="38"/>
  <c r="CA33" i="38"/>
  <c r="CA34" i="38"/>
  <c r="CA35" i="38"/>
  <c r="CA36" i="38"/>
  <c r="CA37" i="38"/>
  <c r="CA38" i="38"/>
  <c r="CA39" i="38"/>
  <c r="CA40" i="38"/>
  <c r="CA41" i="38"/>
  <c r="CA42" i="38"/>
  <c r="CA43" i="38"/>
  <c r="CA44" i="38"/>
  <c r="CA45" i="38"/>
  <c r="CA46" i="38"/>
  <c r="CA47" i="38"/>
  <c r="CA48" i="38"/>
  <c r="CA49" i="38"/>
  <c r="CA50" i="38"/>
  <c r="CA51" i="38"/>
  <c r="CA53" i="38"/>
  <c r="CA54" i="38"/>
  <c r="CA55" i="38"/>
  <c r="CA56" i="38"/>
  <c r="CA57" i="38"/>
  <c r="BC90" i="5"/>
  <c r="BC91" i="5"/>
  <c r="BC92" i="5"/>
  <c r="BC93" i="5"/>
  <c r="BC94" i="5"/>
  <c r="BC95" i="5"/>
  <c r="BC96" i="5"/>
  <c r="BC97" i="5"/>
  <c r="BC98" i="5"/>
  <c r="BC99" i="5"/>
  <c r="BC100" i="5"/>
  <c r="BC101" i="5"/>
  <c r="AT90" i="5"/>
  <c r="R90" i="5" s="1"/>
  <c r="AT91" i="5"/>
  <c r="R91" i="5" s="1"/>
  <c r="AT92" i="5"/>
  <c r="R92" i="5" s="1"/>
  <c r="AT93" i="5"/>
  <c r="R93" i="5" s="1"/>
  <c r="AT94" i="5"/>
  <c r="R94" i="5" s="1"/>
  <c r="AT95" i="5"/>
  <c r="R95" i="5" s="1"/>
  <c r="AT96" i="5"/>
  <c r="R96" i="5" s="1"/>
  <c r="AT97" i="5"/>
  <c r="R97" i="5" s="1"/>
  <c r="AT98" i="5"/>
  <c r="R98" i="5" s="1"/>
  <c r="AT99" i="5"/>
  <c r="R99" i="5" s="1"/>
  <c r="R100" i="5"/>
  <c r="R101" i="5"/>
  <c r="AT89" i="5"/>
  <c r="R89" i="5" s="1"/>
  <c r="CB234" i="13"/>
  <c r="CB231" i="13"/>
  <c r="CA231" i="13"/>
  <c r="CR179" i="13"/>
  <c r="CA64" i="13"/>
  <c r="CH49" i="13"/>
  <c r="CA48" i="13"/>
  <c r="CV44" i="13"/>
  <c r="CU44" i="13"/>
  <c r="CT44" i="13"/>
  <c r="CS44" i="13"/>
  <c r="CR44" i="13"/>
  <c r="CQ44" i="13"/>
  <c r="CP44" i="13"/>
  <c r="CO44" i="13"/>
  <c r="CH44" i="13"/>
  <c r="CG44" i="13"/>
  <c r="CF44" i="13"/>
  <c r="CE44" i="13"/>
  <c r="CD44" i="13"/>
  <c r="CA44" i="13"/>
  <c r="CF12" i="13"/>
  <c r="CE12" i="13"/>
  <c r="CD12" i="13"/>
  <c r="CC12" i="13"/>
  <c r="CB12" i="13"/>
  <c r="CA411" i="29"/>
  <c r="CB411" i="29"/>
  <c r="CO411" i="29"/>
  <c r="CP411" i="29"/>
  <c r="CA307" i="29"/>
  <c r="CR11" i="29"/>
  <c r="CQ56" i="29"/>
  <c r="CR56" i="29"/>
  <c r="CQ57" i="29"/>
  <c r="CR57" i="29"/>
  <c r="CQ58" i="29"/>
  <c r="CR58" i="29"/>
  <c r="CQ59" i="29"/>
  <c r="CR59" i="29"/>
  <c r="CR55" i="29"/>
  <c r="CQ55" i="29"/>
  <c r="CC56" i="29"/>
  <c r="CD56" i="29"/>
  <c r="CC57" i="29"/>
  <c r="CD57" i="29"/>
  <c r="CC58" i="29"/>
  <c r="CD58" i="29"/>
  <c r="CC59" i="29"/>
  <c r="CD59" i="29"/>
  <c r="CC55" i="29"/>
  <c r="CR37" i="29"/>
  <c r="CS37" i="29"/>
  <c r="CR38" i="29"/>
  <c r="CS38" i="29"/>
  <c r="CR39" i="29"/>
  <c r="CS39" i="29"/>
  <c r="CR40" i="29"/>
  <c r="CS40" i="29"/>
  <c r="CR41" i="29"/>
  <c r="CS41" i="29"/>
  <c r="CR42" i="29"/>
  <c r="CS42" i="29"/>
  <c r="CR43" i="29"/>
  <c r="CS43" i="29"/>
  <c r="CR44" i="29"/>
  <c r="CS44" i="29"/>
  <c r="CR45" i="29"/>
  <c r="CS45" i="29"/>
  <c r="CR46" i="29"/>
  <c r="CS46" i="29"/>
  <c r="CR47" i="29"/>
  <c r="CS47" i="29"/>
  <c r="CR48" i="29"/>
  <c r="CS48" i="29"/>
  <c r="CR49" i="29"/>
  <c r="CS49" i="29"/>
  <c r="CR50" i="29"/>
  <c r="CS50" i="29"/>
  <c r="CR51" i="29"/>
  <c r="CS51" i="29"/>
  <c r="CS36" i="29"/>
  <c r="CR36" i="29"/>
  <c r="CD36" i="29"/>
  <c r="CD37" i="29"/>
  <c r="CE37" i="29"/>
  <c r="CD38" i="29"/>
  <c r="CE38" i="29"/>
  <c r="CD39" i="29"/>
  <c r="CE39" i="29"/>
  <c r="CD40" i="29"/>
  <c r="CE40" i="29"/>
  <c r="CD41" i="29"/>
  <c r="CE41" i="29"/>
  <c r="CD42" i="29"/>
  <c r="CE42" i="29"/>
  <c r="CD43" i="29"/>
  <c r="CE44" i="29"/>
  <c r="CD45" i="29"/>
  <c r="CE45" i="29"/>
  <c r="CD46" i="29"/>
  <c r="CE46" i="29"/>
  <c r="CD47" i="29"/>
  <c r="CE47" i="29"/>
  <c r="CD48" i="29"/>
  <c r="CE48" i="29"/>
  <c r="CD49" i="29"/>
  <c r="CE49" i="29"/>
  <c r="CD50" i="29"/>
  <c r="CE50" i="29"/>
  <c r="CD51" i="29"/>
  <c r="CE51" i="29"/>
  <c r="CE36" i="29"/>
  <c r="CR12" i="29"/>
  <c r="CW12" i="29"/>
  <c r="CR13" i="29"/>
  <c r="CW13" i="29"/>
  <c r="CR14" i="29"/>
  <c r="CW14" i="29"/>
  <c r="CM206" i="34"/>
  <c r="CB156" i="34"/>
  <c r="CA156" i="34"/>
  <c r="CB155" i="34"/>
  <c r="CA155" i="34"/>
  <c r="CA153" i="34"/>
  <c r="AD153" i="34" s="1"/>
  <c r="CA123" i="34"/>
  <c r="CB123" i="34"/>
  <c r="AD123" i="34" s="1"/>
  <c r="CA132" i="34"/>
  <c r="CB132" i="34"/>
  <c r="AD132" i="34" s="1"/>
  <c r="CA133" i="34"/>
  <c r="CB133" i="34"/>
  <c r="AD133" i="34" s="1"/>
  <c r="CA134" i="34"/>
  <c r="CB134" i="34"/>
  <c r="CA135" i="34"/>
  <c r="CB135" i="34"/>
  <c r="CA136" i="34"/>
  <c r="AD136" i="34" s="1"/>
  <c r="CB136" i="34"/>
  <c r="CA137" i="34"/>
  <c r="AD137" i="34" s="1"/>
  <c r="CB137" i="34"/>
  <c r="CA138" i="34"/>
  <c r="AD138" i="34" s="1"/>
  <c r="CB138" i="34"/>
  <c r="CA139" i="34"/>
  <c r="AD139" i="34" s="1"/>
  <c r="CB139" i="34"/>
  <c r="CA140" i="34"/>
  <c r="CB140" i="34"/>
  <c r="CA141" i="34"/>
  <c r="CB141" i="34"/>
  <c r="CA142" i="34"/>
  <c r="CB142" i="34"/>
  <c r="CA143" i="34"/>
  <c r="AD143" i="34" s="1"/>
  <c r="CB143" i="34"/>
  <c r="CA144" i="34"/>
  <c r="CB144" i="34"/>
  <c r="CA145" i="34"/>
  <c r="AD145" i="34" s="1"/>
  <c r="CB145" i="34"/>
  <c r="CA146" i="34"/>
  <c r="CB146" i="34"/>
  <c r="CA147" i="34"/>
  <c r="CB147" i="34"/>
  <c r="AD147" i="34" s="1"/>
  <c r="CA148" i="34"/>
  <c r="AD148" i="34" s="1"/>
  <c r="CB148" i="34"/>
  <c r="CA149" i="34"/>
  <c r="AD149" i="34" s="1"/>
  <c r="CB149" i="34"/>
  <c r="CA150" i="34"/>
  <c r="AD150" i="34" s="1"/>
  <c r="CB150" i="34"/>
  <c r="CA151" i="34"/>
  <c r="AD151" i="34" s="1"/>
  <c r="CB151" i="34"/>
  <c r="AD134" i="34"/>
  <c r="AD135" i="34"/>
  <c r="AD140" i="34"/>
  <c r="AD141" i="34"/>
  <c r="AD142" i="34"/>
  <c r="AD144" i="34"/>
  <c r="AD146" i="34"/>
  <c r="CA91" i="34"/>
  <c r="CA92" i="34"/>
  <c r="CA93" i="34"/>
  <c r="CA90" i="34"/>
  <c r="AI14" i="33"/>
  <c r="AI16" i="33"/>
  <c r="AI17" i="33"/>
  <c r="AX196" i="13"/>
  <c r="AD156" i="34" l="1"/>
  <c r="AD155" i="34"/>
  <c r="CE213" i="46"/>
  <c r="CB213" i="46"/>
  <c r="G411" i="29"/>
  <c r="CD213" i="46"/>
  <c r="CN213" i="46"/>
  <c r="CO213" i="46"/>
  <c r="CP213" i="46"/>
  <c r="CQ213" i="46"/>
  <c r="CC213" i="46"/>
  <c r="D207" i="34"/>
  <c r="CA207" i="34" s="1"/>
  <c r="N213" i="46" l="1"/>
  <c r="D60" i="41"/>
  <c r="AW196" i="13"/>
  <c r="AV196" i="13"/>
  <c r="AU196" i="13"/>
  <c r="AT196" i="13"/>
  <c r="AS196" i="13"/>
  <c r="AR196" i="13"/>
  <c r="AQ196" i="13"/>
  <c r="AO196" i="13"/>
  <c r="AM196" i="13"/>
  <c r="AK196" i="13"/>
  <c r="AI196" i="13"/>
  <c r="AG196" i="13"/>
  <c r="AE196" i="13"/>
  <c r="AC196" i="13"/>
  <c r="D80" i="42"/>
  <c r="E80" i="42"/>
  <c r="F80" i="42"/>
  <c r="G80" i="42"/>
  <c r="H80" i="42"/>
  <c r="I80" i="42"/>
  <c r="J80" i="42"/>
  <c r="K80" i="42"/>
  <c r="L80" i="42"/>
  <c r="C80" i="42"/>
  <c r="B80" i="42"/>
  <c r="D153" i="27"/>
  <c r="E153" i="27"/>
  <c r="F226" i="13"/>
  <c r="F225" i="13"/>
  <c r="F224" i="13"/>
  <c r="F223" i="13"/>
  <c r="F222" i="13"/>
  <c r="E226" i="13"/>
  <c r="E225" i="13"/>
  <c r="E224" i="13"/>
  <c r="E223" i="13"/>
  <c r="E222" i="13"/>
  <c r="F101" i="13"/>
  <c r="F100" i="13"/>
  <c r="E101" i="13"/>
  <c r="E100" i="13"/>
  <c r="F95" i="13"/>
  <c r="F94" i="13"/>
  <c r="E95" i="13"/>
  <c r="E94" i="13"/>
  <c r="F49" i="13"/>
  <c r="E49" i="13"/>
  <c r="F48" i="13"/>
  <c r="F47" i="13"/>
  <c r="E47" i="13"/>
  <c r="E48" i="13"/>
  <c r="E51" i="11"/>
  <c r="E50" i="11"/>
  <c r="E49" i="11"/>
  <c r="E48" i="11"/>
  <c r="E46" i="11"/>
  <c r="E45" i="11"/>
  <c r="E43" i="11"/>
  <c r="E42" i="11"/>
  <c r="E40" i="11"/>
  <c r="E39" i="11"/>
  <c r="D51" i="11"/>
  <c r="D50" i="11"/>
  <c r="D49" i="11"/>
  <c r="D48" i="11"/>
  <c r="D46" i="11"/>
  <c r="D45" i="11"/>
  <c r="D43" i="11"/>
  <c r="D42" i="11"/>
  <c r="D40" i="11"/>
  <c r="D39" i="11"/>
  <c r="C39" i="11" l="1"/>
  <c r="E274" i="34"/>
  <c r="D274" i="34"/>
  <c r="E273" i="34"/>
  <c r="D273" i="34"/>
  <c r="E272" i="34"/>
  <c r="D272" i="34"/>
  <c r="E271" i="34"/>
  <c r="D271" i="34"/>
  <c r="E270" i="34"/>
  <c r="D270" i="34"/>
  <c r="D373" i="29"/>
  <c r="C373" i="29"/>
  <c r="B373" i="29" s="1"/>
  <c r="AX39" i="13"/>
  <c r="AW39" i="13"/>
  <c r="AV39" i="13"/>
  <c r="AU39" i="13"/>
  <c r="AT39" i="13"/>
  <c r="AS39" i="13"/>
  <c r="AR39" i="13"/>
  <c r="AQ39" i="13"/>
  <c r="AP39" i="13"/>
  <c r="AO39" i="13"/>
  <c r="AN39" i="13"/>
  <c r="AM39" i="13"/>
  <c r="AL39" i="13"/>
  <c r="AK39" i="13"/>
  <c r="AJ39" i="13"/>
  <c r="AI39" i="13"/>
  <c r="AH39" i="13"/>
  <c r="AG39" i="13"/>
  <c r="AF39" i="13"/>
  <c r="AE39" i="13"/>
  <c r="AD39" i="13"/>
  <c r="AC39" i="13"/>
  <c r="AB39" i="13"/>
  <c r="AA39" i="13"/>
  <c r="Z39" i="13"/>
  <c r="Y39" i="13"/>
  <c r="X39" i="13"/>
  <c r="W39" i="13"/>
  <c r="V39" i="13"/>
  <c r="U39" i="13"/>
  <c r="T39" i="13"/>
  <c r="S39" i="13"/>
  <c r="R39" i="13"/>
  <c r="Q39" i="13"/>
  <c r="P39" i="13"/>
  <c r="O39" i="13"/>
  <c r="N39" i="13"/>
  <c r="M39" i="13"/>
  <c r="L39" i="13"/>
  <c r="K39" i="13"/>
  <c r="J39" i="13"/>
  <c r="I39" i="13"/>
  <c r="H39" i="13"/>
  <c r="G39" i="13"/>
  <c r="B155" i="37"/>
  <c r="B154" i="37"/>
  <c r="B153" i="37"/>
  <c r="B152" i="37"/>
  <c r="B215" i="46"/>
  <c r="B214" i="46"/>
  <c r="CN39" i="11" l="1"/>
  <c r="CL39" i="11"/>
  <c r="CM39" i="11"/>
  <c r="CK39" i="11"/>
  <c r="BZ39" i="11" a="1"/>
  <c r="BZ39" i="11" s="1"/>
  <c r="CA39" i="11"/>
  <c r="CB39" i="11"/>
  <c r="CC39" i="11"/>
  <c r="CJ39" i="11"/>
  <c r="CI39" i="11" a="1"/>
  <c r="CI39" i="11" s="1"/>
  <c r="CE39" i="11"/>
  <c r="CD39" i="11"/>
  <c r="CP215" i="46"/>
  <c r="CQ215" i="46"/>
  <c r="CB215" i="46"/>
  <c r="CC215" i="46"/>
  <c r="CD215" i="46"/>
  <c r="CE215" i="46"/>
  <c r="CN215" i="46"/>
  <c r="CO215" i="46"/>
  <c r="CD214" i="46"/>
  <c r="CE214" i="46"/>
  <c r="CN214" i="46"/>
  <c r="CO214" i="46"/>
  <c r="CP214" i="46"/>
  <c r="CQ214" i="46"/>
  <c r="CB214" i="46"/>
  <c r="CC214" i="46"/>
  <c r="C273" i="34"/>
  <c r="CF273" i="34"/>
  <c r="CP273" i="34"/>
  <c r="C272" i="34"/>
  <c r="CP272" i="34"/>
  <c r="CF272" i="34"/>
  <c r="CO272" i="34"/>
  <c r="CE272" i="34"/>
  <c r="CP274" i="34"/>
  <c r="CF274" i="34"/>
  <c r="CO274" i="34"/>
  <c r="CE274" i="34"/>
  <c r="CE273" i="34"/>
  <c r="CO273" i="34"/>
  <c r="C274" i="34"/>
  <c r="CP271" i="34"/>
  <c r="CF271" i="34"/>
  <c r="CO271" i="34"/>
  <c r="CE271" i="34"/>
  <c r="C271" i="34"/>
  <c r="C270" i="34"/>
  <c r="A205" i="45"/>
  <c r="E123" i="42"/>
  <c r="O123" i="42"/>
  <c r="N123" i="42"/>
  <c r="G114" i="42"/>
  <c r="F114" i="42"/>
  <c r="R114" i="42"/>
  <c r="Q114" i="42"/>
  <c r="G98" i="42"/>
  <c r="F98" i="42"/>
  <c r="O98" i="42"/>
  <c r="N98" i="42"/>
  <c r="AH98" i="42"/>
  <c r="AG98" i="42"/>
  <c r="R80" i="42"/>
  <c r="Q80" i="42"/>
  <c r="G12" i="42"/>
  <c r="F12" i="42"/>
  <c r="O12" i="42"/>
  <c r="N12" i="42"/>
  <c r="AH12" i="42"/>
  <c r="AG12" i="42"/>
  <c r="AS12" i="42"/>
  <c r="AR12" i="42"/>
  <c r="Q74" i="38"/>
  <c r="N66" i="38"/>
  <c r="N73" i="38"/>
  <c r="N72" i="38"/>
  <c r="N71" i="38"/>
  <c r="N65" i="38"/>
  <c r="N67" i="38"/>
  <c r="B52" i="38"/>
  <c r="M52" i="38"/>
  <c r="N52" i="38"/>
  <c r="O52" i="38"/>
  <c r="P52" i="38"/>
  <c r="Q52" i="38"/>
  <c r="R52" i="38"/>
  <c r="L52" i="38"/>
  <c r="K52" i="38"/>
  <c r="J52" i="38"/>
  <c r="C11" i="38"/>
  <c r="B53" i="38"/>
  <c r="B54" i="38"/>
  <c r="B55" i="38"/>
  <c r="B56" i="38"/>
  <c r="B57" i="38"/>
  <c r="B123" i="38"/>
  <c r="C113" i="38"/>
  <c r="T109" i="38"/>
  <c r="Q109" i="38"/>
  <c r="E109" i="38"/>
  <c r="C109" i="38"/>
  <c r="B102" i="38"/>
  <c r="B103" i="38"/>
  <c r="B104" i="38"/>
  <c r="B105" i="38"/>
  <c r="B106" i="38"/>
  <c r="B107" i="38"/>
  <c r="B108" i="38"/>
  <c r="B101" i="38"/>
  <c r="B100" i="38"/>
  <c r="B99" i="38"/>
  <c r="B98" i="38"/>
  <c r="B97" i="38"/>
  <c r="B73" i="38"/>
  <c r="B64" i="38"/>
  <c r="B65" i="38"/>
  <c r="B66" i="38"/>
  <c r="B67" i="38"/>
  <c r="B68" i="38"/>
  <c r="B69" i="38"/>
  <c r="B70" i="38"/>
  <c r="B71" i="38"/>
  <c r="B72" i="38"/>
  <c r="B63" i="38"/>
  <c r="B62" i="38"/>
  <c r="E202" i="46"/>
  <c r="D202" i="46"/>
  <c r="D201" i="46"/>
  <c r="D199" i="46"/>
  <c r="D197" i="46"/>
  <c r="D196" i="46"/>
  <c r="CI196" i="46" s="1"/>
  <c r="E201" i="46"/>
  <c r="E199" i="46"/>
  <c r="E196" i="46"/>
  <c r="E191" i="46"/>
  <c r="E190" i="46"/>
  <c r="E189" i="46"/>
  <c r="E188" i="46"/>
  <c r="E187" i="46"/>
  <c r="E186" i="46"/>
  <c r="E185" i="46"/>
  <c r="E184" i="46"/>
  <c r="E183" i="46"/>
  <c r="E182" i="46"/>
  <c r="D191" i="46"/>
  <c r="D190" i="46"/>
  <c r="D189" i="46"/>
  <c r="D188" i="46"/>
  <c r="D187" i="46"/>
  <c r="D186" i="46"/>
  <c r="D185" i="46"/>
  <c r="D184" i="46"/>
  <c r="D183" i="46"/>
  <c r="E172" i="46"/>
  <c r="E169" i="46"/>
  <c r="E171" i="46"/>
  <c r="E170" i="46"/>
  <c r="E175" i="46"/>
  <c r="E173" i="46"/>
  <c r="E168" i="46"/>
  <c r="E167" i="46"/>
  <c r="D175" i="46"/>
  <c r="D173" i="46"/>
  <c r="D172" i="46"/>
  <c r="D171" i="46"/>
  <c r="D170" i="46"/>
  <c r="D169" i="46"/>
  <c r="D168" i="46"/>
  <c r="D167" i="46"/>
  <c r="E161" i="46"/>
  <c r="E160" i="46"/>
  <c r="E159" i="46"/>
  <c r="E158" i="46"/>
  <c r="E157" i="46"/>
  <c r="E156" i="46"/>
  <c r="E154" i="46"/>
  <c r="E153" i="46"/>
  <c r="D160" i="46"/>
  <c r="D159" i="46"/>
  <c r="D158" i="46"/>
  <c r="D161" i="46"/>
  <c r="D157" i="46"/>
  <c r="D156" i="46"/>
  <c r="D155" i="46"/>
  <c r="D154" i="46"/>
  <c r="E152" i="46"/>
  <c r="E151" i="46"/>
  <c r="D151" i="46"/>
  <c r="B110" i="36"/>
  <c r="B89" i="23"/>
  <c r="C24" i="41"/>
  <c r="D24" i="41"/>
  <c r="C25" i="41"/>
  <c r="D25" i="41"/>
  <c r="C27" i="41"/>
  <c r="B27" i="41" s="1"/>
  <c r="D27" i="41"/>
  <c r="C28" i="41"/>
  <c r="D28" i="41"/>
  <c r="D69" i="31"/>
  <c r="CK69" i="31" s="1"/>
  <c r="A5" i="24"/>
  <c r="K395" i="29"/>
  <c r="H395" i="29"/>
  <c r="F395" i="29"/>
  <c r="B410" i="29"/>
  <c r="B409" i="29"/>
  <c r="G395" i="29"/>
  <c r="D395" i="29"/>
  <c r="E395" i="29"/>
  <c r="I395" i="29"/>
  <c r="I399" i="29"/>
  <c r="L395" i="29"/>
  <c r="AX39" i="11" l="1"/>
  <c r="CP409" i="29"/>
  <c r="CO409" i="29"/>
  <c r="CB409" i="29"/>
  <c r="CA409" i="29"/>
  <c r="G409" i="29" s="1"/>
  <c r="CA410" i="29"/>
  <c r="CB410" i="29"/>
  <c r="CO410" i="29"/>
  <c r="CP410" i="29"/>
  <c r="CA69" i="31"/>
  <c r="J69" i="31" s="1"/>
  <c r="N214" i="46"/>
  <c r="CH196" i="46"/>
  <c r="CC196" i="46"/>
  <c r="CO196" i="46"/>
  <c r="N215" i="46"/>
  <c r="CO199" i="46"/>
  <c r="CC199" i="46"/>
  <c r="CO202" i="46"/>
  <c r="CC202" i="46"/>
  <c r="CC201" i="46"/>
  <c r="CO201" i="46"/>
  <c r="CA274" i="34"/>
  <c r="CB274" i="34"/>
  <c r="CD274" i="34"/>
  <c r="CH274" i="34"/>
  <c r="CK274" i="34"/>
  <c r="CL274" i="34"/>
  <c r="CM274" i="34"/>
  <c r="CN274" i="34"/>
  <c r="CQ274" i="34"/>
  <c r="CR274" i="34"/>
  <c r="CC274" i="34"/>
  <c r="CG274" i="34"/>
  <c r="CK272" i="34"/>
  <c r="CL272" i="34"/>
  <c r="CM272" i="34"/>
  <c r="CQ272" i="34"/>
  <c r="CR272" i="34"/>
  <c r="CA272" i="34"/>
  <c r="CB272" i="34"/>
  <c r="CC272" i="34"/>
  <c r="CD272" i="34"/>
  <c r="CG272" i="34"/>
  <c r="CH272" i="34"/>
  <c r="CN272" i="34"/>
  <c r="CA273" i="34"/>
  <c r="CB273" i="34"/>
  <c r="CC273" i="34"/>
  <c r="CD273" i="34"/>
  <c r="CG273" i="34"/>
  <c r="CH273" i="34"/>
  <c r="CK273" i="34"/>
  <c r="CL273" i="34"/>
  <c r="CM273" i="34"/>
  <c r="CN273" i="34"/>
  <c r="CQ273" i="34"/>
  <c r="CR273" i="34"/>
  <c r="CR271" i="34"/>
  <c r="CQ271" i="34"/>
  <c r="CN271" i="34"/>
  <c r="CM271" i="34"/>
  <c r="CL271" i="34"/>
  <c r="CA271" i="34"/>
  <c r="CK271" i="34"/>
  <c r="CH271" i="34"/>
  <c r="CG271" i="34"/>
  <c r="CD271" i="34"/>
  <c r="CB271" i="34"/>
  <c r="CC271" i="34"/>
  <c r="V98" i="42"/>
  <c r="W98" i="42"/>
  <c r="W12" i="42"/>
  <c r="B28" i="41"/>
  <c r="B25" i="41"/>
  <c r="B24" i="41"/>
  <c r="L399" i="29"/>
  <c r="K399" i="29"/>
  <c r="D205" i="4"/>
  <c r="C205" i="4"/>
  <c r="AC152" i="34"/>
  <c r="AB152" i="34"/>
  <c r="C200" i="24"/>
  <c r="J102" i="5"/>
  <c r="G122" i="5"/>
  <c r="B119" i="5"/>
  <c r="AU119" i="5" s="1"/>
  <c r="B118" i="5"/>
  <c r="AT118" i="5" s="1"/>
  <c r="H118" i="5" s="1"/>
  <c r="A5" i="22"/>
  <c r="A139" i="22"/>
  <c r="S120" i="22"/>
  <c r="R120" i="22"/>
  <c r="Q120" i="22"/>
  <c r="P120" i="22"/>
  <c r="O120" i="22"/>
  <c r="N120" i="22"/>
  <c r="M120" i="22"/>
  <c r="L120" i="22"/>
  <c r="K120" i="22"/>
  <c r="J120" i="22"/>
  <c r="I120" i="22"/>
  <c r="H120" i="22"/>
  <c r="G120" i="22"/>
  <c r="F120" i="22"/>
  <c r="E118" i="22"/>
  <c r="D118" i="22"/>
  <c r="E117" i="22"/>
  <c r="D117" i="22"/>
  <c r="E116" i="22"/>
  <c r="D116" i="22"/>
  <c r="E115" i="22"/>
  <c r="U110" i="22"/>
  <c r="T110" i="22"/>
  <c r="S110" i="22"/>
  <c r="R110" i="22"/>
  <c r="Q110" i="22"/>
  <c r="P110" i="22"/>
  <c r="O110" i="22"/>
  <c r="N110" i="22"/>
  <c r="M110" i="22"/>
  <c r="L110" i="22"/>
  <c r="K110" i="22"/>
  <c r="J110" i="22"/>
  <c r="I110" i="22"/>
  <c r="H110" i="22"/>
  <c r="G110" i="22"/>
  <c r="F110" i="22"/>
  <c r="E110" i="22"/>
  <c r="D110" i="22"/>
  <c r="C110" i="22"/>
  <c r="B109" i="22"/>
  <c r="BZ109" i="22" s="1"/>
  <c r="B108" i="22"/>
  <c r="BZ108" i="22" s="1"/>
  <c r="B107" i="22"/>
  <c r="BQ107" i="22" s="1"/>
  <c r="V107" i="22" s="1"/>
  <c r="B106" i="22"/>
  <c r="BZ106" i="22" s="1"/>
  <c r="B105" i="22"/>
  <c r="BQ105" i="22" s="1"/>
  <c r="V105" i="22" s="1"/>
  <c r="B104" i="22"/>
  <c r="BZ104" i="22" s="1"/>
  <c r="B103" i="22"/>
  <c r="BQ103" i="22" s="1"/>
  <c r="V103" i="22" s="1"/>
  <c r="B102" i="22"/>
  <c r="BZ102" i="22" s="1"/>
  <c r="B101" i="22"/>
  <c r="BZ101" i="22" s="1"/>
  <c r="B100" i="22"/>
  <c r="BZ100" i="22" s="1"/>
  <c r="B99" i="22"/>
  <c r="BQ99" i="22" s="1"/>
  <c r="V99" i="22" s="1"/>
  <c r="B98" i="22"/>
  <c r="BZ98" i="22" s="1"/>
  <c r="B97" i="22"/>
  <c r="BQ97" i="22" s="1"/>
  <c r="V97" i="22" s="1"/>
  <c r="B96" i="22"/>
  <c r="BZ96" i="22" s="1"/>
  <c r="B95" i="22"/>
  <c r="B87" i="22"/>
  <c r="B86" i="22"/>
  <c r="C81" i="22"/>
  <c r="C80" i="22"/>
  <c r="C79" i="22"/>
  <c r="C78" i="22"/>
  <c r="C77" i="22"/>
  <c r="C76" i="22"/>
  <c r="C75" i="22"/>
  <c r="C74" i="22"/>
  <c r="D69" i="22"/>
  <c r="D68" i="22"/>
  <c r="D67" i="22"/>
  <c r="D66" i="22"/>
  <c r="D65" i="22"/>
  <c r="D64" i="22"/>
  <c r="C58" i="22"/>
  <c r="BZ57" i="22"/>
  <c r="C56" i="22"/>
  <c r="CB56" i="22" s="1"/>
  <c r="C55" i="22"/>
  <c r="C54" i="22"/>
  <c r="BS54" i="22" s="1"/>
  <c r="C53" i="22"/>
  <c r="BZ53" i="22" s="1"/>
  <c r="C52" i="22"/>
  <c r="CB52" i="22" s="1"/>
  <c r="C51" i="22"/>
  <c r="BQ51" i="22" s="1"/>
  <c r="N47" i="22"/>
  <c r="M47" i="22"/>
  <c r="L47" i="22"/>
  <c r="K47" i="22"/>
  <c r="J47" i="22"/>
  <c r="I47" i="22"/>
  <c r="H47" i="22"/>
  <c r="G47" i="22"/>
  <c r="F47" i="22"/>
  <c r="E47" i="22"/>
  <c r="D47" i="22"/>
  <c r="C47" i="22"/>
  <c r="N41" i="22"/>
  <c r="M41" i="22"/>
  <c r="L41" i="22"/>
  <c r="K41" i="22"/>
  <c r="J41" i="22"/>
  <c r="I41" i="22"/>
  <c r="H41" i="22"/>
  <c r="G41" i="22"/>
  <c r="F41" i="22"/>
  <c r="E41" i="22"/>
  <c r="D41" i="22"/>
  <c r="C41" i="22"/>
  <c r="C35" i="22"/>
  <c r="C34" i="22"/>
  <c r="C33" i="22"/>
  <c r="C32" i="22"/>
  <c r="C31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117" i="22" l="1"/>
  <c r="BZ22" i="22"/>
  <c r="CC22" i="22"/>
  <c r="BT22" i="22"/>
  <c r="CD22" i="22"/>
  <c r="BX22" i="22"/>
  <c r="BW22" i="22"/>
  <c r="BS22" i="22"/>
  <c r="BU22" i="22"/>
  <c r="CF22" i="22"/>
  <c r="CG22" i="22"/>
  <c r="CB22" i="22"/>
  <c r="CF23" i="22"/>
  <c r="CC23" i="22"/>
  <c r="CG23" i="22"/>
  <c r="CB23" i="22"/>
  <c r="CD23" i="22"/>
  <c r="BT23" i="22"/>
  <c r="CE23" i="22"/>
  <c r="BW23" i="22"/>
  <c r="BV23" i="22"/>
  <c r="BX23" i="22"/>
  <c r="BS23" i="22"/>
  <c r="BU23" i="22"/>
  <c r="BQ12" i="22"/>
  <c r="CD12" i="22"/>
  <c r="CB12" i="22"/>
  <c r="CC12" i="22"/>
  <c r="BX12" i="22"/>
  <c r="BW12" i="22"/>
  <c r="BS12" i="22"/>
  <c r="BU12" i="22"/>
  <c r="BT12" i="22"/>
  <c r="CF12" i="22"/>
  <c r="CG12" i="22"/>
  <c r="CC28" i="22"/>
  <c r="CB28" i="22"/>
  <c r="CD28" i="22"/>
  <c r="BX28" i="22"/>
  <c r="BU28" i="22"/>
  <c r="BW28" i="22"/>
  <c r="BS28" i="22"/>
  <c r="BT28" i="22"/>
  <c r="CF28" i="22"/>
  <c r="CG28" i="22"/>
  <c r="BU24" i="22"/>
  <c r="CF24" i="22"/>
  <c r="CG24" i="22"/>
  <c r="CC24" i="22"/>
  <c r="CB24" i="22"/>
  <c r="BT24" i="22"/>
  <c r="CD24" i="22"/>
  <c r="BV24" i="22"/>
  <c r="CE24" i="22"/>
  <c r="BW24" i="22"/>
  <c r="BX24" i="22"/>
  <c r="BS24" i="22"/>
  <c r="BX14" i="22"/>
  <c r="CC14" i="22"/>
  <c r="CB14" i="22"/>
  <c r="CD14" i="22"/>
  <c r="BW14" i="22"/>
  <c r="BT14" i="22"/>
  <c r="BS14" i="22"/>
  <c r="CF14" i="22"/>
  <c r="BU14" i="22"/>
  <c r="CG14" i="22"/>
  <c r="CB17" i="22"/>
  <c r="BX17" i="22"/>
  <c r="CD17" i="22"/>
  <c r="CC17" i="22"/>
  <c r="BS17" i="22"/>
  <c r="BU17" i="22"/>
  <c r="CF17" i="22"/>
  <c r="CG17" i="22"/>
  <c r="BT17" i="22"/>
  <c r="BW17" i="22"/>
  <c r="CB33" i="22"/>
  <c r="BX33" i="22"/>
  <c r="CC33" i="22"/>
  <c r="BS33" i="22"/>
  <c r="CD33" i="22"/>
  <c r="CF33" i="22"/>
  <c r="CG33" i="22"/>
  <c r="BT33" i="22"/>
  <c r="BW33" i="22"/>
  <c r="BU33" i="22"/>
  <c r="BS10" i="22"/>
  <c r="BT10" i="22"/>
  <c r="CF10" i="22"/>
  <c r="BU10" i="22"/>
  <c r="BW10" i="22"/>
  <c r="BX10" i="22"/>
  <c r="CG10" i="22"/>
  <c r="CD10" i="22"/>
  <c r="CB10" i="22"/>
  <c r="CC10" i="22"/>
  <c r="CB29" i="22"/>
  <c r="CC29" i="22"/>
  <c r="CD29" i="22"/>
  <c r="BT29" i="22"/>
  <c r="BW29" i="22"/>
  <c r="BS29" i="22"/>
  <c r="CG29" i="22"/>
  <c r="CF29" i="22"/>
  <c r="BX29" i="22"/>
  <c r="BU29" i="22"/>
  <c r="CF15" i="22"/>
  <c r="CG15" i="22"/>
  <c r="CB15" i="22"/>
  <c r="CC15" i="22"/>
  <c r="BW15" i="22"/>
  <c r="BS15" i="22"/>
  <c r="BU15" i="22"/>
  <c r="CD15" i="22"/>
  <c r="BT15" i="22"/>
  <c r="BX15" i="22"/>
  <c r="BQ16" i="22"/>
  <c r="BU16" i="22"/>
  <c r="CF16" i="22"/>
  <c r="CG16" i="22"/>
  <c r="BX16" i="22"/>
  <c r="CB16" i="22"/>
  <c r="BW16" i="22"/>
  <c r="BT16" i="22"/>
  <c r="CC16" i="22"/>
  <c r="CD16" i="22"/>
  <c r="BS16" i="22"/>
  <c r="CF31" i="22"/>
  <c r="CG31" i="22"/>
  <c r="BU31" i="22"/>
  <c r="CB31" i="22"/>
  <c r="CC31" i="22"/>
  <c r="BW31" i="22"/>
  <c r="BS31" i="22"/>
  <c r="CD31" i="22"/>
  <c r="BT31" i="22"/>
  <c r="BX31" i="22"/>
  <c r="BW18" i="22"/>
  <c r="BX18" i="22"/>
  <c r="CC18" i="22"/>
  <c r="BU18" i="22"/>
  <c r="CF18" i="22"/>
  <c r="CD18" i="22"/>
  <c r="CG18" i="22"/>
  <c r="BR18" i="22"/>
  <c r="BT18" i="22"/>
  <c r="CB18" i="22"/>
  <c r="BS18" i="22"/>
  <c r="BS34" i="22"/>
  <c r="BW34" i="22"/>
  <c r="CC34" i="22"/>
  <c r="BU34" i="22"/>
  <c r="CF34" i="22"/>
  <c r="CD34" i="22"/>
  <c r="CG34" i="22"/>
  <c r="BT34" i="22"/>
  <c r="BX34" i="22"/>
  <c r="CB34" i="22"/>
  <c r="CD11" i="22"/>
  <c r="BW11" i="22"/>
  <c r="BX11" i="22"/>
  <c r="BS11" i="22"/>
  <c r="BU11" i="22"/>
  <c r="CF11" i="22"/>
  <c r="BT11" i="22"/>
  <c r="CG11" i="22"/>
  <c r="CB11" i="22"/>
  <c r="CC11" i="22"/>
  <c r="BU32" i="22"/>
  <c r="CF32" i="22"/>
  <c r="BX32" i="22"/>
  <c r="BT32" i="22"/>
  <c r="BW32" i="22"/>
  <c r="CB32" i="22"/>
  <c r="CC32" i="22"/>
  <c r="CD32" i="22"/>
  <c r="BS32" i="22"/>
  <c r="CG32" i="22"/>
  <c r="BT19" i="22"/>
  <c r="BW19" i="22"/>
  <c r="BX19" i="22"/>
  <c r="CB19" i="22"/>
  <c r="BU19" i="22"/>
  <c r="BS19" i="22"/>
  <c r="CC19" i="22"/>
  <c r="CF19" i="22"/>
  <c r="CD19" i="22"/>
  <c r="CG19" i="22"/>
  <c r="BT35" i="22"/>
  <c r="BW35" i="22"/>
  <c r="CD35" i="22"/>
  <c r="BX35" i="22"/>
  <c r="CB35" i="22"/>
  <c r="BU35" i="22"/>
  <c r="BS35" i="22"/>
  <c r="CF35" i="22"/>
  <c r="CC35" i="22"/>
  <c r="CG35" i="22"/>
  <c r="BX25" i="22"/>
  <c r="BU25" i="22"/>
  <c r="BS25" i="22"/>
  <c r="BV25" i="22"/>
  <c r="CF25" i="22"/>
  <c r="CG25" i="22"/>
  <c r="BT25" i="22"/>
  <c r="CC25" i="22"/>
  <c r="CA25" i="22"/>
  <c r="CD25" i="22"/>
  <c r="CE25" i="22"/>
  <c r="BW25" i="22"/>
  <c r="CB25" i="22"/>
  <c r="BQ26" i="22"/>
  <c r="BX26" i="22"/>
  <c r="BW26" i="22"/>
  <c r="BS26" i="22"/>
  <c r="BU26" i="22"/>
  <c r="CF26" i="22"/>
  <c r="CG26" i="22"/>
  <c r="BT26" i="22"/>
  <c r="CB26" i="22"/>
  <c r="CD26" i="22"/>
  <c r="CC26" i="22"/>
  <c r="CD27" i="22"/>
  <c r="BX27" i="22"/>
  <c r="BS27" i="22"/>
  <c r="BU27" i="22"/>
  <c r="BT27" i="22"/>
  <c r="CF27" i="22"/>
  <c r="CG27" i="22"/>
  <c r="CB27" i="22"/>
  <c r="CC27" i="22"/>
  <c r="BW27" i="22"/>
  <c r="BU13" i="22"/>
  <c r="CB13" i="22"/>
  <c r="BX13" i="22"/>
  <c r="CC13" i="22"/>
  <c r="CD13" i="22"/>
  <c r="BW13" i="22"/>
  <c r="BS13" i="22"/>
  <c r="CG13" i="22"/>
  <c r="CF13" i="22"/>
  <c r="BT13" i="22"/>
  <c r="BZ18" i="22"/>
  <c r="BU20" i="22"/>
  <c r="BT20" i="22"/>
  <c r="BW20" i="22"/>
  <c r="BX20" i="22"/>
  <c r="BS20" i="22"/>
  <c r="CB20" i="22"/>
  <c r="CF20" i="22"/>
  <c r="CC20" i="22"/>
  <c r="CG20" i="22"/>
  <c r="CD20" i="22"/>
  <c r="BZ95" i="22"/>
  <c r="BQ95" i="22"/>
  <c r="V95" i="22" s="1"/>
  <c r="CB30" i="22"/>
  <c r="CC30" i="22"/>
  <c r="CD30" i="22"/>
  <c r="BW30" i="22"/>
  <c r="BX30" i="22"/>
  <c r="BT30" i="22"/>
  <c r="BS30" i="22"/>
  <c r="CF30" i="22"/>
  <c r="BU30" i="22"/>
  <c r="CG30" i="22"/>
  <c r="BQ21" i="22"/>
  <c r="BX21" i="22"/>
  <c r="BT21" i="22"/>
  <c r="BW21" i="22"/>
  <c r="BU21" i="22"/>
  <c r="BS21" i="22"/>
  <c r="CG21" i="22"/>
  <c r="CC21" i="22"/>
  <c r="CD21" i="22"/>
  <c r="CF21" i="22"/>
  <c r="CB21" i="22"/>
  <c r="BQ56" i="22"/>
  <c r="BT56" i="22"/>
  <c r="BQ55" i="22"/>
  <c r="C59" i="22"/>
  <c r="G410" i="29"/>
  <c r="BQ64" i="22"/>
  <c r="BU64" i="22"/>
  <c r="BT64" i="22"/>
  <c r="BS64" i="22"/>
  <c r="BR64" i="22"/>
  <c r="BQ19" i="22"/>
  <c r="T19" i="22" s="1"/>
  <c r="BQ25" i="22"/>
  <c r="BQ33" i="22"/>
  <c r="BQ109" i="22"/>
  <c r="V109" i="22" s="1"/>
  <c r="C116" i="22"/>
  <c r="BQ11" i="22"/>
  <c r="BZ14" i="22"/>
  <c r="BQ14" i="22"/>
  <c r="BQ27" i="22"/>
  <c r="BS56" i="22"/>
  <c r="BR66" i="22"/>
  <c r="BT66" i="22"/>
  <c r="CD66" i="22"/>
  <c r="BS66" i="22"/>
  <c r="BU66" i="22"/>
  <c r="CB66" i="22"/>
  <c r="CC66" i="22"/>
  <c r="BQ15" i="22"/>
  <c r="CA34" i="22"/>
  <c r="BQ34" i="22"/>
  <c r="BQ29" i="22"/>
  <c r="BQ35" i="22"/>
  <c r="BQ67" i="22"/>
  <c r="CB67" i="22"/>
  <c r="BU67" i="22"/>
  <c r="CC67" i="22"/>
  <c r="CD67" i="22"/>
  <c r="BS67" i="22"/>
  <c r="BT67" i="22"/>
  <c r="BQ22" i="22"/>
  <c r="T22" i="22" s="1"/>
  <c r="BS58" i="22"/>
  <c r="CC58" i="22"/>
  <c r="CA68" i="22"/>
  <c r="BT68" i="22"/>
  <c r="CB68" i="22"/>
  <c r="BU68" i="22"/>
  <c r="CC68" i="22"/>
  <c r="CD68" i="22"/>
  <c r="BS68" i="22"/>
  <c r="BQ24" i="22"/>
  <c r="CA32" i="22"/>
  <c r="BQ32" i="22"/>
  <c r="BQ13" i="22"/>
  <c r="BQ20" i="22"/>
  <c r="T20" i="22" s="1"/>
  <c r="BZ28" i="22"/>
  <c r="BQ28" i="22"/>
  <c r="T28" i="22" s="1"/>
  <c r="BQ17" i="22"/>
  <c r="CA30" i="22"/>
  <c r="BQ30" i="22"/>
  <c r="T30" i="22" s="1"/>
  <c r="BZ10" i="22"/>
  <c r="BQ10" i="22"/>
  <c r="BQ18" i="22"/>
  <c r="BQ23" i="22"/>
  <c r="BQ31" i="22"/>
  <c r="BT58" i="22"/>
  <c r="BZ69" i="22"/>
  <c r="CD69" i="22"/>
  <c r="BT69" i="22"/>
  <c r="BU69" i="22"/>
  <c r="CC69" i="22"/>
  <c r="BS69" i="22"/>
  <c r="CB69" i="22"/>
  <c r="BZ65" i="22"/>
  <c r="BS65" i="22"/>
  <c r="CB65" i="22"/>
  <c r="BT65" i="22"/>
  <c r="BU65" i="22"/>
  <c r="CC65" i="22"/>
  <c r="CD65" i="22"/>
  <c r="CD64" i="22"/>
  <c r="CC64" i="22"/>
  <c r="CB64" i="22"/>
  <c r="BZ64" i="22"/>
  <c r="CA64" i="22"/>
  <c r="BR24" i="22"/>
  <c r="BZ103" i="22"/>
  <c r="CA69" i="22"/>
  <c r="BZ97" i="22"/>
  <c r="CA53" i="22"/>
  <c r="BZ99" i="22"/>
  <c r="BZ58" i="22"/>
  <c r="BR67" i="22"/>
  <c r="V67" i="22" s="1"/>
  <c r="CB58" i="22"/>
  <c r="BZ67" i="22"/>
  <c r="BT54" i="22"/>
  <c r="BQ101" i="22"/>
  <c r="V101" i="22" s="1"/>
  <c r="BZ105" i="22"/>
  <c r="BZ12" i="22"/>
  <c r="BZ26" i="22"/>
  <c r="BS52" i="22"/>
  <c r="CB54" i="22"/>
  <c r="BR65" i="22"/>
  <c r="C118" i="22"/>
  <c r="BQ52" i="22"/>
  <c r="BT52" i="22"/>
  <c r="BZ52" i="22"/>
  <c r="BZ55" i="22"/>
  <c r="BZ107" i="22"/>
  <c r="BZ54" i="22"/>
  <c r="BZ16" i="22"/>
  <c r="CA65" i="22"/>
  <c r="BZ66" i="22"/>
  <c r="BZ20" i="22"/>
  <c r="BR19" i="22"/>
  <c r="BZ25" i="22"/>
  <c r="BR51" i="22"/>
  <c r="CA67" i="22"/>
  <c r="B110" i="22"/>
  <c r="BZ11" i="22"/>
  <c r="BZ21" i="22"/>
  <c r="BZ23" i="22"/>
  <c r="BZ27" i="22"/>
  <c r="BS51" i="22"/>
  <c r="CC52" i="22"/>
  <c r="BR55" i="22"/>
  <c r="BZ56" i="22"/>
  <c r="BZ15" i="22"/>
  <c r="BZ51" i="22"/>
  <c r="BS55" i="22"/>
  <c r="CC56" i="22"/>
  <c r="CA66" i="22"/>
  <c r="BR68" i="22"/>
  <c r="CA51" i="22"/>
  <c r="D120" i="22"/>
  <c r="BZ13" i="22"/>
  <c r="BZ17" i="22"/>
  <c r="CA55" i="22"/>
  <c r="CA57" i="22"/>
  <c r="BQ69" i="22"/>
  <c r="E120" i="22"/>
  <c r="BQ65" i="22"/>
  <c r="BR69" i="22"/>
  <c r="CN205" i="4"/>
  <c r="CB205" i="4"/>
  <c r="CM205" i="4"/>
  <c r="CA205" i="4"/>
  <c r="AD272" i="34"/>
  <c r="AD273" i="34"/>
  <c r="AD274" i="34"/>
  <c r="AD271" i="34"/>
  <c r="B205" i="4"/>
  <c r="CB53" i="22"/>
  <c r="CB57" i="22"/>
  <c r="BZ29" i="22"/>
  <c r="BR30" i="22"/>
  <c r="BZ31" i="22"/>
  <c r="BR32" i="22"/>
  <c r="BZ33" i="22"/>
  <c r="BR34" i="22"/>
  <c r="BZ35" i="22"/>
  <c r="CA50" i="22"/>
  <c r="BT51" i="22"/>
  <c r="BR52" i="22"/>
  <c r="CC53" i="22"/>
  <c r="CA54" i="22"/>
  <c r="BT55" i="22"/>
  <c r="BR56" i="22"/>
  <c r="N56" i="22" s="1"/>
  <c r="CC57" i="22"/>
  <c r="CA58" i="22"/>
  <c r="BQ68" i="22"/>
  <c r="CA23" i="22"/>
  <c r="CA33" i="22"/>
  <c r="CB50" i="22"/>
  <c r="BQ53" i="22"/>
  <c r="BZ19" i="22"/>
  <c r="BR20" i="22"/>
  <c r="BR23" i="22"/>
  <c r="BZ24" i="22"/>
  <c r="BR25" i="22"/>
  <c r="CC50" i="22"/>
  <c r="BR53" i="22"/>
  <c r="CC54" i="22"/>
  <c r="BR57" i="22"/>
  <c r="BZ68" i="22"/>
  <c r="BQ96" i="22"/>
  <c r="V96" i="22" s="1"/>
  <c r="BQ98" i="22"/>
  <c r="V98" i="22" s="1"/>
  <c r="BQ100" i="22"/>
  <c r="V100" i="22" s="1"/>
  <c r="BQ102" i="22"/>
  <c r="V102" i="22" s="1"/>
  <c r="BQ104" i="22"/>
  <c r="V104" i="22" s="1"/>
  <c r="BQ106" i="22"/>
  <c r="V106" i="22" s="1"/>
  <c r="BQ108" i="22"/>
  <c r="V108" i="22" s="1"/>
  <c r="CA29" i="22"/>
  <c r="CA31" i="22"/>
  <c r="CA19" i="22"/>
  <c r="CB51" i="22"/>
  <c r="BS53" i="22"/>
  <c r="BQ54" i="22"/>
  <c r="CB55" i="22"/>
  <c r="BS57" i="22"/>
  <c r="BQ58" i="22"/>
  <c r="CA18" i="22"/>
  <c r="CA20" i="22"/>
  <c r="BQ57" i="22"/>
  <c r="CA24" i="22"/>
  <c r="BR29" i="22"/>
  <c r="BZ30" i="22"/>
  <c r="BR31" i="22"/>
  <c r="BZ32" i="22"/>
  <c r="BR33" i="22"/>
  <c r="BZ34" i="22"/>
  <c r="BR35" i="22"/>
  <c r="CC51" i="22"/>
  <c r="CA52" i="22"/>
  <c r="BT53" i="22"/>
  <c r="BR54" i="22"/>
  <c r="CC55" i="22"/>
  <c r="CA56" i="22"/>
  <c r="BT57" i="22"/>
  <c r="BR58" i="22"/>
  <c r="BQ66" i="22"/>
  <c r="V66" i="22" s="1"/>
  <c r="C115" i="22"/>
  <c r="CA35" i="22"/>
  <c r="T25" i="22" l="1"/>
  <c r="T17" i="22"/>
  <c r="T13" i="22"/>
  <c r="T21" i="22"/>
  <c r="T12" i="22"/>
  <c r="T32" i="22"/>
  <c r="T24" i="22"/>
  <c r="T27" i="22"/>
  <c r="T14" i="22"/>
  <c r="T31" i="22"/>
  <c r="T35" i="22"/>
  <c r="T16" i="22"/>
  <c r="T23" i="22"/>
  <c r="T29" i="22"/>
  <c r="T11" i="22"/>
  <c r="T26" i="22"/>
  <c r="T18" i="22"/>
  <c r="T34" i="22"/>
  <c r="T10" i="22"/>
  <c r="T15" i="22"/>
  <c r="T33" i="22"/>
  <c r="B150" i="22"/>
  <c r="A150" i="22"/>
  <c r="V64" i="22"/>
  <c r="V65" i="22"/>
  <c r="C120" i="22"/>
  <c r="V68" i="22"/>
  <c r="N52" i="22"/>
  <c r="N55" i="22"/>
  <c r="N50" i="22"/>
  <c r="N51" i="22"/>
  <c r="V69" i="22"/>
  <c r="CP205" i="4"/>
  <c r="CO205" i="4"/>
  <c r="CD205" i="4"/>
  <c r="CC205" i="4"/>
  <c r="B139" i="22"/>
  <c r="N57" i="22"/>
  <c r="N54" i="22"/>
  <c r="N53" i="22"/>
  <c r="N58" i="22"/>
  <c r="AO205" i="4" l="1"/>
  <c r="A5" i="39"/>
  <c r="CI158" i="39"/>
  <c r="CA158" i="39"/>
  <c r="E158" i="39" s="1"/>
  <c r="CI157" i="39"/>
  <c r="CA157" i="39"/>
  <c r="E157" i="39" s="1"/>
  <c r="CI156" i="39"/>
  <c r="E156" i="39"/>
  <c r="CI154" i="39"/>
  <c r="CA154" i="39"/>
  <c r="F154" i="39" s="1"/>
  <c r="CI153" i="39"/>
  <c r="CA153" i="39"/>
  <c r="F153" i="39" s="1"/>
  <c r="CI152" i="39"/>
  <c r="F152" i="39"/>
  <c r="B144" i="39"/>
  <c r="CI144" i="39" s="1"/>
  <c r="CL130" i="39"/>
  <c r="CK130" i="39"/>
  <c r="CL129" i="39"/>
  <c r="CK129" i="39"/>
  <c r="CL128" i="39"/>
  <c r="CK128" i="39"/>
  <c r="CL127" i="39"/>
  <c r="CK127" i="39"/>
  <c r="CL126" i="39"/>
  <c r="CK126" i="39"/>
  <c r="CL125" i="39"/>
  <c r="CK125" i="39"/>
  <c r="CL124" i="39"/>
  <c r="CK124" i="39"/>
  <c r="CL123" i="39"/>
  <c r="CK123" i="39"/>
  <c r="CL122" i="39"/>
  <c r="CK122" i="39"/>
  <c r="B179" i="39" s="1"/>
  <c r="B117" i="39"/>
  <c r="C109" i="39"/>
  <c r="CI109" i="39" s="1"/>
  <c r="I104" i="39"/>
  <c r="H104" i="39"/>
  <c r="G104" i="39"/>
  <c r="F104" i="39"/>
  <c r="E104" i="39"/>
  <c r="D104" i="39"/>
  <c r="C104" i="39"/>
  <c r="G83" i="39"/>
  <c r="F83" i="39"/>
  <c r="E83" i="39"/>
  <c r="D83" i="39"/>
  <c r="C83" i="39"/>
  <c r="B83" i="39"/>
  <c r="M79" i="39"/>
  <c r="M78" i="39"/>
  <c r="L76" i="39"/>
  <c r="K76" i="39"/>
  <c r="J76" i="39"/>
  <c r="I76" i="39"/>
  <c r="H76" i="39"/>
  <c r="G76" i="39"/>
  <c r="F76" i="39"/>
  <c r="E76" i="39"/>
  <c r="D76" i="39"/>
  <c r="C76" i="39"/>
  <c r="B76" i="39"/>
  <c r="C38" i="39"/>
  <c r="C37" i="39"/>
  <c r="C36" i="39"/>
  <c r="C35" i="39"/>
  <c r="C34" i="39"/>
  <c r="C33" i="39"/>
  <c r="C32" i="39"/>
  <c r="C31" i="39"/>
  <c r="C30" i="39"/>
  <c r="C29" i="39"/>
  <c r="C28" i="39"/>
  <c r="C27" i="39"/>
  <c r="C26" i="39"/>
  <c r="AF12" i="39"/>
  <c r="AE12" i="39"/>
  <c r="AD12" i="39"/>
  <c r="AC12" i="39"/>
  <c r="AB12" i="39"/>
  <c r="AA12" i="39"/>
  <c r="Z12" i="39"/>
  <c r="Y12" i="39"/>
  <c r="X12" i="39"/>
  <c r="W12" i="39"/>
  <c r="V12" i="39"/>
  <c r="U12" i="39"/>
  <c r="T12" i="39"/>
  <c r="S12" i="39"/>
  <c r="R12" i="39"/>
  <c r="Q12" i="39"/>
  <c r="P12" i="39"/>
  <c r="O12" i="39"/>
  <c r="N12" i="39"/>
  <c r="M12" i="39"/>
  <c r="L12" i="39"/>
  <c r="K12" i="39"/>
  <c r="J12" i="39"/>
  <c r="I12" i="39"/>
  <c r="H12" i="39"/>
  <c r="G12" i="39"/>
  <c r="F12" i="39"/>
  <c r="E12" i="39"/>
  <c r="D12" i="39"/>
  <c r="C12" i="39"/>
  <c r="D20" i="18" l="1"/>
  <c r="A179" i="39"/>
  <c r="E20" i="18" s="1"/>
  <c r="CJ144" i="39"/>
  <c r="CC144" i="39"/>
  <c r="CB144" i="39"/>
  <c r="CA144" i="39"/>
  <c r="F129" i="39"/>
  <c r="F128" i="39"/>
  <c r="F126" i="39"/>
  <c r="F125" i="39"/>
  <c r="F127" i="39"/>
  <c r="F124" i="39"/>
  <c r="F122" i="39"/>
  <c r="F123" i="39"/>
  <c r="F130" i="39"/>
  <c r="CA109" i="39"/>
  <c r="M109" i="39" s="1"/>
  <c r="O144" i="39" l="1"/>
  <c r="B404" i="29"/>
  <c r="B403" i="29"/>
  <c r="B402" i="29"/>
  <c r="B401" i="29"/>
  <c r="B400" i="29"/>
  <c r="J399" i="29"/>
  <c r="H399" i="29"/>
  <c r="G399" i="29"/>
  <c r="F399" i="29"/>
  <c r="E399" i="29"/>
  <c r="D399" i="29"/>
  <c r="C399" i="29"/>
  <c r="B398" i="29"/>
  <c r="B397" i="29"/>
  <c r="B396" i="29"/>
  <c r="C395" i="29"/>
  <c r="B394" i="29"/>
  <c r="G129" i="42"/>
  <c r="B129" i="42"/>
  <c r="G128" i="42"/>
  <c r="G127" i="42"/>
  <c r="B127" i="42"/>
  <c r="B124" i="42"/>
  <c r="Q123" i="42"/>
  <c r="P123" i="42"/>
  <c r="M123" i="42"/>
  <c r="L123" i="42"/>
  <c r="K123" i="42"/>
  <c r="J123" i="42"/>
  <c r="I123" i="42"/>
  <c r="F123" i="42"/>
  <c r="D123" i="42"/>
  <c r="C123" i="42"/>
  <c r="T114" i="42"/>
  <c r="S114" i="42"/>
  <c r="P114" i="42"/>
  <c r="O114" i="42"/>
  <c r="N114" i="42"/>
  <c r="M114" i="42"/>
  <c r="L114" i="42"/>
  <c r="K114" i="42"/>
  <c r="J114" i="42"/>
  <c r="I114" i="42"/>
  <c r="H114" i="42"/>
  <c r="E114" i="42"/>
  <c r="D114" i="42"/>
  <c r="C114" i="42"/>
  <c r="B114" i="42"/>
  <c r="Y108" i="42"/>
  <c r="X108" i="42"/>
  <c r="U108" i="42"/>
  <c r="T108" i="42"/>
  <c r="S108" i="42"/>
  <c r="R108" i="42"/>
  <c r="Y107" i="42"/>
  <c r="X107" i="42"/>
  <c r="U107" i="42"/>
  <c r="T107" i="42"/>
  <c r="S107" i="42"/>
  <c r="R107" i="42"/>
  <c r="Y106" i="42"/>
  <c r="X106" i="42"/>
  <c r="U106" i="42"/>
  <c r="T106" i="42"/>
  <c r="S106" i="42"/>
  <c r="R106" i="42"/>
  <c r="Y105" i="42"/>
  <c r="X105" i="42"/>
  <c r="U105" i="42"/>
  <c r="T105" i="42"/>
  <c r="S105" i="42"/>
  <c r="R105" i="42"/>
  <c r="Y104" i="42"/>
  <c r="X104" i="42"/>
  <c r="U104" i="42"/>
  <c r="T104" i="42"/>
  <c r="S104" i="42"/>
  <c r="R104" i="42"/>
  <c r="Y103" i="42"/>
  <c r="X103" i="42"/>
  <c r="U103" i="42"/>
  <c r="T103" i="42"/>
  <c r="S103" i="42"/>
  <c r="R103" i="42"/>
  <c r="Y102" i="42"/>
  <c r="X102" i="42"/>
  <c r="U102" i="42"/>
  <c r="T102" i="42"/>
  <c r="S102" i="42"/>
  <c r="R102" i="42"/>
  <c r="Y101" i="42"/>
  <c r="X101" i="42"/>
  <c r="U101" i="42"/>
  <c r="T101" i="42"/>
  <c r="S101" i="42"/>
  <c r="R101" i="42"/>
  <c r="Y100" i="42"/>
  <c r="X100" i="42"/>
  <c r="U100" i="42"/>
  <c r="T100" i="42"/>
  <c r="S100" i="42"/>
  <c r="R100" i="42"/>
  <c r="Y99" i="42"/>
  <c r="X99" i="42"/>
  <c r="U99" i="42"/>
  <c r="T99" i="42"/>
  <c r="S99" i="42"/>
  <c r="S98" i="42" s="1"/>
  <c r="R99" i="42"/>
  <c r="AJ98" i="42"/>
  <c r="AI98" i="42"/>
  <c r="AF98" i="42"/>
  <c r="AE98" i="42"/>
  <c r="AD98" i="42"/>
  <c r="AC98" i="42"/>
  <c r="AB98" i="42"/>
  <c r="AA98" i="42"/>
  <c r="Z98" i="42"/>
  <c r="Q98" i="42"/>
  <c r="P98" i="42"/>
  <c r="M98" i="42"/>
  <c r="L98" i="42"/>
  <c r="K98" i="42"/>
  <c r="J98" i="42"/>
  <c r="I98" i="42"/>
  <c r="H98" i="42"/>
  <c r="E98" i="42"/>
  <c r="D98" i="42"/>
  <c r="Y80" i="42"/>
  <c r="X80" i="42"/>
  <c r="W80" i="42"/>
  <c r="V80" i="42"/>
  <c r="U80" i="42"/>
  <c r="T80" i="42"/>
  <c r="S80" i="42"/>
  <c r="P80" i="42"/>
  <c r="O80" i="42"/>
  <c r="N80" i="42"/>
  <c r="M80" i="42"/>
  <c r="Y67" i="42"/>
  <c r="X67" i="42"/>
  <c r="U67" i="42"/>
  <c r="T67" i="42"/>
  <c r="S67" i="42"/>
  <c r="R67" i="42"/>
  <c r="Y66" i="42"/>
  <c r="X66" i="42"/>
  <c r="U66" i="42"/>
  <c r="T66" i="42"/>
  <c r="S66" i="42"/>
  <c r="R66" i="42"/>
  <c r="Y65" i="42"/>
  <c r="X65" i="42"/>
  <c r="U65" i="42"/>
  <c r="T65" i="42"/>
  <c r="S65" i="42"/>
  <c r="R65" i="42"/>
  <c r="Y64" i="42"/>
  <c r="X64" i="42"/>
  <c r="U64" i="42"/>
  <c r="T64" i="42"/>
  <c r="S64" i="42"/>
  <c r="R64" i="42"/>
  <c r="Y63" i="42"/>
  <c r="X63" i="42"/>
  <c r="U63" i="42"/>
  <c r="T63" i="42"/>
  <c r="S63" i="42"/>
  <c r="R63" i="42"/>
  <c r="Y62" i="42"/>
  <c r="X62" i="42"/>
  <c r="U62" i="42"/>
  <c r="T62" i="42"/>
  <c r="S62" i="42"/>
  <c r="R62" i="42"/>
  <c r="Y61" i="42"/>
  <c r="X61" i="42"/>
  <c r="U61" i="42"/>
  <c r="T61" i="42"/>
  <c r="S61" i="42"/>
  <c r="R61" i="42"/>
  <c r="Y60" i="42"/>
  <c r="X60" i="42"/>
  <c r="U60" i="42"/>
  <c r="T60" i="42"/>
  <c r="S60" i="42"/>
  <c r="R60" i="42"/>
  <c r="Y59" i="42"/>
  <c r="X59" i="42"/>
  <c r="U59" i="42"/>
  <c r="T59" i="42"/>
  <c r="S59" i="42"/>
  <c r="R59" i="42"/>
  <c r="Y58" i="42"/>
  <c r="X58" i="42"/>
  <c r="U58" i="42"/>
  <c r="T58" i="42"/>
  <c r="S58" i="42"/>
  <c r="R58" i="42"/>
  <c r="Y57" i="42"/>
  <c r="X57" i="42"/>
  <c r="U57" i="42"/>
  <c r="T57" i="42"/>
  <c r="S57" i="42"/>
  <c r="R57" i="42"/>
  <c r="Y56" i="42"/>
  <c r="X56" i="42"/>
  <c r="U56" i="42"/>
  <c r="T56" i="42"/>
  <c r="S56" i="42"/>
  <c r="R56" i="42"/>
  <c r="Y55" i="42"/>
  <c r="X55" i="42"/>
  <c r="U55" i="42"/>
  <c r="T55" i="42"/>
  <c r="S55" i="42"/>
  <c r="R55" i="42"/>
  <c r="Y54" i="42"/>
  <c r="X54" i="42"/>
  <c r="U54" i="42"/>
  <c r="T54" i="42"/>
  <c r="S54" i="42"/>
  <c r="R54" i="42"/>
  <c r="Y53" i="42"/>
  <c r="X53" i="42"/>
  <c r="U53" i="42"/>
  <c r="T53" i="42"/>
  <c r="S53" i="42"/>
  <c r="R53" i="42"/>
  <c r="Y52" i="42"/>
  <c r="X52" i="42"/>
  <c r="U52" i="42"/>
  <c r="T52" i="42"/>
  <c r="S52" i="42"/>
  <c r="R52" i="42"/>
  <c r="Y51" i="42"/>
  <c r="X51" i="42"/>
  <c r="U51" i="42"/>
  <c r="T51" i="42"/>
  <c r="S51" i="42"/>
  <c r="R51" i="42"/>
  <c r="Y50" i="42"/>
  <c r="X50" i="42"/>
  <c r="U50" i="42"/>
  <c r="T50" i="42"/>
  <c r="S50" i="42"/>
  <c r="R50" i="42"/>
  <c r="Y49" i="42"/>
  <c r="X49" i="42"/>
  <c r="U49" i="42"/>
  <c r="T49" i="42"/>
  <c r="S49" i="42"/>
  <c r="R49" i="42"/>
  <c r="Y48" i="42"/>
  <c r="X48" i="42"/>
  <c r="U48" i="42"/>
  <c r="T48" i="42"/>
  <c r="S48" i="42"/>
  <c r="R48" i="42"/>
  <c r="Y47" i="42"/>
  <c r="X47" i="42"/>
  <c r="U47" i="42"/>
  <c r="T47" i="42"/>
  <c r="S47" i="42"/>
  <c r="R47" i="42"/>
  <c r="Y46" i="42"/>
  <c r="X46" i="42"/>
  <c r="U46" i="42"/>
  <c r="T46" i="42"/>
  <c r="S46" i="42"/>
  <c r="R46" i="42"/>
  <c r="Y45" i="42"/>
  <c r="X45" i="42"/>
  <c r="U45" i="42"/>
  <c r="T45" i="42"/>
  <c r="S45" i="42"/>
  <c r="R45" i="42"/>
  <c r="Y44" i="42"/>
  <c r="X44" i="42"/>
  <c r="U44" i="42"/>
  <c r="T44" i="42"/>
  <c r="S44" i="42"/>
  <c r="R44" i="42"/>
  <c r="Y43" i="42"/>
  <c r="X43" i="42"/>
  <c r="U43" i="42"/>
  <c r="T43" i="42"/>
  <c r="S43" i="42"/>
  <c r="R43" i="42"/>
  <c r="Y42" i="42"/>
  <c r="X42" i="42"/>
  <c r="U42" i="42"/>
  <c r="T42" i="42"/>
  <c r="S42" i="42"/>
  <c r="R42" i="42"/>
  <c r="Y41" i="42"/>
  <c r="X41" i="42"/>
  <c r="U41" i="42"/>
  <c r="T41" i="42"/>
  <c r="S41" i="42"/>
  <c r="R41" i="42"/>
  <c r="Y40" i="42"/>
  <c r="X40" i="42"/>
  <c r="U40" i="42"/>
  <c r="T40" i="42"/>
  <c r="S40" i="42"/>
  <c r="R40" i="42"/>
  <c r="Y39" i="42"/>
  <c r="X39" i="42"/>
  <c r="U39" i="42"/>
  <c r="T39" i="42"/>
  <c r="S39" i="42"/>
  <c r="R39" i="42"/>
  <c r="Y38" i="42"/>
  <c r="X38" i="42"/>
  <c r="U38" i="42"/>
  <c r="T38" i="42"/>
  <c r="S38" i="42"/>
  <c r="R38" i="42"/>
  <c r="Y37" i="42"/>
  <c r="X37" i="42"/>
  <c r="U37" i="42"/>
  <c r="T37" i="42"/>
  <c r="S37" i="42"/>
  <c r="R37" i="42"/>
  <c r="Y36" i="42"/>
  <c r="X36" i="42"/>
  <c r="U36" i="42"/>
  <c r="T36" i="42"/>
  <c r="S36" i="42"/>
  <c r="R36" i="42"/>
  <c r="Y35" i="42"/>
  <c r="X35" i="42"/>
  <c r="U35" i="42"/>
  <c r="T35" i="42"/>
  <c r="S35" i="42"/>
  <c r="R35" i="42"/>
  <c r="Y34" i="42"/>
  <c r="X34" i="42"/>
  <c r="U34" i="42"/>
  <c r="T34" i="42"/>
  <c r="S34" i="42"/>
  <c r="R34" i="42"/>
  <c r="Y33" i="42"/>
  <c r="X33" i="42"/>
  <c r="U33" i="42"/>
  <c r="T33" i="42"/>
  <c r="S33" i="42"/>
  <c r="R33" i="42"/>
  <c r="Y32" i="42"/>
  <c r="X32" i="42"/>
  <c r="U32" i="42"/>
  <c r="T32" i="42"/>
  <c r="S32" i="42"/>
  <c r="R32" i="42"/>
  <c r="Y31" i="42"/>
  <c r="X31" i="42"/>
  <c r="U31" i="42"/>
  <c r="T31" i="42"/>
  <c r="S31" i="42"/>
  <c r="R31" i="42"/>
  <c r="Y30" i="42"/>
  <c r="X30" i="42"/>
  <c r="U30" i="42"/>
  <c r="T30" i="42"/>
  <c r="S30" i="42"/>
  <c r="R30" i="42"/>
  <c r="Y29" i="42"/>
  <c r="X29" i="42"/>
  <c r="U29" i="42"/>
  <c r="T29" i="42"/>
  <c r="S29" i="42"/>
  <c r="R29" i="42"/>
  <c r="Y28" i="42"/>
  <c r="X28" i="42"/>
  <c r="U28" i="42"/>
  <c r="T28" i="42"/>
  <c r="S28" i="42"/>
  <c r="R28" i="42"/>
  <c r="Y27" i="42"/>
  <c r="X27" i="42"/>
  <c r="U27" i="42"/>
  <c r="T27" i="42"/>
  <c r="S27" i="42"/>
  <c r="R27" i="42"/>
  <c r="Y26" i="42"/>
  <c r="X26" i="42"/>
  <c r="U26" i="42"/>
  <c r="T26" i="42"/>
  <c r="S26" i="42"/>
  <c r="R26" i="42"/>
  <c r="Y25" i="42"/>
  <c r="X25" i="42"/>
  <c r="U25" i="42"/>
  <c r="T25" i="42"/>
  <c r="S25" i="42"/>
  <c r="R25" i="42"/>
  <c r="Y24" i="42"/>
  <c r="X24" i="42"/>
  <c r="U24" i="42"/>
  <c r="T24" i="42"/>
  <c r="S24" i="42"/>
  <c r="R24" i="42"/>
  <c r="Y23" i="42"/>
  <c r="X23" i="42"/>
  <c r="U23" i="42"/>
  <c r="T23" i="42"/>
  <c r="S23" i="42"/>
  <c r="R23" i="42"/>
  <c r="Y22" i="42"/>
  <c r="X22" i="42"/>
  <c r="U22" i="42"/>
  <c r="T22" i="42"/>
  <c r="S22" i="42"/>
  <c r="R22" i="42"/>
  <c r="Y21" i="42"/>
  <c r="X21" i="42"/>
  <c r="U21" i="42"/>
  <c r="T21" i="42"/>
  <c r="S21" i="42"/>
  <c r="R21" i="42"/>
  <c r="Y20" i="42"/>
  <c r="X20" i="42"/>
  <c r="U20" i="42"/>
  <c r="T20" i="42"/>
  <c r="S20" i="42"/>
  <c r="R20" i="42"/>
  <c r="Y19" i="42"/>
  <c r="X19" i="42"/>
  <c r="U19" i="42"/>
  <c r="T19" i="42"/>
  <c r="S19" i="42"/>
  <c r="R19" i="42"/>
  <c r="Y18" i="42"/>
  <c r="X18" i="42"/>
  <c r="U18" i="42"/>
  <c r="T18" i="42"/>
  <c r="S18" i="42"/>
  <c r="R18" i="42"/>
  <c r="Y17" i="42"/>
  <c r="X17" i="42"/>
  <c r="U17" i="42"/>
  <c r="T17" i="42"/>
  <c r="S17" i="42"/>
  <c r="R17" i="42"/>
  <c r="Y16" i="42"/>
  <c r="X16" i="42"/>
  <c r="U16" i="42"/>
  <c r="T16" i="42"/>
  <c r="S16" i="42"/>
  <c r="R16" i="42"/>
  <c r="Y15" i="42"/>
  <c r="X15" i="42"/>
  <c r="U15" i="42"/>
  <c r="T15" i="42"/>
  <c r="S15" i="42"/>
  <c r="R15" i="42"/>
  <c r="Y14" i="42"/>
  <c r="X14" i="42"/>
  <c r="U14" i="42"/>
  <c r="T14" i="42"/>
  <c r="S14" i="42"/>
  <c r="R14" i="42"/>
  <c r="AU12" i="42"/>
  <c r="AT12" i="42"/>
  <c r="AQ12" i="42"/>
  <c r="AP12" i="42"/>
  <c r="AO12" i="42"/>
  <c r="AN12" i="42"/>
  <c r="AM12" i="42"/>
  <c r="AL12" i="42"/>
  <c r="AK12" i="42"/>
  <c r="AJ12" i="42"/>
  <c r="AI12" i="42"/>
  <c r="AF12" i="42"/>
  <c r="AE12" i="42"/>
  <c r="AD12" i="42"/>
  <c r="AC12" i="42"/>
  <c r="AB12" i="42"/>
  <c r="AA12" i="42"/>
  <c r="Z12" i="42"/>
  <c r="Q12" i="42"/>
  <c r="P12" i="42"/>
  <c r="M12" i="42"/>
  <c r="L12" i="42"/>
  <c r="K12" i="42"/>
  <c r="J12" i="42"/>
  <c r="I12" i="42"/>
  <c r="H12" i="42"/>
  <c r="E12" i="42"/>
  <c r="D12" i="42"/>
  <c r="C12" i="42"/>
  <c r="A5" i="42"/>
  <c r="X98" i="42" l="1"/>
  <c r="CP398" i="29"/>
  <c r="CB398" i="29"/>
  <c r="CA398" i="29"/>
  <c r="CO398" i="29"/>
  <c r="CA396" i="29"/>
  <c r="CP396" i="29"/>
  <c r="CO396" i="29"/>
  <c r="CB396" i="29"/>
  <c r="CO397" i="29"/>
  <c r="CA397" i="29"/>
  <c r="CB397" i="29"/>
  <c r="CP397" i="29"/>
  <c r="CP403" i="29"/>
  <c r="CO403" i="29"/>
  <c r="CB403" i="29"/>
  <c r="CA403" i="29"/>
  <c r="CP404" i="29"/>
  <c r="CA404" i="29"/>
  <c r="CO404" i="29"/>
  <c r="CB404" i="29"/>
  <c r="V404" i="29" s="1"/>
  <c r="CO400" i="29"/>
  <c r="CP400" i="29"/>
  <c r="CB400" i="29"/>
  <c r="CA400" i="29"/>
  <c r="CB401" i="29"/>
  <c r="CO401" i="29"/>
  <c r="CA401" i="29"/>
  <c r="V401" i="29" s="1"/>
  <c r="CP401" i="29"/>
  <c r="CP402" i="29"/>
  <c r="CO402" i="29"/>
  <c r="CA402" i="29"/>
  <c r="CB402" i="29"/>
  <c r="CO394" i="29"/>
  <c r="CA394" i="29"/>
  <c r="CP394" i="29"/>
  <c r="CB394" i="29"/>
  <c r="G123" i="42"/>
  <c r="B123" i="42"/>
  <c r="R98" i="42"/>
  <c r="Y98" i="42"/>
  <c r="X12" i="42"/>
  <c r="T98" i="42"/>
  <c r="S12" i="42"/>
  <c r="T12" i="42"/>
  <c r="Y12" i="42"/>
  <c r="U98" i="42"/>
  <c r="R12" i="42"/>
  <c r="A174" i="42" s="1"/>
  <c r="U12" i="42"/>
  <c r="B399" i="29"/>
  <c r="B395" i="29"/>
  <c r="D215" i="4"/>
  <c r="C215" i="4"/>
  <c r="D214" i="4"/>
  <c r="C214" i="4"/>
  <c r="D213" i="4"/>
  <c r="C213" i="4"/>
  <c r="D212" i="4"/>
  <c r="C212" i="4"/>
  <c r="D211" i="4"/>
  <c r="C211" i="4"/>
  <c r="O210" i="4"/>
  <c r="N210" i="4"/>
  <c r="M210" i="4"/>
  <c r="L210" i="4"/>
  <c r="K210" i="4"/>
  <c r="J210" i="4"/>
  <c r="I210" i="4"/>
  <c r="H210" i="4"/>
  <c r="G210" i="4"/>
  <c r="F210" i="4"/>
  <c r="E210" i="4"/>
  <c r="C210" i="4" s="1"/>
  <c r="B200" i="4"/>
  <c r="B199" i="4"/>
  <c r="E196" i="4"/>
  <c r="D196" i="4"/>
  <c r="E195" i="4"/>
  <c r="C195" i="4" s="1"/>
  <c r="D195" i="4"/>
  <c r="D191" i="4"/>
  <c r="C191" i="4"/>
  <c r="D190" i="4"/>
  <c r="C190" i="4"/>
  <c r="D189" i="4"/>
  <c r="C189" i="4"/>
  <c r="D188" i="4"/>
  <c r="C188" i="4"/>
  <c r="C183" i="4"/>
  <c r="C182" i="4"/>
  <c r="C181" i="4"/>
  <c r="C180" i="4"/>
  <c r="C179" i="4"/>
  <c r="C178" i="4"/>
  <c r="C166" i="4"/>
  <c r="C165" i="4"/>
  <c r="B158" i="4"/>
  <c r="C142" i="4"/>
  <c r="C141" i="4"/>
  <c r="E131" i="4"/>
  <c r="CD131" i="4" s="1"/>
  <c r="D131" i="4"/>
  <c r="C131" i="4" s="1"/>
  <c r="E130" i="4"/>
  <c r="CD130" i="4" s="1"/>
  <c r="D130" i="4"/>
  <c r="E129" i="4"/>
  <c r="CD129" i="4" s="1"/>
  <c r="D129" i="4"/>
  <c r="E125" i="4"/>
  <c r="D125" i="4"/>
  <c r="E124" i="4"/>
  <c r="D124" i="4"/>
  <c r="E123" i="4"/>
  <c r="D123" i="4"/>
  <c r="E113" i="4"/>
  <c r="D113" i="4"/>
  <c r="E112" i="4"/>
  <c r="D112" i="4"/>
  <c r="E111" i="4"/>
  <c r="D111" i="4"/>
  <c r="E110" i="4"/>
  <c r="D110" i="4"/>
  <c r="E109" i="4"/>
  <c r="D109" i="4"/>
  <c r="C109" i="4" s="1"/>
  <c r="E108" i="4"/>
  <c r="D108" i="4"/>
  <c r="C108" i="4" s="1"/>
  <c r="E107" i="4"/>
  <c r="D107" i="4"/>
  <c r="AO106" i="4"/>
  <c r="AN106" i="4"/>
  <c r="AM106" i="4"/>
  <c r="AL106" i="4"/>
  <c r="AK106" i="4"/>
  <c r="AJ106" i="4"/>
  <c r="AI106" i="4"/>
  <c r="AH106" i="4"/>
  <c r="AG106" i="4"/>
  <c r="AF106" i="4"/>
  <c r="AE106" i="4"/>
  <c r="AD106" i="4"/>
  <c r="AC106" i="4"/>
  <c r="AB106" i="4"/>
  <c r="AA106" i="4"/>
  <c r="Z106" i="4"/>
  <c r="Y106" i="4"/>
  <c r="X106" i="4"/>
  <c r="W106" i="4"/>
  <c r="V106" i="4"/>
  <c r="U106" i="4"/>
  <c r="T106" i="4"/>
  <c r="S106" i="4"/>
  <c r="R106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E101" i="4"/>
  <c r="D101" i="4"/>
  <c r="C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AL78" i="4"/>
  <c r="AK78" i="4"/>
  <c r="AJ78" i="4"/>
  <c r="AI78" i="4"/>
  <c r="AH78" i="4"/>
  <c r="AG78" i="4"/>
  <c r="AF78" i="4"/>
  <c r="AE78" i="4"/>
  <c r="AD78" i="4"/>
  <c r="AC78" i="4"/>
  <c r="AB78" i="4"/>
  <c r="AA78" i="4"/>
  <c r="Z78" i="4"/>
  <c r="Y78" i="4"/>
  <c r="X78" i="4"/>
  <c r="W78" i="4"/>
  <c r="V78" i="4"/>
  <c r="U78" i="4"/>
  <c r="T78" i="4"/>
  <c r="S78" i="4"/>
  <c r="R78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7" i="4"/>
  <c r="C77" i="4"/>
  <c r="B77" i="4" s="1"/>
  <c r="D76" i="4"/>
  <c r="C76" i="4"/>
  <c r="D75" i="4"/>
  <c r="C75" i="4"/>
  <c r="D74" i="4"/>
  <c r="C74" i="4"/>
  <c r="D73" i="4"/>
  <c r="C73" i="4"/>
  <c r="B73" i="4" s="1"/>
  <c r="D72" i="4"/>
  <c r="C72" i="4"/>
  <c r="AN67" i="4"/>
  <c r="AM67" i="4"/>
  <c r="AL67" i="4"/>
  <c r="AK67" i="4"/>
  <c r="AJ67" i="4"/>
  <c r="AI67" i="4"/>
  <c r="AH67" i="4"/>
  <c r="AG67" i="4"/>
  <c r="AF67" i="4"/>
  <c r="AE67" i="4"/>
  <c r="AD67" i="4"/>
  <c r="AC67" i="4"/>
  <c r="AB67" i="4"/>
  <c r="AA67" i="4"/>
  <c r="Z67" i="4"/>
  <c r="Y67" i="4"/>
  <c r="X67" i="4"/>
  <c r="W67" i="4"/>
  <c r="V67" i="4"/>
  <c r="U67" i="4"/>
  <c r="T67" i="4"/>
  <c r="S67" i="4"/>
  <c r="R67" i="4"/>
  <c r="Q67" i="4"/>
  <c r="P67" i="4"/>
  <c r="O67" i="4"/>
  <c r="N67" i="4"/>
  <c r="M67" i="4"/>
  <c r="L67" i="4"/>
  <c r="K67" i="4"/>
  <c r="J67" i="4"/>
  <c r="I67" i="4"/>
  <c r="H67" i="4"/>
  <c r="G67" i="4"/>
  <c r="F67" i="4"/>
  <c r="E67" i="4"/>
  <c r="D66" i="4"/>
  <c r="C66" i="4"/>
  <c r="D65" i="4"/>
  <c r="C65" i="4"/>
  <c r="D64" i="4"/>
  <c r="C64" i="4"/>
  <c r="D63" i="4"/>
  <c r="C63" i="4"/>
  <c r="B63" i="4" s="1"/>
  <c r="D62" i="4"/>
  <c r="C62" i="4"/>
  <c r="D61" i="4"/>
  <c r="C61" i="4"/>
  <c r="D56" i="4"/>
  <c r="C56" i="4"/>
  <c r="D55" i="4"/>
  <c r="C55" i="4"/>
  <c r="D54" i="4"/>
  <c r="C54" i="4"/>
  <c r="B54" i="4" s="1"/>
  <c r="D53" i="4"/>
  <c r="C53" i="4"/>
  <c r="D52" i="4"/>
  <c r="C52" i="4"/>
  <c r="D51" i="4"/>
  <c r="C51" i="4"/>
  <c r="D46" i="4"/>
  <c r="C46" i="4"/>
  <c r="D45" i="4"/>
  <c r="C45" i="4"/>
  <c r="D44" i="4"/>
  <c r="C44" i="4"/>
  <c r="D43" i="4"/>
  <c r="C43" i="4"/>
  <c r="D42" i="4"/>
  <c r="C42" i="4"/>
  <c r="D41" i="4"/>
  <c r="C41" i="4"/>
  <c r="D36" i="4"/>
  <c r="C36" i="4"/>
  <c r="D35" i="4"/>
  <c r="C35" i="4"/>
  <c r="D34" i="4"/>
  <c r="C34" i="4"/>
  <c r="D33" i="4"/>
  <c r="C33" i="4"/>
  <c r="D32" i="4"/>
  <c r="C32" i="4"/>
  <c r="D31" i="4"/>
  <c r="C31" i="4"/>
  <c r="D26" i="4"/>
  <c r="C26" i="4"/>
  <c r="D25" i="4"/>
  <c r="C25" i="4"/>
  <c r="D24" i="4"/>
  <c r="C24" i="4"/>
  <c r="D23" i="4"/>
  <c r="C23" i="4"/>
  <c r="D22" i="4"/>
  <c r="C22" i="4"/>
  <c r="D21" i="4"/>
  <c r="C21" i="4"/>
  <c r="D20" i="4"/>
  <c r="C20" i="4"/>
  <c r="D15" i="4"/>
  <c r="C15" i="4"/>
  <c r="D14" i="4"/>
  <c r="C14" i="4"/>
  <c r="B14" i="4" s="1"/>
  <c r="D13" i="4"/>
  <c r="C13" i="4"/>
  <c r="D12" i="4"/>
  <c r="C12" i="4"/>
  <c r="C113" i="4" l="1"/>
  <c r="E106" i="4"/>
  <c r="CN54" i="4"/>
  <c r="CB54" i="4"/>
  <c r="V398" i="29"/>
  <c r="B22" i="4"/>
  <c r="CN22" i="4" s="1"/>
  <c r="B56" i="4"/>
  <c r="B46" i="4"/>
  <c r="V403" i="29"/>
  <c r="V402" i="29"/>
  <c r="V400" i="29"/>
  <c r="V396" i="29"/>
  <c r="V397" i="29"/>
  <c r="V394" i="29"/>
  <c r="B211" i="4"/>
  <c r="CB211" i="4" s="1"/>
  <c r="C130" i="4"/>
  <c r="CP130" i="4" s="1"/>
  <c r="B32" i="4"/>
  <c r="CM32" i="4" s="1"/>
  <c r="B52" i="4"/>
  <c r="B41" i="4"/>
  <c r="CN41" i="4" s="1"/>
  <c r="B75" i="4"/>
  <c r="CN195" i="4"/>
  <c r="CE195" i="4"/>
  <c r="CA195" i="4"/>
  <c r="CO195" i="4"/>
  <c r="CP195" i="4"/>
  <c r="CM195" i="4"/>
  <c r="CD195" i="4"/>
  <c r="CC195" i="4"/>
  <c r="CB195" i="4"/>
  <c r="CQ195" i="4"/>
  <c r="B214" i="4"/>
  <c r="B215" i="4"/>
  <c r="CE131" i="4"/>
  <c r="CB131" i="4"/>
  <c r="CA131" i="4"/>
  <c r="CC131" i="4"/>
  <c r="CF131" i="4"/>
  <c r="CM131" i="4"/>
  <c r="CN131" i="4"/>
  <c r="CO131" i="4"/>
  <c r="CP131" i="4"/>
  <c r="CQ131" i="4"/>
  <c r="CR131" i="4"/>
  <c r="CA108" i="4"/>
  <c r="CB108" i="4"/>
  <c r="CM108" i="4"/>
  <c r="CN108" i="4"/>
  <c r="CM141" i="4"/>
  <c r="CA141" i="4"/>
  <c r="K141" i="4" s="1"/>
  <c r="CA63" i="4"/>
  <c r="CB63" i="4"/>
  <c r="CM63" i="4"/>
  <c r="CN63" i="4"/>
  <c r="CA109" i="4"/>
  <c r="CB109" i="4"/>
  <c r="CM109" i="4"/>
  <c r="CN109" i="4"/>
  <c r="CA142" i="4"/>
  <c r="K142" i="4" s="1"/>
  <c r="CM142" i="4"/>
  <c r="CR22" i="4"/>
  <c r="CE22" i="4"/>
  <c r="CF22" i="4"/>
  <c r="CA22" i="4"/>
  <c r="CB22" i="4"/>
  <c r="CM22" i="4"/>
  <c r="C110" i="4"/>
  <c r="D210" i="4"/>
  <c r="B210" i="4" s="1"/>
  <c r="B44" i="4"/>
  <c r="CA54" i="4"/>
  <c r="CM54" i="4"/>
  <c r="B45" i="4"/>
  <c r="CM46" i="4"/>
  <c r="CM113" i="4"/>
  <c r="CA113" i="4"/>
  <c r="AP113" i="4" s="1"/>
  <c r="CA56" i="4"/>
  <c r="CM56" i="4"/>
  <c r="B43" i="4"/>
  <c r="B23" i="4"/>
  <c r="B188" i="4"/>
  <c r="B35" i="4"/>
  <c r="CM35" i="4" s="1"/>
  <c r="CA14" i="4"/>
  <c r="AT14" i="4" s="1"/>
  <c r="CM14" i="4"/>
  <c r="B26" i="4"/>
  <c r="B191" i="4"/>
  <c r="B212" i="4"/>
  <c r="B66" i="4"/>
  <c r="C196" i="4"/>
  <c r="B13" i="4"/>
  <c r="B53" i="4"/>
  <c r="B20" i="4"/>
  <c r="C111" i="4"/>
  <c r="B101" i="4"/>
  <c r="B24" i="4"/>
  <c r="B62" i="4"/>
  <c r="C124" i="4"/>
  <c r="B189" i="4"/>
  <c r="B25" i="4"/>
  <c r="B190" i="4"/>
  <c r="B55" i="4"/>
  <c r="B74" i="4"/>
  <c r="B65" i="4"/>
  <c r="B42" i="4"/>
  <c r="CN42" i="4" s="1"/>
  <c r="B51" i="4"/>
  <c r="C123" i="4"/>
  <c r="B64" i="4"/>
  <c r="B15" i="4"/>
  <c r="B33" i="4"/>
  <c r="B61" i="4"/>
  <c r="B213" i="4"/>
  <c r="B34" i="4"/>
  <c r="D78" i="4"/>
  <c r="C125" i="4"/>
  <c r="B12" i="4"/>
  <c r="B76" i="4"/>
  <c r="C129" i="4"/>
  <c r="B31" i="4"/>
  <c r="C67" i="4"/>
  <c r="C78" i="4"/>
  <c r="B21" i="4"/>
  <c r="B36" i="4"/>
  <c r="D106" i="4"/>
  <c r="C112" i="4"/>
  <c r="D67" i="4"/>
  <c r="C107" i="4"/>
  <c r="B72" i="4"/>
  <c r="CQ22" i="4" l="1"/>
  <c r="CG13" i="4"/>
  <c r="CS13" i="4"/>
  <c r="CS12" i="4"/>
  <c r="CG12" i="4"/>
  <c r="CC211" i="4"/>
  <c r="CP212" i="4"/>
  <c r="CD212" i="4"/>
  <c r="CM212" i="4"/>
  <c r="CN212" i="4"/>
  <c r="CA212" i="4"/>
  <c r="CB212" i="4"/>
  <c r="CO212" i="4"/>
  <c r="CC212" i="4"/>
  <c r="CD211" i="4"/>
  <c r="CA211" i="4"/>
  <c r="P211" i="4" s="1"/>
  <c r="CM213" i="4"/>
  <c r="CA213" i="4"/>
  <c r="CN213" i="4"/>
  <c r="CB213" i="4"/>
  <c r="CO213" i="4"/>
  <c r="CC213" i="4"/>
  <c r="CP213" i="4"/>
  <c r="CD213" i="4"/>
  <c r="CM215" i="4"/>
  <c r="CA215" i="4"/>
  <c r="CN215" i="4"/>
  <c r="CB215" i="4"/>
  <c r="CO215" i="4"/>
  <c r="CC215" i="4"/>
  <c r="CP215" i="4"/>
  <c r="CD215" i="4"/>
  <c r="CM214" i="4"/>
  <c r="CA214" i="4"/>
  <c r="CN214" i="4"/>
  <c r="CB214" i="4"/>
  <c r="CO214" i="4"/>
  <c r="CC214" i="4"/>
  <c r="CP214" i="4"/>
  <c r="CD214" i="4"/>
  <c r="CN130" i="4"/>
  <c r="CC130" i="4"/>
  <c r="CA130" i="4"/>
  <c r="CO130" i="4"/>
  <c r="CB130" i="4"/>
  <c r="CM130" i="4"/>
  <c r="CF130" i="4"/>
  <c r="CR130" i="4"/>
  <c r="CQ130" i="4"/>
  <c r="CE130" i="4"/>
  <c r="CB56" i="4"/>
  <c r="AO56" i="4" s="1"/>
  <c r="CN56" i="4"/>
  <c r="CN55" i="4"/>
  <c r="CB55" i="4"/>
  <c r="CN43" i="4"/>
  <c r="CB43" i="4"/>
  <c r="CA43" i="4"/>
  <c r="CN44" i="4"/>
  <c r="CA44" i="4"/>
  <c r="CB44" i="4"/>
  <c r="CB46" i="4"/>
  <c r="CN46" i="4"/>
  <c r="CA46" i="4"/>
  <c r="AO46" i="4" s="1"/>
  <c r="CN45" i="4"/>
  <c r="CA45" i="4"/>
  <c r="CB45" i="4"/>
  <c r="CC23" i="4"/>
  <c r="CO23" i="4"/>
  <c r="CC20" i="4"/>
  <c r="CO20" i="4"/>
  <c r="CC21" i="4"/>
  <c r="CO21" i="4"/>
  <c r="CC22" i="4"/>
  <c r="AS22" i="4" s="1"/>
  <c r="CO22" i="4"/>
  <c r="CB31" i="4"/>
  <c r="CN31" i="4"/>
  <c r="CB52" i="4"/>
  <c r="CN52" i="4"/>
  <c r="CN53" i="4"/>
  <c r="CB53" i="4"/>
  <c r="CB51" i="4"/>
  <c r="CN51" i="4"/>
  <c r="CM52" i="4"/>
  <c r="CA52" i="4"/>
  <c r="CA42" i="4"/>
  <c r="CB42" i="4"/>
  <c r="CA32" i="4"/>
  <c r="AO32" i="4" s="1"/>
  <c r="CA41" i="4"/>
  <c r="CB41" i="4"/>
  <c r="CM41" i="4"/>
  <c r="A248" i="4"/>
  <c r="CP211" i="4"/>
  <c r="CO211" i="4"/>
  <c r="CN211" i="4"/>
  <c r="CM211" i="4"/>
  <c r="AO54" i="4"/>
  <c r="CA35" i="4"/>
  <c r="AO35" i="4" s="1"/>
  <c r="AO63" i="4"/>
  <c r="CA124" i="4"/>
  <c r="CM124" i="4"/>
  <c r="CD12" i="4"/>
  <c r="CC12" i="4"/>
  <c r="CB12" i="4"/>
  <c r="CA12" i="4"/>
  <c r="CE12" i="4"/>
  <c r="CF12" i="4"/>
  <c r="CM44" i="4"/>
  <c r="CA24" i="4"/>
  <c r="CM24" i="4"/>
  <c r="CB24" i="4"/>
  <c r="CQ24" i="4"/>
  <c r="CR24" i="4"/>
  <c r="CN24" i="4"/>
  <c r="CF24" i="4"/>
  <c r="CE24" i="4"/>
  <c r="CP23" i="4"/>
  <c r="CM23" i="4"/>
  <c r="CN23" i="4"/>
  <c r="CQ23" i="4"/>
  <c r="CE23" i="4"/>
  <c r="CR23" i="4"/>
  <c r="CF23" i="4"/>
  <c r="CD23" i="4"/>
  <c r="CA23" i="4"/>
  <c r="CB23" i="4"/>
  <c r="AP108" i="4"/>
  <c r="CM125" i="4"/>
  <c r="CA125" i="4"/>
  <c r="CM43" i="4"/>
  <c r="CM53" i="4"/>
  <c r="CA53" i="4"/>
  <c r="CD196" i="4"/>
  <c r="CA196" i="4"/>
  <c r="CB196" i="4"/>
  <c r="CN196" i="4"/>
  <c r="CC196" i="4"/>
  <c r="CE196" i="4"/>
  <c r="CM196" i="4"/>
  <c r="CO196" i="4"/>
  <c r="CP196" i="4"/>
  <c r="CQ196" i="4"/>
  <c r="CB61" i="4"/>
  <c r="CA61" i="4"/>
  <c r="AO61" i="4" s="1"/>
  <c r="CN61" i="4"/>
  <c r="CM61" i="4"/>
  <c r="CE21" i="4"/>
  <c r="CF21" i="4"/>
  <c r="CA21" i="4"/>
  <c r="CR21" i="4"/>
  <c r="CM21" i="4"/>
  <c r="CB21" i="4"/>
  <c r="CD21" i="4"/>
  <c r="CN21" i="4"/>
  <c r="CP21" i="4"/>
  <c r="CQ21" i="4"/>
  <c r="AN195" i="4"/>
  <c r="CB26" i="4"/>
  <c r="CE26" i="4"/>
  <c r="CM26" i="4"/>
  <c r="CN26" i="4"/>
  <c r="CQ26" i="4"/>
  <c r="CR26" i="4"/>
  <c r="CA26" i="4"/>
  <c r="CF26" i="4"/>
  <c r="AL131" i="4"/>
  <c r="CA62" i="4"/>
  <c r="CB62" i="4"/>
  <c r="CN62" i="4"/>
  <c r="CM62" i="4"/>
  <c r="CA123" i="4"/>
  <c r="CM123" i="4"/>
  <c r="CM42" i="4"/>
  <c r="B78" i="4"/>
  <c r="AP109" i="4"/>
  <c r="CN64" i="4"/>
  <c r="CA64" i="4"/>
  <c r="CB64" i="4"/>
  <c r="CM64" i="4"/>
  <c r="CN107" i="4"/>
  <c r="CM107" i="4"/>
  <c r="CB107" i="4"/>
  <c r="CA107" i="4"/>
  <c r="CM110" i="4"/>
  <c r="CA110" i="4"/>
  <c r="AP110" i="4" s="1"/>
  <c r="CC129" i="4"/>
  <c r="CB129" i="4"/>
  <c r="CA129" i="4"/>
  <c r="CP129" i="4"/>
  <c r="CR129" i="4"/>
  <c r="CN129" i="4"/>
  <c r="CO129" i="4"/>
  <c r="CQ129" i="4"/>
  <c r="CM129" i="4"/>
  <c r="CF129" i="4"/>
  <c r="CE129" i="4"/>
  <c r="CM111" i="4"/>
  <c r="CA111" i="4"/>
  <c r="AP111" i="4" s="1"/>
  <c r="CP20" i="4"/>
  <c r="CF20" i="4"/>
  <c r="CA20" i="4"/>
  <c r="CQ20" i="4"/>
  <c r="CN20" i="4"/>
  <c r="CM20" i="4"/>
  <c r="CE20" i="4"/>
  <c r="CR20" i="4"/>
  <c r="CB20" i="4"/>
  <c r="CD20" i="4"/>
  <c r="CM51" i="4"/>
  <c r="CA51" i="4"/>
  <c r="CM65" i="4"/>
  <c r="CA65" i="4"/>
  <c r="CB65" i="4"/>
  <c r="CN65" i="4"/>
  <c r="CA55" i="4"/>
  <c r="CM55" i="4"/>
  <c r="CM45" i="4"/>
  <c r="CM112" i="4"/>
  <c r="CA112" i="4"/>
  <c r="AP112" i="4" s="1"/>
  <c r="CB25" i="4"/>
  <c r="CN25" i="4"/>
  <c r="CQ25" i="4"/>
  <c r="CM25" i="4"/>
  <c r="CR25" i="4"/>
  <c r="CA25" i="4"/>
  <c r="CE25" i="4"/>
  <c r="CF25" i="4"/>
  <c r="CM34" i="4"/>
  <c r="CA34" i="4"/>
  <c r="AO34" i="4" s="1"/>
  <c r="CM33" i="4"/>
  <c r="CA33" i="4"/>
  <c r="AO33" i="4" s="1"/>
  <c r="CM36" i="4"/>
  <c r="CA36" i="4"/>
  <c r="AO36" i="4" s="1"/>
  <c r="CM31" i="4"/>
  <c r="CA31" i="4"/>
  <c r="CR12" i="4"/>
  <c r="CQ12" i="4"/>
  <c r="CP12" i="4"/>
  <c r="CO12" i="4"/>
  <c r="CN12" i="4"/>
  <c r="CM12" i="4"/>
  <c r="CA15" i="4"/>
  <c r="AT15" i="4" s="1"/>
  <c r="CM15" i="4"/>
  <c r="CB13" i="4"/>
  <c r="CC13" i="4"/>
  <c r="CD13" i="4"/>
  <c r="CE13" i="4"/>
  <c r="CF13" i="4"/>
  <c r="CM13" i="4"/>
  <c r="CP13" i="4"/>
  <c r="CA13" i="4"/>
  <c r="CN13" i="4"/>
  <c r="CO13" i="4"/>
  <c r="CQ13" i="4"/>
  <c r="CR13" i="4"/>
  <c r="B67" i="4"/>
  <c r="C106" i="4"/>
  <c r="A232" i="4" s="1"/>
  <c r="B232" i="4"/>
  <c r="AL130" i="4" l="1"/>
  <c r="P213" i="4"/>
  <c r="P215" i="4"/>
  <c r="P212" i="4"/>
  <c r="P214" i="4"/>
  <c r="AP107" i="4"/>
  <c r="AO62" i="4"/>
  <c r="AO52" i="4"/>
  <c r="AO31" i="4"/>
  <c r="AO41" i="4"/>
  <c r="B248" i="4"/>
  <c r="AO43" i="4"/>
  <c r="AO45" i="4"/>
  <c r="AO51" i="4"/>
  <c r="AS21" i="4"/>
  <c r="AS24" i="4"/>
  <c r="AL129" i="4"/>
  <c r="AO44" i="4"/>
  <c r="AO65" i="4"/>
  <c r="AS26" i="4"/>
  <c r="AO55" i="4"/>
  <c r="AS23" i="4"/>
  <c r="AO42" i="4"/>
  <c r="AN196" i="4"/>
  <c r="AO64" i="4"/>
  <c r="AS25" i="4"/>
  <c r="AS20" i="4"/>
  <c r="AO53" i="4"/>
  <c r="AT12" i="4"/>
  <c r="AT13" i="4"/>
  <c r="O162" i="46"/>
  <c r="N162" i="46"/>
  <c r="F146" i="46"/>
  <c r="B74" i="11"/>
  <c r="A5" i="11"/>
  <c r="K74" i="11"/>
  <c r="J74" i="11"/>
  <c r="I74" i="11"/>
  <c r="H74" i="11"/>
  <c r="G74" i="11"/>
  <c r="F74" i="11"/>
  <c r="E74" i="11"/>
  <c r="D74" i="11"/>
  <c r="C74" i="11"/>
  <c r="D56" i="11"/>
  <c r="C56" i="11"/>
  <c r="C51" i="11"/>
  <c r="C50" i="11"/>
  <c r="C49" i="11"/>
  <c r="C48" i="11"/>
  <c r="C46" i="11"/>
  <c r="C45" i="11"/>
  <c r="C43" i="11"/>
  <c r="C42" i="11"/>
  <c r="C40" i="11"/>
  <c r="F34" i="11"/>
  <c r="E34" i="11"/>
  <c r="D34" i="11" s="1"/>
  <c r="F33" i="11"/>
  <c r="D33" i="11" s="1"/>
  <c r="E33" i="11"/>
  <c r="F32" i="11"/>
  <c r="E32" i="11"/>
  <c r="F31" i="11"/>
  <c r="E31" i="11"/>
  <c r="F30" i="11"/>
  <c r="E30" i="11"/>
  <c r="D30" i="11" s="1"/>
  <c r="F29" i="11"/>
  <c r="E29" i="11"/>
  <c r="F28" i="11"/>
  <c r="E28" i="11"/>
  <c r="F27" i="11"/>
  <c r="E27" i="11"/>
  <c r="F26" i="11"/>
  <c r="E26" i="11"/>
  <c r="F25" i="11"/>
  <c r="E25" i="11"/>
  <c r="F24" i="11"/>
  <c r="E24" i="11"/>
  <c r="F23" i="11"/>
  <c r="E23" i="11"/>
  <c r="F22" i="11"/>
  <c r="E22" i="11"/>
  <c r="D22" i="11" s="1"/>
  <c r="F21" i="11"/>
  <c r="E21" i="11"/>
  <c r="F20" i="11"/>
  <c r="E20" i="11"/>
  <c r="F19" i="11"/>
  <c r="E19" i="11"/>
  <c r="F18" i="11"/>
  <c r="E18" i="11"/>
  <c r="D18" i="11" s="1"/>
  <c r="F17" i="11"/>
  <c r="E17" i="11"/>
  <c r="F16" i="11"/>
  <c r="E16" i="11"/>
  <c r="F15" i="11"/>
  <c r="E15" i="11"/>
  <c r="F14" i="11"/>
  <c r="E14" i="11"/>
  <c r="F13" i="11"/>
  <c r="E13" i="11"/>
  <c r="D13" i="11" s="1"/>
  <c r="F12" i="11"/>
  <c r="E12" i="11"/>
  <c r="CM45" i="11" l="1"/>
  <c r="CN45" i="11"/>
  <c r="CN46" i="11"/>
  <c r="CM46" i="11"/>
  <c r="CM49" i="11"/>
  <c r="CN49" i="11"/>
  <c r="BZ49" i="11" a="1"/>
  <c r="BZ49" i="11" s="1"/>
  <c r="CA49" i="11"/>
  <c r="CM48" i="11"/>
  <c r="CN48" i="11"/>
  <c r="CA48" i="11"/>
  <c r="BZ48" i="11" a="1"/>
  <c r="BZ48" i="11" s="1"/>
  <c r="CD45" i="11"/>
  <c r="CJ45" i="11"/>
  <c r="CA45" i="11"/>
  <c r="BZ51" i="11" a="1"/>
  <c r="BZ51" i="11" s="1"/>
  <c r="CA51" i="11"/>
  <c r="D17" i="11"/>
  <c r="D19" i="11"/>
  <c r="D25" i="11"/>
  <c r="CD13" i="11"/>
  <c r="CJ13" i="11"/>
  <c r="CK13" i="11"/>
  <c r="CM13" i="11"/>
  <c r="CA13" i="11"/>
  <c r="CL13" i="11"/>
  <c r="CB13" i="11"/>
  <c r="CC13" i="11"/>
  <c r="CD17" i="11"/>
  <c r="CJ17" i="11"/>
  <c r="CL17" i="11"/>
  <c r="CK17" i="11"/>
  <c r="CM17" i="11"/>
  <c r="CA17" i="11"/>
  <c r="CC17" i="11"/>
  <c r="CB17" i="11"/>
  <c r="CD25" i="11"/>
  <c r="CJ25" i="11"/>
  <c r="CK25" i="11"/>
  <c r="CL25" i="11"/>
  <c r="CM25" i="11"/>
  <c r="CA25" i="11"/>
  <c r="CB25" i="11"/>
  <c r="CC25" i="11"/>
  <c r="CA46" i="11"/>
  <c r="CD46" i="11"/>
  <c r="CE46" i="11"/>
  <c r="CI46" i="11" a="1"/>
  <c r="CI46" i="11" s="1"/>
  <c r="BU46" i="11" s="1"/>
  <c r="CJ46" i="11"/>
  <c r="BZ46" i="11" a="1"/>
  <c r="BZ46" i="11" s="1"/>
  <c r="CM22" i="11"/>
  <c r="CC22" i="11"/>
  <c r="CA22" i="11"/>
  <c r="CB22" i="11"/>
  <c r="CD22" i="11"/>
  <c r="CJ22" i="11"/>
  <c r="CK22" i="11"/>
  <c r="CL22" i="11"/>
  <c r="CM30" i="11"/>
  <c r="CC30" i="11"/>
  <c r="CA30" i="11"/>
  <c r="CB30" i="11"/>
  <c r="CD30" i="11"/>
  <c r="CJ30" i="11"/>
  <c r="CK30" i="11"/>
  <c r="CL30" i="11"/>
  <c r="CD34" i="11"/>
  <c r="CJ34" i="11"/>
  <c r="CK34" i="11"/>
  <c r="CM34" i="11"/>
  <c r="CC34" i="11"/>
  <c r="CA34" i="11"/>
  <c r="CB34" i="11"/>
  <c r="CL34" i="11"/>
  <c r="CJ48" i="11"/>
  <c r="CI48" i="11" a="1"/>
  <c r="CI48" i="11" s="1"/>
  <c r="BU48" i="11" s="1"/>
  <c r="CD48" i="11"/>
  <c r="CE48" i="11"/>
  <c r="CM18" i="11"/>
  <c r="CA18" i="11"/>
  <c r="CC18" i="11"/>
  <c r="CB18" i="11"/>
  <c r="CD18" i="11"/>
  <c r="CJ18" i="11"/>
  <c r="CL18" i="11"/>
  <c r="CK18" i="11"/>
  <c r="CD19" i="11"/>
  <c r="CJ19" i="11"/>
  <c r="CK19" i="11"/>
  <c r="CM19" i="11"/>
  <c r="CA19" i="11"/>
  <c r="CB19" i="11"/>
  <c r="CC19" i="11"/>
  <c r="CL19" i="11"/>
  <c r="CJ49" i="11"/>
  <c r="CE49" i="11"/>
  <c r="CD49" i="11"/>
  <c r="CI49" i="11" a="1"/>
  <c r="CI49" i="11" s="1"/>
  <c r="BU49" i="11" s="1"/>
  <c r="D27" i="11"/>
  <c r="CD40" i="11"/>
  <c r="CE40" i="11"/>
  <c r="CJ40" i="11"/>
  <c r="BZ40" i="11" a="1"/>
  <c r="BZ40" i="11" s="1"/>
  <c r="CA40" i="11"/>
  <c r="CB40" i="11"/>
  <c r="CI40" i="11" a="1"/>
  <c r="CI40" i="11" s="1"/>
  <c r="CC40" i="11"/>
  <c r="CI50" i="11" a="1"/>
  <c r="CI50" i="11" s="1"/>
  <c r="BU50" i="11" s="1"/>
  <c r="CJ50" i="11"/>
  <c r="CD50" i="11"/>
  <c r="CE50" i="11"/>
  <c r="BZ42" i="11" a="1"/>
  <c r="BZ42" i="11" s="1"/>
  <c r="CD42" i="11"/>
  <c r="CI42" i="11" a="1"/>
  <c r="CI42" i="11" s="1"/>
  <c r="CE42" i="11"/>
  <c r="CJ42" i="11"/>
  <c r="CD51" i="11"/>
  <c r="CJ51" i="11"/>
  <c r="CE51" i="11"/>
  <c r="CI51" i="11" a="1"/>
  <c r="CI51" i="11" s="1"/>
  <c r="BU51" i="11" s="1"/>
  <c r="CI43" i="11" a="1"/>
  <c r="CI43" i="11" s="1"/>
  <c r="CJ43" i="11"/>
  <c r="BZ43" i="11" a="1"/>
  <c r="BZ43" i="11" s="1"/>
  <c r="CA43" i="11"/>
  <c r="CD43" i="11"/>
  <c r="AX43" i="11" s="1"/>
  <c r="CE43" i="11"/>
  <c r="BZ44" i="11" a="1"/>
  <c r="BZ44" i="11" s="1"/>
  <c r="CD44" i="11"/>
  <c r="AX44" i="11" s="1"/>
  <c r="CE44" i="11"/>
  <c r="CI44" i="11" a="1"/>
  <c r="CI44" i="11" s="1"/>
  <c r="D14" i="11"/>
  <c r="CI45" i="11" a="1"/>
  <c r="CI45" i="11" s="1"/>
  <c r="BU45" i="11" s="1"/>
  <c r="BZ45" i="11" a="1"/>
  <c r="BZ45" i="11" s="1"/>
  <c r="CE45" i="11"/>
  <c r="CB33" i="11"/>
  <c r="CK33" i="11"/>
  <c r="CC33" i="11"/>
  <c r="CL33" i="11"/>
  <c r="CD33" i="11"/>
  <c r="CM33" i="11"/>
  <c r="CA33" i="11"/>
  <c r="CJ33" i="11"/>
  <c r="D29" i="11"/>
  <c r="D26" i="11"/>
  <c r="D21" i="11"/>
  <c r="D16" i="11"/>
  <c r="D24" i="11"/>
  <c r="D32" i="11"/>
  <c r="D15" i="11"/>
  <c r="D23" i="11"/>
  <c r="D31" i="11"/>
  <c r="D12" i="11"/>
  <c r="D20" i="11"/>
  <c r="D28" i="11"/>
  <c r="AX49" i="11" l="1"/>
  <c r="AX46" i="11"/>
  <c r="B101" i="11"/>
  <c r="AX48" i="11"/>
  <c r="AX42" i="11"/>
  <c r="AX40" i="11"/>
  <c r="AX45" i="11"/>
  <c r="CM28" i="11"/>
  <c r="CA28" i="11"/>
  <c r="CB28" i="11"/>
  <c r="CC28" i="11"/>
  <c r="CD28" i="11"/>
  <c r="CJ28" i="11"/>
  <c r="CL28" i="11"/>
  <c r="CK28" i="11"/>
  <c r="CM20" i="11"/>
  <c r="CA20" i="11"/>
  <c r="CC20" i="11"/>
  <c r="CB20" i="11"/>
  <c r="CD20" i="11"/>
  <c r="CJ20" i="11"/>
  <c r="CL20" i="11"/>
  <c r="CK20" i="11"/>
  <c r="CM14" i="11"/>
  <c r="CA14" i="11"/>
  <c r="CC14" i="11"/>
  <c r="CB14" i="11"/>
  <c r="CD14" i="11"/>
  <c r="CJ14" i="11"/>
  <c r="CK14" i="11"/>
  <c r="CL14" i="11"/>
  <c r="CD29" i="11"/>
  <c r="CJ29" i="11"/>
  <c r="CL29" i="11"/>
  <c r="CK29" i="11"/>
  <c r="CM29" i="11"/>
  <c r="CA29" i="11"/>
  <c r="CB29" i="11"/>
  <c r="CC29" i="11"/>
  <c r="AS29" i="11" s="1"/>
  <c r="CD31" i="11"/>
  <c r="CJ31" i="11"/>
  <c r="CK31" i="11"/>
  <c r="CM31" i="11"/>
  <c r="CA31" i="11"/>
  <c r="CC31" i="11"/>
  <c r="CL31" i="11"/>
  <c r="CB31" i="11"/>
  <c r="CM16" i="11"/>
  <c r="CA16" i="11"/>
  <c r="CB16" i="11"/>
  <c r="CC16" i="11"/>
  <c r="CD16" i="11"/>
  <c r="CJ16" i="11"/>
  <c r="CL16" i="11"/>
  <c r="CK16" i="11"/>
  <c r="A101" i="11"/>
  <c r="E30" i="18" s="1"/>
  <c r="CD23" i="11"/>
  <c r="CL23" i="11"/>
  <c r="CJ23" i="11"/>
  <c r="CK23" i="11"/>
  <c r="CM23" i="11"/>
  <c r="CA23" i="11"/>
  <c r="CB23" i="11"/>
  <c r="CC23" i="11"/>
  <c r="CM26" i="11"/>
  <c r="CA26" i="11"/>
  <c r="CC26" i="11"/>
  <c r="CB26" i="11"/>
  <c r="CD26" i="11"/>
  <c r="CJ26" i="11"/>
  <c r="CL26" i="11"/>
  <c r="CK26" i="11"/>
  <c r="CD15" i="11"/>
  <c r="CL15" i="11"/>
  <c r="CJ15" i="11"/>
  <c r="CK15" i="11"/>
  <c r="CM15" i="11"/>
  <c r="CA15" i="11"/>
  <c r="CB15" i="11"/>
  <c r="CC15" i="11"/>
  <c r="CM32" i="11"/>
  <c r="CA32" i="11"/>
  <c r="CC32" i="11"/>
  <c r="CB32" i="11"/>
  <c r="CD32" i="11"/>
  <c r="CJ32" i="11"/>
  <c r="CL32" i="11"/>
  <c r="CK32" i="11"/>
  <c r="CM24" i="11"/>
  <c r="CC24" i="11"/>
  <c r="CA24" i="11"/>
  <c r="CB24" i="11"/>
  <c r="CD24" i="11"/>
  <c r="CJ24" i="11"/>
  <c r="CL24" i="11"/>
  <c r="CK24" i="11"/>
  <c r="CD21" i="11"/>
  <c r="CJ21" i="11"/>
  <c r="CK21" i="11"/>
  <c r="CM21" i="11"/>
  <c r="CA21" i="11"/>
  <c r="CC21" i="11"/>
  <c r="AS21" i="11" s="1"/>
  <c r="CL21" i="11"/>
  <c r="CB21" i="11"/>
  <c r="CD27" i="11"/>
  <c r="CJ27" i="11"/>
  <c r="CK27" i="11"/>
  <c r="CM27" i="11"/>
  <c r="CA27" i="11"/>
  <c r="CC27" i="11"/>
  <c r="CL27" i="11"/>
  <c r="CB27" i="11"/>
  <c r="CM12" i="11"/>
  <c r="CD12" i="11"/>
  <c r="CK12" i="11"/>
  <c r="CL12" i="11"/>
  <c r="CC12" i="11"/>
  <c r="CJ12" i="11"/>
  <c r="CA12" i="11"/>
  <c r="CB12" i="11"/>
  <c r="AS22" i="11"/>
  <c r="AS19" i="11"/>
  <c r="AS25" i="11"/>
  <c r="AS33" i="11"/>
  <c r="AS18" i="11"/>
  <c r="AS14" i="11"/>
  <c r="BU40" i="11"/>
  <c r="AS26" i="11"/>
  <c r="AS17" i="11"/>
  <c r="AS30" i="11"/>
  <c r="BU44" i="11"/>
  <c r="BU42" i="11"/>
  <c r="BU43" i="11"/>
  <c r="AS13" i="11"/>
  <c r="AS34" i="11"/>
  <c r="AS27" i="11" l="1"/>
  <c r="D30" i="18"/>
  <c r="AS15" i="11"/>
  <c r="AS31" i="11"/>
  <c r="AS24" i="11"/>
  <c r="AS32" i="11"/>
  <c r="AS23" i="11"/>
  <c r="AS16" i="11"/>
  <c r="BU41" i="11"/>
  <c r="AS28" i="11"/>
  <c r="AS20" i="11"/>
  <c r="K99" i="38" l="1"/>
  <c r="R123" i="38"/>
  <c r="Q123" i="38"/>
  <c r="P123" i="38"/>
  <c r="O123" i="38"/>
  <c r="N123" i="38"/>
  <c r="M123" i="38"/>
  <c r="L123" i="38"/>
  <c r="K123" i="38"/>
  <c r="J123" i="38"/>
  <c r="I123" i="38"/>
  <c r="H123" i="38"/>
  <c r="G123" i="38"/>
  <c r="F123" i="38"/>
  <c r="E123" i="38"/>
  <c r="D123" i="38"/>
  <c r="C122" i="38"/>
  <c r="C121" i="38"/>
  <c r="C120" i="38"/>
  <c r="C119" i="38"/>
  <c r="C118" i="38"/>
  <c r="C117" i="38"/>
  <c r="C116" i="38"/>
  <c r="C115" i="38"/>
  <c r="C114" i="38"/>
  <c r="S109" i="38"/>
  <c r="R109" i="38"/>
  <c r="P109" i="38"/>
  <c r="O109" i="38"/>
  <c r="N109" i="38"/>
  <c r="M109" i="38"/>
  <c r="L109" i="38"/>
  <c r="J109" i="38"/>
  <c r="I109" i="38"/>
  <c r="H109" i="38"/>
  <c r="G109" i="38"/>
  <c r="F109" i="38"/>
  <c r="D109" i="38"/>
  <c r="K108" i="38"/>
  <c r="K107" i="38"/>
  <c r="K106" i="38"/>
  <c r="K105" i="38"/>
  <c r="K104" i="38"/>
  <c r="K103" i="38"/>
  <c r="K102" i="38"/>
  <c r="B109" i="38"/>
  <c r="K101" i="38"/>
  <c r="K100" i="38"/>
  <c r="K98" i="38"/>
  <c r="K97" i="38"/>
  <c r="R92" i="38"/>
  <c r="Q92" i="38"/>
  <c r="P92" i="38"/>
  <c r="O92" i="38"/>
  <c r="N92" i="38"/>
  <c r="M92" i="38"/>
  <c r="L92" i="38"/>
  <c r="K92" i="38"/>
  <c r="J92" i="38"/>
  <c r="I92" i="38"/>
  <c r="H92" i="38"/>
  <c r="G92" i="38"/>
  <c r="F92" i="38"/>
  <c r="E92" i="38"/>
  <c r="D92" i="38"/>
  <c r="B92" i="38"/>
  <c r="C91" i="38"/>
  <c r="C90" i="38"/>
  <c r="C89" i="38"/>
  <c r="C88" i="38"/>
  <c r="C87" i="38"/>
  <c r="C86" i="38"/>
  <c r="C85" i="38"/>
  <c r="C84" i="38"/>
  <c r="C83" i="38"/>
  <c r="C81" i="38"/>
  <c r="C80" i="38"/>
  <c r="C79" i="38"/>
  <c r="C78" i="38"/>
  <c r="W74" i="38"/>
  <c r="V74" i="38"/>
  <c r="U74" i="38"/>
  <c r="T74" i="38"/>
  <c r="S74" i="38"/>
  <c r="R74" i="38"/>
  <c r="P74" i="38"/>
  <c r="O74" i="38"/>
  <c r="N74" i="38" s="1"/>
  <c r="M74" i="38"/>
  <c r="L74" i="38"/>
  <c r="K74" i="38"/>
  <c r="J74" i="38"/>
  <c r="I74" i="38"/>
  <c r="H74" i="38"/>
  <c r="G74" i="38"/>
  <c r="F74" i="38"/>
  <c r="E74" i="38"/>
  <c r="D74" i="38"/>
  <c r="C74" i="38"/>
  <c r="N70" i="38"/>
  <c r="N69" i="38"/>
  <c r="N68" i="38"/>
  <c r="N64" i="38"/>
  <c r="N63" i="38"/>
  <c r="N62" i="38"/>
  <c r="B51" i="38"/>
  <c r="B50" i="38"/>
  <c r="B49" i="38"/>
  <c r="B48" i="38"/>
  <c r="B47" i="38"/>
  <c r="B46" i="38"/>
  <c r="B45" i="38"/>
  <c r="B44" i="38"/>
  <c r="B43" i="38"/>
  <c r="B42" i="38"/>
  <c r="B41" i="38"/>
  <c r="B40" i="38"/>
  <c r="B39" i="38"/>
  <c r="B38" i="38"/>
  <c r="B37" i="38"/>
  <c r="B36" i="38"/>
  <c r="B35" i="38"/>
  <c r="B34" i="38"/>
  <c r="B33" i="38"/>
  <c r="B32" i="38"/>
  <c r="B31" i="38"/>
  <c r="B30" i="38"/>
  <c r="B29" i="38"/>
  <c r="B28" i="38"/>
  <c r="B27" i="38"/>
  <c r="B26" i="38"/>
  <c r="B25" i="38"/>
  <c r="B24" i="38"/>
  <c r="B23" i="38"/>
  <c r="B22" i="38"/>
  <c r="B21" i="38"/>
  <c r="B20" i="38"/>
  <c r="B19" i="38"/>
  <c r="B18" i="38"/>
  <c r="B17" i="38"/>
  <c r="B16" i="38"/>
  <c r="B15" i="38"/>
  <c r="B14" i="38"/>
  <c r="B13" i="38"/>
  <c r="R11" i="38"/>
  <c r="Q11" i="38"/>
  <c r="P11" i="38"/>
  <c r="O11" i="38"/>
  <c r="N11" i="38"/>
  <c r="M11" i="38"/>
  <c r="L11" i="38"/>
  <c r="K11" i="38"/>
  <c r="J11" i="38"/>
  <c r="I11" i="38"/>
  <c r="H11" i="38"/>
  <c r="G11" i="38"/>
  <c r="F11" i="38"/>
  <c r="E11" i="38"/>
  <c r="D11" i="38"/>
  <c r="AL180" i="37"/>
  <c r="AK180" i="37"/>
  <c r="AJ180" i="37"/>
  <c r="AI180" i="37"/>
  <c r="AH180" i="37"/>
  <c r="AG180" i="37"/>
  <c r="AF180" i="37"/>
  <c r="AE180" i="37"/>
  <c r="AD180" i="37"/>
  <c r="AC180" i="37"/>
  <c r="AB180" i="37"/>
  <c r="AA180" i="37"/>
  <c r="Z180" i="37"/>
  <c r="Y180" i="37"/>
  <c r="X180" i="37"/>
  <c r="W180" i="37"/>
  <c r="V180" i="37"/>
  <c r="U180" i="37"/>
  <c r="T180" i="37"/>
  <c r="S180" i="37"/>
  <c r="R180" i="37"/>
  <c r="Q180" i="37"/>
  <c r="P180" i="37"/>
  <c r="O180" i="37"/>
  <c r="N180" i="37"/>
  <c r="M180" i="37"/>
  <c r="L180" i="37"/>
  <c r="K180" i="37"/>
  <c r="J180" i="37"/>
  <c r="I180" i="37"/>
  <c r="H180" i="37"/>
  <c r="G180" i="37"/>
  <c r="F180" i="37"/>
  <c r="E180" i="37"/>
  <c r="D179" i="37"/>
  <c r="C179" i="37"/>
  <c r="B179" i="37" s="1"/>
  <c r="D178" i="37"/>
  <c r="C178" i="37"/>
  <c r="B178" i="37" s="1"/>
  <c r="D177" i="37"/>
  <c r="C177" i="37"/>
  <c r="B177" i="37" s="1"/>
  <c r="D176" i="37"/>
  <c r="C176" i="37"/>
  <c r="B164" i="37"/>
  <c r="B163" i="37"/>
  <c r="B162" i="37"/>
  <c r="B161" i="37"/>
  <c r="B160" i="37"/>
  <c r="B159" i="37"/>
  <c r="C148" i="37"/>
  <c r="C147" i="37"/>
  <c r="C146" i="37"/>
  <c r="C145" i="37"/>
  <c r="C144" i="37"/>
  <c r="C143" i="37"/>
  <c r="C142" i="37"/>
  <c r="C141" i="37"/>
  <c r="C140" i="37"/>
  <c r="C139" i="37"/>
  <c r="C138" i="37"/>
  <c r="C137" i="37"/>
  <c r="C136" i="37"/>
  <c r="C135" i="37"/>
  <c r="C134" i="37"/>
  <c r="C133" i="37"/>
  <c r="C132" i="37"/>
  <c r="C131" i="37"/>
  <c r="C130" i="37"/>
  <c r="C129" i="37"/>
  <c r="CA129" i="37" s="1"/>
  <c r="CK124" i="37"/>
  <c r="CJ124" i="37"/>
  <c r="CB124" i="37"/>
  <c r="CA124" i="37"/>
  <c r="E124" i="37"/>
  <c r="D124" i="37"/>
  <c r="C124" i="37" s="1"/>
  <c r="CL124" i="37" s="1"/>
  <c r="CK123" i="37"/>
  <c r="CJ123" i="37"/>
  <c r="CB123" i="37"/>
  <c r="CA123" i="37"/>
  <c r="E123" i="37"/>
  <c r="D123" i="37"/>
  <c r="CK122" i="37"/>
  <c r="CB122" i="37"/>
  <c r="E122" i="37"/>
  <c r="D122" i="37"/>
  <c r="C122" i="37" s="1"/>
  <c r="CJ117" i="37"/>
  <c r="CA117" i="37"/>
  <c r="E117" i="37" s="1"/>
  <c r="CJ115" i="37"/>
  <c r="CA115" i="37"/>
  <c r="E115" i="37" s="1"/>
  <c r="CJ114" i="37"/>
  <c r="CA114" i="37"/>
  <c r="E114" i="37" s="1"/>
  <c r="CJ113" i="37"/>
  <c r="E113" i="37"/>
  <c r="CJ110" i="37"/>
  <c r="CA110" i="37"/>
  <c r="E110" i="37" s="1"/>
  <c r="CJ109" i="37"/>
  <c r="CA109" i="37"/>
  <c r="E109" i="37" s="1"/>
  <c r="CA108" i="37"/>
  <c r="E108" i="37" s="1"/>
  <c r="E105" i="37"/>
  <c r="CJ105" i="37" s="1"/>
  <c r="D105" i="37"/>
  <c r="CK105" i="37" s="1"/>
  <c r="E104" i="37"/>
  <c r="CJ104" i="37" s="1"/>
  <c r="D104" i="37"/>
  <c r="CK104" i="37" s="1"/>
  <c r="E103" i="37"/>
  <c r="CJ103" i="37" s="1"/>
  <c r="D103" i="37"/>
  <c r="CK103" i="37" s="1"/>
  <c r="E102" i="37"/>
  <c r="CJ102" i="37" s="1"/>
  <c r="D102" i="37"/>
  <c r="CK102" i="37" s="1"/>
  <c r="CB101" i="37"/>
  <c r="E101" i="37"/>
  <c r="CJ101" i="37" s="1"/>
  <c r="D101" i="37"/>
  <c r="CK101" i="37" s="1"/>
  <c r="E100" i="37"/>
  <c r="CJ100" i="37" s="1"/>
  <c r="D100" i="37"/>
  <c r="CK100" i="37" s="1"/>
  <c r="E99" i="37"/>
  <c r="CJ99" i="37" s="1"/>
  <c r="D99" i="37"/>
  <c r="CK99" i="37" s="1"/>
  <c r="E98" i="37"/>
  <c r="CJ98" i="37" s="1"/>
  <c r="D98" i="37"/>
  <c r="CK98" i="37" s="1"/>
  <c r="E97" i="37"/>
  <c r="CJ97" i="37" s="1"/>
  <c r="D97" i="37"/>
  <c r="CK97" i="37" s="1"/>
  <c r="CB96" i="37"/>
  <c r="E96" i="37"/>
  <c r="CJ96" i="37" s="1"/>
  <c r="D96" i="37"/>
  <c r="CK96" i="37" s="1"/>
  <c r="E95" i="37"/>
  <c r="CJ95" i="37" s="1"/>
  <c r="D95" i="37"/>
  <c r="CK95" i="37" s="1"/>
  <c r="E94" i="37"/>
  <c r="CJ94" i="37" s="1"/>
  <c r="D94" i="37"/>
  <c r="CK94" i="37" s="1"/>
  <c r="CO89" i="37"/>
  <c r="CF89" i="37"/>
  <c r="E89" i="37"/>
  <c r="CK89" i="37" s="1"/>
  <c r="D89" i="37"/>
  <c r="CO88" i="37"/>
  <c r="CF88" i="37"/>
  <c r="E88" i="37"/>
  <c r="CB88" i="37" s="1"/>
  <c r="D88" i="37"/>
  <c r="CO87" i="37"/>
  <c r="CF87" i="37"/>
  <c r="E87" i="37"/>
  <c r="CK87" i="37" s="1"/>
  <c r="D87" i="37"/>
  <c r="CO86" i="37"/>
  <c r="CF86" i="37"/>
  <c r="E86" i="37"/>
  <c r="CB86" i="37" s="1"/>
  <c r="D86" i="37"/>
  <c r="CO85" i="37"/>
  <c r="CF85" i="37"/>
  <c r="E85" i="37"/>
  <c r="CB85" i="37" s="1"/>
  <c r="D85" i="37"/>
  <c r="E84" i="37"/>
  <c r="D84" i="37"/>
  <c r="E83" i="37"/>
  <c r="D83" i="37"/>
  <c r="E82" i="37"/>
  <c r="D82" i="37"/>
  <c r="CO81" i="37"/>
  <c r="CF81" i="37"/>
  <c r="E81" i="37"/>
  <c r="CB81" i="37" s="1"/>
  <c r="D81" i="37"/>
  <c r="CO80" i="37"/>
  <c r="CF80" i="37"/>
  <c r="E80" i="37"/>
  <c r="CB80" i="37" s="1"/>
  <c r="D80" i="37"/>
  <c r="C80" i="37" s="1"/>
  <c r="CO79" i="37"/>
  <c r="CF79" i="37"/>
  <c r="E79" i="37"/>
  <c r="D79" i="37"/>
  <c r="CO78" i="37"/>
  <c r="CF78" i="37"/>
  <c r="E78" i="37"/>
  <c r="CB78" i="37" s="1"/>
  <c r="CO77" i="37"/>
  <c r="CF77" i="37"/>
  <c r="E77" i="37"/>
  <c r="CK77" i="37" s="1"/>
  <c r="CO76" i="37"/>
  <c r="CF76" i="37"/>
  <c r="E76" i="37"/>
  <c r="CK76" i="37" s="1"/>
  <c r="CO75" i="37"/>
  <c r="CF75" i="37"/>
  <c r="E75" i="37"/>
  <c r="CO74" i="37"/>
  <c r="CF74" i="37"/>
  <c r="E74" i="37"/>
  <c r="C74" i="37" s="1"/>
  <c r="CD74" i="37" s="1"/>
  <c r="CO73" i="37"/>
  <c r="CF73" i="37"/>
  <c r="E73" i="37"/>
  <c r="D73" i="37"/>
  <c r="CO72" i="37"/>
  <c r="CF72" i="37"/>
  <c r="E72" i="37"/>
  <c r="CB72" i="37" s="1"/>
  <c r="D72" i="37"/>
  <c r="CC72" i="37" s="1"/>
  <c r="CO71" i="37"/>
  <c r="CF71" i="37"/>
  <c r="E71" i="37"/>
  <c r="D71" i="37"/>
  <c r="CO70" i="37"/>
  <c r="CF70" i="37"/>
  <c r="CC70" i="37"/>
  <c r="E70" i="37"/>
  <c r="CK70" i="37" s="1"/>
  <c r="D70" i="37"/>
  <c r="CL70" i="37" s="1"/>
  <c r="CO69" i="37"/>
  <c r="CF69" i="37"/>
  <c r="E69" i="37"/>
  <c r="CB69" i="37" s="1"/>
  <c r="D69" i="37"/>
  <c r="CO68" i="37"/>
  <c r="CF68" i="37"/>
  <c r="E68" i="37"/>
  <c r="CK68" i="37" s="1"/>
  <c r="D68" i="37"/>
  <c r="CC68" i="37" s="1"/>
  <c r="CO67" i="37"/>
  <c r="CF67" i="37"/>
  <c r="E67" i="37"/>
  <c r="CK67" i="37" s="1"/>
  <c r="D67" i="37"/>
  <c r="CO66" i="37"/>
  <c r="CF66" i="37"/>
  <c r="E66" i="37"/>
  <c r="CK66" i="37" s="1"/>
  <c r="D66" i="37"/>
  <c r="CC66" i="37" s="1"/>
  <c r="CO65" i="37"/>
  <c r="CF65" i="37"/>
  <c r="E65" i="37"/>
  <c r="D65" i="37"/>
  <c r="CO64" i="37"/>
  <c r="CF64" i="37"/>
  <c r="E64" i="37"/>
  <c r="CB64" i="37" s="1"/>
  <c r="D64" i="37"/>
  <c r="CC64" i="37" s="1"/>
  <c r="CO63" i="37"/>
  <c r="CF63" i="37"/>
  <c r="E63" i="37"/>
  <c r="CK63" i="37" s="1"/>
  <c r="D63" i="37"/>
  <c r="CL63" i="37" s="1"/>
  <c r="CO62" i="37"/>
  <c r="CF62" i="37"/>
  <c r="E62" i="37"/>
  <c r="CK62" i="37" s="1"/>
  <c r="D62" i="37"/>
  <c r="CO61" i="37"/>
  <c r="CF61" i="37"/>
  <c r="E61" i="37"/>
  <c r="CB61" i="37" s="1"/>
  <c r="D61" i="37"/>
  <c r="CL61" i="37" s="1"/>
  <c r="CO60" i="37"/>
  <c r="CF60" i="37"/>
  <c r="E60" i="37"/>
  <c r="CK60" i="37" s="1"/>
  <c r="D60" i="37"/>
  <c r="CO59" i="37"/>
  <c r="CF59" i="37"/>
  <c r="E59" i="37"/>
  <c r="CK59" i="37" s="1"/>
  <c r="D59" i="37"/>
  <c r="CL59" i="37" s="1"/>
  <c r="CO58" i="37"/>
  <c r="CF58" i="37"/>
  <c r="E58" i="37"/>
  <c r="CB58" i="37" s="1"/>
  <c r="D58" i="37"/>
  <c r="CO57" i="37"/>
  <c r="CF57" i="37"/>
  <c r="E57" i="37"/>
  <c r="CK57" i="37" s="1"/>
  <c r="D57" i="37"/>
  <c r="CL57" i="37" s="1"/>
  <c r="E56" i="37"/>
  <c r="D56" i="37"/>
  <c r="E55" i="37"/>
  <c r="CB55" i="37" s="1"/>
  <c r="D55" i="37"/>
  <c r="E54" i="37"/>
  <c r="D54" i="37"/>
  <c r="CC54" i="37" s="1"/>
  <c r="E53" i="37"/>
  <c r="C53" i="37" s="1"/>
  <c r="D53" i="37"/>
  <c r="CC53" i="37" s="1"/>
  <c r="E52" i="37"/>
  <c r="CK52" i="37" s="1"/>
  <c r="D52" i="37"/>
  <c r="CC52" i="37" s="1"/>
  <c r="E51" i="37"/>
  <c r="CK51" i="37" s="1"/>
  <c r="D51" i="37"/>
  <c r="C51" i="37" s="1"/>
  <c r="CG51" i="37" s="1"/>
  <c r="E50" i="37"/>
  <c r="CK50" i="37" s="1"/>
  <c r="D50" i="37"/>
  <c r="CC50" i="37" s="1"/>
  <c r="CK49" i="37"/>
  <c r="E49" i="37"/>
  <c r="CB49" i="37" s="1"/>
  <c r="D49" i="37"/>
  <c r="CC49" i="37" s="1"/>
  <c r="E48" i="37"/>
  <c r="D48" i="37"/>
  <c r="CL47" i="37"/>
  <c r="E47" i="37"/>
  <c r="CK47" i="37" s="1"/>
  <c r="D47" i="37"/>
  <c r="CC47" i="37" s="1"/>
  <c r="E46" i="37"/>
  <c r="CK46" i="37" s="1"/>
  <c r="D46" i="37"/>
  <c r="CL46" i="37" s="1"/>
  <c r="E45" i="37"/>
  <c r="CK45" i="37" s="1"/>
  <c r="D45" i="37"/>
  <c r="CC45" i="37" s="1"/>
  <c r="E44" i="37"/>
  <c r="CK44" i="37" s="1"/>
  <c r="D44" i="37"/>
  <c r="CL44" i="37" s="1"/>
  <c r="E43" i="37"/>
  <c r="CB43" i="37" s="1"/>
  <c r="D43" i="37"/>
  <c r="CC43" i="37" s="1"/>
  <c r="E42" i="37"/>
  <c r="CB42" i="37" s="1"/>
  <c r="D42" i="37"/>
  <c r="CL42" i="37" s="1"/>
  <c r="CL41" i="37"/>
  <c r="E41" i="37"/>
  <c r="CB41" i="37" s="1"/>
  <c r="D41" i="37"/>
  <c r="CC41" i="37" s="1"/>
  <c r="E40" i="37"/>
  <c r="CK40" i="37" s="1"/>
  <c r="D40" i="37"/>
  <c r="CC40" i="37" s="1"/>
  <c r="E39" i="37"/>
  <c r="CK39" i="37" s="1"/>
  <c r="D39" i="37"/>
  <c r="CC39" i="37" s="1"/>
  <c r="CK38" i="37"/>
  <c r="E38" i="37"/>
  <c r="D38" i="37"/>
  <c r="CC38" i="37" s="1"/>
  <c r="E37" i="37"/>
  <c r="CK37" i="37" s="1"/>
  <c r="D37" i="37"/>
  <c r="CL37" i="37" s="1"/>
  <c r="CB36" i="37"/>
  <c r="E36" i="37"/>
  <c r="CK36" i="37" s="1"/>
  <c r="D36" i="37"/>
  <c r="CC36" i="37" s="1"/>
  <c r="E35" i="37"/>
  <c r="CK35" i="37" s="1"/>
  <c r="D35" i="37"/>
  <c r="E34" i="37"/>
  <c r="CB34" i="37" s="1"/>
  <c r="D34" i="37"/>
  <c r="CC34" i="37" s="1"/>
  <c r="E33" i="37"/>
  <c r="CK33" i="37" s="1"/>
  <c r="D33" i="37"/>
  <c r="CL33" i="37" s="1"/>
  <c r="E32" i="37"/>
  <c r="CK32" i="37" s="1"/>
  <c r="D32" i="37"/>
  <c r="CC32" i="37" s="1"/>
  <c r="E31" i="37"/>
  <c r="CK31" i="37" s="1"/>
  <c r="D31" i="37"/>
  <c r="E30" i="37"/>
  <c r="CK30" i="37" s="1"/>
  <c r="D30" i="37"/>
  <c r="CC30" i="37" s="1"/>
  <c r="E29" i="37"/>
  <c r="CK29" i="37" s="1"/>
  <c r="D29" i="37"/>
  <c r="CL29" i="37" s="1"/>
  <c r="E28" i="37"/>
  <c r="CB28" i="37" s="1"/>
  <c r="D28" i="37"/>
  <c r="CC28" i="37" s="1"/>
  <c r="E27" i="37"/>
  <c r="CK27" i="37" s="1"/>
  <c r="D27" i="37"/>
  <c r="CL26" i="37"/>
  <c r="E26" i="37"/>
  <c r="C26" i="37" s="1"/>
  <c r="D26" i="37"/>
  <c r="CC26" i="37" s="1"/>
  <c r="E25" i="37"/>
  <c r="CK25" i="37" s="1"/>
  <c r="D25" i="37"/>
  <c r="CL25" i="37" s="1"/>
  <c r="E24" i="37"/>
  <c r="CB24" i="37" s="1"/>
  <c r="D24" i="37"/>
  <c r="CC24" i="37" s="1"/>
  <c r="E23" i="37"/>
  <c r="CK23" i="37" s="1"/>
  <c r="D23" i="37"/>
  <c r="E22" i="37"/>
  <c r="CB22" i="37" s="1"/>
  <c r="D22" i="37"/>
  <c r="CC22" i="37" s="1"/>
  <c r="E21" i="37"/>
  <c r="CK21" i="37" s="1"/>
  <c r="D21" i="37"/>
  <c r="CL21" i="37" s="1"/>
  <c r="CK20" i="37"/>
  <c r="E20" i="37"/>
  <c r="CB20" i="37" s="1"/>
  <c r="D20" i="37"/>
  <c r="CC20" i="37" s="1"/>
  <c r="C20" i="37"/>
  <c r="CN20" i="37" s="1"/>
  <c r="E19" i="37"/>
  <c r="CK19" i="37" s="1"/>
  <c r="D19" i="37"/>
  <c r="C19" i="37" s="1"/>
  <c r="CH19" i="37" s="1"/>
  <c r="E18" i="37"/>
  <c r="CB18" i="37" s="1"/>
  <c r="D18" i="37"/>
  <c r="CC18" i="37" s="1"/>
  <c r="E17" i="37"/>
  <c r="CK17" i="37" s="1"/>
  <c r="D17" i="37"/>
  <c r="E16" i="37"/>
  <c r="CK16" i="37" s="1"/>
  <c r="D16" i="37"/>
  <c r="CC16" i="37" s="1"/>
  <c r="E15" i="37"/>
  <c r="CK15" i="37" s="1"/>
  <c r="D15" i="37"/>
  <c r="CL15" i="37" s="1"/>
  <c r="E14" i="37"/>
  <c r="C14" i="37" s="1"/>
  <c r="CP14" i="37" s="1"/>
  <c r="D14" i="37"/>
  <c r="CC14" i="37" s="1"/>
  <c r="E13" i="37"/>
  <c r="D13" i="37"/>
  <c r="AW31" i="5"/>
  <c r="D69" i="5"/>
  <c r="C69" i="5"/>
  <c r="B68" i="5"/>
  <c r="B67" i="5"/>
  <c r="B66" i="5"/>
  <c r="B64" i="5"/>
  <c r="B122" i="5"/>
  <c r="B151" i="5"/>
  <c r="B150" i="5"/>
  <c r="B149" i="5"/>
  <c r="B148" i="5"/>
  <c r="B147" i="5"/>
  <c r="B146" i="5"/>
  <c r="B145" i="5"/>
  <c r="B144" i="5"/>
  <c r="B143" i="5"/>
  <c r="J152" i="5"/>
  <c r="I152" i="5"/>
  <c r="H152" i="5"/>
  <c r="G152" i="5"/>
  <c r="F152" i="5"/>
  <c r="E152" i="5"/>
  <c r="D152" i="5"/>
  <c r="C152" i="5"/>
  <c r="H122" i="5"/>
  <c r="F122" i="5"/>
  <c r="E122" i="5"/>
  <c r="D122" i="5"/>
  <c r="C122" i="5"/>
  <c r="N102" i="5"/>
  <c r="Q102" i="5"/>
  <c r="P102" i="5"/>
  <c r="O102" i="5"/>
  <c r="M102" i="5"/>
  <c r="L102" i="5"/>
  <c r="K102" i="5"/>
  <c r="B21" i="5"/>
  <c r="B22" i="5"/>
  <c r="B23" i="5"/>
  <c r="B24" i="5"/>
  <c r="B25" i="5"/>
  <c r="AC17" i="5"/>
  <c r="Z17" i="5"/>
  <c r="U17" i="5"/>
  <c r="P17" i="5"/>
  <c r="K17" i="5"/>
  <c r="G17" i="5"/>
  <c r="AC16" i="5"/>
  <c r="Z16" i="5"/>
  <c r="U16" i="5"/>
  <c r="P16" i="5"/>
  <c r="K16" i="5"/>
  <c r="G16" i="5"/>
  <c r="AC15" i="5"/>
  <c r="Z15" i="5"/>
  <c r="U15" i="5"/>
  <c r="P15" i="5"/>
  <c r="K15" i="5"/>
  <c r="G15" i="5"/>
  <c r="AC14" i="5"/>
  <c r="Z14" i="5"/>
  <c r="U14" i="5"/>
  <c r="P14" i="5"/>
  <c r="K14" i="5"/>
  <c r="G14" i="5"/>
  <c r="AE13" i="5"/>
  <c r="AD13" i="5"/>
  <c r="AB13" i="5"/>
  <c r="AA13" i="5"/>
  <c r="Y13" i="5"/>
  <c r="X13" i="5"/>
  <c r="W13" i="5"/>
  <c r="V13" i="5"/>
  <c r="T13" i="5"/>
  <c r="S13" i="5"/>
  <c r="R13" i="5"/>
  <c r="Q13" i="5"/>
  <c r="O13" i="5"/>
  <c r="N13" i="5"/>
  <c r="M13" i="5"/>
  <c r="L13" i="5"/>
  <c r="J13" i="5"/>
  <c r="I13" i="5"/>
  <c r="H13" i="5"/>
  <c r="F13" i="5"/>
  <c r="E13" i="5"/>
  <c r="D13" i="5"/>
  <c r="C13" i="5"/>
  <c r="B13" i="5"/>
  <c r="A5" i="5"/>
  <c r="B51" i="5"/>
  <c r="B52" i="5"/>
  <c r="B53" i="5"/>
  <c r="B57" i="5"/>
  <c r="B58" i="5"/>
  <c r="B59" i="5"/>
  <c r="E69" i="5"/>
  <c r="F69" i="5"/>
  <c r="G69" i="5"/>
  <c r="C80" i="5"/>
  <c r="C81" i="5"/>
  <c r="C82" i="5"/>
  <c r="C83" i="5"/>
  <c r="C84" i="5"/>
  <c r="BC89" i="5"/>
  <c r="B102" i="5"/>
  <c r="C102" i="5"/>
  <c r="D102" i="5"/>
  <c r="E102" i="5"/>
  <c r="F102" i="5"/>
  <c r="G102" i="5"/>
  <c r="H102" i="5"/>
  <c r="I102" i="5"/>
  <c r="B106" i="5"/>
  <c r="AT106" i="5" s="1"/>
  <c r="H106" i="5" s="1"/>
  <c r="B107" i="5"/>
  <c r="BC107" i="5" s="1"/>
  <c r="B108" i="5"/>
  <c r="BC108" i="5" s="1"/>
  <c r="B109" i="5"/>
  <c r="BC109" i="5" s="1"/>
  <c r="B110" i="5"/>
  <c r="AT110" i="5" s="1"/>
  <c r="H110" i="5" s="1"/>
  <c r="B111" i="5"/>
  <c r="BC111" i="5" s="1"/>
  <c r="B112" i="5"/>
  <c r="AT112" i="5" s="1"/>
  <c r="H112" i="5" s="1"/>
  <c r="B113" i="5"/>
  <c r="C114" i="5"/>
  <c r="D114" i="5"/>
  <c r="E114" i="5"/>
  <c r="F114" i="5"/>
  <c r="G114" i="5"/>
  <c r="BC118" i="5"/>
  <c r="H119" i="5"/>
  <c r="B114" i="28"/>
  <c r="B124" i="28"/>
  <c r="B123" i="28"/>
  <c r="B122" i="28"/>
  <c r="B107" i="28"/>
  <c r="B109" i="28"/>
  <c r="B108" i="28"/>
  <c r="B105" i="28"/>
  <c r="B104" i="28"/>
  <c r="B103" i="28"/>
  <c r="B102" i="28"/>
  <c r="B101" i="28"/>
  <c r="D48" i="28"/>
  <c r="C48" i="28"/>
  <c r="B205" i="45"/>
  <c r="CK49" i="45"/>
  <c r="E181" i="45"/>
  <c r="C179" i="45"/>
  <c r="B179" i="45" s="1"/>
  <c r="N181" i="45"/>
  <c r="M181" i="45"/>
  <c r="L181" i="45"/>
  <c r="K181" i="45"/>
  <c r="J181" i="45"/>
  <c r="I181" i="45"/>
  <c r="H181" i="45"/>
  <c r="G181" i="45"/>
  <c r="F181" i="45"/>
  <c r="D180" i="45"/>
  <c r="B180" i="45" s="1"/>
  <c r="C180" i="45"/>
  <c r="D179" i="45"/>
  <c r="D181" i="45" s="1"/>
  <c r="D124" i="45"/>
  <c r="C124" i="45"/>
  <c r="E109" i="45"/>
  <c r="B109" i="45"/>
  <c r="F109" i="45"/>
  <c r="D109" i="45"/>
  <c r="C109" i="45"/>
  <c r="E12" i="45"/>
  <c r="CG12" i="45" s="1"/>
  <c r="D12" i="45"/>
  <c r="CH12" i="45" s="1"/>
  <c r="AU22" i="45"/>
  <c r="AV22" i="45"/>
  <c r="BC113" i="5" l="1"/>
  <c r="AT113" i="5"/>
  <c r="CC22" i="38"/>
  <c r="CD22" i="38"/>
  <c r="CE22" i="38"/>
  <c r="CF22" i="38"/>
  <c r="A200" i="38"/>
  <c r="E17" i="18" s="1"/>
  <c r="CG22" i="38"/>
  <c r="CH22" i="38"/>
  <c r="CO22" i="38"/>
  <c r="CP22" i="38"/>
  <c r="CQ22" i="38"/>
  <c r="CR22" i="38"/>
  <c r="CS22" i="38"/>
  <c r="CT22" i="38"/>
  <c r="CL84" i="37"/>
  <c r="CC84" i="37"/>
  <c r="CL83" i="37"/>
  <c r="CC83" i="37"/>
  <c r="CC82" i="37"/>
  <c r="CL82" i="37"/>
  <c r="CB83" i="37"/>
  <c r="CK83" i="37"/>
  <c r="CB84" i="37"/>
  <c r="CK84" i="37"/>
  <c r="CK82" i="37"/>
  <c r="CB82" i="37"/>
  <c r="C85" i="37"/>
  <c r="C83" i="37"/>
  <c r="C17" i="37"/>
  <c r="CE17" i="37" s="1"/>
  <c r="C23" i="37"/>
  <c r="CM23" i="37" s="1"/>
  <c r="CL45" i="37"/>
  <c r="CA103" i="37"/>
  <c r="CA100" i="37"/>
  <c r="CL39" i="37"/>
  <c r="C49" i="37"/>
  <c r="CQ49" i="37" s="1"/>
  <c r="CK22" i="37"/>
  <c r="CK28" i="37"/>
  <c r="C59" i="37"/>
  <c r="CQ59" i="37" s="1"/>
  <c r="CK64" i="37"/>
  <c r="CB66" i="37"/>
  <c r="C96" i="37"/>
  <c r="CM96" i="37" s="1"/>
  <c r="CL34" i="37"/>
  <c r="CB16" i="37"/>
  <c r="CL40" i="37"/>
  <c r="CK24" i="37"/>
  <c r="C77" i="37"/>
  <c r="CK85" i="37"/>
  <c r="CB102" i="37"/>
  <c r="CE53" i="37"/>
  <c r="CN53" i="37"/>
  <c r="CA53" i="37"/>
  <c r="CB14" i="37"/>
  <c r="CK26" i="37"/>
  <c r="C35" i="37"/>
  <c r="CQ35" i="37" s="1"/>
  <c r="CB39" i="37"/>
  <c r="CB44" i="37"/>
  <c r="CK80" i="37"/>
  <c r="CB103" i="37"/>
  <c r="C123" i="37"/>
  <c r="CL123" i="37" s="1"/>
  <c r="CA132" i="37"/>
  <c r="P132" i="37" s="1"/>
  <c r="CJ132" i="37"/>
  <c r="CA140" i="37"/>
  <c r="P140" i="37" s="1"/>
  <c r="CJ140" i="37"/>
  <c r="CA148" i="37"/>
  <c r="P148" i="37" s="1"/>
  <c r="CJ148" i="37"/>
  <c r="CA139" i="37"/>
  <c r="P139" i="37" s="1"/>
  <c r="CJ139" i="37"/>
  <c r="CK14" i="37"/>
  <c r="CB32" i="37"/>
  <c r="C45" i="37"/>
  <c r="CQ45" i="37" s="1"/>
  <c r="CB51" i="37"/>
  <c r="CB53" i="37"/>
  <c r="CB87" i="37"/>
  <c r="CA95" i="37"/>
  <c r="CA99" i="37"/>
  <c r="CA133" i="37"/>
  <c r="P133" i="37" s="1"/>
  <c r="CJ133" i="37"/>
  <c r="CA141" i="37"/>
  <c r="P141" i="37" s="1"/>
  <c r="CJ141" i="37"/>
  <c r="CA131" i="37"/>
  <c r="P131" i="37" s="1"/>
  <c r="CJ131" i="37"/>
  <c r="CJ147" i="37"/>
  <c r="CA147" i="37"/>
  <c r="P147" i="37" s="1"/>
  <c r="CL35" i="37"/>
  <c r="C38" i="37"/>
  <c r="CK42" i="37"/>
  <c r="CK53" i="37"/>
  <c r="C66" i="37"/>
  <c r="CH66" i="37" s="1"/>
  <c r="C76" i="37"/>
  <c r="CD76" i="37" s="1"/>
  <c r="C84" i="37"/>
  <c r="C86" i="37"/>
  <c r="CN86" i="37" s="1"/>
  <c r="CB95" i="37"/>
  <c r="CB97" i="37"/>
  <c r="C100" i="37"/>
  <c r="CF100" i="37" s="1"/>
  <c r="CJ134" i="37"/>
  <c r="CA134" i="37"/>
  <c r="P134" i="37" s="1"/>
  <c r="CA135" i="37"/>
  <c r="P135" i="37" s="1"/>
  <c r="CJ135" i="37"/>
  <c r="CJ143" i="37"/>
  <c r="CA143" i="37"/>
  <c r="P143" i="37" s="1"/>
  <c r="CK13" i="37"/>
  <c r="CB13" i="37"/>
  <c r="C16" i="37"/>
  <c r="CL38" i="37"/>
  <c r="CB45" i="37"/>
  <c r="C48" i="37"/>
  <c r="CQ48" i="37" s="1"/>
  <c r="C103" i="37"/>
  <c r="CF103" i="37" s="1"/>
  <c r="CA136" i="37"/>
  <c r="P136" i="37" s="1"/>
  <c r="CJ136" i="37"/>
  <c r="CA144" i="37"/>
  <c r="P144" i="37" s="1"/>
  <c r="CJ144" i="37"/>
  <c r="C39" i="37"/>
  <c r="CE39" i="37" s="1"/>
  <c r="C44" i="37"/>
  <c r="CQ44" i="37" s="1"/>
  <c r="CK86" i="37"/>
  <c r="CB98" i="37"/>
  <c r="CA137" i="37"/>
  <c r="P137" i="37" s="1"/>
  <c r="CJ137" i="37"/>
  <c r="CA145" i="37"/>
  <c r="P145" i="37" s="1"/>
  <c r="CJ145" i="37"/>
  <c r="C13" i="37"/>
  <c r="CC13" i="37"/>
  <c r="CB21" i="37"/>
  <c r="CB23" i="37"/>
  <c r="CC48" i="37"/>
  <c r="CB59" i="37"/>
  <c r="CC80" i="37"/>
  <c r="C82" i="37"/>
  <c r="C95" i="37"/>
  <c r="CE95" i="37" s="1"/>
  <c r="CA96" i="37"/>
  <c r="C99" i="37"/>
  <c r="CE99" i="37" s="1"/>
  <c r="CJ130" i="37"/>
  <c r="CA130" i="37"/>
  <c r="P130" i="37" s="1"/>
  <c r="CJ138" i="37"/>
  <c r="CA138" i="37"/>
  <c r="P138" i="37" s="1"/>
  <c r="CA146" i="37"/>
  <c r="P146" i="37" s="1"/>
  <c r="CJ146" i="37"/>
  <c r="CA142" i="37"/>
  <c r="P142" i="37" s="1"/>
  <c r="CJ142" i="37"/>
  <c r="P129" i="37"/>
  <c r="CJ129" i="37"/>
  <c r="BI31" i="5"/>
  <c r="BH31" i="5"/>
  <c r="BG31" i="5"/>
  <c r="BF31" i="5"/>
  <c r="AZ31" i="5"/>
  <c r="AY31" i="5"/>
  <c r="AX31" i="5"/>
  <c r="C123" i="38"/>
  <c r="B74" i="38"/>
  <c r="K109" i="38"/>
  <c r="C92" i="38"/>
  <c r="B11" i="38"/>
  <c r="B152" i="5"/>
  <c r="CE85" i="37"/>
  <c r="CA85" i="37"/>
  <c r="CJ85" i="37"/>
  <c r="CG38" i="37"/>
  <c r="CQ38" i="37"/>
  <c r="CD38" i="37"/>
  <c r="CJ26" i="37"/>
  <c r="CD26" i="37"/>
  <c r="CK41" i="37"/>
  <c r="CK18" i="37"/>
  <c r="CL19" i="37"/>
  <c r="CB26" i="37"/>
  <c r="CB27" i="37"/>
  <c r="CB30" i="37"/>
  <c r="C34" i="37"/>
  <c r="CQ34" i="37" s="1"/>
  <c r="CB38" i="37"/>
  <c r="C40" i="37"/>
  <c r="CE40" i="37" s="1"/>
  <c r="C41" i="37"/>
  <c r="CG41" i="37" s="1"/>
  <c r="CC44" i="37"/>
  <c r="CE45" i="37"/>
  <c r="CB46" i="37"/>
  <c r="CB47" i="37"/>
  <c r="CE51" i="37"/>
  <c r="CK55" i="37"/>
  <c r="CB57" i="37"/>
  <c r="CK58" i="37"/>
  <c r="CD59" i="37"/>
  <c r="CB67" i="37"/>
  <c r="CB68" i="37"/>
  <c r="CB70" i="37"/>
  <c r="C72" i="37"/>
  <c r="CH72" i="37" s="1"/>
  <c r="CK72" i="37"/>
  <c r="CL80" i="37"/>
  <c r="C88" i="37"/>
  <c r="C94" i="37"/>
  <c r="CC94" i="37" s="1"/>
  <c r="CA98" i="37"/>
  <c r="CB99" i="37"/>
  <c r="CB100" i="37"/>
  <c r="CA101" i="37"/>
  <c r="C104" i="37"/>
  <c r="CC104" i="37" s="1"/>
  <c r="CC19" i="37"/>
  <c r="CA20" i="37"/>
  <c r="CP20" i="37"/>
  <c r="CL14" i="37"/>
  <c r="CK43" i="37"/>
  <c r="CN14" i="37"/>
  <c r="C18" i="37"/>
  <c r="CM18" i="37" s="1"/>
  <c r="CL18" i="37"/>
  <c r="CM19" i="37"/>
  <c r="CD20" i="37"/>
  <c r="C28" i="37"/>
  <c r="CQ28" i="37" s="1"/>
  <c r="CB29" i="37"/>
  <c r="C31" i="37"/>
  <c r="C32" i="37"/>
  <c r="CK34" i="37"/>
  <c r="CB35" i="37"/>
  <c r="C43" i="37"/>
  <c r="CN43" i="37" s="1"/>
  <c r="CL43" i="37"/>
  <c r="CL48" i="37"/>
  <c r="CE49" i="37"/>
  <c r="CL53" i="37"/>
  <c r="C55" i="37"/>
  <c r="CM55" i="37" s="1"/>
  <c r="C61" i="37"/>
  <c r="CP61" i="37" s="1"/>
  <c r="CB63" i="37"/>
  <c r="C64" i="37"/>
  <c r="CJ64" i="37" s="1"/>
  <c r="CL66" i="37"/>
  <c r="CL72" i="37"/>
  <c r="CB77" i="37"/>
  <c r="C78" i="37"/>
  <c r="CG78" i="37" s="1"/>
  <c r="CK88" i="37"/>
  <c r="CB89" i="37"/>
  <c r="CA97" i="37"/>
  <c r="CL100" i="37"/>
  <c r="CA102" i="37"/>
  <c r="C105" i="37"/>
  <c r="CC123" i="37"/>
  <c r="CH59" i="37"/>
  <c r="CM74" i="37"/>
  <c r="CM100" i="37"/>
  <c r="C180" i="37"/>
  <c r="CE20" i="37"/>
  <c r="C47" i="37"/>
  <c r="CM47" i="37" s="1"/>
  <c r="CL49" i="37"/>
  <c r="CP53" i="37"/>
  <c r="C57" i="37"/>
  <c r="CJ59" i="37"/>
  <c r="CB60" i="37"/>
  <c r="CK61" i="37"/>
  <c r="C67" i="37"/>
  <c r="CA67" i="37" s="1"/>
  <c r="C70" i="37"/>
  <c r="C89" i="37"/>
  <c r="CA94" i="37"/>
  <c r="C98" i="37"/>
  <c r="CM98" i="37" s="1"/>
  <c r="C101" i="37"/>
  <c r="CD101" i="37" s="1"/>
  <c r="CA104" i="37"/>
  <c r="D180" i="37"/>
  <c r="CD14" i="37"/>
  <c r="C30" i="37"/>
  <c r="CH30" i="37" s="1"/>
  <c r="CB31" i="37"/>
  <c r="CM35" i="37"/>
  <c r="CB40" i="37"/>
  <c r="CE14" i="37"/>
  <c r="CB19" i="37"/>
  <c r="C22" i="37"/>
  <c r="CQ22" i="37" s="1"/>
  <c r="CL22" i="37"/>
  <c r="C24" i="37"/>
  <c r="CP24" i="37" s="1"/>
  <c r="C27" i="37"/>
  <c r="CL30" i="37"/>
  <c r="CC31" i="37"/>
  <c r="C36" i="37"/>
  <c r="CP36" i="37" s="1"/>
  <c r="CN49" i="37"/>
  <c r="CL52" i="37"/>
  <c r="CD53" i="37"/>
  <c r="C63" i="37"/>
  <c r="CA63" i="37" s="1"/>
  <c r="CB94" i="37"/>
  <c r="C97" i="37"/>
  <c r="CC97" i="37" s="1"/>
  <c r="C102" i="37"/>
  <c r="CD102" i="37" s="1"/>
  <c r="CL103" i="37"/>
  <c r="CB104" i="37"/>
  <c r="CA105" i="37"/>
  <c r="B176" i="37"/>
  <c r="CA49" i="37"/>
  <c r="CN59" i="37"/>
  <c r="CM103" i="37"/>
  <c r="CB105" i="37"/>
  <c r="AM123" i="37"/>
  <c r="CB73" i="37"/>
  <c r="CK73" i="37"/>
  <c r="CA14" i="37"/>
  <c r="CD16" i="37"/>
  <c r="CB17" i="37"/>
  <c r="CG19" i="37"/>
  <c r="CQ24" i="37"/>
  <c r="CE26" i="37"/>
  <c r="CM30" i="37"/>
  <c r="CA30" i="37"/>
  <c r="CQ30" i="37"/>
  <c r="CB33" i="37"/>
  <c r="CM41" i="37"/>
  <c r="CH45" i="37"/>
  <c r="CN45" i="37"/>
  <c r="CM45" i="37"/>
  <c r="CA45" i="37"/>
  <c r="CJ45" i="37"/>
  <c r="CG45" i="37"/>
  <c r="C79" i="37"/>
  <c r="CA79" i="37" s="1"/>
  <c r="CL79" i="37"/>
  <c r="CC79" i="37"/>
  <c r="CD98" i="37"/>
  <c r="CN98" i="37"/>
  <c r="CC98" i="37"/>
  <c r="CA23" i="37"/>
  <c r="CJ23" i="37"/>
  <c r="CP23" i="37"/>
  <c r="CE23" i="37"/>
  <c r="CN23" i="37"/>
  <c r="CD23" i="37"/>
  <c r="CC122" i="37"/>
  <c r="AM122" i="37" s="1"/>
  <c r="CL122" i="37"/>
  <c r="CL13" i="37"/>
  <c r="C15" i="37"/>
  <c r="CC17" i="37"/>
  <c r="C21" i="37"/>
  <c r="CC27" i="37"/>
  <c r="C29" i="37"/>
  <c r="CC29" i="37"/>
  <c r="CL31" i="37"/>
  <c r="CA35" i="37"/>
  <c r="CJ35" i="37"/>
  <c r="CH35" i="37"/>
  <c r="CP35" i="37"/>
  <c r="CE35" i="37"/>
  <c r="CN35" i="37"/>
  <c r="CD35" i="37"/>
  <c r="CP45" i="37"/>
  <c r="CA27" i="37"/>
  <c r="CJ27" i="37"/>
  <c r="CH27" i="37"/>
  <c r="CP27" i="37"/>
  <c r="CE27" i="37"/>
  <c r="CN27" i="37"/>
  <c r="CD27" i="37"/>
  <c r="CH16" i="37"/>
  <c r="CG16" i="37"/>
  <c r="CQ16" i="37"/>
  <c r="CM16" i="37"/>
  <c r="CJ16" i="37"/>
  <c r="CM22" i="37"/>
  <c r="CH22" i="37"/>
  <c r="CJ22" i="37"/>
  <c r="CC23" i="37"/>
  <c r="CM26" i="37"/>
  <c r="CA26" i="37"/>
  <c r="CH26" i="37"/>
  <c r="CQ26" i="37"/>
  <c r="CG26" i="37"/>
  <c r="CG27" i="37"/>
  <c r="CP38" i="37"/>
  <c r="CE38" i="37"/>
  <c r="CN38" i="37"/>
  <c r="CM38" i="37"/>
  <c r="CA38" i="37"/>
  <c r="CJ38" i="37"/>
  <c r="CH38" i="37"/>
  <c r="CH51" i="37"/>
  <c r="CM51" i="37"/>
  <c r="CD51" i="37"/>
  <c r="CQ51" i="37"/>
  <c r="CP51" i="37"/>
  <c r="CA51" i="37"/>
  <c r="CJ51" i="37"/>
  <c r="CN51" i="37"/>
  <c r="C56" i="37"/>
  <c r="CL56" i="37"/>
  <c r="CC56" i="37"/>
  <c r="CL58" i="37"/>
  <c r="CC58" i="37"/>
  <c r="C58" i="37"/>
  <c r="CL62" i="37"/>
  <c r="CC62" i="37"/>
  <c r="C62" i="37"/>
  <c r="CM63" i="37"/>
  <c r="CA18" i="37"/>
  <c r="C25" i="37"/>
  <c r="CC25" i="37"/>
  <c r="CK56" i="37"/>
  <c r="CB56" i="37"/>
  <c r="CF94" i="37"/>
  <c r="CO94" i="37"/>
  <c r="CN94" i="37"/>
  <c r="CP17" i="37"/>
  <c r="CA17" i="37"/>
  <c r="CD44" i="37"/>
  <c r="CN44" i="37"/>
  <c r="CJ44" i="37"/>
  <c r="CK54" i="37"/>
  <c r="CB54" i="37"/>
  <c r="CO96" i="37"/>
  <c r="CD96" i="37"/>
  <c r="CC96" i="37"/>
  <c r="C37" i="37"/>
  <c r="CC37" i="37"/>
  <c r="CA19" i="37"/>
  <c r="CJ19" i="37"/>
  <c r="CP19" i="37"/>
  <c r="CE19" i="37"/>
  <c r="CN19" i="37"/>
  <c r="CD19" i="37"/>
  <c r="CC21" i="37"/>
  <c r="CH23" i="37"/>
  <c r="CN26" i="37"/>
  <c r="CM27" i="37"/>
  <c r="CA31" i="37"/>
  <c r="CJ31" i="37"/>
  <c r="CH31" i="37"/>
  <c r="CP31" i="37"/>
  <c r="CE31" i="37"/>
  <c r="CN31" i="37"/>
  <c r="CD31" i="37"/>
  <c r="CC35" i="37"/>
  <c r="CE44" i="37"/>
  <c r="CH47" i="37"/>
  <c r="CD47" i="37"/>
  <c r="CP47" i="37"/>
  <c r="CN47" i="37"/>
  <c r="CA47" i="37"/>
  <c r="CA48" i="37"/>
  <c r="C50" i="37"/>
  <c r="CL50" i="37"/>
  <c r="CH55" i="37"/>
  <c r="CP55" i="37"/>
  <c r="CA55" i="37"/>
  <c r="CN55" i="37"/>
  <c r="CJ55" i="37"/>
  <c r="CQ64" i="37"/>
  <c r="C65" i="37"/>
  <c r="CL65" i="37"/>
  <c r="CC65" i="37"/>
  <c r="CP67" i="37"/>
  <c r="C33" i="37"/>
  <c r="CC33" i="37"/>
  <c r="CP40" i="37"/>
  <c r="CH40" i="37"/>
  <c r="CL60" i="37"/>
  <c r="CC60" i="37"/>
  <c r="C60" i="37"/>
  <c r="CQ23" i="37"/>
  <c r="CB15" i="37"/>
  <c r="CP18" i="37"/>
  <c r="CG23" i="37"/>
  <c r="CL27" i="37"/>
  <c r="CM14" i="37"/>
  <c r="CH14" i="37"/>
  <c r="CQ14" i="37"/>
  <c r="CG14" i="37"/>
  <c r="CJ14" i="37"/>
  <c r="CC15" i="37"/>
  <c r="CN16" i="37"/>
  <c r="CL17" i="37"/>
  <c r="CQ19" i="37"/>
  <c r="CP16" i="37"/>
  <c r="CH20" i="37"/>
  <c r="CQ20" i="37"/>
  <c r="CG20" i="37"/>
  <c r="CM20" i="37"/>
  <c r="CJ20" i="37"/>
  <c r="CN22" i="37"/>
  <c r="CL23" i="37"/>
  <c r="CB25" i="37"/>
  <c r="CP26" i="37"/>
  <c r="CQ27" i="37"/>
  <c r="CD30" i="37"/>
  <c r="CM34" i="37"/>
  <c r="CA34" i="37"/>
  <c r="CH34" i="37"/>
  <c r="CG34" i="37"/>
  <c r="CG35" i="37"/>
  <c r="CB37" i="37"/>
  <c r="CQ39" i="37"/>
  <c r="CQ43" i="37"/>
  <c r="CD45" i="37"/>
  <c r="CK48" i="37"/>
  <c r="CB48" i="37"/>
  <c r="CB52" i="37"/>
  <c r="C81" i="37"/>
  <c r="CC81" i="37"/>
  <c r="CL81" i="37"/>
  <c r="CL16" i="37"/>
  <c r="CL20" i="37"/>
  <c r="CL24" i="37"/>
  <c r="CL28" i="37"/>
  <c r="CL32" i="37"/>
  <c r="CL36" i="37"/>
  <c r="C42" i="37"/>
  <c r="C46" i="37"/>
  <c r="CP49" i="37"/>
  <c r="CC51" i="37"/>
  <c r="CL51" i="37"/>
  <c r="CM53" i="37"/>
  <c r="CH53" i="37"/>
  <c r="CQ53" i="37"/>
  <c r="CG53" i="37"/>
  <c r="CJ53" i="37"/>
  <c r="CE57" i="37"/>
  <c r="CE59" i="37"/>
  <c r="CL67" i="37"/>
  <c r="CC67" i="37"/>
  <c r="CD97" i="37"/>
  <c r="CN97" i="37"/>
  <c r="CM28" i="37"/>
  <c r="CM32" i="37"/>
  <c r="CD49" i="37"/>
  <c r="CC55" i="37"/>
  <c r="CL55" i="37"/>
  <c r="CP57" i="37"/>
  <c r="CG57" i="37"/>
  <c r="CP59" i="37"/>
  <c r="CG59" i="37"/>
  <c r="CG61" i="37"/>
  <c r="C68" i="37"/>
  <c r="CL68" i="37"/>
  <c r="CK69" i="37"/>
  <c r="C71" i="37"/>
  <c r="CB71" i="37"/>
  <c r="CQ72" i="37"/>
  <c r="CE32" i="37"/>
  <c r="CP32" i="37"/>
  <c r="CM49" i="37"/>
  <c r="CH49" i="37"/>
  <c r="CG49" i="37"/>
  <c r="AV49" i="37" s="1"/>
  <c r="CB65" i="37"/>
  <c r="CK65" i="37"/>
  <c r="CL69" i="37"/>
  <c r="CC69" i="37"/>
  <c r="C69" i="37"/>
  <c r="CM77" i="37"/>
  <c r="CD77" i="37"/>
  <c r="CQ77" i="37"/>
  <c r="CH77" i="37"/>
  <c r="CP77" i="37"/>
  <c r="CG77" i="37"/>
  <c r="CJ77" i="37"/>
  <c r="CE77" i="37"/>
  <c r="CN77" i="37"/>
  <c r="CA77" i="37"/>
  <c r="CM78" i="37"/>
  <c r="CK79" i="37"/>
  <c r="CB79" i="37"/>
  <c r="CG32" i="37"/>
  <c r="CQ32" i="37"/>
  <c r="CQ36" i="37"/>
  <c r="CJ49" i="37"/>
  <c r="CE66" i="37"/>
  <c r="CN74" i="37"/>
  <c r="CE74" i="37"/>
  <c r="CJ74" i="37"/>
  <c r="CA74" i="37"/>
  <c r="CQ74" i="37"/>
  <c r="CH74" i="37"/>
  <c r="CG74" i="37"/>
  <c r="CP74" i="37"/>
  <c r="CK75" i="37"/>
  <c r="CB75" i="37"/>
  <c r="C75" i="37"/>
  <c r="CQ86" i="37"/>
  <c r="CH86" i="37"/>
  <c r="CP86" i="37"/>
  <c r="CG86" i="37"/>
  <c r="CM86" i="37"/>
  <c r="CD86" i="37"/>
  <c r="CJ86" i="37"/>
  <c r="CE86" i="37"/>
  <c r="CA86" i="37"/>
  <c r="CL87" i="37"/>
  <c r="CC87" i="37"/>
  <c r="C87" i="37"/>
  <c r="CO99" i="37"/>
  <c r="CE28" i="37"/>
  <c r="CC42" i="37"/>
  <c r="CC46" i="37"/>
  <c r="CB50" i="37"/>
  <c r="C52" i="37"/>
  <c r="C54" i="37"/>
  <c r="CL54" i="37"/>
  <c r="CA57" i="37"/>
  <c r="CM57" i="37"/>
  <c r="CA59" i="37"/>
  <c r="CM59" i="37"/>
  <c r="CK71" i="37"/>
  <c r="CL73" i="37"/>
  <c r="CC73" i="37"/>
  <c r="C73" i="37"/>
  <c r="CK74" i="37"/>
  <c r="CB74" i="37"/>
  <c r="CL86" i="37"/>
  <c r="CC86" i="37"/>
  <c r="CM89" i="37"/>
  <c r="CD89" i="37"/>
  <c r="CQ89" i="37"/>
  <c r="CH89" i="37"/>
  <c r="CP89" i="37"/>
  <c r="CG89" i="37"/>
  <c r="CE89" i="37"/>
  <c r="CN89" i="37"/>
  <c r="CB62" i="37"/>
  <c r="CL64" i="37"/>
  <c r="CA70" i="37"/>
  <c r="CK78" i="37"/>
  <c r="CN80" i="37"/>
  <c r="CE80" i="37"/>
  <c r="CM80" i="37"/>
  <c r="CD80" i="37"/>
  <c r="CJ80" i="37"/>
  <c r="CA80" i="37"/>
  <c r="CQ80" i="37"/>
  <c r="CH80" i="37"/>
  <c r="CK81" i="37"/>
  <c r="CL89" i="37"/>
  <c r="CC89" i="37"/>
  <c r="CP80" i="37"/>
  <c r="CM85" i="37"/>
  <c r="CD85" i="37"/>
  <c r="CQ85" i="37"/>
  <c r="CH85" i="37"/>
  <c r="CP85" i="37"/>
  <c r="CG85" i="37"/>
  <c r="CM70" i="37"/>
  <c r="CD70" i="37"/>
  <c r="CP70" i="37"/>
  <c r="CG70" i="37"/>
  <c r="CL85" i="37"/>
  <c r="CC85" i="37"/>
  <c r="CN85" i="37"/>
  <c r="CQ88" i="37"/>
  <c r="CH88" i="37"/>
  <c r="CP88" i="37"/>
  <c r="CG88" i="37"/>
  <c r="CM88" i="37"/>
  <c r="CD88" i="37"/>
  <c r="CC57" i="37"/>
  <c r="CC59" i="37"/>
  <c r="CC61" i="37"/>
  <c r="CC63" i="37"/>
  <c r="CH70" i="37"/>
  <c r="CL71" i="37"/>
  <c r="CC71" i="37"/>
  <c r="CG80" i="37"/>
  <c r="CL88" i="37"/>
  <c r="CC88" i="37"/>
  <c r="CN88" i="37"/>
  <c r="CB76" i="37"/>
  <c r="CC100" i="37"/>
  <c r="CN100" i="37"/>
  <c r="CN101" i="37"/>
  <c r="CC102" i="37"/>
  <c r="CC103" i="37"/>
  <c r="AT103" i="37" s="1"/>
  <c r="CN103" i="37"/>
  <c r="CC105" i="37"/>
  <c r="CN105" i="37"/>
  <c r="B175" i="37"/>
  <c r="B180" i="37" s="1"/>
  <c r="CD100" i="37"/>
  <c r="CO100" i="37"/>
  <c r="CD103" i="37"/>
  <c r="CO103" i="37"/>
  <c r="CO104" i="37"/>
  <c r="CD105" i="37"/>
  <c r="CO105" i="37"/>
  <c r="CC124" i="37"/>
  <c r="AM124" i="37" s="1"/>
  <c r="CE100" i="37"/>
  <c r="CE101" i="37"/>
  <c r="CE102" i="37"/>
  <c r="CE103" i="37"/>
  <c r="CE104" i="37"/>
  <c r="CE105" i="37"/>
  <c r="AT108" i="5"/>
  <c r="H108" i="5" s="1"/>
  <c r="AT111" i="5"/>
  <c r="H111" i="5" s="1"/>
  <c r="AT107" i="5"/>
  <c r="H107" i="5" s="1"/>
  <c r="BC110" i="5"/>
  <c r="G13" i="5"/>
  <c r="P13" i="5"/>
  <c r="BD119" i="5"/>
  <c r="H113" i="5"/>
  <c r="Z13" i="5"/>
  <c r="U13" i="5"/>
  <c r="BC106" i="5"/>
  <c r="K13" i="5"/>
  <c r="AC13" i="5"/>
  <c r="BC112" i="5"/>
  <c r="AT109" i="5"/>
  <c r="H109" i="5" s="1"/>
  <c r="B114" i="5"/>
  <c r="BC114" i="5" s="1"/>
  <c r="B48" i="28"/>
  <c r="C181" i="45"/>
  <c r="B181" i="45"/>
  <c r="CQ12" i="45"/>
  <c r="CR12" i="45"/>
  <c r="C12" i="45"/>
  <c r="B204" i="5" l="1"/>
  <c r="P31" i="5"/>
  <c r="AT114" i="5"/>
  <c r="BO48" i="28"/>
  <c r="BQ48" i="28"/>
  <c r="BR48" i="28"/>
  <c r="BS48" i="28"/>
  <c r="BV48" i="28"/>
  <c r="BU48" i="28"/>
  <c r="BW48" i="28"/>
  <c r="BY48" i="28"/>
  <c r="BX48" i="28"/>
  <c r="BP48" i="28"/>
  <c r="B200" i="38"/>
  <c r="D17" i="18" s="1"/>
  <c r="S22" i="38"/>
  <c r="CQ83" i="37"/>
  <c r="CH83" i="37"/>
  <c r="CJ83" i="37"/>
  <c r="CD83" i="37"/>
  <c r="CP83" i="37"/>
  <c r="CN83" i="37"/>
  <c r="CA83" i="37"/>
  <c r="CE83" i="37"/>
  <c r="CG83" i="37"/>
  <c r="CM83" i="37"/>
  <c r="CQ84" i="37"/>
  <c r="CD84" i="37"/>
  <c r="CG84" i="37"/>
  <c r="CA84" i="37"/>
  <c r="CP84" i="37"/>
  <c r="CE84" i="37"/>
  <c r="CM84" i="37"/>
  <c r="CH84" i="37"/>
  <c r="CN84" i="37"/>
  <c r="CJ84" i="37"/>
  <c r="CQ82" i="37"/>
  <c r="CD82" i="37"/>
  <c r="CP82" i="37"/>
  <c r="CM82" i="37"/>
  <c r="CJ82" i="37"/>
  <c r="CG82" i="37"/>
  <c r="CN82" i="37"/>
  <c r="CE82" i="37"/>
  <c r="CH82" i="37"/>
  <c r="CA82" i="37"/>
  <c r="AV82" i="37" s="1"/>
  <c r="CQ17" i="37"/>
  <c r="CH17" i="37"/>
  <c r="CM17" i="37"/>
  <c r="CJ17" i="37"/>
  <c r="CD17" i="37"/>
  <c r="CN17" i="37"/>
  <c r="CG17" i="37"/>
  <c r="A202" i="37"/>
  <c r="E16" i="18" s="1"/>
  <c r="H114" i="5"/>
  <c r="CN64" i="37"/>
  <c r="CG48" i="37"/>
  <c r="CJ41" i="37"/>
  <c r="CD104" i="37"/>
  <c r="CN102" i="37"/>
  <c r="CG28" i="37"/>
  <c r="CF99" i="37"/>
  <c r="AT99" i="37" s="1"/>
  <c r="CL97" i="37"/>
  <c r="CG44" i="37"/>
  <c r="CA40" i="37"/>
  <c r="CH67" i="37"/>
  <c r="CG64" i="37"/>
  <c r="CH48" i="37"/>
  <c r="CN96" i="37"/>
  <c r="CM44" i="37"/>
  <c r="CD94" i="37"/>
  <c r="CP41" i="37"/>
  <c r="CE98" i="37"/>
  <c r="CA41" i="37"/>
  <c r="CG40" i="37"/>
  <c r="CD64" i="37"/>
  <c r="CP48" i="37"/>
  <c r="CJ43" i="37"/>
  <c r="CF96" i="37"/>
  <c r="CP44" i="37"/>
  <c r="CE94" i="37"/>
  <c r="CH41" i="37"/>
  <c r="CJ13" i="37"/>
  <c r="CH64" i="37"/>
  <c r="AV64" i="37" s="1"/>
  <c r="CE48" i="37"/>
  <c r="CM99" i="37"/>
  <c r="CC99" i="37"/>
  <c r="CE36" i="37"/>
  <c r="CF97" i="37"/>
  <c r="CM40" i="37"/>
  <c r="CD67" i="37"/>
  <c r="AV67" i="37" s="1"/>
  <c r="CP64" i="37"/>
  <c r="CM64" i="37"/>
  <c r="CM48" i="37"/>
  <c r="CD43" i="37"/>
  <c r="CE96" i="37"/>
  <c r="AT96" i="37" s="1"/>
  <c r="CA44" i="37"/>
  <c r="CL94" i="37"/>
  <c r="CO98" i="37"/>
  <c r="CQ76" i="37"/>
  <c r="CJ48" i="37"/>
  <c r="CN41" i="37"/>
  <c r="CO102" i="37"/>
  <c r="CC101" i="37"/>
  <c r="CO97" i="37"/>
  <c r="CJ40" i="37"/>
  <c r="CG76" i="37"/>
  <c r="CN99" i="37"/>
  <c r="CM36" i="37"/>
  <c r="CQ40" i="37"/>
  <c r="CN40" i="37"/>
  <c r="CM67" i="37"/>
  <c r="CA64" i="37"/>
  <c r="CN48" i="37"/>
  <c r="CP43" i="37"/>
  <c r="CL96" i="37"/>
  <c r="CM94" i="37"/>
  <c r="CH76" i="37"/>
  <c r="CM76" i="37"/>
  <c r="CL99" i="37"/>
  <c r="CD41" i="37"/>
  <c r="CH43" i="37"/>
  <c r="CG36" i="37"/>
  <c r="CN104" i="37"/>
  <c r="CO101" i="37"/>
  <c r="CE97" i="37"/>
  <c r="CD99" i="37"/>
  <c r="CD40" i="37"/>
  <c r="CE67" i="37"/>
  <c r="CE64" i="37"/>
  <c r="CD48" i="37"/>
  <c r="AV48" i="37" s="1"/>
  <c r="CM43" i="37"/>
  <c r="CH44" i="37"/>
  <c r="CA72" i="37"/>
  <c r="CL95" i="37"/>
  <c r="CQ66" i="37"/>
  <c r="CE78" i="37"/>
  <c r="CD72" i="37"/>
  <c r="CH39" i="37"/>
  <c r="CG18" i="37"/>
  <c r="AV18" i="37" s="1"/>
  <c r="CN63" i="37"/>
  <c r="CG30" i="37"/>
  <c r="CH24" i="37"/>
  <c r="CJ18" i="37"/>
  <c r="CE16" i="37"/>
  <c r="CA16" i="37"/>
  <c r="CM95" i="37"/>
  <c r="CG66" i="37"/>
  <c r="CN78" i="37"/>
  <c r="CM72" i="37"/>
  <c r="CE61" i="37"/>
  <c r="CD18" i="37"/>
  <c r="CJ39" i="37"/>
  <c r="CQ18" i="37"/>
  <c r="CD63" i="37"/>
  <c r="AV63" i="37" s="1"/>
  <c r="CQ13" i="37"/>
  <c r="CG13" i="37"/>
  <c r="AV13" i="37" s="1"/>
  <c r="CA13" i="37"/>
  <c r="CN66" i="37"/>
  <c r="CC95" i="37"/>
  <c r="CP66" i="37"/>
  <c r="CH78" i="37"/>
  <c r="CD13" i="37"/>
  <c r="CA39" i="37"/>
  <c r="AV39" i="37" s="1"/>
  <c r="CH18" i="37"/>
  <c r="CG63" i="37"/>
  <c r="CM61" i="37"/>
  <c r="CN13" i="37"/>
  <c r="CN39" i="37"/>
  <c r="CP63" i="37"/>
  <c r="AT97" i="37"/>
  <c r="CN95" i="37"/>
  <c r="CD66" i="37"/>
  <c r="CQ78" i="37"/>
  <c r="CJ72" i="37"/>
  <c r="CA61" i="37"/>
  <c r="CD95" i="37"/>
  <c r="CM66" i="37"/>
  <c r="CA78" i="37"/>
  <c r="AV78" i="37" s="1"/>
  <c r="CG72" i="37"/>
  <c r="AV72" i="37" s="1"/>
  <c r="CE13" i="37"/>
  <c r="CD39" i="37"/>
  <c r="CH63" i="37"/>
  <c r="CM13" i="37"/>
  <c r="CO95" i="37"/>
  <c r="CP78" i="37"/>
  <c r="CJ78" i="37"/>
  <c r="CP72" i="37"/>
  <c r="CP13" i="37"/>
  <c r="CP39" i="37"/>
  <c r="CJ63" i="37"/>
  <c r="CH13" i="37"/>
  <c r="CF95" i="37"/>
  <c r="CJ66" i="37"/>
  <c r="CD78" i="37"/>
  <c r="CM39" i="37"/>
  <c r="CG24" i="37"/>
  <c r="CG39" i="37"/>
  <c r="CA66" i="37"/>
  <c r="CP76" i="37"/>
  <c r="CE76" i="37"/>
  <c r="CA76" i="37"/>
  <c r="AV76" i="37" s="1"/>
  <c r="CN76" i="37"/>
  <c r="CJ76" i="37"/>
  <c r="AV85" i="37"/>
  <c r="AT100" i="37"/>
  <c r="CM97" i="37"/>
  <c r="AV53" i="37"/>
  <c r="AV20" i="37"/>
  <c r="CG67" i="37"/>
  <c r="CQ67" i="37"/>
  <c r="CQ55" i="37"/>
  <c r="CQ47" i="37"/>
  <c r="CA43" i="37"/>
  <c r="CG22" i="37"/>
  <c r="CL98" i="37"/>
  <c r="CF98" i="37"/>
  <c r="AT98" i="37" s="1"/>
  <c r="CM24" i="37"/>
  <c r="CE63" i="37"/>
  <c r="CQ63" i="37"/>
  <c r="CJ30" i="37"/>
  <c r="CE30" i="37"/>
  <c r="CP30" i="37"/>
  <c r="CN30" i="37"/>
  <c r="CF105" i="37"/>
  <c r="AT105" i="37" s="1"/>
  <c r="CM105" i="37"/>
  <c r="CL105" i="37"/>
  <c r="CG31" i="37"/>
  <c r="CM31" i="37"/>
  <c r="CQ31" i="37"/>
  <c r="CN18" i="37"/>
  <c r="CE18" i="37"/>
  <c r="CE41" i="37"/>
  <c r="CQ41" i="37"/>
  <c r="AV86" i="37"/>
  <c r="CG55" i="37"/>
  <c r="CJ47" i="37"/>
  <c r="CF102" i="37"/>
  <c r="AT102" i="37" s="1"/>
  <c r="CM102" i="37"/>
  <c r="CL102" i="37"/>
  <c r="CJ89" i="37"/>
  <c r="CA89" i="37"/>
  <c r="AV89" i="37" s="1"/>
  <c r="CQ57" i="37"/>
  <c r="CJ57" i="37"/>
  <c r="CH57" i="37"/>
  <c r="CD57" i="37"/>
  <c r="CN57" i="37"/>
  <c r="CF104" i="37"/>
  <c r="AT104" i="37" s="1"/>
  <c r="CL104" i="37"/>
  <c r="CM104" i="37"/>
  <c r="CE88" i="37"/>
  <c r="CA88" i="37"/>
  <c r="CJ88" i="37"/>
  <c r="AV16" i="37"/>
  <c r="CE24" i="37"/>
  <c r="CD24" i="37"/>
  <c r="CA24" i="37"/>
  <c r="CN24" i="37"/>
  <c r="CN70" i="37"/>
  <c r="CJ70" i="37"/>
  <c r="CE70" i="37"/>
  <c r="AV70" i="37" s="1"/>
  <c r="CQ70" i="37"/>
  <c r="CQ61" i="37"/>
  <c r="CD61" i="37"/>
  <c r="CN61" i="37"/>
  <c r="CJ61" i="37"/>
  <c r="CH61" i="37"/>
  <c r="CE43" i="37"/>
  <c r="CG43" i="37"/>
  <c r="CH28" i="37"/>
  <c r="CP28" i="37"/>
  <c r="CA28" i="37"/>
  <c r="CN28" i="37"/>
  <c r="CJ28" i="37"/>
  <c r="CD28" i="37"/>
  <c r="AV28" i="37" s="1"/>
  <c r="AV74" i="37"/>
  <c r="AT94" i="37"/>
  <c r="AV27" i="37"/>
  <c r="CJ67" i="37"/>
  <c r="CN67" i="37"/>
  <c r="CE55" i="37"/>
  <c r="CD55" i="37"/>
  <c r="CP34" i="37"/>
  <c r="CD34" i="37"/>
  <c r="CN34" i="37"/>
  <c r="CJ34" i="37"/>
  <c r="CE34" i="37"/>
  <c r="CH36" i="37"/>
  <c r="CJ36" i="37"/>
  <c r="CD36" i="37"/>
  <c r="CA36" i="37"/>
  <c r="CN36" i="37"/>
  <c r="CE22" i="37"/>
  <c r="CA22" i="37"/>
  <c r="CP22" i="37"/>
  <c r="CF101" i="37"/>
  <c r="AT101" i="37" s="1"/>
  <c r="CM101" i="37"/>
  <c r="CL101" i="37"/>
  <c r="CE47" i="37"/>
  <c r="CG47" i="37"/>
  <c r="CE72" i="37"/>
  <c r="CN72" i="37"/>
  <c r="CJ24" i="37"/>
  <c r="CD22" i="37"/>
  <c r="AV22" i="37" s="1"/>
  <c r="CH32" i="37"/>
  <c r="CA32" i="37"/>
  <c r="CN32" i="37"/>
  <c r="CJ32" i="37"/>
  <c r="CD32" i="37"/>
  <c r="CQ65" i="37"/>
  <c r="CH65" i="37"/>
  <c r="CP65" i="37"/>
  <c r="CE65" i="37"/>
  <c r="CA65" i="37"/>
  <c r="CD65" i="37"/>
  <c r="CM65" i="37"/>
  <c r="CJ65" i="37"/>
  <c r="CN65" i="37"/>
  <c r="CG65" i="37"/>
  <c r="AV44" i="37"/>
  <c r="AV45" i="37"/>
  <c r="CQ71" i="37"/>
  <c r="CH71" i="37"/>
  <c r="CJ71" i="37"/>
  <c r="CG71" i="37"/>
  <c r="CD71" i="37"/>
  <c r="CN71" i="37"/>
  <c r="CE71" i="37"/>
  <c r="CP71" i="37"/>
  <c r="CM71" i="37"/>
  <c r="CA71" i="37"/>
  <c r="CJ81" i="37"/>
  <c r="CA81" i="37"/>
  <c r="CQ81" i="37"/>
  <c r="CH81" i="37"/>
  <c r="CN81" i="37"/>
  <c r="CE81" i="37"/>
  <c r="CM81" i="37"/>
  <c r="CD81" i="37"/>
  <c r="CP81" i="37"/>
  <c r="CG81" i="37"/>
  <c r="AV40" i="37"/>
  <c r="CP62" i="37"/>
  <c r="CG62" i="37"/>
  <c r="CA62" i="37"/>
  <c r="CN62" i="37"/>
  <c r="CM62" i="37"/>
  <c r="CH62" i="37"/>
  <c r="CE62" i="37"/>
  <c r="CD62" i="37"/>
  <c r="CQ62" i="37"/>
  <c r="CJ62" i="37"/>
  <c r="CP56" i="37"/>
  <c r="CE56" i="37"/>
  <c r="CA56" i="37"/>
  <c r="CJ56" i="37"/>
  <c r="CH56" i="37"/>
  <c r="CG56" i="37"/>
  <c r="CQ56" i="37"/>
  <c r="CM56" i="37"/>
  <c r="CD56" i="37"/>
  <c r="CN56" i="37"/>
  <c r="AV35" i="37"/>
  <c r="CJ75" i="37"/>
  <c r="CN75" i="37"/>
  <c r="CE75" i="37"/>
  <c r="CP75" i="37"/>
  <c r="CA75" i="37"/>
  <c r="CH75" i="37"/>
  <c r="CG75" i="37"/>
  <c r="CQ75" i="37"/>
  <c r="CM75" i="37"/>
  <c r="CD75" i="37"/>
  <c r="CA15" i="37"/>
  <c r="CJ15" i="37"/>
  <c r="CP15" i="37"/>
  <c r="CE15" i="37"/>
  <c r="CN15" i="37"/>
  <c r="CD15" i="37"/>
  <c r="CG15" i="37"/>
  <c r="CQ15" i="37"/>
  <c r="CH15" i="37"/>
  <c r="CM15" i="37"/>
  <c r="CQ73" i="37"/>
  <c r="CH73" i="37"/>
  <c r="CM73" i="37"/>
  <c r="CD73" i="37"/>
  <c r="CP73" i="37"/>
  <c r="CA73" i="37"/>
  <c r="CJ73" i="37"/>
  <c r="CG73" i="37"/>
  <c r="CN73" i="37"/>
  <c r="CE73" i="37"/>
  <c r="AV34" i="37"/>
  <c r="AV31" i="37"/>
  <c r="AV23" i="37"/>
  <c r="AV80" i="37"/>
  <c r="AV59" i="37"/>
  <c r="AV77" i="37"/>
  <c r="CP33" i="37"/>
  <c r="CE33" i="37"/>
  <c r="CN33" i="37"/>
  <c r="CD33" i="37"/>
  <c r="CM33" i="37"/>
  <c r="CA33" i="37"/>
  <c r="CJ33" i="37"/>
  <c r="CQ33" i="37"/>
  <c r="CH33" i="37"/>
  <c r="CG33" i="37"/>
  <c r="CA50" i="37"/>
  <c r="CP50" i="37"/>
  <c r="CE50" i="37"/>
  <c r="CN50" i="37"/>
  <c r="CM50" i="37"/>
  <c r="CH50" i="37"/>
  <c r="CG50" i="37"/>
  <c r="CQ50" i="37"/>
  <c r="CJ50" i="37"/>
  <c r="CD50" i="37"/>
  <c r="CP25" i="37"/>
  <c r="CE25" i="37"/>
  <c r="CN25" i="37"/>
  <c r="CD25" i="37"/>
  <c r="CM25" i="37"/>
  <c r="CA25" i="37"/>
  <c r="CJ25" i="37"/>
  <c r="CQ25" i="37"/>
  <c r="CH25" i="37"/>
  <c r="CG25" i="37"/>
  <c r="AV14" i="37"/>
  <c r="AV19" i="37"/>
  <c r="CP58" i="37"/>
  <c r="CG58" i="37"/>
  <c r="CM58" i="37"/>
  <c r="CA58" i="37"/>
  <c r="CJ58" i="37"/>
  <c r="CQ58" i="37"/>
  <c r="CE58" i="37"/>
  <c r="CD58" i="37"/>
  <c r="CN58" i="37"/>
  <c r="CH58" i="37"/>
  <c r="AV51" i="37"/>
  <c r="AV38" i="37"/>
  <c r="CP29" i="37"/>
  <c r="CE29" i="37"/>
  <c r="CD29" i="37"/>
  <c r="CM29" i="37"/>
  <c r="CN29" i="37"/>
  <c r="CA29" i="37"/>
  <c r="AV29" i="37" s="1"/>
  <c r="CJ29" i="37"/>
  <c r="CH29" i="37"/>
  <c r="CG29" i="37"/>
  <c r="CQ29" i="37"/>
  <c r="CA54" i="37"/>
  <c r="CP54" i="37"/>
  <c r="CE54" i="37"/>
  <c r="CN54" i="37"/>
  <c r="CD54" i="37"/>
  <c r="CJ54" i="37"/>
  <c r="CH54" i="37"/>
  <c r="CQ54" i="37"/>
  <c r="CM54" i="37"/>
  <c r="CG54" i="37"/>
  <c r="CP42" i="37"/>
  <c r="CE42" i="37"/>
  <c r="CN42" i="37"/>
  <c r="CM42" i="37"/>
  <c r="CA42" i="37"/>
  <c r="CJ42" i="37"/>
  <c r="CH42" i="37"/>
  <c r="CQ42" i="37"/>
  <c r="CG42" i="37"/>
  <c r="CD42" i="37"/>
  <c r="CP60" i="37"/>
  <c r="CG60" i="37"/>
  <c r="CM60" i="37"/>
  <c r="CA60" i="37"/>
  <c r="CJ60" i="37"/>
  <c r="CQ60" i="37"/>
  <c r="CE60" i="37"/>
  <c r="CN60" i="37"/>
  <c r="CH60" i="37"/>
  <c r="CD60" i="37"/>
  <c r="AV57" i="37"/>
  <c r="CQ69" i="37"/>
  <c r="CH69" i="37"/>
  <c r="CG69" i="37"/>
  <c r="CN69" i="37"/>
  <c r="CM69" i="37"/>
  <c r="CA69" i="37"/>
  <c r="CD69" i="37"/>
  <c r="CP69" i="37"/>
  <c r="CJ69" i="37"/>
  <c r="CE69" i="37"/>
  <c r="AV55" i="37"/>
  <c r="AV47" i="37"/>
  <c r="AV26" i="37"/>
  <c r="CJ79" i="37"/>
  <c r="CQ79" i="37"/>
  <c r="CH79" i="37"/>
  <c r="CN79" i="37"/>
  <c r="CE79" i="37"/>
  <c r="CM79" i="37"/>
  <c r="CD79" i="37"/>
  <c r="CG79" i="37"/>
  <c r="CP79" i="37"/>
  <c r="CP52" i="37"/>
  <c r="CE52" i="37"/>
  <c r="CA52" i="37"/>
  <c r="CJ52" i="37"/>
  <c r="CM52" i="37"/>
  <c r="CH52" i="37"/>
  <c r="CD52" i="37"/>
  <c r="CG52" i="37"/>
  <c r="CQ52" i="37"/>
  <c r="CN52" i="37"/>
  <c r="CM87" i="37"/>
  <c r="CD87" i="37"/>
  <c r="CQ87" i="37"/>
  <c r="CH87" i="37"/>
  <c r="CP87" i="37"/>
  <c r="CG87" i="37"/>
  <c r="CA87" i="37"/>
  <c r="CJ87" i="37"/>
  <c r="CE87" i="37"/>
  <c r="CN87" i="37"/>
  <c r="CM68" i="37"/>
  <c r="CD68" i="37"/>
  <c r="CP68" i="37"/>
  <c r="CG68" i="37"/>
  <c r="CQ68" i="37"/>
  <c r="CE68" i="37"/>
  <c r="CA68" i="37"/>
  <c r="CN68" i="37"/>
  <c r="CJ68" i="37"/>
  <c r="CH68" i="37"/>
  <c r="CP46" i="37"/>
  <c r="CE46" i="37"/>
  <c r="CN46" i="37"/>
  <c r="CM46" i="37"/>
  <c r="CA46" i="37"/>
  <c r="CJ46" i="37"/>
  <c r="CH46" i="37"/>
  <c r="CQ46" i="37"/>
  <c r="CG46" i="37"/>
  <c r="CD46" i="37"/>
  <c r="CP37" i="37"/>
  <c r="CE37" i="37"/>
  <c r="CN37" i="37"/>
  <c r="CD37" i="37"/>
  <c r="CM37" i="37"/>
  <c r="CA37" i="37"/>
  <c r="CJ37" i="37"/>
  <c r="CH37" i="37"/>
  <c r="CG37" i="37"/>
  <c r="CQ37" i="37"/>
  <c r="CP21" i="37"/>
  <c r="CE21" i="37"/>
  <c r="CN21" i="37"/>
  <c r="CD21" i="37"/>
  <c r="CA21" i="37"/>
  <c r="CJ21" i="37"/>
  <c r="CG21" i="37"/>
  <c r="CH21" i="37"/>
  <c r="CQ21" i="37"/>
  <c r="CM21" i="37"/>
  <c r="AV41" i="37"/>
  <c r="AV30" i="37"/>
  <c r="CM12" i="45"/>
  <c r="CN12" i="45"/>
  <c r="CI12" i="45"/>
  <c r="CS12" i="45"/>
  <c r="CK12" i="45"/>
  <c r="CF12" i="45"/>
  <c r="CE12" i="45"/>
  <c r="CL12" i="45"/>
  <c r="CP12" i="45"/>
  <c r="CD12" i="45"/>
  <c r="CB12" i="45"/>
  <c r="CO12" i="45"/>
  <c r="CC12" i="45"/>
  <c r="CA12" i="45"/>
  <c r="AT48" i="28" l="1"/>
  <c r="AV83" i="37"/>
  <c r="AV84" i="37"/>
  <c r="AV17" i="37"/>
  <c r="B202" i="37"/>
  <c r="D16" i="18" s="1"/>
  <c r="AV66" i="37"/>
  <c r="AT95" i="37"/>
  <c r="AV36" i="37"/>
  <c r="AV88" i="37"/>
  <c r="AV24" i="37"/>
  <c r="AV61" i="37"/>
  <c r="AV32" i="37"/>
  <c r="AV56" i="37"/>
  <c r="AV81" i="37"/>
  <c r="AV73" i="37"/>
  <c r="AV43" i="37"/>
  <c r="AV75" i="37"/>
  <c r="AV46" i="37"/>
  <c r="AV68" i="37"/>
  <c r="AV50" i="37"/>
  <c r="AV15" i="37"/>
  <c r="AV65" i="37"/>
  <c r="AV52" i="37"/>
  <c r="AV25" i="37"/>
  <c r="AV87" i="37"/>
  <c r="AV54" i="37"/>
  <c r="AV21" i="37"/>
  <c r="AV37" i="37"/>
  <c r="AV79" i="37"/>
  <c r="AV42" i="37"/>
  <c r="AV60" i="37"/>
  <c r="AV69" i="37"/>
  <c r="AV58" i="37"/>
  <c r="AV33" i="37"/>
  <c r="AV62" i="37"/>
  <c r="AV71" i="37"/>
  <c r="AW12" i="45"/>
  <c r="CO24" i="48" l="1"/>
  <c r="CP24" i="48"/>
  <c r="CN24" i="48"/>
  <c r="CM24" i="48"/>
  <c r="CP23" i="48"/>
  <c r="CO23" i="48"/>
  <c r="CN23" i="48"/>
  <c r="CM23" i="48"/>
  <c r="CP22" i="48"/>
  <c r="CO22" i="48"/>
  <c r="CN22" i="48"/>
  <c r="CM22" i="48"/>
  <c r="CP21" i="48"/>
  <c r="CO21" i="48"/>
  <c r="CN21" i="48"/>
  <c r="CM21" i="48"/>
  <c r="CP20" i="48"/>
  <c r="CO20" i="48"/>
  <c r="CN20" i="48"/>
  <c r="CM20" i="48"/>
  <c r="CM18" i="48"/>
  <c r="CM14" i="48"/>
  <c r="CN14" i="48"/>
  <c r="CO14" i="48"/>
  <c r="CP14" i="48"/>
  <c r="CM15" i="48"/>
  <c r="CN15" i="48"/>
  <c r="CO15" i="48"/>
  <c r="CP15" i="48"/>
  <c r="CM16" i="48"/>
  <c r="CN16" i="48"/>
  <c r="CO16" i="48"/>
  <c r="CP16" i="48"/>
  <c r="CM17" i="48"/>
  <c r="CN17" i="48"/>
  <c r="CO17" i="48"/>
  <c r="CP17" i="48"/>
  <c r="CN18" i="48"/>
  <c r="CO18" i="48"/>
  <c r="CP18" i="48"/>
  <c r="CP13" i="48"/>
  <c r="CO13" i="48"/>
  <c r="CN13" i="48"/>
  <c r="CM13" i="48"/>
  <c r="CM212" i="48"/>
  <c r="Y212" i="48"/>
  <c r="Y213" i="48"/>
  <c r="Y214" i="48"/>
  <c r="Y211" i="48"/>
  <c r="Y201" i="48"/>
  <c r="Y202" i="48"/>
  <c r="Y203" i="48"/>
  <c r="Y204" i="48"/>
  <c r="Y205" i="48"/>
  <c r="Y200" i="48"/>
  <c r="Y189" i="48"/>
  <c r="Y190" i="48"/>
  <c r="Y191" i="48"/>
  <c r="Y192" i="48"/>
  <c r="Y193" i="48"/>
  <c r="Y188" i="48"/>
  <c r="CA212" i="48"/>
  <c r="CA213" i="48"/>
  <c r="CA214" i="48"/>
  <c r="CA211" i="48"/>
  <c r="CA201" i="48"/>
  <c r="CA202" i="48"/>
  <c r="CA203" i="48"/>
  <c r="CA204" i="48"/>
  <c r="CA205" i="48"/>
  <c r="CA200" i="48"/>
  <c r="CA189" i="48"/>
  <c r="CA190" i="48"/>
  <c r="CA191" i="48"/>
  <c r="CA192" i="48"/>
  <c r="CA193" i="48"/>
  <c r="CA194" i="48"/>
  <c r="Y194" i="48" s="1"/>
  <c r="CA180" i="48"/>
  <c r="CA181" i="48"/>
  <c r="CA182" i="48"/>
  <c r="CA183" i="48"/>
  <c r="CA179" i="48"/>
  <c r="AP179" i="48" s="1"/>
  <c r="CA150" i="48"/>
  <c r="CA151" i="48"/>
  <c r="CA152" i="48"/>
  <c r="CA153" i="48"/>
  <c r="CA154" i="48"/>
  <c r="CA155" i="48"/>
  <c r="AP155" i="48" s="1"/>
  <c r="CA156" i="48"/>
  <c r="CA157" i="48"/>
  <c r="AP157" i="48" s="1"/>
  <c r="CA158" i="48"/>
  <c r="CA159" i="48"/>
  <c r="CA160" i="48"/>
  <c r="CA161" i="48"/>
  <c r="CA162" i="48"/>
  <c r="AP162" i="48" s="1"/>
  <c r="CA163" i="48"/>
  <c r="AP163" i="48" s="1"/>
  <c r="CA164" i="48"/>
  <c r="CA165" i="48"/>
  <c r="AP165" i="48" s="1"/>
  <c r="CA166" i="48"/>
  <c r="CA167" i="48"/>
  <c r="CA168" i="48"/>
  <c r="CA169" i="48"/>
  <c r="CA170" i="48"/>
  <c r="AP170" i="48" s="1"/>
  <c r="CA171" i="48"/>
  <c r="AP171" i="48" s="1"/>
  <c r="CA172" i="48"/>
  <c r="CA173" i="48"/>
  <c r="AP173" i="48" s="1"/>
  <c r="CA174" i="48"/>
  <c r="CA175" i="48"/>
  <c r="CA176" i="48"/>
  <c r="CA177" i="48"/>
  <c r="CA149" i="48"/>
  <c r="AP149" i="48" s="1"/>
  <c r="AP154" i="48"/>
  <c r="AP158" i="48"/>
  <c r="AP174" i="48"/>
  <c r="AP181" i="48"/>
  <c r="AP151" i="48"/>
  <c r="AP159" i="48"/>
  <c r="AP167" i="48"/>
  <c r="AP175" i="48"/>
  <c r="AP183" i="48"/>
  <c r="AP180" i="48"/>
  <c r="AP150" i="48"/>
  <c r="AP152" i="48"/>
  <c r="AP153" i="48"/>
  <c r="AP156" i="48"/>
  <c r="AP160" i="48"/>
  <c r="AP161" i="48"/>
  <c r="AP164" i="48"/>
  <c r="AP166" i="48"/>
  <c r="AP168" i="48"/>
  <c r="AP169" i="48"/>
  <c r="AP172" i="48"/>
  <c r="AP176" i="48"/>
  <c r="AP177" i="48"/>
  <c r="AP182" i="48"/>
  <c r="CM149" i="48"/>
  <c r="B113" i="48" l="1"/>
  <c r="B105" i="48"/>
  <c r="CN29" i="48"/>
  <c r="CC29" i="48" s="1"/>
  <c r="CQ29" i="48"/>
  <c r="CF29" i="48" s="1"/>
  <c r="CP29" i="48"/>
  <c r="CE29" i="48" s="1"/>
  <c r="CO29" i="48"/>
  <c r="CD29" i="48" s="1"/>
  <c r="B249" i="48" l="1"/>
  <c r="B122" i="48"/>
  <c r="B97" i="48"/>
  <c r="Z77" i="48"/>
  <c r="Y77" i="48"/>
  <c r="X77" i="48"/>
  <c r="W77" i="48"/>
  <c r="V77" i="48"/>
  <c r="U77" i="48"/>
  <c r="T77" i="48"/>
  <c r="S77" i="48"/>
  <c r="R77" i="48"/>
  <c r="Q77" i="48"/>
  <c r="P77" i="48"/>
  <c r="O77" i="48"/>
  <c r="N77" i="48"/>
  <c r="M77" i="48"/>
  <c r="L77" i="48"/>
  <c r="K77" i="48"/>
  <c r="J77" i="48"/>
  <c r="I77" i="48"/>
  <c r="H77" i="48"/>
  <c r="G77" i="48"/>
  <c r="F77" i="48"/>
  <c r="E77" i="48"/>
  <c r="D77" i="48"/>
  <c r="C77" i="48"/>
  <c r="B76" i="48"/>
  <c r="B75" i="48"/>
  <c r="B74" i="48"/>
  <c r="B73" i="48"/>
  <c r="Z69" i="48"/>
  <c r="Y69" i="48"/>
  <c r="X69" i="48"/>
  <c r="W69" i="48"/>
  <c r="V69" i="48"/>
  <c r="U69" i="48"/>
  <c r="T69" i="48"/>
  <c r="S69" i="48"/>
  <c r="R69" i="48"/>
  <c r="Q69" i="48"/>
  <c r="P69" i="48"/>
  <c r="O69" i="48"/>
  <c r="N69" i="48"/>
  <c r="M69" i="48"/>
  <c r="L69" i="48"/>
  <c r="K69" i="48"/>
  <c r="J69" i="48"/>
  <c r="I69" i="48"/>
  <c r="H69" i="48"/>
  <c r="G69" i="48"/>
  <c r="F69" i="48"/>
  <c r="E69" i="48"/>
  <c r="D69" i="48"/>
  <c r="C69" i="48"/>
  <c r="B68" i="48"/>
  <c r="B67" i="48"/>
  <c r="B66" i="48"/>
  <c r="B65" i="48"/>
  <c r="B56" i="48"/>
  <c r="H61" i="48"/>
  <c r="G61" i="48"/>
  <c r="F61" i="48"/>
  <c r="E61" i="48"/>
  <c r="D61" i="48"/>
  <c r="C61" i="48"/>
  <c r="B60" i="48"/>
  <c r="B59" i="48"/>
  <c r="B58" i="48"/>
  <c r="B57" i="48"/>
  <c r="D52" i="48"/>
  <c r="C52" i="48"/>
  <c r="C45" i="48"/>
  <c r="D45" i="48"/>
  <c r="C46" i="48"/>
  <c r="D46" i="48"/>
  <c r="D51" i="48"/>
  <c r="C51" i="48"/>
  <c r="D50" i="48"/>
  <c r="C50" i="48"/>
  <c r="D49" i="48"/>
  <c r="C49" i="48"/>
  <c r="D48" i="48"/>
  <c r="C48" i="48"/>
  <c r="B48" i="48" s="1"/>
  <c r="CM48" i="48" s="1"/>
  <c r="CB48" i="48" s="1"/>
  <c r="D47" i="48"/>
  <c r="C47" i="48"/>
  <c r="D44" i="48"/>
  <c r="C44" i="48"/>
  <c r="D43" i="48"/>
  <c r="C43" i="48"/>
  <c r="D42" i="48"/>
  <c r="C42" i="48"/>
  <c r="D41" i="48"/>
  <c r="C41" i="48"/>
  <c r="D40" i="48"/>
  <c r="C40" i="48"/>
  <c r="D39" i="48"/>
  <c r="C39" i="48"/>
  <c r="D38" i="48"/>
  <c r="C38" i="48"/>
  <c r="B38" i="48" s="1"/>
  <c r="CM38" i="48" s="1"/>
  <c r="CB38" i="48" s="1"/>
  <c r="D37" i="48"/>
  <c r="C37" i="48"/>
  <c r="D36" i="48"/>
  <c r="C36" i="48"/>
  <c r="D35" i="48"/>
  <c r="C35" i="48"/>
  <c r="B35" i="48" s="1"/>
  <c r="CM35" i="48" s="1"/>
  <c r="CB35" i="48" s="1"/>
  <c r="D34" i="48"/>
  <c r="C34" i="48"/>
  <c r="D33" i="48"/>
  <c r="C33" i="48"/>
  <c r="D32" i="48"/>
  <c r="C32" i="48"/>
  <c r="D31" i="48"/>
  <c r="C31" i="48"/>
  <c r="D30" i="48"/>
  <c r="C30" i="48"/>
  <c r="D29" i="48"/>
  <c r="C29" i="48"/>
  <c r="CO56" i="48" l="1"/>
  <c r="CN56" i="48"/>
  <c r="CM56" i="48"/>
  <c r="CC56" i="48"/>
  <c r="CB56" i="48"/>
  <c r="CA56" i="48"/>
  <c r="B51" i="48"/>
  <c r="CM51" i="48" s="1"/>
  <c r="CB51" i="48" s="1"/>
  <c r="AQ51" i="48" s="1"/>
  <c r="CB68" i="48"/>
  <c r="CA68" i="48"/>
  <c r="B33" i="48"/>
  <c r="CM33" i="48" s="1"/>
  <c r="CB33" i="48" s="1"/>
  <c r="B41" i="48"/>
  <c r="CM41" i="48" s="1"/>
  <c r="CB41" i="48" s="1"/>
  <c r="B47" i="48"/>
  <c r="CM47" i="48" s="1"/>
  <c r="CB47" i="48" s="1"/>
  <c r="CB73" i="48"/>
  <c r="CA73" i="48"/>
  <c r="CA74" i="48"/>
  <c r="AA74" i="48" s="1"/>
  <c r="CB74" i="48"/>
  <c r="CB75" i="48"/>
  <c r="CA75" i="48"/>
  <c r="AA75" i="48" s="1"/>
  <c r="CB76" i="48"/>
  <c r="CA76" i="48"/>
  <c r="B46" i="48"/>
  <c r="CM46" i="48" s="1"/>
  <c r="CB46" i="48" s="1"/>
  <c r="B69" i="48"/>
  <c r="CN65" i="48"/>
  <c r="CB65" i="48"/>
  <c r="CM65" i="48"/>
  <c r="CA65" i="48"/>
  <c r="AA65" i="48" s="1"/>
  <c r="CA66" i="48"/>
  <c r="AA66" i="48" s="1"/>
  <c r="CB66" i="48"/>
  <c r="CM122" i="48"/>
  <c r="CA122" i="48"/>
  <c r="B36" i="48"/>
  <c r="CM36" i="48" s="1"/>
  <c r="CB36" i="48" s="1"/>
  <c r="B44" i="48"/>
  <c r="CM44" i="48" s="1"/>
  <c r="CB44" i="48" s="1"/>
  <c r="B50" i="48"/>
  <c r="B45" i="48"/>
  <c r="CB67" i="48"/>
  <c r="CA67" i="48"/>
  <c r="B39" i="48"/>
  <c r="CM39" i="48" s="1"/>
  <c r="CB39" i="48" s="1"/>
  <c r="B42" i="48"/>
  <c r="CM42" i="48" s="1"/>
  <c r="CB42" i="48" s="1"/>
  <c r="B40" i="48"/>
  <c r="CM40" i="48" s="1"/>
  <c r="CB40" i="48" s="1"/>
  <c r="B43" i="48"/>
  <c r="CM43" i="48" s="1"/>
  <c r="CB43" i="48" s="1"/>
  <c r="B37" i="48"/>
  <c r="CM37" i="48" s="1"/>
  <c r="CB37" i="48" s="1"/>
  <c r="B52" i="48"/>
  <c r="CM52" i="48" s="1"/>
  <c r="CB52" i="48" s="1"/>
  <c r="B31" i="48"/>
  <c r="CM31" i="48" s="1"/>
  <c r="CB31" i="48" s="1"/>
  <c r="B34" i="48"/>
  <c r="CM34" i="48" s="1"/>
  <c r="CB34" i="48" s="1"/>
  <c r="B32" i="48"/>
  <c r="CM32" i="48" s="1"/>
  <c r="CB32" i="48" s="1"/>
  <c r="B29" i="48"/>
  <c r="B77" i="48"/>
  <c r="B49" i="48"/>
  <c r="CB49" i="48" s="1"/>
  <c r="AQ49" i="48" s="1"/>
  <c r="B30" i="48"/>
  <c r="CM30" i="48" s="1"/>
  <c r="B61" i="48"/>
  <c r="CM45" i="48" l="1"/>
  <c r="CB45" i="48" s="1"/>
  <c r="A351" i="48"/>
  <c r="I56" i="48"/>
  <c r="CM50" i="48"/>
  <c r="CB50" i="48" s="1"/>
  <c r="AQ50" i="48" s="1"/>
  <c r="CM28" i="48"/>
  <c r="B351" i="48" s="1"/>
  <c r="AA73" i="48"/>
  <c r="AA67" i="48"/>
  <c r="AA76" i="48"/>
  <c r="CM29" i="48"/>
  <c r="CB29" i="48" s="1"/>
  <c r="AA68" i="48"/>
  <c r="CA65" i="41"/>
  <c r="CE65" i="41"/>
  <c r="CF65" i="41"/>
  <c r="CE66" i="41"/>
  <c r="CF66" i="41"/>
  <c r="CE67" i="41"/>
  <c r="CF67" i="41"/>
  <c r="CE68" i="41"/>
  <c r="CF68" i="41"/>
  <c r="CF64" i="41"/>
  <c r="CE64" i="41"/>
  <c r="CB68" i="41"/>
  <c r="CA68" i="41"/>
  <c r="CB67" i="41"/>
  <c r="CA67" i="41"/>
  <c r="CB66" i="41"/>
  <c r="CA66" i="41"/>
  <c r="CB65" i="41"/>
  <c r="CB64" i="41"/>
  <c r="CA64" i="41"/>
  <c r="CB63" i="41"/>
  <c r="CA63" i="41"/>
  <c r="CB62" i="41"/>
  <c r="CA62" i="41"/>
  <c r="CB61" i="41"/>
  <c r="CA61" i="41"/>
  <c r="CA59" i="41"/>
  <c r="CA35" i="41"/>
  <c r="CB35" i="41"/>
  <c r="CA36" i="41"/>
  <c r="CB36" i="41"/>
  <c r="CA37" i="41"/>
  <c r="CB37" i="41"/>
  <c r="CA38" i="41"/>
  <c r="CB38" i="41"/>
  <c r="CA39" i="41"/>
  <c r="CB39" i="41"/>
  <c r="CA40" i="41"/>
  <c r="CB40" i="41"/>
  <c r="CA41" i="41"/>
  <c r="CB41" i="41"/>
  <c r="CA42" i="41"/>
  <c r="CB42" i="41"/>
  <c r="CA43" i="41"/>
  <c r="CB43" i="41"/>
  <c r="CA44" i="41"/>
  <c r="CB44" i="41"/>
  <c r="CA45" i="41"/>
  <c r="CB45" i="41"/>
  <c r="CA46" i="41"/>
  <c r="CB46" i="41"/>
  <c r="CA47" i="41"/>
  <c r="CB47" i="41"/>
  <c r="CA48" i="41"/>
  <c r="CB48" i="41"/>
  <c r="CA49" i="41"/>
  <c r="CB49" i="41"/>
  <c r="CA50" i="41"/>
  <c r="CB50" i="41"/>
  <c r="CA51" i="41"/>
  <c r="CB51" i="41"/>
  <c r="CA52" i="41"/>
  <c r="CB52" i="41"/>
  <c r="CA53" i="41"/>
  <c r="CB53" i="41"/>
  <c r="CA54" i="41"/>
  <c r="CB54" i="41"/>
  <c r="CA55" i="41"/>
  <c r="CB55" i="41"/>
  <c r="CA56" i="41"/>
  <c r="CB56" i="41"/>
  <c r="CA57" i="41"/>
  <c r="CB57" i="41"/>
  <c r="CA58" i="41"/>
  <c r="CB58" i="41"/>
  <c r="CB59" i="41"/>
  <c r="CB34" i="41"/>
  <c r="CA34" i="41"/>
  <c r="CB32" i="41"/>
  <c r="CA32" i="41"/>
  <c r="CE12" i="41"/>
  <c r="CA13" i="41"/>
  <c r="CB13" i="41"/>
  <c r="CA14" i="41"/>
  <c r="CB14" i="41"/>
  <c r="CA15" i="41"/>
  <c r="CB15" i="41"/>
  <c r="CB12" i="41"/>
  <c r="CA12" i="41"/>
  <c r="C68" i="41"/>
  <c r="C67" i="41"/>
  <c r="C66" i="41"/>
  <c r="C65" i="41"/>
  <c r="CA29" i="48" l="1"/>
  <c r="AS344" i="13"/>
  <c r="AS341" i="13"/>
  <c r="AS342" i="13"/>
  <c r="AS343" i="13"/>
  <c r="AS340" i="13"/>
  <c r="AJ232" i="13"/>
  <c r="AJ233" i="13"/>
  <c r="AJ234" i="13"/>
  <c r="AJ235" i="13"/>
  <c r="AJ236" i="13"/>
  <c r="AY180" i="13"/>
  <c r="AY181" i="13"/>
  <c r="AY184" i="13"/>
  <c r="AY185" i="13"/>
  <c r="AY186" i="13"/>
  <c r="AY187" i="13"/>
  <c r="AY188" i="13"/>
  <c r="AY189" i="13"/>
  <c r="AY190" i="13"/>
  <c r="AY191" i="13"/>
  <c r="AY192" i="13"/>
  <c r="AY193" i="13"/>
  <c r="AY194" i="13"/>
  <c r="AY195" i="13"/>
  <c r="AY197" i="13"/>
  <c r="AY198" i="13"/>
  <c r="AY199" i="13"/>
  <c r="AY200" i="13"/>
  <c r="AY203" i="13"/>
  <c r="AY204" i="13"/>
  <c r="AY205" i="13"/>
  <c r="AY207" i="13"/>
  <c r="AY208" i="13"/>
  <c r="AY209" i="13"/>
  <c r="AY210" i="13"/>
  <c r="AY211" i="13"/>
  <c r="AY212" i="13"/>
  <c r="AY213" i="13"/>
  <c r="AY214" i="13"/>
  <c r="AY215" i="13"/>
  <c r="AY216" i="13"/>
  <c r="AY217" i="13"/>
  <c r="AY218" i="13"/>
  <c r="AY219" i="13"/>
  <c r="AY220" i="13"/>
  <c r="AY221" i="13"/>
  <c r="AY164" i="13"/>
  <c r="AY165" i="13"/>
  <c r="AY166" i="13"/>
  <c r="AY167" i="13"/>
  <c r="AY168" i="13"/>
  <c r="AY169" i="13"/>
  <c r="AY142" i="13"/>
  <c r="AY92" i="13"/>
  <c r="AY93" i="13"/>
  <c r="AY96" i="13"/>
  <c r="AY97" i="13"/>
  <c r="AY98" i="13"/>
  <c r="AY99" i="13"/>
  <c r="AY102" i="13"/>
  <c r="AY103" i="13"/>
  <c r="AY104" i="13"/>
  <c r="AY105" i="13"/>
  <c r="AY106" i="13"/>
  <c r="AY107" i="13"/>
  <c r="AY108" i="13"/>
  <c r="AY109" i="13"/>
  <c r="AY111" i="13"/>
  <c r="AY112" i="13"/>
  <c r="AY113" i="13"/>
  <c r="AY114" i="13"/>
  <c r="AY115" i="13"/>
  <c r="AY116" i="13"/>
  <c r="AY117" i="13"/>
  <c r="AY118" i="13"/>
  <c r="AY119" i="13"/>
  <c r="AY120" i="13"/>
  <c r="AY121" i="13"/>
  <c r="AY122" i="13"/>
  <c r="AY123" i="13"/>
  <c r="AY124" i="13"/>
  <c r="AY125" i="13"/>
  <c r="AY126" i="13"/>
  <c r="AY127" i="13"/>
  <c r="AY128" i="13"/>
  <c r="AY129" i="13"/>
  <c r="AY130" i="13"/>
  <c r="AY131" i="13"/>
  <c r="AY132" i="13"/>
  <c r="AY133" i="13"/>
  <c r="AY134" i="13"/>
  <c r="AY135" i="13"/>
  <c r="AY136" i="13"/>
  <c r="AY137" i="13"/>
  <c r="AY138" i="13"/>
  <c r="AY139" i="13"/>
  <c r="AY140" i="13"/>
  <c r="AY141" i="13"/>
  <c r="O73" i="13"/>
  <c r="O74" i="13"/>
  <c r="O75" i="13"/>
  <c r="O76" i="13"/>
  <c r="O77" i="13"/>
  <c r="O78" i="13"/>
  <c r="O79" i="13"/>
  <c r="O80" i="13"/>
  <c r="O81" i="13"/>
  <c r="AY44" i="13"/>
  <c r="AY21" i="13"/>
  <c r="CO163" i="13"/>
  <c r="CB341" i="13"/>
  <c r="CP341" i="13"/>
  <c r="CB342" i="13"/>
  <c r="CP342" i="13"/>
  <c r="CB343" i="13"/>
  <c r="CP343" i="13"/>
  <c r="CB344" i="13"/>
  <c r="CP344" i="13"/>
  <c r="CP340" i="13"/>
  <c r="CB340" i="13"/>
  <c r="CP251" i="13"/>
  <c r="CP252" i="13"/>
  <c r="CP253" i="13"/>
  <c r="CP254" i="13"/>
  <c r="CP255" i="13"/>
  <c r="CP256" i="13"/>
  <c r="CP257" i="13"/>
  <c r="CP258" i="13"/>
  <c r="CP259" i="13"/>
  <c r="CP260" i="13"/>
  <c r="CP261" i="13"/>
  <c r="CP262" i="13"/>
  <c r="CP263" i="13"/>
  <c r="CP282" i="13"/>
  <c r="CP283" i="13"/>
  <c r="CP284" i="13"/>
  <c r="CP285" i="13"/>
  <c r="CP286" i="13"/>
  <c r="CP287" i="13"/>
  <c r="CP288" i="13"/>
  <c r="CP289" i="13"/>
  <c r="CP290" i="13"/>
  <c r="CP291" i="13"/>
  <c r="CP292" i="13"/>
  <c r="CP293" i="13"/>
  <c r="CP294" i="13"/>
  <c r="CP295" i="13"/>
  <c r="CP296" i="13"/>
  <c r="CP297" i="13"/>
  <c r="CP298" i="13"/>
  <c r="CP299" i="13"/>
  <c r="CP300" i="13"/>
  <c r="CP301" i="13"/>
  <c r="CP302" i="13"/>
  <c r="CP303" i="13"/>
  <c r="CP304" i="13"/>
  <c r="CP305" i="13"/>
  <c r="CP306" i="13"/>
  <c r="CP307" i="13"/>
  <c r="CP308" i="13"/>
  <c r="CP309" i="13"/>
  <c r="CP310" i="13"/>
  <c r="CP311" i="13"/>
  <c r="CP312" i="13"/>
  <c r="CP313" i="13"/>
  <c r="CP314" i="13"/>
  <c r="CP315" i="13"/>
  <c r="CP316" i="13"/>
  <c r="CP317" i="13"/>
  <c r="CP318" i="13"/>
  <c r="CP319" i="13"/>
  <c r="CP320" i="13"/>
  <c r="CP321" i="13"/>
  <c r="CP322" i="13"/>
  <c r="CP323" i="13"/>
  <c r="CP324" i="13"/>
  <c r="CP325" i="13"/>
  <c r="CP326" i="13"/>
  <c r="CP327" i="13"/>
  <c r="CP328" i="13"/>
  <c r="CP329" i="13"/>
  <c r="CP250" i="13"/>
  <c r="CB251" i="13"/>
  <c r="CB252" i="13"/>
  <c r="CB253" i="13"/>
  <c r="CB254" i="13"/>
  <c r="CB255" i="13"/>
  <c r="CB256" i="13"/>
  <c r="CB257" i="13"/>
  <c r="CB258" i="13"/>
  <c r="CB259" i="13"/>
  <c r="CB260" i="13"/>
  <c r="CB261" i="13"/>
  <c r="CB262" i="13"/>
  <c r="CB263" i="13"/>
  <c r="CB282" i="13"/>
  <c r="CB283" i="13"/>
  <c r="CB284" i="13"/>
  <c r="CB285" i="13"/>
  <c r="CB286" i="13"/>
  <c r="CB287" i="13"/>
  <c r="CB288" i="13"/>
  <c r="CB289" i="13"/>
  <c r="CB290" i="13"/>
  <c r="CB291" i="13"/>
  <c r="CB292" i="13"/>
  <c r="CB293" i="13"/>
  <c r="CB294" i="13"/>
  <c r="CB295" i="13"/>
  <c r="CB296" i="13"/>
  <c r="CB297" i="13"/>
  <c r="CB298" i="13"/>
  <c r="CB299" i="13"/>
  <c r="CB300" i="13"/>
  <c r="CB301" i="13"/>
  <c r="CB302" i="13"/>
  <c r="CB303" i="13"/>
  <c r="CB304" i="13"/>
  <c r="CB305" i="13"/>
  <c r="CB306" i="13"/>
  <c r="CB307" i="13"/>
  <c r="CB308" i="13"/>
  <c r="CB309" i="13"/>
  <c r="CB310" i="13"/>
  <c r="CB311" i="13"/>
  <c r="CB312" i="13"/>
  <c r="CB313" i="13"/>
  <c r="CB314" i="13"/>
  <c r="CB315" i="13"/>
  <c r="CB316" i="13"/>
  <c r="CB317" i="13"/>
  <c r="CB318" i="13"/>
  <c r="CB319" i="13"/>
  <c r="CB320" i="13"/>
  <c r="CB321" i="13"/>
  <c r="CB322" i="13"/>
  <c r="CB323" i="13"/>
  <c r="CB324" i="13"/>
  <c r="CB325" i="13"/>
  <c r="CB326" i="13"/>
  <c r="CB327" i="13"/>
  <c r="CB328" i="13"/>
  <c r="CB329" i="13"/>
  <c r="AV333" i="13"/>
  <c r="D241" i="13"/>
  <c r="G201" i="13"/>
  <c r="CC163" i="13"/>
  <c r="CC164" i="13"/>
  <c r="CC165" i="13"/>
  <c r="CC166" i="13"/>
  <c r="CC167" i="13"/>
  <c r="CC168" i="13"/>
  <c r="CC169" i="13"/>
  <c r="CC170" i="13"/>
  <c r="CC171" i="13"/>
  <c r="CC172" i="13"/>
  <c r="CC173" i="13"/>
  <c r="CA164" i="13"/>
  <c r="CO164" i="13"/>
  <c r="CQ164" i="13"/>
  <c r="CA165" i="13"/>
  <c r="CO165" i="13"/>
  <c r="CQ165" i="13"/>
  <c r="CA166" i="13"/>
  <c r="CO166" i="13"/>
  <c r="CQ166" i="13"/>
  <c r="CA167" i="13"/>
  <c r="CO167" i="13"/>
  <c r="CQ167" i="13"/>
  <c r="CA168" i="13"/>
  <c r="CO168" i="13"/>
  <c r="CQ168" i="13"/>
  <c r="CA169" i="13"/>
  <c r="CO169" i="13"/>
  <c r="CQ169" i="13"/>
  <c r="CA170" i="13"/>
  <c r="AY170" i="13" s="1"/>
  <c r="CO170" i="13"/>
  <c r="CQ170" i="13"/>
  <c r="CA171" i="13"/>
  <c r="CO171" i="13"/>
  <c r="CQ171" i="13"/>
  <c r="CA172" i="13"/>
  <c r="CO172" i="13"/>
  <c r="CQ172" i="13"/>
  <c r="CA173" i="13"/>
  <c r="CO173" i="13"/>
  <c r="CQ173" i="13"/>
  <c r="CQ163" i="13"/>
  <c r="CA163" i="13"/>
  <c r="I148" i="13"/>
  <c r="CR129" i="13"/>
  <c r="CR121" i="13"/>
  <c r="CR122" i="13"/>
  <c r="CR123" i="13"/>
  <c r="CR124" i="13"/>
  <c r="CR125" i="13"/>
  <c r="CR126" i="13"/>
  <c r="CR127" i="13"/>
  <c r="CR128" i="13"/>
  <c r="CR130" i="13"/>
  <c r="CR131" i="13"/>
  <c r="CR132" i="13"/>
  <c r="CR133" i="13"/>
  <c r="CR134" i="13"/>
  <c r="CR135" i="13"/>
  <c r="CR136" i="13"/>
  <c r="CR137" i="13"/>
  <c r="CR138" i="13"/>
  <c r="CR139" i="13"/>
  <c r="CR140" i="13"/>
  <c r="CR141" i="13"/>
  <c r="CR142" i="13"/>
  <c r="CR120" i="13"/>
  <c r="CR119" i="13"/>
  <c r="CR118" i="13"/>
  <c r="CR117" i="13"/>
  <c r="CR116" i="13"/>
  <c r="CR115" i="13"/>
  <c r="CR114" i="13"/>
  <c r="CR113" i="13"/>
  <c r="CR112" i="13"/>
  <c r="CR111" i="13"/>
  <c r="CR110" i="13"/>
  <c r="CR109" i="13"/>
  <c r="CR108" i="13"/>
  <c r="CR107" i="13"/>
  <c r="CR106" i="13"/>
  <c r="CR104" i="13"/>
  <c r="CR92" i="13"/>
  <c r="CR93" i="13"/>
  <c r="CR94" i="13"/>
  <c r="CR95" i="13"/>
  <c r="CR96" i="13"/>
  <c r="CR97" i="13"/>
  <c r="CR98" i="13"/>
  <c r="CR99" i="13"/>
  <c r="CR100" i="13"/>
  <c r="CR101" i="13"/>
  <c r="CR102" i="13"/>
  <c r="CR103" i="13"/>
  <c r="CR91" i="13"/>
  <c r="CD92" i="13"/>
  <c r="CD93" i="13"/>
  <c r="CD94" i="13"/>
  <c r="CD95" i="13"/>
  <c r="CD96" i="13"/>
  <c r="CD97" i="13"/>
  <c r="CD98" i="13"/>
  <c r="CD99" i="13"/>
  <c r="CD100" i="13"/>
  <c r="CD101" i="13"/>
  <c r="CD102" i="13"/>
  <c r="CD103" i="13"/>
  <c r="CD104" i="13"/>
  <c r="CD106" i="13"/>
  <c r="CD107" i="13"/>
  <c r="CD108" i="13"/>
  <c r="CD109" i="13"/>
  <c r="CD111" i="13"/>
  <c r="CD112" i="13"/>
  <c r="CD114" i="13"/>
  <c r="CD115" i="13"/>
  <c r="CD116" i="13"/>
  <c r="CD117" i="13"/>
  <c r="CD118" i="13"/>
  <c r="CD119" i="13"/>
  <c r="CD120" i="13"/>
  <c r="CD121" i="13"/>
  <c r="CD122" i="13"/>
  <c r="CD123" i="13"/>
  <c r="CD124" i="13"/>
  <c r="CD125" i="13"/>
  <c r="CD126" i="13"/>
  <c r="CD127" i="13"/>
  <c r="CD128" i="13"/>
  <c r="CD129" i="13"/>
  <c r="CD130" i="13"/>
  <c r="CD131" i="13"/>
  <c r="CD132" i="13"/>
  <c r="CD133" i="13"/>
  <c r="CD134" i="13"/>
  <c r="CD135" i="13"/>
  <c r="CD136" i="13"/>
  <c r="CD137" i="13"/>
  <c r="CD138" i="13"/>
  <c r="CD139" i="13"/>
  <c r="CD140" i="13"/>
  <c r="CD141" i="13"/>
  <c r="CD142" i="13"/>
  <c r="CD91" i="13"/>
  <c r="AY57" i="13"/>
  <c r="CQ66" i="13"/>
  <c r="CO66" i="13"/>
  <c r="CC66" i="13"/>
  <c r="CA66" i="13"/>
  <c r="CQ65" i="13"/>
  <c r="CO65" i="13"/>
  <c r="CC65" i="13"/>
  <c r="CA65" i="13"/>
  <c r="CQ64" i="13"/>
  <c r="CO64" i="13"/>
  <c r="CC64" i="13"/>
  <c r="CQ62" i="13"/>
  <c r="CO62" i="13"/>
  <c r="CC62" i="13"/>
  <c r="CA62" i="13"/>
  <c r="CQ61" i="13"/>
  <c r="CO61" i="13"/>
  <c r="CC61" i="13"/>
  <c r="CA61" i="13"/>
  <c r="CQ60" i="13"/>
  <c r="CO60" i="13"/>
  <c r="CC60" i="13"/>
  <c r="CA60" i="13"/>
  <c r="CQ59" i="13"/>
  <c r="CO59" i="13"/>
  <c r="CC59" i="13"/>
  <c r="CA59" i="13"/>
  <c r="CQ58" i="13"/>
  <c r="CO58" i="13"/>
  <c r="CC58" i="13"/>
  <c r="CA58" i="13"/>
  <c r="CO45" i="13"/>
  <c r="CO46" i="13"/>
  <c r="CO47" i="13"/>
  <c r="CQ47" i="13"/>
  <c r="CO48" i="13"/>
  <c r="CQ48" i="13"/>
  <c r="CO49" i="13"/>
  <c r="CQ49" i="13"/>
  <c r="CO50" i="13"/>
  <c r="CQ50" i="13"/>
  <c r="CO51" i="13"/>
  <c r="CQ51" i="13"/>
  <c r="CO52" i="13"/>
  <c r="CQ52" i="13"/>
  <c r="CO53" i="13"/>
  <c r="CQ53" i="13"/>
  <c r="CO54" i="13"/>
  <c r="CQ54" i="13"/>
  <c r="CO55" i="13"/>
  <c r="CQ55" i="13"/>
  <c r="CO56" i="13"/>
  <c r="CQ56" i="13"/>
  <c r="CC48" i="13"/>
  <c r="CC49" i="13"/>
  <c r="CA46" i="13"/>
  <c r="CA49" i="13"/>
  <c r="CC56" i="13"/>
  <c r="CA56" i="13"/>
  <c r="CC55" i="13"/>
  <c r="CA55" i="13"/>
  <c r="CC54" i="13"/>
  <c r="CA54" i="13"/>
  <c r="CC53" i="13"/>
  <c r="CA53" i="13"/>
  <c r="CC52" i="13"/>
  <c r="CA52" i="13"/>
  <c r="CC51" i="13"/>
  <c r="CA51" i="13"/>
  <c r="CC50" i="13"/>
  <c r="CA50" i="13"/>
  <c r="CC47" i="13"/>
  <c r="CA47" i="13"/>
  <c r="CA45" i="13"/>
  <c r="CB241" i="13" l="1"/>
  <c r="CE241" i="13"/>
  <c r="CP241" i="13"/>
  <c r="CO241" i="13"/>
  <c r="CQ241" i="13"/>
  <c r="CA241" i="13"/>
  <c r="CD241" i="13"/>
  <c r="CR241" i="13"/>
  <c r="CC241" i="13"/>
  <c r="CS241" i="13"/>
  <c r="CA22" i="13"/>
  <c r="CC22" i="13"/>
  <c r="CA23" i="13"/>
  <c r="CC23" i="13"/>
  <c r="CA24" i="13"/>
  <c r="CC24" i="13"/>
  <c r="CA25" i="13"/>
  <c r="CC25" i="13"/>
  <c r="CA26" i="13"/>
  <c r="CC26" i="13"/>
  <c r="CA27" i="13"/>
  <c r="CC27" i="13"/>
  <c r="CA28" i="13"/>
  <c r="CC28" i="13"/>
  <c r="CA29" i="13"/>
  <c r="CC29" i="13"/>
  <c r="CA30" i="13"/>
  <c r="CC30" i="13"/>
  <c r="CA31" i="13"/>
  <c r="CC31" i="13"/>
  <c r="CA32" i="13"/>
  <c r="CC32" i="13"/>
  <c r="CA33" i="13"/>
  <c r="CC33" i="13"/>
  <c r="CA34" i="13"/>
  <c r="CC34" i="13"/>
  <c r="CA35" i="13"/>
  <c r="CC35" i="13"/>
  <c r="CA36" i="13"/>
  <c r="CC36" i="13"/>
  <c r="CA37" i="13"/>
  <c r="CC37" i="13"/>
  <c r="CA38" i="13"/>
  <c r="CC38" i="13"/>
  <c r="CO38" i="13"/>
  <c r="CQ38" i="13"/>
  <c r="CQ37" i="13"/>
  <c r="CO37" i="13"/>
  <c r="CQ36" i="13"/>
  <c r="CO36" i="13"/>
  <c r="CQ35" i="13"/>
  <c r="CO35" i="13"/>
  <c r="CQ34" i="13"/>
  <c r="CO34" i="13"/>
  <c r="CQ33" i="13"/>
  <c r="CO33" i="13"/>
  <c r="CQ32" i="13"/>
  <c r="CO32" i="13"/>
  <c r="CQ31" i="13"/>
  <c r="CO31" i="13"/>
  <c r="CQ30" i="13"/>
  <c r="CO30" i="13"/>
  <c r="CQ29" i="13"/>
  <c r="CO29" i="13"/>
  <c r="CQ28" i="13"/>
  <c r="CO28" i="13"/>
  <c r="CQ27" i="13"/>
  <c r="CO27" i="13"/>
  <c r="CQ26" i="13"/>
  <c r="CO26" i="13"/>
  <c r="CQ25" i="13"/>
  <c r="CO25" i="13"/>
  <c r="CQ24" i="13"/>
  <c r="CO24" i="13"/>
  <c r="CQ23" i="13"/>
  <c r="CO23" i="13"/>
  <c r="CQ22" i="13"/>
  <c r="CO22" i="13"/>
  <c r="CQ21" i="13"/>
  <c r="CO21" i="13"/>
  <c r="CC21" i="13"/>
  <c r="CA21" i="13"/>
  <c r="CO13" i="13"/>
  <c r="CQ13" i="13"/>
  <c r="CO14" i="13"/>
  <c r="CQ14" i="13"/>
  <c r="CO15" i="13"/>
  <c r="CQ15" i="13"/>
  <c r="CO16" i="13"/>
  <c r="CQ16" i="13"/>
  <c r="CO17" i="13"/>
  <c r="CQ17" i="13"/>
  <c r="CQ12" i="13"/>
  <c r="CA13" i="13"/>
  <c r="CC13" i="13"/>
  <c r="CA14" i="13"/>
  <c r="CC14" i="13"/>
  <c r="CA15" i="13"/>
  <c r="CC15" i="13"/>
  <c r="CA16" i="13"/>
  <c r="CC16" i="13"/>
  <c r="CA17" i="13"/>
  <c r="CC17" i="13"/>
  <c r="F72" i="32"/>
  <c r="C72" i="32"/>
  <c r="F340" i="13"/>
  <c r="E340" i="13"/>
  <c r="P335" i="13"/>
  <c r="Q335" i="13"/>
  <c r="R335" i="13"/>
  <c r="S335" i="13"/>
  <c r="T335" i="13"/>
  <c r="U335" i="13"/>
  <c r="V335" i="13"/>
  <c r="O335" i="13"/>
  <c r="P333" i="13"/>
  <c r="O333" i="13"/>
  <c r="O334" i="13"/>
  <c r="J335" i="13"/>
  <c r="K335" i="13"/>
  <c r="L335" i="13"/>
  <c r="M335" i="13"/>
  <c r="N335" i="13"/>
  <c r="I335" i="13"/>
  <c r="H335" i="13"/>
  <c r="G335" i="13"/>
  <c r="G334" i="13"/>
  <c r="G333" i="13"/>
  <c r="G332" i="13"/>
  <c r="G331" i="13"/>
  <c r="G330" i="13"/>
  <c r="E329" i="13"/>
  <c r="F312" i="13"/>
  <c r="E312" i="13"/>
  <c r="E307" i="13"/>
  <c r="E301" i="13"/>
  <c r="F301" i="13"/>
  <c r="E302" i="13"/>
  <c r="F302" i="13"/>
  <c r="E303" i="13"/>
  <c r="F303" i="13"/>
  <c r="E304" i="13"/>
  <c r="F304" i="13"/>
  <c r="E305" i="13"/>
  <c r="F305" i="13"/>
  <c r="E306" i="13"/>
  <c r="F306" i="13"/>
  <c r="F307" i="13"/>
  <c r="E308" i="13"/>
  <c r="F308" i="13"/>
  <c r="E309" i="13"/>
  <c r="F309" i="13"/>
  <c r="E310" i="13"/>
  <c r="F310" i="13"/>
  <c r="E311" i="13"/>
  <c r="F311" i="13"/>
  <c r="F300" i="13"/>
  <c r="E300" i="13"/>
  <c r="F294" i="13"/>
  <c r="E294" i="13"/>
  <c r="F288" i="13"/>
  <c r="E288" i="13"/>
  <c r="F285" i="13"/>
  <c r="F269" i="13"/>
  <c r="E269" i="13"/>
  <c r="F258" i="13"/>
  <c r="E258" i="13"/>
  <c r="F257" i="13"/>
  <c r="E257" i="13"/>
  <c r="E250" i="13"/>
  <c r="F250" i="13"/>
  <c r="CA250" i="13" s="1"/>
  <c r="AD234" i="13"/>
  <c r="AD231" i="13"/>
  <c r="F234" i="13"/>
  <c r="E233" i="13"/>
  <c r="F232" i="13"/>
  <c r="E232" i="13"/>
  <c r="F231" i="13"/>
  <c r="E231" i="13"/>
  <c r="AK174" i="13"/>
  <c r="K174" i="13"/>
  <c r="G174" i="13"/>
  <c r="F163" i="13"/>
  <c r="E163" i="13"/>
  <c r="M158" i="13"/>
  <c r="L158" i="13" a="1"/>
  <c r="L158" i="13" s="1"/>
  <c r="J158" i="13"/>
  <c r="B148" i="13"/>
  <c r="I157" i="13"/>
  <c r="G158" i="13"/>
  <c r="F158" i="13"/>
  <c r="C158" i="13"/>
  <c r="AX143" i="13"/>
  <c r="AT143" i="13"/>
  <c r="AU143" i="13"/>
  <c r="AV143" i="13"/>
  <c r="AW143" i="13"/>
  <c r="AS143" i="13"/>
  <c r="AR143" i="13"/>
  <c r="AQ143" i="13"/>
  <c r="AP143" i="13"/>
  <c r="AO143" i="13"/>
  <c r="AB143" i="13"/>
  <c r="AA143" i="13"/>
  <c r="Z143" i="13"/>
  <c r="Y143" i="13"/>
  <c r="Q143" i="13"/>
  <c r="G143" i="13"/>
  <c r="F128" i="13"/>
  <c r="E128" i="13"/>
  <c r="F126" i="13"/>
  <c r="E126" i="13"/>
  <c r="F122" i="13"/>
  <c r="E122" i="13"/>
  <c r="F121" i="13"/>
  <c r="E121" i="13"/>
  <c r="E119" i="13"/>
  <c r="F119" i="13"/>
  <c r="F118" i="13"/>
  <c r="E118" i="13"/>
  <c r="F114" i="13"/>
  <c r="E111" i="13"/>
  <c r="F111" i="13"/>
  <c r="E112" i="13"/>
  <c r="F112" i="13"/>
  <c r="E113" i="13"/>
  <c r="F113" i="13"/>
  <c r="E114" i="13"/>
  <c r="F110" i="13"/>
  <c r="E110" i="13"/>
  <c r="F104" i="13"/>
  <c r="E104" i="13"/>
  <c r="F91" i="13"/>
  <c r="E91" i="13"/>
  <c r="I71" i="13"/>
  <c r="D71" i="13"/>
  <c r="CB64" i="13"/>
  <c r="E51" i="13"/>
  <c r="F22" i="13"/>
  <c r="CP22" i="13" s="1"/>
  <c r="E22" i="13"/>
  <c r="F34" i="13"/>
  <c r="CP34" i="13" s="1"/>
  <c r="E34" i="13"/>
  <c r="F12" i="13"/>
  <c r="CP12" i="13" s="1"/>
  <c r="E12" i="13"/>
  <c r="E193" i="13"/>
  <c r="D193" i="13" s="1"/>
  <c r="CU193" i="13" s="1"/>
  <c r="E194" i="13"/>
  <c r="D194" i="13" s="1"/>
  <c r="CU194" i="13" s="1"/>
  <c r="E195" i="13"/>
  <c r="D195" i="13" s="1"/>
  <c r="CU195" i="13" s="1"/>
  <c r="E196" i="13"/>
  <c r="D196" i="13" s="1"/>
  <c r="E197" i="13"/>
  <c r="D197" i="13" s="1"/>
  <c r="E198" i="13"/>
  <c r="D198" i="13" s="1"/>
  <c r="E199" i="13"/>
  <c r="D199" i="13" s="1"/>
  <c r="E200" i="13"/>
  <c r="D200" i="13" s="1"/>
  <c r="E192" i="13"/>
  <c r="D192" i="13" s="1"/>
  <c r="CU192" i="13" s="1"/>
  <c r="F344" i="13"/>
  <c r="E344" i="13"/>
  <c r="F343" i="13"/>
  <c r="E343" i="13"/>
  <c r="F342" i="13"/>
  <c r="E342" i="13"/>
  <c r="F341" i="13"/>
  <c r="E341" i="13"/>
  <c r="AX335" i="13"/>
  <c r="AW335" i="13"/>
  <c r="AU335" i="13"/>
  <c r="AT335" i="13"/>
  <c r="AS335" i="13"/>
  <c r="AR335" i="13"/>
  <c r="AX334" i="13"/>
  <c r="AW334" i="13"/>
  <c r="AU334" i="13"/>
  <c r="AT334" i="13"/>
  <c r="AS334" i="13"/>
  <c r="AR334" i="13"/>
  <c r="V334" i="13"/>
  <c r="U334" i="13"/>
  <c r="T334" i="13"/>
  <c r="S334" i="13"/>
  <c r="R334" i="13"/>
  <c r="Q334" i="13"/>
  <c r="P334" i="13"/>
  <c r="N334" i="13"/>
  <c r="M334" i="13"/>
  <c r="L334" i="13"/>
  <c r="K334" i="13"/>
  <c r="J334" i="13"/>
  <c r="I334" i="13"/>
  <c r="H334" i="13"/>
  <c r="AX333" i="13"/>
  <c r="AW333" i="13"/>
  <c r="AU333" i="13"/>
  <c r="AT333" i="13"/>
  <c r="AS333" i="13"/>
  <c r="AR333" i="13"/>
  <c r="V333" i="13"/>
  <c r="U333" i="13"/>
  <c r="T333" i="13"/>
  <c r="S333" i="13"/>
  <c r="R333" i="13"/>
  <c r="Q333" i="13"/>
  <c r="N333" i="13"/>
  <c r="M333" i="13"/>
  <c r="L333" i="13"/>
  <c r="K333" i="13"/>
  <c r="J333" i="13"/>
  <c r="I333" i="13"/>
  <c r="H333" i="13"/>
  <c r="AX332" i="13"/>
  <c r="AW332" i="13"/>
  <c r="AU332" i="13"/>
  <c r="AT332" i="13"/>
  <c r="AS332" i="13"/>
  <c r="AR332" i="13"/>
  <c r="V332" i="13"/>
  <c r="U332" i="13"/>
  <c r="T332" i="13"/>
  <c r="S332" i="13"/>
  <c r="R332" i="13"/>
  <c r="Q332" i="13"/>
  <c r="P332" i="13"/>
  <c r="O332" i="13"/>
  <c r="N332" i="13"/>
  <c r="M332" i="13"/>
  <c r="L332" i="13"/>
  <c r="K332" i="13"/>
  <c r="J332" i="13"/>
  <c r="I332" i="13"/>
  <c r="H332" i="13"/>
  <c r="AX331" i="13"/>
  <c r="AW331" i="13"/>
  <c r="AU331" i="13"/>
  <c r="AT331" i="13"/>
  <c r="AS331" i="13"/>
  <c r="AR331" i="13"/>
  <c r="AQ331" i="13"/>
  <c r="V331" i="13"/>
  <c r="U331" i="13"/>
  <c r="T331" i="13"/>
  <c r="S331" i="13"/>
  <c r="R331" i="13"/>
  <c r="Q331" i="13"/>
  <c r="P331" i="13"/>
  <c r="O331" i="13"/>
  <c r="N331" i="13"/>
  <c r="M331" i="13"/>
  <c r="L331" i="13"/>
  <c r="K331" i="13"/>
  <c r="J331" i="13"/>
  <c r="I331" i="13"/>
  <c r="H331" i="13"/>
  <c r="AX330" i="13"/>
  <c r="AW330" i="13"/>
  <c r="AU330" i="13"/>
  <c r="AT330" i="13"/>
  <c r="AS330" i="13"/>
  <c r="AR330" i="13"/>
  <c r="AQ330" i="13"/>
  <c r="AP330" i="13"/>
  <c r="AO330" i="13"/>
  <c r="V330" i="13"/>
  <c r="U330" i="13"/>
  <c r="T330" i="13"/>
  <c r="S330" i="13"/>
  <c r="R330" i="13"/>
  <c r="Q330" i="13"/>
  <c r="P330" i="13"/>
  <c r="O330" i="13"/>
  <c r="N330" i="13"/>
  <c r="M330" i="13"/>
  <c r="L330" i="13"/>
  <c r="K330" i="13"/>
  <c r="J330" i="13"/>
  <c r="I330" i="13"/>
  <c r="H330" i="13"/>
  <c r="F329" i="13"/>
  <c r="F328" i="13"/>
  <c r="E328" i="13"/>
  <c r="F327" i="13"/>
  <c r="E327" i="13"/>
  <c r="F326" i="13"/>
  <c r="E326" i="13"/>
  <c r="F325" i="13"/>
  <c r="E325" i="13"/>
  <c r="F324" i="13"/>
  <c r="E324" i="13"/>
  <c r="F323" i="13"/>
  <c r="E323" i="13"/>
  <c r="F322" i="13"/>
  <c r="E322" i="13"/>
  <c r="F321" i="13"/>
  <c r="E321" i="13"/>
  <c r="F320" i="13"/>
  <c r="E320" i="13"/>
  <c r="F319" i="13"/>
  <c r="E319" i="13"/>
  <c r="F318" i="13"/>
  <c r="E318" i="13"/>
  <c r="F317" i="13"/>
  <c r="E317" i="13"/>
  <c r="F316" i="13"/>
  <c r="E316" i="13"/>
  <c r="F315" i="13"/>
  <c r="E315" i="13"/>
  <c r="F314" i="13"/>
  <c r="E314" i="13"/>
  <c r="F313" i="13"/>
  <c r="E313" i="13"/>
  <c r="D302" i="13"/>
  <c r="F299" i="13"/>
  <c r="E299" i="13"/>
  <c r="F298" i="13"/>
  <c r="E298" i="13"/>
  <c r="F297" i="13"/>
  <c r="E297" i="13"/>
  <c r="F296" i="13"/>
  <c r="E296" i="13"/>
  <c r="F295" i="13"/>
  <c r="E295" i="13"/>
  <c r="F293" i="13"/>
  <c r="E293" i="13"/>
  <c r="F292" i="13"/>
  <c r="E292" i="13"/>
  <c r="F291" i="13"/>
  <c r="E291" i="13"/>
  <c r="F290" i="13"/>
  <c r="E290" i="13"/>
  <c r="F289" i="13"/>
  <c r="E289" i="13"/>
  <c r="F287" i="13"/>
  <c r="E287" i="13"/>
  <c r="F286" i="13"/>
  <c r="E286" i="13"/>
  <c r="E285" i="13"/>
  <c r="F284" i="13"/>
  <c r="E284" i="13"/>
  <c r="F283" i="13"/>
  <c r="E283" i="13"/>
  <c r="F282" i="13"/>
  <c r="E282" i="13"/>
  <c r="F281" i="13"/>
  <c r="E281" i="13"/>
  <c r="F280" i="13"/>
  <c r="E280" i="13"/>
  <c r="F279" i="13"/>
  <c r="E279" i="13"/>
  <c r="F278" i="13"/>
  <c r="E278" i="13"/>
  <c r="F277" i="13"/>
  <c r="E277" i="13"/>
  <c r="F276" i="13"/>
  <c r="E276" i="13"/>
  <c r="F275" i="13"/>
  <c r="E275" i="13"/>
  <c r="F274" i="13"/>
  <c r="E274" i="13"/>
  <c r="F273" i="13"/>
  <c r="E273" i="13"/>
  <c r="F272" i="13"/>
  <c r="E272" i="13"/>
  <c r="F271" i="13"/>
  <c r="E271" i="13"/>
  <c r="F270" i="13"/>
  <c r="F268" i="13"/>
  <c r="E268" i="13"/>
  <c r="F267" i="13"/>
  <c r="E267" i="13"/>
  <c r="F266" i="13"/>
  <c r="E266" i="13"/>
  <c r="F265" i="13"/>
  <c r="E265" i="13"/>
  <c r="F264" i="13"/>
  <c r="E264" i="13"/>
  <c r="F263" i="13"/>
  <c r="E263" i="13"/>
  <c r="F262" i="13"/>
  <c r="E262" i="13"/>
  <c r="F261" i="13"/>
  <c r="E261" i="13"/>
  <c r="F260" i="13"/>
  <c r="E260" i="13"/>
  <c r="F259" i="13"/>
  <c r="E259" i="13"/>
  <c r="F256" i="13"/>
  <c r="E256" i="13"/>
  <c r="F255" i="13"/>
  <c r="E255" i="13"/>
  <c r="F254" i="13"/>
  <c r="E254" i="13"/>
  <c r="F253" i="13"/>
  <c r="E253" i="13"/>
  <c r="F252" i="13"/>
  <c r="E252" i="13"/>
  <c r="F251" i="13"/>
  <c r="E251" i="13"/>
  <c r="D245" i="13"/>
  <c r="D244" i="13"/>
  <c r="D243" i="13"/>
  <c r="D242" i="13"/>
  <c r="AD236" i="13"/>
  <c r="AD235" i="13"/>
  <c r="E234" i="13"/>
  <c r="AD233" i="13"/>
  <c r="F233" i="13"/>
  <c r="AD232" i="13"/>
  <c r="D226" i="13"/>
  <c r="CU226" i="13" s="1"/>
  <c r="D225" i="13"/>
  <c r="CU225" i="13" s="1"/>
  <c r="D224" i="13"/>
  <c r="D223" i="13"/>
  <c r="CU223" i="13" s="1"/>
  <c r="D222" i="13"/>
  <c r="F221" i="13"/>
  <c r="E221" i="13"/>
  <c r="F220" i="13"/>
  <c r="E220" i="13"/>
  <c r="F219" i="13"/>
  <c r="E219" i="13"/>
  <c r="F218" i="13"/>
  <c r="E218" i="13"/>
  <c r="F217" i="13"/>
  <c r="E217" i="13"/>
  <c r="F216" i="13"/>
  <c r="E216" i="13"/>
  <c r="F215" i="13"/>
  <c r="E215" i="13"/>
  <c r="F214" i="13"/>
  <c r="E214" i="13"/>
  <c r="F213" i="13"/>
  <c r="E213" i="13"/>
  <c r="F212" i="13"/>
  <c r="E212" i="13"/>
  <c r="F211" i="13"/>
  <c r="E211" i="13"/>
  <c r="F210" i="13"/>
  <c r="E210" i="13"/>
  <c r="F209" i="13"/>
  <c r="E209" i="13"/>
  <c r="F208" i="13"/>
  <c r="E208" i="13"/>
  <c r="F207" i="13"/>
  <c r="E207" i="13"/>
  <c r="F206" i="13"/>
  <c r="E206" i="13"/>
  <c r="F205" i="13"/>
  <c r="E205" i="13"/>
  <c r="F204" i="13"/>
  <c r="E204" i="13"/>
  <c r="F203" i="13"/>
  <c r="E203" i="13"/>
  <c r="F202" i="13"/>
  <c r="E202" i="13"/>
  <c r="AX201" i="13"/>
  <c r="AW201" i="13"/>
  <c r="AV201" i="13"/>
  <c r="AU201" i="13"/>
  <c r="AT201" i="13"/>
  <c r="AS201" i="13"/>
  <c r="AR201" i="13"/>
  <c r="AQ201" i="13"/>
  <c r="AP201" i="13"/>
  <c r="AO201" i="13"/>
  <c r="AN201" i="13"/>
  <c r="AM201" i="13"/>
  <c r="AL201" i="13"/>
  <c r="AK201" i="13"/>
  <c r="AJ201" i="13"/>
  <c r="AI201" i="13"/>
  <c r="AH201" i="13"/>
  <c r="AG201" i="13"/>
  <c r="AF201" i="13"/>
  <c r="AE201" i="13"/>
  <c r="AD201" i="13"/>
  <c r="AC201" i="13"/>
  <c r="AB201" i="13"/>
  <c r="AA201" i="13"/>
  <c r="Z201" i="13"/>
  <c r="Y201" i="13"/>
  <c r="X201" i="13"/>
  <c r="W201" i="13"/>
  <c r="V201" i="13"/>
  <c r="U201" i="13"/>
  <c r="T201" i="13"/>
  <c r="S201" i="13"/>
  <c r="R201" i="13"/>
  <c r="Q201" i="13"/>
  <c r="P201" i="13"/>
  <c r="O201" i="13"/>
  <c r="N201" i="13"/>
  <c r="M201" i="13"/>
  <c r="L201" i="13"/>
  <c r="K201" i="13"/>
  <c r="J201" i="13"/>
  <c r="I201" i="13"/>
  <c r="H201" i="13"/>
  <c r="F191" i="13"/>
  <c r="D191" i="13" s="1"/>
  <c r="F190" i="13"/>
  <c r="D190" i="13" s="1"/>
  <c r="F189" i="13"/>
  <c r="D189" i="13" s="1"/>
  <c r="F188" i="13"/>
  <c r="D188" i="13" s="1"/>
  <c r="F187" i="13"/>
  <c r="D187" i="13" s="1"/>
  <c r="F186" i="13"/>
  <c r="D186" i="13" s="1"/>
  <c r="F185" i="13"/>
  <c r="D185" i="13" s="1"/>
  <c r="F184" i="13"/>
  <c r="D184" i="13" s="1"/>
  <c r="AX183" i="13"/>
  <c r="AW183" i="13"/>
  <c r="AV183" i="13"/>
  <c r="AU183" i="13"/>
  <c r="AT183" i="13"/>
  <c r="AS183" i="13"/>
  <c r="AR183" i="13"/>
  <c r="AQ183" i="13"/>
  <c r="AP183" i="13"/>
  <c r="AN183" i="13"/>
  <c r="AL183" i="13"/>
  <c r="AJ183" i="13"/>
  <c r="AH183" i="13"/>
  <c r="AF183" i="13"/>
  <c r="AD183" i="13"/>
  <c r="F182" i="13"/>
  <c r="D182" i="13" s="1"/>
  <c r="F181" i="13"/>
  <c r="D181" i="13" s="1"/>
  <c r="CU181" i="13" s="1"/>
  <c r="F180" i="13"/>
  <c r="D180" i="13" s="1"/>
  <c r="CU180" i="13" s="1"/>
  <c r="F179" i="13"/>
  <c r="D179" i="13" s="1"/>
  <c r="AX174" i="13"/>
  <c r="AW174" i="13"/>
  <c r="AV174" i="13"/>
  <c r="AU174" i="13"/>
  <c r="AT174" i="13"/>
  <c r="AS174" i="13"/>
  <c r="AR174" i="13"/>
  <c r="AQ174" i="13"/>
  <c r="AP174" i="13"/>
  <c r="AO174" i="13"/>
  <c r="AN174" i="13"/>
  <c r="AM174" i="13"/>
  <c r="AL174" i="13"/>
  <c r="AJ174" i="13"/>
  <c r="AI174" i="13"/>
  <c r="AH174" i="13"/>
  <c r="AG174" i="13"/>
  <c r="AF174" i="13"/>
  <c r="AE174" i="13"/>
  <c r="AD174" i="13"/>
  <c r="AC174" i="13"/>
  <c r="AB174" i="13"/>
  <c r="AA174" i="13"/>
  <c r="Z174" i="13"/>
  <c r="Y174" i="13"/>
  <c r="X174" i="13"/>
  <c r="W174" i="13"/>
  <c r="V174" i="13"/>
  <c r="U174" i="13"/>
  <c r="T174" i="13"/>
  <c r="S174" i="13"/>
  <c r="R174" i="13"/>
  <c r="Q174" i="13"/>
  <c r="P174" i="13"/>
  <c r="O174" i="13"/>
  <c r="N174" i="13"/>
  <c r="M174" i="13"/>
  <c r="J174" i="13"/>
  <c r="I174" i="13"/>
  <c r="H174" i="13"/>
  <c r="F173" i="13"/>
  <c r="E173" i="13"/>
  <c r="F172" i="13"/>
  <c r="E172" i="13"/>
  <c r="F171" i="13"/>
  <c r="E171" i="13"/>
  <c r="F170" i="13"/>
  <c r="E170" i="13"/>
  <c r="F169" i="13"/>
  <c r="E169" i="13"/>
  <c r="F168" i="13"/>
  <c r="E168" i="13"/>
  <c r="F167" i="13"/>
  <c r="E167" i="13"/>
  <c r="F166" i="13"/>
  <c r="E166" i="13"/>
  <c r="F165" i="13"/>
  <c r="E165" i="13"/>
  <c r="F164" i="13"/>
  <c r="E164" i="13"/>
  <c r="N158" i="13"/>
  <c r="K158" i="13"/>
  <c r="H158" i="13"/>
  <c r="E158" i="13"/>
  <c r="D158" i="13"/>
  <c r="B157" i="13"/>
  <c r="I156" i="13"/>
  <c r="B156" i="13"/>
  <c r="I155" i="13"/>
  <c r="B155" i="13"/>
  <c r="I154" i="13"/>
  <c r="B154" i="13"/>
  <c r="I153" i="13"/>
  <c r="B153" i="13"/>
  <c r="I152" i="13"/>
  <c r="B152" i="13"/>
  <c r="I151" i="13"/>
  <c r="B151" i="13"/>
  <c r="I150" i="13"/>
  <c r="B150" i="13"/>
  <c r="I149" i="13"/>
  <c r="B149" i="13"/>
  <c r="AN143" i="13"/>
  <c r="AM143" i="13"/>
  <c r="AL143" i="13"/>
  <c r="AK143" i="13"/>
  <c r="AJ143" i="13"/>
  <c r="AI143" i="13"/>
  <c r="AH143" i="13"/>
  <c r="AG143" i="13"/>
  <c r="AF143" i="13"/>
  <c r="AE143" i="13"/>
  <c r="AD143" i="13"/>
  <c r="AC143" i="13"/>
  <c r="X143" i="13"/>
  <c r="W143" i="13"/>
  <c r="V143" i="13"/>
  <c r="U143" i="13"/>
  <c r="T143" i="13"/>
  <c r="S143" i="13"/>
  <c r="R143" i="13"/>
  <c r="P143" i="13"/>
  <c r="O143" i="13"/>
  <c r="N143" i="13"/>
  <c r="M143" i="13"/>
  <c r="L143" i="13"/>
  <c r="K143" i="13"/>
  <c r="J143" i="13"/>
  <c r="I143" i="13"/>
  <c r="H143" i="13"/>
  <c r="F142" i="13"/>
  <c r="E142" i="13"/>
  <c r="F141" i="13"/>
  <c r="E141" i="13"/>
  <c r="F140" i="13"/>
  <c r="E140" i="13"/>
  <c r="F139" i="13"/>
  <c r="E139" i="13"/>
  <c r="F138" i="13"/>
  <c r="E138" i="13"/>
  <c r="F137" i="13"/>
  <c r="E137" i="13"/>
  <c r="F136" i="13"/>
  <c r="E136" i="13"/>
  <c r="F135" i="13"/>
  <c r="E135" i="13"/>
  <c r="F134" i="13"/>
  <c r="E134" i="13"/>
  <c r="F133" i="13"/>
  <c r="E133" i="13"/>
  <c r="F132" i="13"/>
  <c r="E132" i="13"/>
  <c r="F131" i="13"/>
  <c r="E131" i="13"/>
  <c r="F130" i="13"/>
  <c r="E130" i="13"/>
  <c r="F129" i="13"/>
  <c r="E129" i="13"/>
  <c r="F127" i="13"/>
  <c r="E127" i="13"/>
  <c r="F125" i="13"/>
  <c r="E125" i="13"/>
  <c r="F124" i="13"/>
  <c r="E124" i="13"/>
  <c r="F123" i="13"/>
  <c r="E123" i="13"/>
  <c r="F120" i="13"/>
  <c r="E120" i="13"/>
  <c r="F117" i="13"/>
  <c r="E117" i="13"/>
  <c r="F116" i="13"/>
  <c r="E116" i="13"/>
  <c r="F115" i="13"/>
  <c r="E115" i="13"/>
  <c r="F109" i="13"/>
  <c r="E109" i="13"/>
  <c r="F108" i="13"/>
  <c r="E108" i="13"/>
  <c r="F107" i="13"/>
  <c r="E107" i="13"/>
  <c r="F106" i="13"/>
  <c r="E106" i="13"/>
  <c r="F105" i="13"/>
  <c r="E105" i="13"/>
  <c r="F103" i="13"/>
  <c r="E103" i="13"/>
  <c r="F102" i="13"/>
  <c r="E102" i="13"/>
  <c r="F99" i="13"/>
  <c r="E99" i="13"/>
  <c r="F98" i="13"/>
  <c r="E98" i="13"/>
  <c r="F97" i="13"/>
  <c r="E97" i="13"/>
  <c r="F96" i="13"/>
  <c r="E96" i="13"/>
  <c r="F93" i="13"/>
  <c r="E93" i="13"/>
  <c r="F92" i="13"/>
  <c r="E92" i="13"/>
  <c r="I81" i="13"/>
  <c r="D81" i="13"/>
  <c r="I80" i="13"/>
  <c r="D80" i="13"/>
  <c r="I79" i="13"/>
  <c r="D79" i="13"/>
  <c r="I78" i="13"/>
  <c r="D78" i="13"/>
  <c r="I77" i="13"/>
  <c r="D77" i="13"/>
  <c r="I76" i="13"/>
  <c r="D76" i="13"/>
  <c r="I75" i="13"/>
  <c r="D75" i="13"/>
  <c r="I74" i="13"/>
  <c r="D74" i="13"/>
  <c r="I73" i="13"/>
  <c r="D73" i="13"/>
  <c r="I72" i="13"/>
  <c r="D72" i="13"/>
  <c r="F50" i="13"/>
  <c r="E50" i="13"/>
  <c r="F46" i="13"/>
  <c r="E46" i="13"/>
  <c r="F45" i="13"/>
  <c r="E45" i="13"/>
  <c r="F44" i="13"/>
  <c r="E44" i="13"/>
  <c r="F38" i="13"/>
  <c r="CP38" i="13" s="1"/>
  <c r="E38" i="13"/>
  <c r="F17" i="13"/>
  <c r="E17" i="13"/>
  <c r="F16" i="13"/>
  <c r="CP16" i="13" s="1"/>
  <c r="E16" i="13"/>
  <c r="F15" i="13"/>
  <c r="CP15" i="13" s="1"/>
  <c r="E15" i="13"/>
  <c r="F14" i="13"/>
  <c r="CB14" i="13" s="1"/>
  <c r="E14" i="13"/>
  <c r="F13" i="13"/>
  <c r="CP13" i="13" s="1"/>
  <c r="E13" i="13"/>
  <c r="CU182" i="13" l="1"/>
  <c r="CA72" i="13"/>
  <c r="O72" i="13" s="1"/>
  <c r="CA71" i="13"/>
  <c r="O71" i="13" s="1"/>
  <c r="CO71" i="13"/>
  <c r="L241" i="13"/>
  <c r="CB244" i="13"/>
  <c r="CC244" i="13"/>
  <c r="CA244" i="13"/>
  <c r="CD244" i="13"/>
  <c r="CE244" i="13"/>
  <c r="CU179" i="13"/>
  <c r="CT187" i="13"/>
  <c r="CU187" i="13"/>
  <c r="CU222" i="13"/>
  <c r="CT222" i="13"/>
  <c r="CU200" i="13"/>
  <c r="CT200" i="13"/>
  <c r="CA342" i="13"/>
  <c r="CO342" i="13"/>
  <c r="CT188" i="13"/>
  <c r="CU188" i="13"/>
  <c r="D271" i="13"/>
  <c r="CS271" i="13" s="1"/>
  <c r="CT199" i="13"/>
  <c r="CU199" i="13"/>
  <c r="CT189" i="13"/>
  <c r="CU189" i="13"/>
  <c r="D203" i="13"/>
  <c r="CT224" i="13"/>
  <c r="CU224" i="13"/>
  <c r="CO343" i="13"/>
  <c r="CA343" i="13"/>
  <c r="CT198" i="13"/>
  <c r="CU198" i="13"/>
  <c r="CT197" i="13"/>
  <c r="CU197" i="13"/>
  <c r="CU186" i="13"/>
  <c r="CT186" i="13"/>
  <c r="CU191" i="13"/>
  <c r="CA341" i="13"/>
  <c r="CO341" i="13"/>
  <c r="CU196" i="13"/>
  <c r="CT196" i="13"/>
  <c r="CU190" i="13"/>
  <c r="CT190" i="13"/>
  <c r="CT184" i="13"/>
  <c r="CU184" i="13"/>
  <c r="CA344" i="13"/>
  <c r="CO344" i="13"/>
  <c r="CT185" i="13"/>
  <c r="CU185" i="13"/>
  <c r="D294" i="13"/>
  <c r="CE294" i="13" s="1"/>
  <c r="CO340" i="13"/>
  <c r="CA340" i="13"/>
  <c r="CS294" i="13"/>
  <c r="CQ294" i="13"/>
  <c r="CV294" i="13"/>
  <c r="CT294" i="13"/>
  <c r="CD294" i="13"/>
  <c r="CW294" i="13"/>
  <c r="CF294" i="13"/>
  <c r="CZ294" i="13"/>
  <c r="CL294" i="13"/>
  <c r="CY294" i="13"/>
  <c r="CO258" i="13"/>
  <c r="CA258" i="13"/>
  <c r="CO308" i="13"/>
  <c r="CA308" i="13"/>
  <c r="CO81" i="13"/>
  <c r="D101" i="13"/>
  <c r="CB101" i="13"/>
  <c r="CP101" i="13"/>
  <c r="CB133" i="13"/>
  <c r="CP133" i="13"/>
  <c r="CO251" i="13"/>
  <c r="CA251" i="13"/>
  <c r="CA296" i="13"/>
  <c r="CO296" i="13"/>
  <c r="CO329" i="13"/>
  <c r="CA329" i="13"/>
  <c r="CV223" i="13"/>
  <c r="CG223" i="13"/>
  <c r="CQ223" i="13"/>
  <c r="CP223" i="13"/>
  <c r="CH223" i="13"/>
  <c r="CD223" i="13"/>
  <c r="CC223" i="13"/>
  <c r="CB223" i="13"/>
  <c r="CS223" i="13"/>
  <c r="CR223" i="13"/>
  <c r="CE223" i="13"/>
  <c r="CE271" i="13"/>
  <c r="CL271" i="13"/>
  <c r="CY271" i="13"/>
  <c r="CK271" i="13"/>
  <c r="CI271" i="13"/>
  <c r="CO292" i="13"/>
  <c r="CA292" i="13"/>
  <c r="CO317" i="13"/>
  <c r="CA317" i="13"/>
  <c r="CP114" i="13"/>
  <c r="CB114" i="13"/>
  <c r="CP97" i="13"/>
  <c r="CB97" i="13"/>
  <c r="CP116" i="13"/>
  <c r="CB116" i="13"/>
  <c r="CP134" i="13"/>
  <c r="CB134" i="13"/>
  <c r="CP166" i="13"/>
  <c r="CB166" i="13"/>
  <c r="CQ203" i="13"/>
  <c r="CB203" i="13"/>
  <c r="CF224" i="13"/>
  <c r="CE224" i="13"/>
  <c r="CR224" i="13"/>
  <c r="CC224" i="13"/>
  <c r="CG224" i="13"/>
  <c r="CD224" i="13"/>
  <c r="CB224" i="13"/>
  <c r="CV224" i="13"/>
  <c r="CS224" i="13"/>
  <c r="CQ224" i="13"/>
  <c r="CP224" i="13"/>
  <c r="CH224" i="13"/>
  <c r="CO252" i="13"/>
  <c r="CA252" i="13"/>
  <c r="CO256" i="13"/>
  <c r="CA256" i="13"/>
  <c r="CA262" i="13"/>
  <c r="CO262" i="13"/>
  <c r="CO266" i="13"/>
  <c r="CA266" i="13"/>
  <c r="CO283" i="13"/>
  <c r="CA283" i="13"/>
  <c r="CO297" i="13"/>
  <c r="CA297" i="13"/>
  <c r="CR199" i="13"/>
  <c r="CC199" i="13"/>
  <c r="CF199" i="13"/>
  <c r="CP199" i="13"/>
  <c r="CG199" i="13"/>
  <c r="CV199" i="13"/>
  <c r="CD199" i="13"/>
  <c r="CB199" i="13"/>
  <c r="CS199" i="13"/>
  <c r="CQ199" i="13"/>
  <c r="CH199" i="13"/>
  <c r="CE199" i="13"/>
  <c r="CO300" i="13"/>
  <c r="CA300" i="13"/>
  <c r="CO303" i="13"/>
  <c r="CA303" i="13"/>
  <c r="CA312" i="13"/>
  <c r="CO312" i="13"/>
  <c r="D48" i="13"/>
  <c r="CB48" i="13"/>
  <c r="CP48" i="13"/>
  <c r="CP106" i="13"/>
  <c r="CB106" i="13"/>
  <c r="CP137" i="13"/>
  <c r="CB137" i="13"/>
  <c r="CO255" i="13"/>
  <c r="CA255" i="13"/>
  <c r="CS192" i="13"/>
  <c r="CC192" i="13"/>
  <c r="CP192" i="13"/>
  <c r="CR192" i="13"/>
  <c r="CH192" i="13"/>
  <c r="CG192" i="13"/>
  <c r="CE192" i="13"/>
  <c r="CD192" i="13"/>
  <c r="CB192" i="13"/>
  <c r="CV192" i="13"/>
  <c r="CQ192" i="13"/>
  <c r="CP163" i="13"/>
  <c r="CB163" i="13"/>
  <c r="CB38" i="13"/>
  <c r="D49" i="13"/>
  <c r="CB49" i="13"/>
  <c r="CP49" i="13"/>
  <c r="CO321" i="13"/>
  <c r="CA321" i="13"/>
  <c r="CV200" i="13"/>
  <c r="CG200" i="13"/>
  <c r="CS200" i="13"/>
  <c r="CD200" i="13"/>
  <c r="CC200" i="13"/>
  <c r="CR200" i="13"/>
  <c r="CQ200" i="13"/>
  <c r="CP200" i="13"/>
  <c r="CH200" i="13"/>
  <c r="CE200" i="13"/>
  <c r="CB200" i="13"/>
  <c r="CF200" i="13"/>
  <c r="CP64" i="13"/>
  <c r="CP122" i="13"/>
  <c r="CB122" i="13"/>
  <c r="CO74" i="13"/>
  <c r="CO78" i="13"/>
  <c r="CB102" i="13"/>
  <c r="CP102" i="13"/>
  <c r="CP124" i="13"/>
  <c r="CB124" i="13"/>
  <c r="CP138" i="13"/>
  <c r="CB138" i="13"/>
  <c r="CP170" i="13"/>
  <c r="CB170" i="13"/>
  <c r="CF189" i="13"/>
  <c r="CV189" i="13"/>
  <c r="CE189" i="13"/>
  <c r="CR189" i="13"/>
  <c r="CC189" i="13"/>
  <c r="CQ189" i="13"/>
  <c r="CB189" i="13"/>
  <c r="CP189" i="13"/>
  <c r="CH189" i="13"/>
  <c r="CG189" i="13"/>
  <c r="CD189" i="13"/>
  <c r="CS189" i="13"/>
  <c r="CB50" i="13"/>
  <c r="CP50" i="13"/>
  <c r="CE180" i="13"/>
  <c r="CH180" i="13"/>
  <c r="CD180" i="13"/>
  <c r="CG180" i="13"/>
  <c r="CP180" i="13"/>
  <c r="CQ180" i="13"/>
  <c r="CR180" i="13"/>
  <c r="CS180" i="13"/>
  <c r="CB180" i="13"/>
  <c r="CV180" i="13"/>
  <c r="CC180" i="13"/>
  <c r="CP190" i="13"/>
  <c r="CF190" i="13"/>
  <c r="CV190" i="13"/>
  <c r="CG190" i="13"/>
  <c r="CE190" i="13"/>
  <c r="CS190" i="13"/>
  <c r="CR190" i="13"/>
  <c r="CQ190" i="13"/>
  <c r="CH190" i="13"/>
  <c r="CD190" i="13"/>
  <c r="CC190" i="13"/>
  <c r="CB190" i="13"/>
  <c r="CQ225" i="13"/>
  <c r="CB225" i="13"/>
  <c r="CH225" i="13"/>
  <c r="CR225" i="13"/>
  <c r="CP225" i="13"/>
  <c r="CG225" i="13"/>
  <c r="CE225" i="13"/>
  <c r="CD225" i="13"/>
  <c r="CC225" i="13"/>
  <c r="CV225" i="13"/>
  <c r="CS225" i="13"/>
  <c r="CO242" i="13"/>
  <c r="CQ242" i="13"/>
  <c r="CA242" i="13"/>
  <c r="CR242" i="13"/>
  <c r="CB242" i="13"/>
  <c r="CD242" i="13"/>
  <c r="CE242" i="13"/>
  <c r="CP242" i="13"/>
  <c r="CS242" i="13"/>
  <c r="CC242" i="13"/>
  <c r="CO289" i="13"/>
  <c r="CA289" i="13"/>
  <c r="CO293" i="13"/>
  <c r="CA293" i="13"/>
  <c r="CA314" i="13"/>
  <c r="CO314" i="13"/>
  <c r="CO318" i="13"/>
  <c r="CA318" i="13"/>
  <c r="CA322" i="13"/>
  <c r="CO322" i="13"/>
  <c r="CO326" i="13"/>
  <c r="CA326" i="13"/>
  <c r="CV198" i="13"/>
  <c r="CG198" i="13"/>
  <c r="CF198" i="13"/>
  <c r="CP198" i="13"/>
  <c r="CE198" i="13"/>
  <c r="CD198" i="13"/>
  <c r="CC198" i="13"/>
  <c r="CS198" i="13"/>
  <c r="CB198" i="13"/>
  <c r="CR198" i="13"/>
  <c r="CH198" i="13"/>
  <c r="CQ198" i="13"/>
  <c r="CP113" i="13"/>
  <c r="CB113" i="13"/>
  <c r="CB118" i="13"/>
  <c r="CP118" i="13"/>
  <c r="CP126" i="13"/>
  <c r="CB126" i="13"/>
  <c r="CO269" i="13"/>
  <c r="CA269" i="13"/>
  <c r="CO311" i="13"/>
  <c r="CA311" i="13"/>
  <c r="CO307" i="13"/>
  <c r="CA307" i="13"/>
  <c r="D100" i="13"/>
  <c r="CP100" i="13"/>
  <c r="CB100" i="13"/>
  <c r="CP96" i="13"/>
  <c r="CB96" i="13"/>
  <c r="CP123" i="13"/>
  <c r="CB123" i="13"/>
  <c r="CB169" i="13"/>
  <c r="CP169" i="13"/>
  <c r="CV222" i="13"/>
  <c r="CH222" i="13"/>
  <c r="CG222" i="13"/>
  <c r="CS222" i="13"/>
  <c r="CE222" i="13"/>
  <c r="CF222" i="13"/>
  <c r="CD222" i="13"/>
  <c r="CC222" i="13"/>
  <c r="CB222" i="13"/>
  <c r="CR222" i="13"/>
  <c r="CQ222" i="13"/>
  <c r="CP222" i="13"/>
  <c r="CO265" i="13"/>
  <c r="CA265" i="13"/>
  <c r="CP193" i="13"/>
  <c r="CH193" i="13"/>
  <c r="CQ193" i="13"/>
  <c r="CG193" i="13"/>
  <c r="CE193" i="13"/>
  <c r="CV193" i="13"/>
  <c r="CD193" i="13"/>
  <c r="CC193" i="13"/>
  <c r="CS193" i="13"/>
  <c r="CB193" i="13"/>
  <c r="CR193" i="13"/>
  <c r="CA304" i="13"/>
  <c r="CO304" i="13"/>
  <c r="CQ188" i="13"/>
  <c r="CB188" i="13"/>
  <c r="CH188" i="13"/>
  <c r="CR188" i="13"/>
  <c r="CF188" i="13"/>
  <c r="CP188" i="13"/>
  <c r="CG188" i="13"/>
  <c r="CE188" i="13"/>
  <c r="CD188" i="13"/>
  <c r="CV188" i="13"/>
  <c r="CC188" i="13"/>
  <c r="CS188" i="13"/>
  <c r="CO287" i="13"/>
  <c r="CA287" i="13"/>
  <c r="CO313" i="13"/>
  <c r="CA313" i="13"/>
  <c r="CO325" i="13"/>
  <c r="CA325" i="13"/>
  <c r="CB110" i="13"/>
  <c r="CP110" i="13"/>
  <c r="CP92" i="13"/>
  <c r="CB92" i="13"/>
  <c r="CP107" i="13"/>
  <c r="CB107" i="13"/>
  <c r="CP130" i="13"/>
  <c r="CB130" i="13"/>
  <c r="CP142" i="13"/>
  <c r="CB142" i="13"/>
  <c r="CQ179" i="13"/>
  <c r="CH179" i="13"/>
  <c r="CB179" i="13"/>
  <c r="CS179" i="13"/>
  <c r="CP179" i="13"/>
  <c r="CG179" i="13"/>
  <c r="CE179" i="13"/>
  <c r="CD179" i="13"/>
  <c r="CV179" i="13"/>
  <c r="CC179" i="13"/>
  <c r="CB45" i="13"/>
  <c r="CP45" i="13"/>
  <c r="CO75" i="13"/>
  <c r="CO79" i="13"/>
  <c r="CB93" i="13"/>
  <c r="CP93" i="13"/>
  <c r="CP98" i="13"/>
  <c r="CB98" i="13"/>
  <c r="CB103" i="13"/>
  <c r="CP103" i="13"/>
  <c r="CP108" i="13"/>
  <c r="CB108" i="13"/>
  <c r="CP117" i="13"/>
  <c r="CB117" i="13"/>
  <c r="CP125" i="13"/>
  <c r="CB125" i="13"/>
  <c r="CP131" i="13"/>
  <c r="CB131" i="13"/>
  <c r="CP135" i="13"/>
  <c r="CB135" i="13"/>
  <c r="CP139" i="13"/>
  <c r="CB139" i="13"/>
  <c r="D167" i="13"/>
  <c r="CB167" i="13"/>
  <c r="CP167" i="13"/>
  <c r="CP171" i="13"/>
  <c r="CB171" i="13"/>
  <c r="AY171" i="13" s="1"/>
  <c r="CB181" i="13"/>
  <c r="CQ181" i="13"/>
  <c r="CC181" i="13"/>
  <c r="CR181" i="13"/>
  <c r="CE181" i="13"/>
  <c r="CG181" i="13"/>
  <c r="CH181" i="13"/>
  <c r="CP181" i="13"/>
  <c r="CS181" i="13"/>
  <c r="CV181" i="13"/>
  <c r="CD181" i="13"/>
  <c r="CD191" i="13"/>
  <c r="CS191" i="13"/>
  <c r="CC191" i="13"/>
  <c r="CQ191" i="13"/>
  <c r="CP191" i="13"/>
  <c r="CV191" i="13"/>
  <c r="CR191" i="13"/>
  <c r="CH191" i="13"/>
  <c r="CG191" i="13"/>
  <c r="CE191" i="13"/>
  <c r="CB191" i="13"/>
  <c r="CE226" i="13"/>
  <c r="CQ226" i="13"/>
  <c r="CB226" i="13"/>
  <c r="CH226" i="13"/>
  <c r="CD226" i="13"/>
  <c r="CR226" i="13"/>
  <c r="CP226" i="13"/>
  <c r="CG226" i="13"/>
  <c r="CC226" i="13"/>
  <c r="CV226" i="13"/>
  <c r="CS226" i="13"/>
  <c r="CD243" i="13"/>
  <c r="CO243" i="13"/>
  <c r="CP243" i="13"/>
  <c r="CC243" i="13"/>
  <c r="CQ243" i="13"/>
  <c r="CR243" i="13"/>
  <c r="CS243" i="13"/>
  <c r="CA243" i="13"/>
  <c r="CB243" i="13"/>
  <c r="CE243" i="13"/>
  <c r="CO253" i="13"/>
  <c r="CA253" i="13"/>
  <c r="CO259" i="13"/>
  <c r="CA259" i="13"/>
  <c r="CO263" i="13"/>
  <c r="CA263" i="13"/>
  <c r="CO267" i="13"/>
  <c r="CA267" i="13"/>
  <c r="CO284" i="13"/>
  <c r="CA284" i="13"/>
  <c r="CA298" i="13"/>
  <c r="CO298" i="13"/>
  <c r="CE197" i="13"/>
  <c r="CR197" i="13"/>
  <c r="CC197" i="13"/>
  <c r="CQ197" i="13"/>
  <c r="CH197" i="13"/>
  <c r="CG197" i="13"/>
  <c r="CD197" i="13"/>
  <c r="CV197" i="13"/>
  <c r="CB197" i="13"/>
  <c r="CS197" i="13"/>
  <c r="CP197" i="13"/>
  <c r="CF197" i="13"/>
  <c r="CP119" i="13"/>
  <c r="CB119" i="13"/>
  <c r="CO250" i="13"/>
  <c r="CO285" i="13"/>
  <c r="CA285" i="13"/>
  <c r="CA306" i="13"/>
  <c r="CO306" i="13"/>
  <c r="CO302" i="13"/>
  <c r="CA302" i="13"/>
  <c r="CO77" i="13"/>
  <c r="CP129" i="13"/>
  <c r="CB129" i="13"/>
  <c r="CP165" i="13"/>
  <c r="CB165" i="13"/>
  <c r="CQ196" i="13"/>
  <c r="CB196" i="13"/>
  <c r="CC196" i="13"/>
  <c r="CF196" i="13"/>
  <c r="CR196" i="13"/>
  <c r="CP196" i="13"/>
  <c r="CH196" i="13"/>
  <c r="CG196" i="13"/>
  <c r="CE196" i="13"/>
  <c r="CV196" i="13"/>
  <c r="CS196" i="13"/>
  <c r="CD196" i="13"/>
  <c r="CP91" i="13"/>
  <c r="CP112" i="13"/>
  <c r="CB112" i="13"/>
  <c r="CP128" i="13"/>
  <c r="CB128" i="13"/>
  <c r="CO310" i="13"/>
  <c r="CA310" i="13"/>
  <c r="CO73" i="13"/>
  <c r="CB115" i="13"/>
  <c r="CP115" i="13"/>
  <c r="CP141" i="13"/>
  <c r="CB141" i="13"/>
  <c r="CP173" i="13"/>
  <c r="CB173" i="13"/>
  <c r="AY173" i="13" s="1"/>
  <c r="CH187" i="13"/>
  <c r="CE187" i="13"/>
  <c r="CF187" i="13"/>
  <c r="CS187" i="13"/>
  <c r="CD187" i="13"/>
  <c r="CQ187" i="13"/>
  <c r="CP187" i="13"/>
  <c r="CG187" i="13"/>
  <c r="CC187" i="13"/>
  <c r="CB187" i="13"/>
  <c r="CV187" i="13"/>
  <c r="CR187" i="13"/>
  <c r="CO261" i="13"/>
  <c r="CA261" i="13"/>
  <c r="CA282" i="13"/>
  <c r="CO282" i="13"/>
  <c r="CO294" i="13"/>
  <c r="CA294" i="13"/>
  <c r="D94" i="13"/>
  <c r="CB94" i="13"/>
  <c r="CP94" i="13"/>
  <c r="CC182" i="13"/>
  <c r="CR182" i="13"/>
  <c r="CE182" i="13"/>
  <c r="CG182" i="13"/>
  <c r="CV182" i="13"/>
  <c r="CD182" i="13"/>
  <c r="CH182" i="13"/>
  <c r="CP182" i="13"/>
  <c r="CQ182" i="13"/>
  <c r="CS182" i="13"/>
  <c r="CB182" i="13"/>
  <c r="CF184" i="13"/>
  <c r="CV184" i="13"/>
  <c r="CG184" i="13"/>
  <c r="CS184" i="13"/>
  <c r="CD184" i="13"/>
  <c r="CR184" i="13"/>
  <c r="CC184" i="13"/>
  <c r="CQ184" i="13"/>
  <c r="CP184" i="13"/>
  <c r="CH184" i="13"/>
  <c r="CE184" i="13"/>
  <c r="CB184" i="13"/>
  <c r="F201" i="13"/>
  <c r="CS244" i="13"/>
  <c r="CP244" i="13"/>
  <c r="CR244" i="13"/>
  <c r="CO244" i="13"/>
  <c r="CQ244" i="13"/>
  <c r="CA290" i="13"/>
  <c r="CO290" i="13"/>
  <c r="CO315" i="13"/>
  <c r="CA315" i="13"/>
  <c r="CO319" i="13"/>
  <c r="CA319" i="13"/>
  <c r="CO323" i="13"/>
  <c r="CA323" i="13"/>
  <c r="CO327" i="13"/>
  <c r="CA327" i="13"/>
  <c r="CB46" i="13"/>
  <c r="CP46" i="13"/>
  <c r="CO76" i="13"/>
  <c r="CO80" i="13"/>
  <c r="D95" i="13"/>
  <c r="CB95" i="13"/>
  <c r="CP95" i="13"/>
  <c r="CB99" i="13"/>
  <c r="CP99" i="13"/>
  <c r="CP105" i="13"/>
  <c r="CB105" i="13"/>
  <c r="CP109" i="13"/>
  <c r="CB109" i="13"/>
  <c r="CP120" i="13"/>
  <c r="CB120" i="13"/>
  <c r="CP127" i="13"/>
  <c r="CB127" i="13"/>
  <c r="CP132" i="13"/>
  <c r="CB132" i="13"/>
  <c r="CP136" i="13"/>
  <c r="CB136" i="13"/>
  <c r="CP140" i="13"/>
  <c r="CB140" i="13"/>
  <c r="CP164" i="13"/>
  <c r="CB164" i="13"/>
  <c r="CP168" i="13"/>
  <c r="CB168" i="13"/>
  <c r="CP172" i="13"/>
  <c r="CB172" i="13"/>
  <c r="AY172" i="13" s="1"/>
  <c r="CP185" i="13"/>
  <c r="CF185" i="13"/>
  <c r="CH185" i="13"/>
  <c r="CV185" i="13"/>
  <c r="CG185" i="13"/>
  <c r="CR185" i="13"/>
  <c r="CQ185" i="13"/>
  <c r="CE185" i="13"/>
  <c r="CD185" i="13"/>
  <c r="CC185" i="13"/>
  <c r="CB185" i="13"/>
  <c r="CS185" i="13"/>
  <c r="E201" i="13"/>
  <c r="D213" i="13"/>
  <c r="D217" i="13"/>
  <c r="D233" i="13"/>
  <c r="CB233" i="13" s="1"/>
  <c r="CR245" i="13"/>
  <c r="CA245" i="13"/>
  <c r="CC245" i="13"/>
  <c r="CD245" i="13"/>
  <c r="CS245" i="13"/>
  <c r="CB245" i="13"/>
  <c r="CE245" i="13"/>
  <c r="CO245" i="13"/>
  <c r="CP245" i="13"/>
  <c r="CQ245" i="13"/>
  <c r="CA254" i="13"/>
  <c r="CO254" i="13"/>
  <c r="CO260" i="13"/>
  <c r="CA260" i="13"/>
  <c r="CO264" i="13"/>
  <c r="CA264" i="13"/>
  <c r="CA268" i="13"/>
  <c r="CO268" i="13"/>
  <c r="CO295" i="13"/>
  <c r="CA295" i="13"/>
  <c r="CO299" i="13"/>
  <c r="CA299" i="13"/>
  <c r="CH195" i="13"/>
  <c r="CE195" i="13"/>
  <c r="CD195" i="13"/>
  <c r="CS195" i="13"/>
  <c r="CB195" i="13"/>
  <c r="CR195" i="13"/>
  <c r="CQ195" i="13"/>
  <c r="CP195" i="13"/>
  <c r="CC195" i="13"/>
  <c r="CV195" i="13"/>
  <c r="CG195" i="13"/>
  <c r="D104" i="13"/>
  <c r="CA288" i="13"/>
  <c r="CO288" i="13"/>
  <c r="CO305" i="13"/>
  <c r="CA305" i="13"/>
  <c r="CO301" i="13"/>
  <c r="CA301" i="13"/>
  <c r="D47" i="13"/>
  <c r="CP47" i="13"/>
  <c r="CB47" i="13"/>
  <c r="CS186" i="13"/>
  <c r="CD186" i="13"/>
  <c r="CF186" i="13"/>
  <c r="CQ186" i="13"/>
  <c r="CB186" i="13"/>
  <c r="CP186" i="13"/>
  <c r="CR186" i="13"/>
  <c r="CH186" i="13"/>
  <c r="CG186" i="13"/>
  <c r="CE186" i="13"/>
  <c r="CC186" i="13"/>
  <c r="CV186" i="13"/>
  <c r="CP233" i="13"/>
  <c r="CO286" i="13"/>
  <c r="CA286" i="13"/>
  <c r="CO291" i="13"/>
  <c r="CA291" i="13"/>
  <c r="CI302" i="13"/>
  <c r="CV302" i="13"/>
  <c r="CW302" i="13"/>
  <c r="CT302" i="13"/>
  <c r="CH302" i="13"/>
  <c r="CZ302" i="13"/>
  <c r="CY302" i="13"/>
  <c r="CL302" i="13"/>
  <c r="CK302" i="13"/>
  <c r="CF302" i="13"/>
  <c r="CO316" i="13"/>
  <c r="CA316" i="13"/>
  <c r="CA320" i="13"/>
  <c r="CO320" i="13"/>
  <c r="CO324" i="13"/>
  <c r="CA324" i="13"/>
  <c r="CA328" i="13"/>
  <c r="CO328" i="13"/>
  <c r="CS194" i="13"/>
  <c r="CD194" i="13"/>
  <c r="CQ194" i="13"/>
  <c r="CB194" i="13"/>
  <c r="CH194" i="13"/>
  <c r="CE194" i="13"/>
  <c r="CV194" i="13"/>
  <c r="CC194" i="13"/>
  <c r="CR194" i="13"/>
  <c r="CP194" i="13"/>
  <c r="CG194" i="13"/>
  <c r="CP104" i="13"/>
  <c r="CB104" i="13"/>
  <c r="CP111" i="13"/>
  <c r="CB111" i="13"/>
  <c r="CP121" i="13"/>
  <c r="CB121" i="13"/>
  <c r="CO257" i="13"/>
  <c r="CA257" i="13"/>
  <c r="CO309" i="13"/>
  <c r="CA309" i="13"/>
  <c r="CO72" i="13"/>
  <c r="D277" i="13"/>
  <c r="CB34" i="13"/>
  <c r="D261" i="13"/>
  <c r="D270" i="13"/>
  <c r="D274" i="13"/>
  <c r="D285" i="13"/>
  <c r="D219" i="13"/>
  <c r="CB22" i="13"/>
  <c r="D45" i="13"/>
  <c r="D317" i="13"/>
  <c r="D325" i="13"/>
  <c r="D232" i="13"/>
  <c r="D326" i="13"/>
  <c r="D212" i="13"/>
  <c r="D253" i="13"/>
  <c r="D320" i="13"/>
  <c r="D220" i="13"/>
  <c r="CU220" i="13" s="1"/>
  <c r="D301" i="13"/>
  <c r="D340" i="13"/>
  <c r="CB16" i="13"/>
  <c r="D231" i="13"/>
  <c r="CP231" i="13" s="1"/>
  <c r="D46" i="13"/>
  <c r="D273" i="13"/>
  <c r="D308" i="13"/>
  <c r="D281" i="13"/>
  <c r="D295" i="13"/>
  <c r="D341" i="13"/>
  <c r="B158" i="13"/>
  <c r="D166" i="13"/>
  <c r="F331" i="13"/>
  <c r="D309" i="13"/>
  <c r="D278" i="13"/>
  <c r="D316" i="13"/>
  <c r="CP17" i="13"/>
  <c r="CP14" i="13"/>
  <c r="D318" i="13"/>
  <c r="F330" i="13"/>
  <c r="E174" i="13"/>
  <c r="D123" i="13"/>
  <c r="D254" i="13"/>
  <c r="D280" i="13"/>
  <c r="D284" i="13"/>
  <c r="F174" i="13"/>
  <c r="D310" i="13"/>
  <c r="F143" i="13"/>
  <c r="D131" i="13"/>
  <c r="D135" i="13"/>
  <c r="D171" i="13"/>
  <c r="D211" i="13"/>
  <c r="CU211" i="13" s="1"/>
  <c r="D287" i="13"/>
  <c r="D313" i="13"/>
  <c r="D344" i="13"/>
  <c r="D91" i="13"/>
  <c r="D250" i="13"/>
  <c r="CB13" i="13"/>
  <c r="D109" i="13"/>
  <c r="D132" i="13"/>
  <c r="D140" i="13"/>
  <c r="D164" i="13"/>
  <c r="D168" i="13"/>
  <c r="D204" i="13"/>
  <c r="D260" i="13"/>
  <c r="D264" i="13"/>
  <c r="D276" i="13"/>
  <c r="D289" i="13"/>
  <c r="D293" i="13"/>
  <c r="D342" i="13"/>
  <c r="CB15" i="13"/>
  <c r="D306" i="13"/>
  <c r="D299" i="13"/>
  <c r="I158" i="13"/>
  <c r="D124" i="13"/>
  <c r="D170" i="13"/>
  <c r="D206" i="13"/>
  <c r="CU206" i="13" s="1"/>
  <c r="D210" i="13"/>
  <c r="CU210" i="13" s="1"/>
  <c r="D252" i="13"/>
  <c r="D262" i="13"/>
  <c r="D286" i="13"/>
  <c r="D327" i="13"/>
  <c r="E334" i="13"/>
  <c r="F334" i="13"/>
  <c r="F332" i="13"/>
  <c r="E330" i="13"/>
  <c r="E335" i="13"/>
  <c r="D300" i="13"/>
  <c r="D288" i="13"/>
  <c r="D257" i="13"/>
  <c r="D269" i="13"/>
  <c r="CU269" i="13" s="1"/>
  <c r="D163" i="13"/>
  <c r="D64" i="13"/>
  <c r="D12" i="13"/>
  <c r="D108" i="13"/>
  <c r="D112" i="13"/>
  <c r="D169" i="13"/>
  <c r="D173" i="13"/>
  <c r="D202" i="13"/>
  <c r="D205" i="13"/>
  <c r="CU205" i="13" s="1"/>
  <c r="D209" i="13"/>
  <c r="D216" i="13"/>
  <c r="CU216" i="13" s="1"/>
  <c r="D234" i="13"/>
  <c r="D256" i="13"/>
  <c r="D263" i="13"/>
  <c r="D267" i="13"/>
  <c r="CU267" i="13" s="1"/>
  <c r="D291" i="13"/>
  <c r="D298" i="13"/>
  <c r="D305" i="13"/>
  <c r="D312" i="13"/>
  <c r="D319" i="13"/>
  <c r="D323" i="13"/>
  <c r="F335" i="13"/>
  <c r="D343" i="13"/>
  <c r="F333" i="13"/>
  <c r="D268" i="13"/>
  <c r="CU268" i="13" s="1"/>
  <c r="D275" i="13"/>
  <c r="D282" i="13"/>
  <c r="D292" i="13"/>
  <c r="D324" i="13"/>
  <c r="E331" i="13"/>
  <c r="F183" i="13"/>
  <c r="D183" i="13" s="1"/>
  <c r="D207" i="13"/>
  <c r="D214" i="13"/>
  <c r="CU214" i="13" s="1"/>
  <c r="D218" i="13"/>
  <c r="D221" i="13"/>
  <c r="CU221" i="13" s="1"/>
  <c r="D251" i="13"/>
  <c r="D258" i="13"/>
  <c r="D265" i="13"/>
  <c r="CU265" i="13" s="1"/>
  <c r="D272" i="13"/>
  <c r="D296" i="13"/>
  <c r="D303" i="13"/>
  <c r="D307" i="13"/>
  <c r="D314" i="13"/>
  <c r="D321" i="13"/>
  <c r="D328" i="13"/>
  <c r="D15" i="13"/>
  <c r="D44" i="13"/>
  <c r="D93" i="13"/>
  <c r="D103" i="13"/>
  <c r="D138" i="13"/>
  <c r="D279" i="13"/>
  <c r="D283" i="13"/>
  <c r="E332" i="13"/>
  <c r="E333" i="13"/>
  <c r="D115" i="13"/>
  <c r="D165" i="13"/>
  <c r="D172" i="13"/>
  <c r="D208" i="13"/>
  <c r="CU208" i="13" s="1"/>
  <c r="D215" i="13"/>
  <c r="D255" i="13"/>
  <c r="D259" i="13"/>
  <c r="D266" i="13"/>
  <c r="CU266" i="13" s="1"/>
  <c r="D290" i="13"/>
  <c r="D297" i="13"/>
  <c r="D304" i="13"/>
  <c r="D311" i="13"/>
  <c r="D315" i="13"/>
  <c r="D322" i="13"/>
  <c r="D329" i="13"/>
  <c r="D107" i="13"/>
  <c r="D111" i="13"/>
  <c r="D126" i="13"/>
  <c r="D130" i="13"/>
  <c r="D134" i="13"/>
  <c r="D92" i="13"/>
  <c r="D136" i="13"/>
  <c r="D102" i="13"/>
  <c r="D96" i="13"/>
  <c r="E143" i="13"/>
  <c r="D16" i="13"/>
  <c r="D106" i="13"/>
  <c r="D110" i="13"/>
  <c r="D114" i="13"/>
  <c r="D125" i="13"/>
  <c r="D129" i="13"/>
  <c r="D13" i="13"/>
  <c r="D17" i="13"/>
  <c r="D99" i="13"/>
  <c r="D105" i="13"/>
  <c r="D113" i="13"/>
  <c r="D117" i="13"/>
  <c r="D121" i="13"/>
  <c r="D127" i="13"/>
  <c r="D142" i="13"/>
  <c r="D38" i="13"/>
  <c r="CE38" i="13" s="1"/>
  <c r="D118" i="13"/>
  <c r="D122" i="13"/>
  <c r="D128" i="13"/>
  <c r="D139" i="13"/>
  <c r="D97" i="13"/>
  <c r="D119" i="13"/>
  <c r="D133" i="13"/>
  <c r="D137" i="13"/>
  <c r="D50" i="13"/>
  <c r="D98" i="13"/>
  <c r="D116" i="13"/>
  <c r="D120" i="13"/>
  <c r="D141" i="13"/>
  <c r="D14" i="13"/>
  <c r="AY182" i="13" l="1"/>
  <c r="CH271" i="13"/>
  <c r="CT271" i="13"/>
  <c r="CZ271" i="13"/>
  <c r="AY302" i="13"/>
  <c r="D330" i="13"/>
  <c r="L242" i="13"/>
  <c r="L244" i="13"/>
  <c r="L243" i="13"/>
  <c r="L245" i="13"/>
  <c r="D201" i="13"/>
  <c r="AY196" i="13"/>
  <c r="AY225" i="13"/>
  <c r="AY226" i="13"/>
  <c r="AY224" i="13"/>
  <c r="AY223" i="13"/>
  <c r="AY222" i="13"/>
  <c r="AY179" i="13"/>
  <c r="CT203" i="13"/>
  <c r="CU203" i="13"/>
  <c r="CT172" i="13"/>
  <c r="CU172" i="13"/>
  <c r="CT163" i="13"/>
  <c r="CU163" i="13"/>
  <c r="CU170" i="13"/>
  <c r="CT170" i="13"/>
  <c r="CP203" i="13"/>
  <c r="CD203" i="13"/>
  <c r="CW271" i="13"/>
  <c r="CH294" i="13"/>
  <c r="CR294" i="13"/>
  <c r="CT207" i="13"/>
  <c r="CU207" i="13"/>
  <c r="CT202" i="13"/>
  <c r="CU202" i="13"/>
  <c r="CU280" i="13"/>
  <c r="CG280" i="13"/>
  <c r="CG281" i="13"/>
  <c r="CU281" i="13"/>
  <c r="CG277" i="13"/>
  <c r="CU277" i="13"/>
  <c r="CC203" i="13"/>
  <c r="CR203" i="13"/>
  <c r="CF271" i="13"/>
  <c r="AY271" i="13" s="1"/>
  <c r="CK294" i="13"/>
  <c r="CC294" i="13"/>
  <c r="CT213" i="13"/>
  <c r="CU213" i="13"/>
  <c r="CG278" i="13"/>
  <c r="CU278" i="13"/>
  <c r="CE203" i="13"/>
  <c r="CF203" i="13"/>
  <c r="CT165" i="13"/>
  <c r="CU165" i="13"/>
  <c r="CT173" i="13"/>
  <c r="CU173" i="13"/>
  <c r="CU276" i="13"/>
  <c r="CG276" i="13"/>
  <c r="CT171" i="13"/>
  <c r="CU171" i="13"/>
  <c r="CT169" i="13"/>
  <c r="CU169" i="13"/>
  <c r="CT264" i="13"/>
  <c r="CU264" i="13"/>
  <c r="CT219" i="13"/>
  <c r="CU219" i="13"/>
  <c r="CT167" i="13"/>
  <c r="CU167" i="13"/>
  <c r="CV203" i="13"/>
  <c r="CV271" i="13"/>
  <c r="CI294" i="13"/>
  <c r="CT218" i="13"/>
  <c r="CU218" i="13"/>
  <c r="CT164" i="13"/>
  <c r="CU164" i="13"/>
  <c r="CU212" i="13"/>
  <c r="CT212" i="13"/>
  <c r="CG203" i="13"/>
  <c r="CT209" i="13"/>
  <c r="CU209" i="13"/>
  <c r="CT204" i="13"/>
  <c r="CU204" i="13"/>
  <c r="CT166" i="13"/>
  <c r="CU166" i="13"/>
  <c r="CH203" i="13"/>
  <c r="CT215" i="13"/>
  <c r="CU215" i="13"/>
  <c r="CU279" i="13"/>
  <c r="CG279" i="13"/>
  <c r="CT168" i="13"/>
  <c r="CU168" i="13"/>
  <c r="CU217" i="13"/>
  <c r="CT217" i="13"/>
  <c r="CS203" i="13"/>
  <c r="CT92" i="13"/>
  <c r="CI92" i="13"/>
  <c r="CU92" i="13"/>
  <c r="CV92" i="13"/>
  <c r="CC92" i="13"/>
  <c r="CO92" i="13"/>
  <c r="CW92" i="13"/>
  <c r="CE92" i="13"/>
  <c r="CQ92" i="13"/>
  <c r="CG92" i="13"/>
  <c r="CS92" i="13"/>
  <c r="CH92" i="13"/>
  <c r="CF92" i="13"/>
  <c r="CR312" i="13"/>
  <c r="CQ312" i="13"/>
  <c r="CV312" i="13"/>
  <c r="CE312" i="13"/>
  <c r="CI312" i="13"/>
  <c r="CD312" i="13"/>
  <c r="CS312" i="13"/>
  <c r="CC312" i="13"/>
  <c r="CY312" i="13"/>
  <c r="CF312" i="13"/>
  <c r="CZ312" i="13"/>
  <c r="CW312" i="13"/>
  <c r="CK312" i="13"/>
  <c r="CL312" i="13"/>
  <c r="CT312" i="13"/>
  <c r="CH312" i="13"/>
  <c r="CV274" i="13"/>
  <c r="CT274" i="13"/>
  <c r="CI274" i="13"/>
  <c r="CH274" i="13"/>
  <c r="CZ274" i="13"/>
  <c r="CY274" i="13"/>
  <c r="CW274" i="13"/>
  <c r="CL274" i="13"/>
  <c r="CK274" i="13"/>
  <c r="CF274" i="13"/>
  <c r="CQ113" i="13"/>
  <c r="CW113" i="13"/>
  <c r="CO113" i="13"/>
  <c r="CH113" i="13"/>
  <c r="CV113" i="13"/>
  <c r="CI113" i="13"/>
  <c r="CU113" i="13"/>
  <c r="CT113" i="13"/>
  <c r="CS113" i="13"/>
  <c r="CC113" i="13"/>
  <c r="CF113" i="13"/>
  <c r="CG113" i="13"/>
  <c r="CE113" i="13"/>
  <c r="CX138" i="13"/>
  <c r="CT138" i="13"/>
  <c r="CW138" i="13"/>
  <c r="CE138" i="13"/>
  <c r="CQ138" i="13"/>
  <c r="CO138" i="13"/>
  <c r="CS138" i="13"/>
  <c r="CU138" i="13"/>
  <c r="CI138" i="13"/>
  <c r="CH138" i="13"/>
  <c r="CJ138" i="13"/>
  <c r="CF138" i="13"/>
  <c r="CC138" i="13"/>
  <c r="CG138" i="13"/>
  <c r="CV138" i="13"/>
  <c r="CT48" i="13"/>
  <c r="CU48" i="13"/>
  <c r="CS48" i="13"/>
  <c r="CR48" i="13"/>
  <c r="CV48" i="13"/>
  <c r="CD48" i="13"/>
  <c r="CF48" i="13"/>
  <c r="CG48" i="13"/>
  <c r="CE48" i="13"/>
  <c r="CW106" i="13"/>
  <c r="CO106" i="13"/>
  <c r="CV106" i="13"/>
  <c r="CF106" i="13"/>
  <c r="CU106" i="13"/>
  <c r="CG106" i="13"/>
  <c r="CT106" i="13"/>
  <c r="CH106" i="13"/>
  <c r="CS106" i="13"/>
  <c r="CI106" i="13"/>
  <c r="CQ106" i="13"/>
  <c r="CC106" i="13"/>
  <c r="CE106" i="13"/>
  <c r="CF172" i="13"/>
  <c r="CH172" i="13"/>
  <c r="CV172" i="13"/>
  <c r="CD172" i="13"/>
  <c r="CE172" i="13"/>
  <c r="CG172" i="13"/>
  <c r="CR172" i="13"/>
  <c r="CS172" i="13"/>
  <c r="CG214" i="13"/>
  <c r="CE214" i="13"/>
  <c r="CH214" i="13"/>
  <c r="CV214" i="13"/>
  <c r="CS214" i="13"/>
  <c r="CP214" i="13"/>
  <c r="CB214" i="13"/>
  <c r="CH163" i="13"/>
  <c r="AY163" i="13" s="1"/>
  <c r="CV163" i="13"/>
  <c r="CG163" i="13"/>
  <c r="CF163" i="13"/>
  <c r="CE163" i="13"/>
  <c r="CD163" i="13"/>
  <c r="CR163" i="13"/>
  <c r="CS163" i="13"/>
  <c r="CL313" i="13"/>
  <c r="CE313" i="13"/>
  <c r="CY313" i="13"/>
  <c r="CF313" i="13"/>
  <c r="CS313" i="13"/>
  <c r="CV313" i="13"/>
  <c r="CT313" i="13"/>
  <c r="CZ313" i="13"/>
  <c r="CW313" i="13"/>
  <c r="CK313" i="13"/>
  <c r="CI313" i="13"/>
  <c r="CH313" i="13"/>
  <c r="CG269" i="13"/>
  <c r="CY269" i="13"/>
  <c r="CF269" i="13"/>
  <c r="CL269" i="13"/>
  <c r="CV269" i="13"/>
  <c r="CI269" i="13"/>
  <c r="CH269" i="13"/>
  <c r="CZ269" i="13"/>
  <c r="CK269" i="13"/>
  <c r="CW269" i="13"/>
  <c r="CT269" i="13"/>
  <c r="CS124" i="13"/>
  <c r="CU124" i="13"/>
  <c r="CV124" i="13"/>
  <c r="CW124" i="13"/>
  <c r="CE124" i="13"/>
  <c r="CQ124" i="13"/>
  <c r="CX124" i="13"/>
  <c r="CI124" i="13"/>
  <c r="CF124" i="13"/>
  <c r="CG124" i="13"/>
  <c r="CH124" i="13"/>
  <c r="CJ124" i="13"/>
  <c r="CT124" i="13"/>
  <c r="CC124" i="13"/>
  <c r="CL287" i="13"/>
  <c r="CK287" i="13"/>
  <c r="CY287" i="13"/>
  <c r="CF287" i="13"/>
  <c r="CW287" i="13"/>
  <c r="CV287" i="13"/>
  <c r="CT287" i="13"/>
  <c r="CI287" i="13"/>
  <c r="CZ287" i="13"/>
  <c r="CH287" i="13"/>
  <c r="CE295" i="13"/>
  <c r="CL295" i="13"/>
  <c r="CK295" i="13"/>
  <c r="CS295" i="13"/>
  <c r="CY295" i="13"/>
  <c r="CF295" i="13"/>
  <c r="CZ295" i="13"/>
  <c r="CV295" i="13"/>
  <c r="CT295" i="13"/>
  <c r="CI295" i="13"/>
  <c r="CH295" i="13"/>
  <c r="CW295" i="13"/>
  <c r="CL317" i="13"/>
  <c r="CI317" i="13"/>
  <c r="CY317" i="13"/>
  <c r="CF317" i="13"/>
  <c r="CV317" i="13"/>
  <c r="CT317" i="13"/>
  <c r="CK317" i="13"/>
  <c r="CH317" i="13"/>
  <c r="CZ317" i="13"/>
  <c r="CW317" i="13"/>
  <c r="CG173" i="13"/>
  <c r="CR173" i="13"/>
  <c r="CS173" i="13"/>
  <c r="CD173" i="13"/>
  <c r="CE173" i="13"/>
  <c r="CV173" i="13"/>
  <c r="CF173" i="13"/>
  <c r="CH173" i="13"/>
  <c r="CH211" i="13"/>
  <c r="CV211" i="13"/>
  <c r="CG211" i="13"/>
  <c r="CS211" i="13"/>
  <c r="CD211" i="13"/>
  <c r="CQ211" i="13"/>
  <c r="CP211" i="13"/>
  <c r="CE211" i="13"/>
  <c r="CC211" i="13"/>
  <c r="CR211" i="13"/>
  <c r="CB211" i="13"/>
  <c r="CY281" i="13"/>
  <c r="CF281" i="13"/>
  <c r="CW281" i="13"/>
  <c r="CL281" i="13"/>
  <c r="CZ281" i="13"/>
  <c r="CK281" i="13"/>
  <c r="CI281" i="13"/>
  <c r="CH281" i="13"/>
  <c r="CV281" i="13"/>
  <c r="CT281" i="13"/>
  <c r="CR45" i="13"/>
  <c r="CD45" i="13"/>
  <c r="CV45" i="13"/>
  <c r="CS45" i="13"/>
  <c r="CE45" i="13"/>
  <c r="CF45" i="13"/>
  <c r="CT45" i="13"/>
  <c r="CU45" i="13"/>
  <c r="CG45" i="13"/>
  <c r="AY45" i="13" s="1"/>
  <c r="CH45" i="13"/>
  <c r="CO142" i="13"/>
  <c r="CW142" i="13"/>
  <c r="CV142" i="13"/>
  <c r="CX142" i="13"/>
  <c r="CF142" i="13"/>
  <c r="CQ142" i="13"/>
  <c r="CS142" i="13"/>
  <c r="CT142" i="13"/>
  <c r="CI142" i="13"/>
  <c r="CJ142" i="13"/>
  <c r="CG142" i="13"/>
  <c r="CC142" i="13"/>
  <c r="CH142" i="13"/>
  <c r="CU142" i="13"/>
  <c r="CE142" i="13"/>
  <c r="CE96" i="13"/>
  <c r="CQ96" i="13"/>
  <c r="CG96" i="13"/>
  <c r="CS96" i="13"/>
  <c r="CH96" i="13"/>
  <c r="CT96" i="13"/>
  <c r="CI96" i="13"/>
  <c r="CV96" i="13"/>
  <c r="CC96" i="13"/>
  <c r="CU96" i="13"/>
  <c r="CW96" i="13"/>
  <c r="CF96" i="13"/>
  <c r="CO96" i="13"/>
  <c r="CW107" i="13"/>
  <c r="CO107" i="13"/>
  <c r="CV107" i="13"/>
  <c r="CU107" i="13"/>
  <c r="CE107" i="13"/>
  <c r="CT107" i="13"/>
  <c r="CF107" i="13"/>
  <c r="CS107" i="13"/>
  <c r="CG107" i="13"/>
  <c r="CQ107" i="13"/>
  <c r="CI107" i="13"/>
  <c r="CC107" i="13"/>
  <c r="CH107" i="13"/>
  <c r="CG266" i="13"/>
  <c r="CV266" i="13"/>
  <c r="CI266" i="13"/>
  <c r="CL266" i="13"/>
  <c r="CF266" i="13"/>
  <c r="CZ266" i="13"/>
  <c r="CY266" i="13"/>
  <c r="CW266" i="13"/>
  <c r="CK266" i="13"/>
  <c r="CH266" i="13"/>
  <c r="CT266" i="13"/>
  <c r="CE169" i="13"/>
  <c r="CS169" i="13"/>
  <c r="CF169" i="13"/>
  <c r="CR169" i="13"/>
  <c r="CD169" i="13"/>
  <c r="CV169" i="13"/>
  <c r="CG169" i="13"/>
  <c r="CH169" i="13"/>
  <c r="CV286" i="13"/>
  <c r="CT286" i="13"/>
  <c r="CI286" i="13"/>
  <c r="CZ286" i="13"/>
  <c r="CL286" i="13"/>
  <c r="CK286" i="13"/>
  <c r="CH286" i="13"/>
  <c r="CF286" i="13"/>
  <c r="CY286" i="13"/>
  <c r="CW286" i="13"/>
  <c r="CU109" i="13"/>
  <c r="CT109" i="13"/>
  <c r="CS109" i="13"/>
  <c r="CC109" i="13"/>
  <c r="CQ109" i="13"/>
  <c r="CE109" i="13"/>
  <c r="CW109" i="13"/>
  <c r="CO109" i="13"/>
  <c r="CG109" i="13"/>
  <c r="CH109" i="13"/>
  <c r="CI109" i="13"/>
  <c r="CF109" i="13"/>
  <c r="CV109" i="13"/>
  <c r="CY254" i="13"/>
  <c r="CV254" i="13"/>
  <c r="CK254" i="13"/>
  <c r="CI254" i="13"/>
  <c r="CH254" i="13"/>
  <c r="CZ254" i="13"/>
  <c r="CF254" i="13"/>
  <c r="CW254" i="13"/>
  <c r="CT254" i="13"/>
  <c r="CL254" i="13"/>
  <c r="CG217" i="13"/>
  <c r="CF217" i="13"/>
  <c r="CR217" i="13"/>
  <c r="CD217" i="13"/>
  <c r="CS217" i="13"/>
  <c r="CQ217" i="13"/>
  <c r="CP217" i="13"/>
  <c r="CH217" i="13"/>
  <c r="CE217" i="13"/>
  <c r="CC217" i="13"/>
  <c r="CV217" i="13"/>
  <c r="CB217" i="13"/>
  <c r="CS119" i="13"/>
  <c r="CQ119" i="13"/>
  <c r="CI119" i="13"/>
  <c r="CW119" i="13"/>
  <c r="CO119" i="13"/>
  <c r="CV119" i="13"/>
  <c r="CU119" i="13"/>
  <c r="CE119" i="13"/>
  <c r="CH119" i="13"/>
  <c r="CG119" i="13"/>
  <c r="CC119" i="13"/>
  <c r="CF119" i="13"/>
  <c r="CT119" i="13"/>
  <c r="CX127" i="13"/>
  <c r="CS127" i="13"/>
  <c r="CT127" i="13"/>
  <c r="CU127" i="13"/>
  <c r="CI127" i="13"/>
  <c r="CV127" i="13"/>
  <c r="CW127" i="13"/>
  <c r="CE127" i="13"/>
  <c r="CH127" i="13"/>
  <c r="CJ127" i="13"/>
  <c r="CF127" i="13"/>
  <c r="CQ127" i="13"/>
  <c r="CC127" i="13"/>
  <c r="CG127" i="13"/>
  <c r="CT129" i="13"/>
  <c r="CV129" i="13"/>
  <c r="CQ129" i="13"/>
  <c r="CW129" i="13"/>
  <c r="CO129" i="13"/>
  <c r="CS129" i="13"/>
  <c r="CU129" i="13"/>
  <c r="CF129" i="13"/>
  <c r="CC129" i="13"/>
  <c r="CI129" i="13"/>
  <c r="CE129" i="13"/>
  <c r="CG129" i="13"/>
  <c r="CH129" i="13"/>
  <c r="CG102" i="13"/>
  <c r="CT102" i="13"/>
  <c r="CI102" i="13"/>
  <c r="CU102" i="13"/>
  <c r="CV102" i="13"/>
  <c r="CC102" i="13"/>
  <c r="CE102" i="13"/>
  <c r="CQ102" i="13"/>
  <c r="CO102" i="13"/>
  <c r="CS102" i="13"/>
  <c r="CW102" i="13"/>
  <c r="CF102" i="13"/>
  <c r="CH102" i="13"/>
  <c r="CR329" i="13"/>
  <c r="CD329" i="13"/>
  <c r="CS329" i="13"/>
  <c r="CC329" i="13"/>
  <c r="CL329" i="13"/>
  <c r="CI329" i="13"/>
  <c r="CY329" i="13"/>
  <c r="CF329" i="13"/>
  <c r="CQ329" i="13"/>
  <c r="CE329" i="13"/>
  <c r="CV329" i="13"/>
  <c r="CH329" i="13"/>
  <c r="CT329" i="13"/>
  <c r="CZ329" i="13"/>
  <c r="CW329" i="13"/>
  <c r="CK329" i="13"/>
  <c r="CE259" i="13"/>
  <c r="CI259" i="13"/>
  <c r="CV259" i="13"/>
  <c r="CY259" i="13"/>
  <c r="CS259" i="13"/>
  <c r="CL259" i="13"/>
  <c r="CK259" i="13"/>
  <c r="CH259" i="13"/>
  <c r="CF259" i="13"/>
  <c r="CZ259" i="13"/>
  <c r="CW259" i="13"/>
  <c r="CT259" i="13"/>
  <c r="CV328" i="13"/>
  <c r="CC328" i="13"/>
  <c r="CL328" i="13"/>
  <c r="CQ328" i="13"/>
  <c r="CD328" i="13"/>
  <c r="CR328" i="13"/>
  <c r="CE328" i="13"/>
  <c r="CI328" i="13"/>
  <c r="CS328" i="13"/>
  <c r="CY328" i="13"/>
  <c r="CF328" i="13"/>
  <c r="CW328" i="13"/>
  <c r="CT328" i="13"/>
  <c r="CH328" i="13"/>
  <c r="CZ328" i="13"/>
  <c r="CK328" i="13"/>
  <c r="CC258" i="13"/>
  <c r="CS258" i="13"/>
  <c r="CD258" i="13"/>
  <c r="CR258" i="13"/>
  <c r="CQ258" i="13"/>
  <c r="CL258" i="13"/>
  <c r="CY258" i="13"/>
  <c r="CF258" i="13"/>
  <c r="CW258" i="13"/>
  <c r="CK258" i="13"/>
  <c r="CE258" i="13"/>
  <c r="CI258" i="13"/>
  <c r="CH258" i="13"/>
  <c r="CZ258" i="13"/>
  <c r="CV258" i="13"/>
  <c r="CT258" i="13"/>
  <c r="CS324" i="13"/>
  <c r="CC324" i="13"/>
  <c r="CR324" i="13"/>
  <c r="CV324" i="13"/>
  <c r="CL324" i="13"/>
  <c r="CI324" i="13"/>
  <c r="CE324" i="13"/>
  <c r="CD324" i="13"/>
  <c r="CY324" i="13"/>
  <c r="CF324" i="13"/>
  <c r="CQ324" i="13"/>
  <c r="CW324" i="13"/>
  <c r="CZ324" i="13"/>
  <c r="CK324" i="13"/>
  <c r="CH324" i="13"/>
  <c r="CT324" i="13"/>
  <c r="CY323" i="13"/>
  <c r="CF323" i="13"/>
  <c r="CV323" i="13"/>
  <c r="CL323" i="13"/>
  <c r="CI323" i="13"/>
  <c r="CZ323" i="13"/>
  <c r="CW323" i="13"/>
  <c r="CH323" i="13"/>
  <c r="CT323" i="13"/>
  <c r="CK323" i="13"/>
  <c r="CY256" i="13"/>
  <c r="CF256" i="13"/>
  <c r="CL256" i="13"/>
  <c r="CV256" i="13"/>
  <c r="CI256" i="13"/>
  <c r="CH256" i="13"/>
  <c r="CZ256" i="13"/>
  <c r="CW256" i="13"/>
  <c r="CT256" i="13"/>
  <c r="CK256" i="13"/>
  <c r="CQ112" i="13"/>
  <c r="CH112" i="13"/>
  <c r="CW112" i="13"/>
  <c r="CO112" i="13"/>
  <c r="CI112" i="13"/>
  <c r="CV112" i="13"/>
  <c r="CU112" i="13"/>
  <c r="CT112" i="13"/>
  <c r="CC112" i="13"/>
  <c r="CE112" i="13"/>
  <c r="CF112" i="13"/>
  <c r="CG112" i="13"/>
  <c r="CS112" i="13"/>
  <c r="CR300" i="13"/>
  <c r="CQ300" i="13"/>
  <c r="CV300" i="13"/>
  <c r="CE300" i="13"/>
  <c r="CD300" i="13"/>
  <c r="CS300" i="13"/>
  <c r="CC300" i="13"/>
  <c r="AY300" i="13" s="1"/>
  <c r="CT300" i="13"/>
  <c r="CL300" i="13"/>
  <c r="CH300" i="13"/>
  <c r="CF300" i="13"/>
  <c r="CZ300" i="13"/>
  <c r="CY300" i="13"/>
  <c r="CW300" i="13"/>
  <c r="CK300" i="13"/>
  <c r="CI300" i="13"/>
  <c r="CL262" i="13"/>
  <c r="CY262" i="13"/>
  <c r="CF262" i="13"/>
  <c r="CV262" i="13"/>
  <c r="CT262" i="13"/>
  <c r="CK262" i="13"/>
  <c r="CI262" i="13"/>
  <c r="CZ262" i="13"/>
  <c r="CW262" i="13"/>
  <c r="CH262" i="13"/>
  <c r="CR264" i="13"/>
  <c r="CQ264" i="13"/>
  <c r="CG264" i="13"/>
  <c r="CE264" i="13"/>
  <c r="CF264" i="13"/>
  <c r="CD264" i="13"/>
  <c r="CI264" i="13"/>
  <c r="CS264" i="13"/>
  <c r="CC264" i="13"/>
  <c r="CH264" i="13"/>
  <c r="CV264" i="13"/>
  <c r="CK264" i="13"/>
  <c r="CZ264" i="13"/>
  <c r="CY264" i="13"/>
  <c r="CW264" i="13"/>
  <c r="CL264" i="13"/>
  <c r="CT135" i="13"/>
  <c r="CO135" i="13"/>
  <c r="CW135" i="13"/>
  <c r="CQ135" i="13"/>
  <c r="CH135" i="13"/>
  <c r="CS135" i="13"/>
  <c r="CU135" i="13"/>
  <c r="CV135" i="13"/>
  <c r="CE135" i="13"/>
  <c r="CF135" i="13"/>
  <c r="CG135" i="13"/>
  <c r="CC135" i="13"/>
  <c r="CI135" i="13"/>
  <c r="CS123" i="13"/>
  <c r="CT123" i="13"/>
  <c r="CU123" i="13"/>
  <c r="CF123" i="13"/>
  <c r="CV123" i="13"/>
  <c r="CW123" i="13"/>
  <c r="CJ123" i="13"/>
  <c r="CE123" i="13"/>
  <c r="CG123" i="13"/>
  <c r="CQ123" i="13"/>
  <c r="CH123" i="13"/>
  <c r="CI123" i="13"/>
  <c r="CX123" i="13"/>
  <c r="CC123" i="13"/>
  <c r="CL309" i="13"/>
  <c r="CJ309" i="13"/>
  <c r="CY309" i="13"/>
  <c r="CF309" i="13"/>
  <c r="AY309" i="13" s="1"/>
  <c r="CX309" i="13"/>
  <c r="CV309" i="13"/>
  <c r="CH309" i="13"/>
  <c r="CW309" i="13"/>
  <c r="CZ309" i="13"/>
  <c r="CT309" i="13"/>
  <c r="CK309" i="13"/>
  <c r="CI309" i="13"/>
  <c r="CX273" i="13"/>
  <c r="CJ273" i="13"/>
  <c r="CY273" i="13"/>
  <c r="CF273" i="13"/>
  <c r="CW273" i="13"/>
  <c r="CL273" i="13"/>
  <c r="CV273" i="13"/>
  <c r="CT273" i="13"/>
  <c r="CK273" i="13"/>
  <c r="CI273" i="13"/>
  <c r="CZ273" i="13"/>
  <c r="CH273" i="13"/>
  <c r="CE253" i="13"/>
  <c r="CS253" i="13"/>
  <c r="CY253" i="13"/>
  <c r="CF253" i="13"/>
  <c r="CT253" i="13"/>
  <c r="CL253" i="13"/>
  <c r="CK253" i="13"/>
  <c r="CI253" i="13"/>
  <c r="CZ253" i="13"/>
  <c r="CW253" i="13"/>
  <c r="CV253" i="13"/>
  <c r="CH253" i="13"/>
  <c r="CV219" i="13"/>
  <c r="CH219" i="13"/>
  <c r="CF219" i="13"/>
  <c r="CP219" i="13"/>
  <c r="CG219" i="13"/>
  <c r="CE219" i="13"/>
  <c r="CD219" i="13"/>
  <c r="CC219" i="13"/>
  <c r="CS219" i="13"/>
  <c r="CB219" i="13"/>
  <c r="CR219" i="13"/>
  <c r="CQ219" i="13"/>
  <c r="CU104" i="13"/>
  <c r="CF104" i="13"/>
  <c r="CV104" i="13"/>
  <c r="CX104" i="13"/>
  <c r="CW104" i="13"/>
  <c r="CH104" i="13"/>
  <c r="CI104" i="13"/>
  <c r="CQ104" i="13"/>
  <c r="CJ104" i="13"/>
  <c r="CS104" i="13"/>
  <c r="CG104" i="13"/>
  <c r="CT104" i="13"/>
  <c r="CC104" i="13"/>
  <c r="CE104" i="13"/>
  <c r="CH213" i="13"/>
  <c r="CV213" i="13"/>
  <c r="CF213" i="13"/>
  <c r="CB213" i="13"/>
  <c r="CS213" i="13"/>
  <c r="CP213" i="13"/>
  <c r="CG213" i="13"/>
  <c r="CE213" i="13"/>
  <c r="CG94" i="13"/>
  <c r="CS94" i="13"/>
  <c r="CT94" i="13"/>
  <c r="CI94" i="13"/>
  <c r="CU94" i="13"/>
  <c r="CV94" i="13"/>
  <c r="CC94" i="13"/>
  <c r="CO94" i="13"/>
  <c r="CW94" i="13"/>
  <c r="CE94" i="13"/>
  <c r="CF94" i="13"/>
  <c r="CH94" i="13"/>
  <c r="CQ94" i="13"/>
  <c r="CT100" i="13"/>
  <c r="CI100" i="13"/>
  <c r="CU100" i="13"/>
  <c r="CV100" i="13"/>
  <c r="CC100" i="13"/>
  <c r="CO100" i="13"/>
  <c r="CW100" i="13"/>
  <c r="CE100" i="13"/>
  <c r="CG100" i="13"/>
  <c r="CQ100" i="13"/>
  <c r="CS100" i="13"/>
  <c r="CF100" i="13"/>
  <c r="CH100" i="13"/>
  <c r="CS120" i="13"/>
  <c r="CQ120" i="13"/>
  <c r="CH120" i="13"/>
  <c r="CO120" i="13"/>
  <c r="CW120" i="13"/>
  <c r="CV120" i="13"/>
  <c r="CU120" i="13"/>
  <c r="CG120" i="13"/>
  <c r="CC120" i="13"/>
  <c r="CE120" i="13"/>
  <c r="CT120" i="13"/>
  <c r="CF120" i="13"/>
  <c r="CI120" i="13"/>
  <c r="CY315" i="13"/>
  <c r="CF315" i="13"/>
  <c r="CJ315" i="13"/>
  <c r="CV315" i="13"/>
  <c r="CL315" i="13"/>
  <c r="CX315" i="13"/>
  <c r="CI315" i="13"/>
  <c r="CZ315" i="13"/>
  <c r="CW315" i="13"/>
  <c r="CH315" i="13"/>
  <c r="CT315" i="13"/>
  <c r="CK315" i="13"/>
  <c r="CI314" i="13"/>
  <c r="CY314" i="13"/>
  <c r="CF314" i="13"/>
  <c r="CV314" i="13"/>
  <c r="CL314" i="13"/>
  <c r="CK314" i="13"/>
  <c r="CH314" i="13"/>
  <c r="AY314" i="13" s="1"/>
  <c r="CW314" i="13"/>
  <c r="CT314" i="13"/>
  <c r="CZ314" i="13"/>
  <c r="CS216" i="13"/>
  <c r="CP216" i="13"/>
  <c r="CH216" i="13"/>
  <c r="CV216" i="13"/>
  <c r="CG216" i="13"/>
  <c r="CE216" i="13"/>
  <c r="CB216" i="13"/>
  <c r="CV204" i="13"/>
  <c r="CH204" i="13"/>
  <c r="CG204" i="13"/>
  <c r="CS204" i="13"/>
  <c r="CE204" i="13"/>
  <c r="CD204" i="13"/>
  <c r="CC204" i="13"/>
  <c r="CB204" i="13"/>
  <c r="CR204" i="13"/>
  <c r="CQ204" i="13"/>
  <c r="CP204" i="13"/>
  <c r="CF204" i="13"/>
  <c r="CO231" i="13"/>
  <c r="CC231" i="13"/>
  <c r="CD231" i="13"/>
  <c r="CY311" i="13"/>
  <c r="CF311" i="13"/>
  <c r="CL311" i="13"/>
  <c r="CI311" i="13"/>
  <c r="CV311" i="13"/>
  <c r="CT311" i="13"/>
  <c r="CZ311" i="13"/>
  <c r="CW311" i="13"/>
  <c r="CK311" i="13"/>
  <c r="CH311" i="13"/>
  <c r="CV218" i="13"/>
  <c r="CH218" i="13"/>
  <c r="CG218" i="13"/>
  <c r="CS218" i="13"/>
  <c r="CE218" i="13"/>
  <c r="CQ218" i="13"/>
  <c r="CP218" i="13"/>
  <c r="CF218" i="13"/>
  <c r="CD218" i="13"/>
  <c r="CC218" i="13"/>
  <c r="CB218" i="13"/>
  <c r="CR218" i="13"/>
  <c r="CQ209" i="13"/>
  <c r="CC209" i="13"/>
  <c r="CP209" i="13"/>
  <c r="CB209" i="13"/>
  <c r="CV209" i="13"/>
  <c r="CH209" i="13"/>
  <c r="CD209" i="13"/>
  <c r="CS209" i="13"/>
  <c r="CR209" i="13"/>
  <c r="CG209" i="13"/>
  <c r="CF209" i="13"/>
  <c r="CE209" i="13"/>
  <c r="CV98" i="13"/>
  <c r="CC98" i="13"/>
  <c r="CO98" i="13"/>
  <c r="CW98" i="13"/>
  <c r="CE98" i="13"/>
  <c r="CQ98" i="13"/>
  <c r="CF98" i="13"/>
  <c r="CG98" i="13"/>
  <c r="CT98" i="13"/>
  <c r="CI98" i="13"/>
  <c r="CS98" i="13"/>
  <c r="CH98" i="13"/>
  <c r="CU98" i="13"/>
  <c r="CV304" i="13"/>
  <c r="CI304" i="13"/>
  <c r="CY304" i="13"/>
  <c r="CW304" i="13"/>
  <c r="CK304" i="13"/>
  <c r="CT304" i="13"/>
  <c r="CL304" i="13"/>
  <c r="CH304" i="13"/>
  <c r="CF304" i="13"/>
  <c r="CZ304" i="13"/>
  <c r="CX303" i="13"/>
  <c r="CY303" i="13"/>
  <c r="CF303" i="13"/>
  <c r="CL303" i="13"/>
  <c r="CJ303" i="13"/>
  <c r="CW303" i="13"/>
  <c r="CV303" i="13"/>
  <c r="CI303" i="13"/>
  <c r="CK303" i="13"/>
  <c r="CZ303" i="13"/>
  <c r="CT303" i="13"/>
  <c r="CH303" i="13"/>
  <c r="CG268" i="13"/>
  <c r="CI268" i="13"/>
  <c r="CV268" i="13"/>
  <c r="CT268" i="13"/>
  <c r="CH268" i="13"/>
  <c r="CF268" i="13"/>
  <c r="CZ268" i="13"/>
  <c r="CY268" i="13"/>
  <c r="CW268" i="13"/>
  <c r="CL268" i="13"/>
  <c r="CK268" i="13"/>
  <c r="CT118" i="13"/>
  <c r="CS118" i="13"/>
  <c r="CQ118" i="13"/>
  <c r="CC118" i="13"/>
  <c r="CW118" i="13"/>
  <c r="CO118" i="13"/>
  <c r="CV118" i="13"/>
  <c r="CF118" i="13"/>
  <c r="CH118" i="13"/>
  <c r="CU118" i="13"/>
  <c r="CI118" i="13"/>
  <c r="CG118" i="13"/>
  <c r="CE118" i="13"/>
  <c r="CJ297" i="13"/>
  <c r="CX297" i="13"/>
  <c r="CI297" i="13"/>
  <c r="CZ297" i="13"/>
  <c r="CF297" i="13"/>
  <c r="CY297" i="13"/>
  <c r="CT297" i="13"/>
  <c r="CK297" i="13"/>
  <c r="CW297" i="13"/>
  <c r="CV297" i="13"/>
  <c r="CL297" i="13"/>
  <c r="CH297" i="13"/>
  <c r="CI296" i="13"/>
  <c r="CZ296" i="13"/>
  <c r="CH296" i="13"/>
  <c r="CV296" i="13"/>
  <c r="CY296" i="13"/>
  <c r="CW296" i="13"/>
  <c r="CT296" i="13"/>
  <c r="CL296" i="13"/>
  <c r="CK296" i="13"/>
  <c r="CF296" i="13"/>
  <c r="CG207" i="13"/>
  <c r="CF207" i="13"/>
  <c r="CR207" i="13"/>
  <c r="CD207" i="13"/>
  <c r="CE207" i="13"/>
  <c r="CV207" i="13"/>
  <c r="CB207" i="13"/>
  <c r="CS207" i="13"/>
  <c r="CQ207" i="13"/>
  <c r="CP207" i="13"/>
  <c r="CC207" i="13"/>
  <c r="CH207" i="13"/>
  <c r="CS202" i="13"/>
  <c r="CE202" i="13"/>
  <c r="CQ202" i="13"/>
  <c r="CC202" i="13"/>
  <c r="CV202" i="13"/>
  <c r="CF202" i="13"/>
  <c r="CB202" i="13"/>
  <c r="CR202" i="13"/>
  <c r="CP202" i="13"/>
  <c r="CH202" i="13"/>
  <c r="CG202" i="13"/>
  <c r="CD202" i="13"/>
  <c r="CY293" i="13"/>
  <c r="CF293" i="13"/>
  <c r="CW293" i="13"/>
  <c r="CL293" i="13"/>
  <c r="CK293" i="13"/>
  <c r="CH293" i="13"/>
  <c r="CZ293" i="13"/>
  <c r="CV293" i="13"/>
  <c r="CT293" i="13"/>
  <c r="CI293" i="13"/>
  <c r="CO137" i="13"/>
  <c r="CT137" i="13"/>
  <c r="CW137" i="13"/>
  <c r="CU137" i="13"/>
  <c r="CV137" i="13"/>
  <c r="CF137" i="13"/>
  <c r="CQ137" i="13"/>
  <c r="CH137" i="13"/>
  <c r="CI137" i="13"/>
  <c r="CS137" i="13"/>
  <c r="CC137" i="13"/>
  <c r="CE137" i="13"/>
  <c r="CG137" i="13"/>
  <c r="CW115" i="13"/>
  <c r="CO115" i="13"/>
  <c r="CV115" i="13"/>
  <c r="CU115" i="13"/>
  <c r="CF115" i="13"/>
  <c r="CT115" i="13"/>
  <c r="CG115" i="13"/>
  <c r="CS115" i="13"/>
  <c r="CQ115" i="13"/>
  <c r="CC115" i="13"/>
  <c r="CE115" i="13"/>
  <c r="CH115" i="13"/>
  <c r="CI115" i="13"/>
  <c r="CI272" i="13"/>
  <c r="CZ272" i="13"/>
  <c r="CV272" i="13"/>
  <c r="CY272" i="13"/>
  <c r="CL272" i="13"/>
  <c r="CK272" i="13"/>
  <c r="CH272" i="13"/>
  <c r="CF272" i="13"/>
  <c r="CW272" i="13"/>
  <c r="CT272" i="13"/>
  <c r="CV257" i="13"/>
  <c r="CI257" i="13"/>
  <c r="CW257" i="13"/>
  <c r="CK257" i="13"/>
  <c r="CH257" i="13"/>
  <c r="CF257" i="13"/>
  <c r="CZ257" i="13"/>
  <c r="CT257" i="13"/>
  <c r="CL257" i="13"/>
  <c r="CY257" i="13"/>
  <c r="CE289" i="13"/>
  <c r="CS289" i="13"/>
  <c r="CY289" i="13"/>
  <c r="CF289" i="13"/>
  <c r="CW289" i="13"/>
  <c r="CL289" i="13"/>
  <c r="CT289" i="13"/>
  <c r="CI289" i="13"/>
  <c r="CH289" i="13"/>
  <c r="CZ289" i="13"/>
  <c r="CK289" i="13"/>
  <c r="CV289" i="13"/>
  <c r="CI280" i="13"/>
  <c r="CZ280" i="13"/>
  <c r="CH280" i="13"/>
  <c r="CV280" i="13"/>
  <c r="CT280" i="13"/>
  <c r="CF280" i="13"/>
  <c r="CY280" i="13"/>
  <c r="CW280" i="13"/>
  <c r="CL280" i="13"/>
  <c r="CK280" i="13"/>
  <c r="CQ220" i="13"/>
  <c r="CB220" i="13"/>
  <c r="CP220" i="13"/>
  <c r="CH220" i="13"/>
  <c r="CG220" i="13"/>
  <c r="CE220" i="13"/>
  <c r="CD220" i="13"/>
  <c r="CV220" i="13"/>
  <c r="CC220" i="13"/>
  <c r="CS220" i="13"/>
  <c r="CR220" i="13"/>
  <c r="CG265" i="13"/>
  <c r="CE265" i="13"/>
  <c r="CS265" i="13"/>
  <c r="CY265" i="13"/>
  <c r="CF265" i="13"/>
  <c r="CL265" i="13"/>
  <c r="CK265" i="13"/>
  <c r="CZ265" i="13"/>
  <c r="CW265" i="13"/>
  <c r="CV265" i="13"/>
  <c r="CT265" i="13"/>
  <c r="CI265" i="13"/>
  <c r="CH265" i="13"/>
  <c r="CI263" i="13"/>
  <c r="CV263" i="13"/>
  <c r="CF263" i="13"/>
  <c r="CW263" i="13"/>
  <c r="CT263" i="13"/>
  <c r="CL263" i="13"/>
  <c r="CK263" i="13"/>
  <c r="CH263" i="13"/>
  <c r="CZ263" i="13"/>
  <c r="CY263" i="13"/>
  <c r="CR288" i="13"/>
  <c r="CQ288" i="13"/>
  <c r="CE288" i="13"/>
  <c r="CD288" i="13"/>
  <c r="CS288" i="13"/>
  <c r="CC288" i="13"/>
  <c r="CI288" i="13"/>
  <c r="CZ288" i="13"/>
  <c r="CH288" i="13"/>
  <c r="CV288" i="13"/>
  <c r="CK288" i="13"/>
  <c r="CY288" i="13"/>
  <c r="CW288" i="13"/>
  <c r="CT288" i="13"/>
  <c r="CL288" i="13"/>
  <c r="CF288" i="13"/>
  <c r="CY299" i="13"/>
  <c r="CF299" i="13"/>
  <c r="CV299" i="13"/>
  <c r="CT299" i="13"/>
  <c r="CI299" i="13"/>
  <c r="CW299" i="13"/>
  <c r="CL299" i="13"/>
  <c r="CK299" i="13"/>
  <c r="CH299" i="13"/>
  <c r="CZ299" i="13"/>
  <c r="CE171" i="13"/>
  <c r="CS171" i="13"/>
  <c r="CG171" i="13"/>
  <c r="CH171" i="13"/>
  <c r="CV171" i="13"/>
  <c r="CF171" i="13"/>
  <c r="CR171" i="13"/>
  <c r="CD171" i="13"/>
  <c r="CV278" i="13"/>
  <c r="CT278" i="13"/>
  <c r="CI278" i="13"/>
  <c r="CF278" i="13"/>
  <c r="CY278" i="13"/>
  <c r="CW278" i="13"/>
  <c r="CL278" i="13"/>
  <c r="CK278" i="13"/>
  <c r="CZ278" i="13"/>
  <c r="CH278" i="13"/>
  <c r="CV308" i="13"/>
  <c r="CI308" i="13"/>
  <c r="CF308" i="13"/>
  <c r="CZ308" i="13"/>
  <c r="CT308" i="13"/>
  <c r="CL308" i="13"/>
  <c r="CH308" i="13"/>
  <c r="CY308" i="13"/>
  <c r="CW308" i="13"/>
  <c r="CK308" i="13"/>
  <c r="CT141" i="13"/>
  <c r="CW141" i="13"/>
  <c r="CU141" i="13"/>
  <c r="CV141" i="13"/>
  <c r="CO141" i="13"/>
  <c r="CH141" i="13"/>
  <c r="CX141" i="13"/>
  <c r="CQ141" i="13"/>
  <c r="CI141" i="13"/>
  <c r="CJ141" i="13"/>
  <c r="CS141" i="13"/>
  <c r="CC141" i="13"/>
  <c r="CE141" i="13"/>
  <c r="CF141" i="13"/>
  <c r="CG141" i="13"/>
  <c r="CO97" i="13"/>
  <c r="CW97" i="13"/>
  <c r="CQ97" i="13"/>
  <c r="CF97" i="13"/>
  <c r="CG97" i="13"/>
  <c r="CS97" i="13"/>
  <c r="CH97" i="13"/>
  <c r="CU97" i="13"/>
  <c r="CI97" i="13"/>
  <c r="CE97" i="13"/>
  <c r="CT97" i="13"/>
  <c r="CV97" i="13"/>
  <c r="CC97" i="13"/>
  <c r="CX121" i="13"/>
  <c r="CS121" i="13"/>
  <c r="CW121" i="13"/>
  <c r="CH121" i="13"/>
  <c r="CQ121" i="13"/>
  <c r="CT121" i="13"/>
  <c r="CU121" i="13"/>
  <c r="CV121" i="13"/>
  <c r="CC121" i="13"/>
  <c r="CJ121" i="13"/>
  <c r="CE121" i="13"/>
  <c r="CF121" i="13"/>
  <c r="CI121" i="13"/>
  <c r="CG121" i="13"/>
  <c r="CS125" i="13"/>
  <c r="CW125" i="13"/>
  <c r="CQ125" i="13"/>
  <c r="CX125" i="13"/>
  <c r="CT125" i="13"/>
  <c r="CU125" i="13"/>
  <c r="CH125" i="13"/>
  <c r="CV125" i="13"/>
  <c r="CF125" i="13"/>
  <c r="CG125" i="13"/>
  <c r="CI125" i="13"/>
  <c r="CE125" i="13"/>
  <c r="CJ125" i="13"/>
  <c r="CC125" i="13"/>
  <c r="CT136" i="13"/>
  <c r="CW136" i="13"/>
  <c r="CS136" i="13"/>
  <c r="CU136" i="13"/>
  <c r="CG136" i="13"/>
  <c r="CV136" i="13"/>
  <c r="CO136" i="13"/>
  <c r="CC136" i="13"/>
  <c r="CQ136" i="13"/>
  <c r="CF136" i="13"/>
  <c r="CH136" i="13"/>
  <c r="CI136" i="13"/>
  <c r="CE136" i="13"/>
  <c r="CI322" i="13"/>
  <c r="CY322" i="13"/>
  <c r="CF322" i="13"/>
  <c r="CV322" i="13"/>
  <c r="CL322" i="13"/>
  <c r="CK322" i="13"/>
  <c r="CH322" i="13"/>
  <c r="CT322" i="13"/>
  <c r="CZ322" i="13"/>
  <c r="CW322" i="13"/>
  <c r="CJ255" i="13"/>
  <c r="CX255" i="13"/>
  <c r="CV255" i="13"/>
  <c r="CT255" i="13"/>
  <c r="CI255" i="13"/>
  <c r="CH255" i="13"/>
  <c r="CZ255" i="13"/>
  <c r="CF255" i="13"/>
  <c r="CY255" i="13"/>
  <c r="CW255" i="13"/>
  <c r="CL255" i="13"/>
  <c r="CK255" i="13"/>
  <c r="CE283" i="13"/>
  <c r="CL283" i="13"/>
  <c r="CK283" i="13"/>
  <c r="CS283" i="13"/>
  <c r="CY283" i="13"/>
  <c r="CF283" i="13"/>
  <c r="CH283" i="13"/>
  <c r="CZ283" i="13"/>
  <c r="CW283" i="13"/>
  <c r="CV283" i="13"/>
  <c r="CT283" i="13"/>
  <c r="CI283" i="13"/>
  <c r="CL321" i="13"/>
  <c r="CI321" i="13"/>
  <c r="CX321" i="13"/>
  <c r="CY321" i="13"/>
  <c r="CF321" i="13"/>
  <c r="CV321" i="13"/>
  <c r="CT321" i="13"/>
  <c r="CW321" i="13"/>
  <c r="CK321" i="13"/>
  <c r="CH321" i="13"/>
  <c r="CJ321" i="13"/>
  <c r="CZ321" i="13"/>
  <c r="CL251" i="13"/>
  <c r="CZ251" i="13"/>
  <c r="CH251" i="13"/>
  <c r="CY251" i="13"/>
  <c r="CF251" i="13"/>
  <c r="CW251" i="13"/>
  <c r="CV251" i="13"/>
  <c r="CT251" i="13"/>
  <c r="CK251" i="13"/>
  <c r="CI251" i="13"/>
  <c r="CI292" i="13"/>
  <c r="CZ292" i="13"/>
  <c r="CH292" i="13"/>
  <c r="CV292" i="13"/>
  <c r="CF292" i="13"/>
  <c r="CY292" i="13"/>
  <c r="CW292" i="13"/>
  <c r="CT292" i="13"/>
  <c r="CL292" i="13"/>
  <c r="CK292" i="13"/>
  <c r="CE319" i="13"/>
  <c r="CY319" i="13"/>
  <c r="CF319" i="13"/>
  <c r="CV319" i="13"/>
  <c r="CL319" i="13"/>
  <c r="CI319" i="13"/>
  <c r="CS319" i="13"/>
  <c r="CH319" i="13"/>
  <c r="CZ319" i="13"/>
  <c r="CW319" i="13"/>
  <c r="CK319" i="13"/>
  <c r="CT319" i="13"/>
  <c r="CR234" i="13"/>
  <c r="CD234" i="13"/>
  <c r="CO234" i="13"/>
  <c r="CC234" i="13"/>
  <c r="CQ234" i="13"/>
  <c r="CA234" i="13"/>
  <c r="CV108" i="13"/>
  <c r="CU108" i="13"/>
  <c r="CT108" i="13"/>
  <c r="CS108" i="13"/>
  <c r="CE108" i="13"/>
  <c r="CF108" i="13"/>
  <c r="CQ108" i="13"/>
  <c r="CH108" i="13"/>
  <c r="CC108" i="13"/>
  <c r="CG108" i="13"/>
  <c r="CO108" i="13"/>
  <c r="CI108" i="13"/>
  <c r="CW108" i="13"/>
  <c r="CR252" i="13"/>
  <c r="CQ252" i="13"/>
  <c r="CC252" i="13"/>
  <c r="CE252" i="13"/>
  <c r="CD252" i="13"/>
  <c r="CS252" i="13"/>
  <c r="CI252" i="13"/>
  <c r="CW252" i="13"/>
  <c r="CV252" i="13"/>
  <c r="CT252" i="13"/>
  <c r="CL252" i="13"/>
  <c r="CY252" i="13"/>
  <c r="CK252" i="13"/>
  <c r="CH252" i="13"/>
  <c r="CF252" i="13"/>
  <c r="CZ252" i="13"/>
  <c r="CE306" i="13"/>
  <c r="CI306" i="13"/>
  <c r="CS306" i="13"/>
  <c r="CC306" i="13"/>
  <c r="CR306" i="13"/>
  <c r="CQ306" i="13"/>
  <c r="CV306" i="13"/>
  <c r="CZ306" i="13"/>
  <c r="CD306" i="13"/>
  <c r="CY306" i="13"/>
  <c r="CL306" i="13"/>
  <c r="CW306" i="13"/>
  <c r="CK306" i="13"/>
  <c r="CH306" i="13"/>
  <c r="CF306" i="13"/>
  <c r="CT306" i="13"/>
  <c r="CY260" i="13"/>
  <c r="CF260" i="13"/>
  <c r="CL260" i="13"/>
  <c r="CZ260" i="13"/>
  <c r="CT260" i="13"/>
  <c r="CK260" i="13"/>
  <c r="CI260" i="13"/>
  <c r="CH260" i="13"/>
  <c r="CV260" i="13"/>
  <c r="CW260" i="13"/>
  <c r="CF250" i="13"/>
  <c r="CV250" i="13"/>
  <c r="CH250" i="13"/>
  <c r="CI250" i="13"/>
  <c r="CZ250" i="13"/>
  <c r="CL250" i="13"/>
  <c r="CY250" i="13"/>
  <c r="CK250" i="13"/>
  <c r="CT250" i="13"/>
  <c r="CW250" i="13"/>
  <c r="CT131" i="13"/>
  <c r="CW131" i="13"/>
  <c r="CO131" i="13"/>
  <c r="CQ131" i="13"/>
  <c r="CS131" i="13"/>
  <c r="CU131" i="13"/>
  <c r="CV131" i="13"/>
  <c r="CH131" i="13"/>
  <c r="CC131" i="13"/>
  <c r="CI131" i="13"/>
  <c r="CE131" i="13"/>
  <c r="CF131" i="13"/>
  <c r="CG131" i="13"/>
  <c r="CR46" i="13"/>
  <c r="CT46" i="13"/>
  <c r="CE46" i="13"/>
  <c r="CS46" i="13"/>
  <c r="CU46" i="13"/>
  <c r="CF46" i="13"/>
  <c r="AY46" i="13" s="1"/>
  <c r="CG46" i="13"/>
  <c r="CD46" i="13"/>
  <c r="CV46" i="13"/>
  <c r="CH46" i="13"/>
  <c r="CB212" i="13"/>
  <c r="CS212" i="13"/>
  <c r="CP212" i="13"/>
  <c r="CH212" i="13"/>
  <c r="CG212" i="13"/>
  <c r="CF212" i="13"/>
  <c r="CV212" i="13"/>
  <c r="CE212" i="13"/>
  <c r="CJ285" i="13"/>
  <c r="CX285" i="13"/>
  <c r="CY285" i="13"/>
  <c r="CF285" i="13"/>
  <c r="AY285" i="13" s="1"/>
  <c r="CW285" i="13"/>
  <c r="CL285" i="13"/>
  <c r="CV285" i="13"/>
  <c r="CI285" i="13"/>
  <c r="CH285" i="13"/>
  <c r="CT285" i="13"/>
  <c r="CK285" i="13"/>
  <c r="CZ285" i="13"/>
  <c r="CR47" i="13"/>
  <c r="CH47" i="13"/>
  <c r="CF47" i="13"/>
  <c r="CD47" i="13"/>
  <c r="CS47" i="13"/>
  <c r="CG47" i="13"/>
  <c r="CT47" i="13"/>
  <c r="CV47" i="13"/>
  <c r="CU47" i="13"/>
  <c r="CE47" i="13"/>
  <c r="CP234" i="13"/>
  <c r="CD49" i="13"/>
  <c r="CV49" i="13"/>
  <c r="CE49" i="13"/>
  <c r="CR49" i="13"/>
  <c r="CS49" i="13"/>
  <c r="CF49" i="13"/>
  <c r="CT49" i="13"/>
  <c r="CG49" i="13"/>
  <c r="CU49" i="13"/>
  <c r="CS101" i="13"/>
  <c r="CH101" i="13"/>
  <c r="CT101" i="13"/>
  <c r="CU101" i="13"/>
  <c r="CV101" i="13"/>
  <c r="CC101" i="13"/>
  <c r="CO101" i="13"/>
  <c r="CW101" i="13"/>
  <c r="CQ101" i="13"/>
  <c r="CF101" i="13"/>
  <c r="CE101" i="13"/>
  <c r="CG101" i="13"/>
  <c r="CI101" i="13"/>
  <c r="CU117" i="13"/>
  <c r="CT117" i="13"/>
  <c r="CS117" i="13"/>
  <c r="CC117" i="13"/>
  <c r="CQ117" i="13"/>
  <c r="CW117" i="13"/>
  <c r="CO117" i="13"/>
  <c r="CG117" i="13"/>
  <c r="CE117" i="13"/>
  <c r="CF117" i="13"/>
  <c r="CH117" i="13"/>
  <c r="CV117" i="13"/>
  <c r="CI117" i="13"/>
  <c r="CH208" i="13"/>
  <c r="CE208" i="13"/>
  <c r="CC208" i="13"/>
  <c r="CS208" i="13"/>
  <c r="CR208" i="13"/>
  <c r="CQ208" i="13"/>
  <c r="CP208" i="13"/>
  <c r="CG208" i="13"/>
  <c r="CV208" i="13"/>
  <c r="CD208" i="13"/>
  <c r="CB208" i="13"/>
  <c r="CS206" i="13"/>
  <c r="CD206" i="13"/>
  <c r="CR206" i="13"/>
  <c r="CC206" i="13"/>
  <c r="CP206" i="13"/>
  <c r="CG206" i="13"/>
  <c r="CB206" i="13"/>
  <c r="CV206" i="13"/>
  <c r="CQ206" i="13"/>
  <c r="CH206" i="13"/>
  <c r="CE206" i="13"/>
  <c r="CD232" i="13"/>
  <c r="CO232" i="13"/>
  <c r="CQ232" i="13"/>
  <c r="CA232" i="13"/>
  <c r="CC232" i="13"/>
  <c r="CR232" i="13"/>
  <c r="CE215" i="13"/>
  <c r="CB215" i="13"/>
  <c r="CP215" i="13"/>
  <c r="CG215" i="13"/>
  <c r="CF215" i="13"/>
  <c r="CV215" i="13"/>
  <c r="CH215" i="13"/>
  <c r="CS215" i="13"/>
  <c r="CE221" i="13"/>
  <c r="CS221" i="13"/>
  <c r="CD221" i="13"/>
  <c r="CQ221" i="13"/>
  <c r="CB221" i="13"/>
  <c r="CH221" i="13"/>
  <c r="CG221" i="13"/>
  <c r="CC221" i="13"/>
  <c r="CV221" i="13"/>
  <c r="CR221" i="13"/>
  <c r="CP221" i="13"/>
  <c r="CH166" i="13"/>
  <c r="CV166" i="13"/>
  <c r="CR166" i="13"/>
  <c r="CS166" i="13"/>
  <c r="CD166" i="13"/>
  <c r="CE166" i="13"/>
  <c r="CF166" i="13"/>
  <c r="CG166" i="13"/>
  <c r="CT134" i="13"/>
  <c r="CO134" i="13"/>
  <c r="CW134" i="13"/>
  <c r="CI134" i="13"/>
  <c r="CQ134" i="13"/>
  <c r="CS134" i="13"/>
  <c r="CU134" i="13"/>
  <c r="CE134" i="13"/>
  <c r="CF134" i="13"/>
  <c r="CG134" i="13"/>
  <c r="CV134" i="13"/>
  <c r="CH134" i="13"/>
  <c r="CC134" i="13"/>
  <c r="CI318" i="13"/>
  <c r="CS318" i="13"/>
  <c r="CC318" i="13"/>
  <c r="CY318" i="13"/>
  <c r="CF318" i="13"/>
  <c r="CR318" i="13"/>
  <c r="CQ318" i="13"/>
  <c r="CV318" i="13"/>
  <c r="CE318" i="13"/>
  <c r="CL318" i="13"/>
  <c r="CD318" i="13"/>
  <c r="CZ318" i="13"/>
  <c r="CK318" i="13"/>
  <c r="CW318" i="13"/>
  <c r="CT318" i="13"/>
  <c r="CH318" i="13"/>
  <c r="CS122" i="13"/>
  <c r="CX122" i="13"/>
  <c r="CQ122" i="13"/>
  <c r="CG122" i="13"/>
  <c r="CT122" i="13"/>
  <c r="CU122" i="13"/>
  <c r="CV122" i="13"/>
  <c r="CW122" i="13"/>
  <c r="CC122" i="13"/>
  <c r="CE122" i="13"/>
  <c r="CF122" i="13"/>
  <c r="CH122" i="13"/>
  <c r="CI122" i="13"/>
  <c r="CJ122" i="13"/>
  <c r="CS326" i="13"/>
  <c r="CI326" i="13"/>
  <c r="CY326" i="13"/>
  <c r="CF326" i="13"/>
  <c r="CC326" i="13"/>
  <c r="CV326" i="13"/>
  <c r="CQ326" i="13"/>
  <c r="CD326" i="13"/>
  <c r="CR326" i="13"/>
  <c r="CE326" i="13"/>
  <c r="CL326" i="13"/>
  <c r="CZ326" i="13"/>
  <c r="CK326" i="13"/>
  <c r="CW326" i="13"/>
  <c r="CT326" i="13"/>
  <c r="CH326" i="13"/>
  <c r="CQ95" i="13"/>
  <c r="CF95" i="13"/>
  <c r="CS95" i="13"/>
  <c r="CH95" i="13"/>
  <c r="CT95" i="13"/>
  <c r="CI95" i="13"/>
  <c r="CU95" i="13"/>
  <c r="CV95" i="13"/>
  <c r="CO95" i="13"/>
  <c r="CW95" i="13"/>
  <c r="CC95" i="13"/>
  <c r="CG95" i="13"/>
  <c r="CE95" i="13"/>
  <c r="CQ128" i="13"/>
  <c r="CO128" i="13"/>
  <c r="CS128" i="13"/>
  <c r="CT128" i="13"/>
  <c r="CW128" i="13"/>
  <c r="CG128" i="13"/>
  <c r="CU128" i="13"/>
  <c r="CC128" i="13"/>
  <c r="CI128" i="13"/>
  <c r="CF128" i="13"/>
  <c r="CH128" i="13"/>
  <c r="CV128" i="13"/>
  <c r="CE128" i="13"/>
  <c r="CL275" i="13"/>
  <c r="CK275" i="13"/>
  <c r="CY275" i="13"/>
  <c r="CF275" i="13"/>
  <c r="CT275" i="13"/>
  <c r="CZ275" i="13"/>
  <c r="CW275" i="13"/>
  <c r="CI275" i="13"/>
  <c r="CH275" i="13"/>
  <c r="CV275" i="13"/>
  <c r="CD168" i="13"/>
  <c r="CR168" i="13"/>
  <c r="CE168" i="13"/>
  <c r="CS168" i="13"/>
  <c r="CV168" i="13"/>
  <c r="CF168" i="13"/>
  <c r="CG168" i="13"/>
  <c r="CH168" i="13"/>
  <c r="CD170" i="13"/>
  <c r="CR170" i="13"/>
  <c r="CF170" i="13"/>
  <c r="CG170" i="13"/>
  <c r="CS170" i="13"/>
  <c r="CV170" i="13"/>
  <c r="CE170" i="13"/>
  <c r="CH170" i="13"/>
  <c r="CL325" i="13"/>
  <c r="CQ325" i="13"/>
  <c r="CD325" i="13"/>
  <c r="CI325" i="13"/>
  <c r="CR325" i="13"/>
  <c r="CE325" i="13"/>
  <c r="CS325" i="13"/>
  <c r="CY325" i="13"/>
  <c r="CF325" i="13"/>
  <c r="CV325" i="13"/>
  <c r="CC325" i="13"/>
  <c r="CZ325" i="13"/>
  <c r="CT325" i="13"/>
  <c r="CK325" i="13"/>
  <c r="CW325" i="13"/>
  <c r="CH325" i="13"/>
  <c r="CX126" i="13"/>
  <c r="CS126" i="13"/>
  <c r="CQ126" i="13"/>
  <c r="CO126" i="13"/>
  <c r="CJ126" i="13"/>
  <c r="CT126" i="13"/>
  <c r="CU126" i="13"/>
  <c r="CV126" i="13"/>
  <c r="CW126" i="13"/>
  <c r="CF126" i="13"/>
  <c r="CG126" i="13"/>
  <c r="CH126" i="13"/>
  <c r="CE126" i="13"/>
  <c r="CI126" i="13"/>
  <c r="CC126" i="13"/>
  <c r="CT140" i="13"/>
  <c r="CW140" i="13"/>
  <c r="CS140" i="13"/>
  <c r="CU140" i="13"/>
  <c r="CI140" i="13"/>
  <c r="CO140" i="13"/>
  <c r="CV140" i="13"/>
  <c r="CE140" i="13"/>
  <c r="CH140" i="13"/>
  <c r="CF140" i="13"/>
  <c r="CQ140" i="13"/>
  <c r="CC140" i="13"/>
  <c r="CG140" i="13"/>
  <c r="CP232" i="13"/>
  <c r="CD167" i="13"/>
  <c r="CR167" i="13"/>
  <c r="CH167" i="13"/>
  <c r="CS167" i="13"/>
  <c r="CE167" i="13"/>
  <c r="CF167" i="13"/>
  <c r="CG167" i="13"/>
  <c r="CV167" i="13"/>
  <c r="CW114" i="13"/>
  <c r="CO114" i="13"/>
  <c r="CV114" i="13"/>
  <c r="CG114" i="13"/>
  <c r="CU114" i="13"/>
  <c r="CH114" i="13"/>
  <c r="CT114" i="13"/>
  <c r="CS114" i="13"/>
  <c r="CC114" i="13"/>
  <c r="CQ114" i="13"/>
  <c r="CF114" i="13"/>
  <c r="CE114" i="13"/>
  <c r="CI114" i="13"/>
  <c r="CS210" i="13"/>
  <c r="CD210" i="13"/>
  <c r="CR210" i="13"/>
  <c r="CC210" i="13"/>
  <c r="CP210" i="13"/>
  <c r="CV210" i="13"/>
  <c r="CQ210" i="13"/>
  <c r="CH210" i="13"/>
  <c r="CG210" i="13"/>
  <c r="CE210" i="13"/>
  <c r="CB210" i="13"/>
  <c r="CV116" i="13"/>
  <c r="CU116" i="13"/>
  <c r="CT116" i="13"/>
  <c r="CE116" i="13"/>
  <c r="CX116" i="13"/>
  <c r="CS116" i="13"/>
  <c r="CF116" i="13"/>
  <c r="CQ116" i="13"/>
  <c r="CI116" i="13"/>
  <c r="CC116" i="13"/>
  <c r="CG116" i="13"/>
  <c r="CH116" i="13"/>
  <c r="CJ116" i="13"/>
  <c r="CO116" i="13"/>
  <c r="CW116" i="13"/>
  <c r="CL305" i="13"/>
  <c r="CY305" i="13"/>
  <c r="CF305" i="13"/>
  <c r="CZ305" i="13"/>
  <c r="CW305" i="13"/>
  <c r="CK305" i="13"/>
  <c r="CH305" i="13"/>
  <c r="CV305" i="13"/>
  <c r="CT305" i="13"/>
  <c r="CI305" i="13"/>
  <c r="CT130" i="13"/>
  <c r="CV130" i="13"/>
  <c r="CW130" i="13"/>
  <c r="CO130" i="13"/>
  <c r="CE130" i="13"/>
  <c r="CQ130" i="13"/>
  <c r="CS130" i="13"/>
  <c r="CI130" i="13"/>
  <c r="CC130" i="13"/>
  <c r="CH130" i="13"/>
  <c r="CU130" i="13"/>
  <c r="CF130" i="13"/>
  <c r="CG130" i="13"/>
  <c r="CP205" i="13"/>
  <c r="CV205" i="13"/>
  <c r="CG205" i="13"/>
  <c r="CE205" i="13"/>
  <c r="CC205" i="13"/>
  <c r="CB205" i="13"/>
  <c r="CS205" i="13"/>
  <c r="CR205" i="13"/>
  <c r="CQ205" i="13"/>
  <c r="CH205" i="13"/>
  <c r="CD205" i="13"/>
  <c r="CU99" i="13"/>
  <c r="CV99" i="13"/>
  <c r="CO99" i="13"/>
  <c r="CW99" i="13"/>
  <c r="CE99" i="13"/>
  <c r="CQ99" i="13"/>
  <c r="CF99" i="13"/>
  <c r="CS99" i="13"/>
  <c r="CH99" i="13"/>
  <c r="CI99" i="13"/>
  <c r="CT99" i="13"/>
  <c r="CC99" i="13"/>
  <c r="CG99" i="13"/>
  <c r="CS93" i="13"/>
  <c r="CH93" i="13"/>
  <c r="CT93" i="13"/>
  <c r="CU93" i="13"/>
  <c r="CV93" i="13"/>
  <c r="CC93" i="13"/>
  <c r="CO93" i="13"/>
  <c r="CW93" i="13"/>
  <c r="CQ93" i="13"/>
  <c r="CF93" i="13"/>
  <c r="CE93" i="13"/>
  <c r="CG93" i="13"/>
  <c r="CI93" i="13"/>
  <c r="CJ291" i="13"/>
  <c r="CX291" i="13"/>
  <c r="CL291" i="13"/>
  <c r="CK291" i="13"/>
  <c r="CY291" i="13"/>
  <c r="CF291" i="13"/>
  <c r="AY291" i="13" s="1"/>
  <c r="CW291" i="13"/>
  <c r="CV291" i="13"/>
  <c r="CT291" i="13"/>
  <c r="CI291" i="13"/>
  <c r="CH291" i="13"/>
  <c r="CZ291" i="13"/>
  <c r="CV290" i="13"/>
  <c r="CT290" i="13"/>
  <c r="CI290" i="13"/>
  <c r="CY290" i="13"/>
  <c r="CL290" i="13"/>
  <c r="CK290" i="13"/>
  <c r="CH290" i="13"/>
  <c r="CF290" i="13"/>
  <c r="AY290" i="13" s="1"/>
  <c r="CZ290" i="13"/>
  <c r="CW290" i="13"/>
  <c r="CT132" i="13"/>
  <c r="CW132" i="13"/>
  <c r="CO132" i="13"/>
  <c r="CS132" i="13"/>
  <c r="CU132" i="13"/>
  <c r="CC132" i="13"/>
  <c r="CV132" i="13"/>
  <c r="CG132" i="13"/>
  <c r="CQ132" i="13"/>
  <c r="CE132" i="13"/>
  <c r="CF132" i="13"/>
  <c r="CH132" i="13"/>
  <c r="CI132" i="13"/>
  <c r="CA233" i="13"/>
  <c r="CD233" i="13"/>
  <c r="CQ233" i="13"/>
  <c r="CO233" i="13"/>
  <c r="CC233" i="13"/>
  <c r="CR233" i="13"/>
  <c r="CB232" i="13"/>
  <c r="CT139" i="13"/>
  <c r="CW139" i="13"/>
  <c r="CQ139" i="13"/>
  <c r="CC139" i="13"/>
  <c r="CS139" i="13"/>
  <c r="CX139" i="13"/>
  <c r="CO139" i="13"/>
  <c r="CU139" i="13"/>
  <c r="CV139" i="13"/>
  <c r="CG139" i="13"/>
  <c r="CI139" i="13"/>
  <c r="CJ139" i="13"/>
  <c r="CE139" i="13"/>
  <c r="CF139" i="13"/>
  <c r="CH139" i="13"/>
  <c r="CJ279" i="13"/>
  <c r="CX279" i="13"/>
  <c r="CL279" i="13"/>
  <c r="CK279" i="13"/>
  <c r="CY279" i="13"/>
  <c r="CF279" i="13"/>
  <c r="CI279" i="13"/>
  <c r="CZ279" i="13"/>
  <c r="CW279" i="13"/>
  <c r="CV279" i="13"/>
  <c r="CT279" i="13"/>
  <c r="CH279" i="13"/>
  <c r="CE282" i="13"/>
  <c r="CS282" i="13"/>
  <c r="CC282" i="13"/>
  <c r="CR282" i="13"/>
  <c r="CQ282" i="13"/>
  <c r="CV282" i="13"/>
  <c r="CT282" i="13"/>
  <c r="CI282" i="13"/>
  <c r="CD282" i="13"/>
  <c r="CW282" i="13"/>
  <c r="CL282" i="13"/>
  <c r="CK282" i="13"/>
  <c r="CH282" i="13"/>
  <c r="CF282" i="13"/>
  <c r="CZ282" i="13"/>
  <c r="CY282" i="13"/>
  <c r="CV91" i="13"/>
  <c r="CT91" i="13"/>
  <c r="CF91" i="13"/>
  <c r="CS91" i="13"/>
  <c r="CU91" i="13"/>
  <c r="CC91" i="13"/>
  <c r="CQ91" i="13"/>
  <c r="CI91" i="13"/>
  <c r="CO91" i="13"/>
  <c r="CH91" i="13"/>
  <c r="CG91" i="13"/>
  <c r="CW91" i="13"/>
  <c r="CE91" i="13"/>
  <c r="CT110" i="13"/>
  <c r="CS110" i="13"/>
  <c r="CQ110" i="13"/>
  <c r="CC110" i="13"/>
  <c r="CW110" i="13"/>
  <c r="CO110" i="13"/>
  <c r="CV110" i="13"/>
  <c r="CF110" i="13"/>
  <c r="CU110" i="13"/>
  <c r="CH110" i="13"/>
  <c r="CE110" i="13"/>
  <c r="CI110" i="13"/>
  <c r="CG110" i="13"/>
  <c r="CE307" i="13"/>
  <c r="CY307" i="13"/>
  <c r="CF307" i="13"/>
  <c r="CL307" i="13"/>
  <c r="CS307" i="13"/>
  <c r="CZ307" i="13"/>
  <c r="CT307" i="13"/>
  <c r="CW307" i="13"/>
  <c r="CV307" i="13"/>
  <c r="CK307" i="13"/>
  <c r="CI307" i="13"/>
  <c r="CH307" i="13"/>
  <c r="CV64" i="13"/>
  <c r="CH64" i="13"/>
  <c r="CU64" i="13"/>
  <c r="CG64" i="13"/>
  <c r="CT64" i="13"/>
  <c r="CF64" i="13"/>
  <c r="CS64" i="13"/>
  <c r="CE64" i="13"/>
  <c r="CR64" i="13"/>
  <c r="CD64" i="13"/>
  <c r="CI310" i="13"/>
  <c r="CV310" i="13"/>
  <c r="CL310" i="13"/>
  <c r="CK310" i="13"/>
  <c r="CH310" i="13"/>
  <c r="CZ310" i="13"/>
  <c r="CT310" i="13"/>
  <c r="CY310" i="13"/>
  <c r="CW310" i="13"/>
  <c r="CF310" i="13"/>
  <c r="CE270" i="13"/>
  <c r="CS270" i="13"/>
  <c r="CC270" i="13"/>
  <c r="CR270" i="13"/>
  <c r="CQ270" i="13"/>
  <c r="CV270" i="13"/>
  <c r="CD270" i="13"/>
  <c r="CI270" i="13"/>
  <c r="CW270" i="13"/>
  <c r="CK270" i="13"/>
  <c r="CH270" i="13"/>
  <c r="CF270" i="13"/>
  <c r="CZ270" i="13"/>
  <c r="CY270" i="13"/>
  <c r="CT270" i="13"/>
  <c r="CL270" i="13"/>
  <c r="CO105" i="13"/>
  <c r="CW105" i="13"/>
  <c r="CG105" i="13"/>
  <c r="CV105" i="13"/>
  <c r="CH105" i="13"/>
  <c r="CU105" i="13"/>
  <c r="CI105" i="13"/>
  <c r="CT105" i="13"/>
  <c r="CS105" i="13"/>
  <c r="CC105" i="13"/>
  <c r="CE105" i="13"/>
  <c r="CF105" i="13"/>
  <c r="CQ105" i="13"/>
  <c r="CQ103" i="13"/>
  <c r="CF103" i="13"/>
  <c r="CS103" i="13"/>
  <c r="CH103" i="13"/>
  <c r="CT103" i="13"/>
  <c r="CI103" i="13"/>
  <c r="CU103" i="13"/>
  <c r="CO103" i="13"/>
  <c r="CW103" i="13"/>
  <c r="CC103" i="13"/>
  <c r="CE103" i="13"/>
  <c r="CV103" i="13"/>
  <c r="CG103" i="13"/>
  <c r="CW298" i="13"/>
  <c r="CV298" i="13"/>
  <c r="CK298" i="13"/>
  <c r="CT298" i="13"/>
  <c r="CI298" i="13"/>
  <c r="CH298" i="13"/>
  <c r="CF298" i="13"/>
  <c r="CZ298" i="13"/>
  <c r="CY298" i="13"/>
  <c r="CL298" i="13"/>
  <c r="CF164" i="13"/>
  <c r="CH164" i="13"/>
  <c r="CV164" i="13"/>
  <c r="CR164" i="13"/>
  <c r="CS164" i="13"/>
  <c r="CD164" i="13"/>
  <c r="CE164" i="13"/>
  <c r="CG164" i="13"/>
  <c r="CJ261" i="13"/>
  <c r="CX261" i="13"/>
  <c r="CV261" i="13"/>
  <c r="CI261" i="13"/>
  <c r="CZ261" i="13"/>
  <c r="CT261" i="13"/>
  <c r="CL261" i="13"/>
  <c r="CK261" i="13"/>
  <c r="CH261" i="13"/>
  <c r="CY261" i="13"/>
  <c r="CW261" i="13"/>
  <c r="CF261" i="13"/>
  <c r="CT50" i="13"/>
  <c r="CU50" i="13"/>
  <c r="CD50" i="13"/>
  <c r="CV50" i="13"/>
  <c r="CH50" i="13"/>
  <c r="CS50" i="13"/>
  <c r="CG50" i="13"/>
  <c r="CR50" i="13"/>
  <c r="CF50" i="13"/>
  <c r="CE50" i="13"/>
  <c r="CG165" i="13"/>
  <c r="CE165" i="13"/>
  <c r="CV165" i="13"/>
  <c r="CF165" i="13"/>
  <c r="CH165" i="13"/>
  <c r="CR165" i="13"/>
  <c r="CS165" i="13"/>
  <c r="CD165" i="13"/>
  <c r="CI284" i="13"/>
  <c r="CZ284" i="13"/>
  <c r="CH284" i="13"/>
  <c r="CV284" i="13"/>
  <c r="CL284" i="13"/>
  <c r="CY284" i="13"/>
  <c r="CW284" i="13"/>
  <c r="CT284" i="13"/>
  <c r="CK284" i="13"/>
  <c r="CF284" i="13"/>
  <c r="AY284" i="13" s="1"/>
  <c r="CL301" i="13"/>
  <c r="CE301" i="13"/>
  <c r="CY301" i="13"/>
  <c r="CF301" i="13"/>
  <c r="CS301" i="13"/>
  <c r="CV301" i="13"/>
  <c r="CT301" i="13"/>
  <c r="CH301" i="13"/>
  <c r="CW301" i="13"/>
  <c r="CI301" i="13"/>
  <c r="CZ301" i="13"/>
  <c r="CK301" i="13"/>
  <c r="CS111" i="13"/>
  <c r="CQ111" i="13"/>
  <c r="CI111" i="13"/>
  <c r="CW111" i="13"/>
  <c r="CO111" i="13"/>
  <c r="CV111" i="13"/>
  <c r="CU111" i="13"/>
  <c r="CE111" i="13"/>
  <c r="CC111" i="13"/>
  <c r="CT111" i="13"/>
  <c r="CF111" i="13"/>
  <c r="CG111" i="13"/>
  <c r="CH111" i="13"/>
  <c r="CG267" i="13"/>
  <c r="CJ267" i="13"/>
  <c r="CX267" i="13"/>
  <c r="CL267" i="13"/>
  <c r="CY267" i="13"/>
  <c r="CF267" i="13"/>
  <c r="CT267" i="13"/>
  <c r="CH267" i="13"/>
  <c r="CZ267" i="13"/>
  <c r="CW267" i="13"/>
  <c r="CV267" i="13"/>
  <c r="CK267" i="13"/>
  <c r="CI267" i="13"/>
  <c r="CC327" i="13"/>
  <c r="CQ327" i="13"/>
  <c r="CD327" i="13"/>
  <c r="CJ327" i="13"/>
  <c r="CY327" i="13"/>
  <c r="CF327" i="13"/>
  <c r="CS327" i="13"/>
  <c r="CV327" i="13"/>
  <c r="CX327" i="13"/>
  <c r="CL327" i="13"/>
  <c r="CI327" i="13"/>
  <c r="CT327" i="13"/>
  <c r="CH327" i="13"/>
  <c r="CZ327" i="13"/>
  <c r="CR327" i="13"/>
  <c r="CW327" i="13"/>
  <c r="CE327" i="13"/>
  <c r="CK327" i="13"/>
  <c r="CV316" i="13"/>
  <c r="CL316" i="13"/>
  <c r="CI316" i="13"/>
  <c r="CY316" i="13"/>
  <c r="CF316" i="13"/>
  <c r="CW316" i="13"/>
  <c r="CT316" i="13"/>
  <c r="CK316" i="13"/>
  <c r="CH316" i="13"/>
  <c r="CZ316" i="13"/>
  <c r="CE277" i="13"/>
  <c r="CS277" i="13"/>
  <c r="CY277" i="13"/>
  <c r="CF277" i="13"/>
  <c r="CW277" i="13"/>
  <c r="CL277" i="13"/>
  <c r="CT277" i="13"/>
  <c r="CK277" i="13"/>
  <c r="CI277" i="13"/>
  <c r="CH277" i="13"/>
  <c r="CZ277" i="13"/>
  <c r="CV277" i="13"/>
  <c r="CT133" i="13"/>
  <c r="CW133" i="13"/>
  <c r="CU133" i="13"/>
  <c r="CV133" i="13"/>
  <c r="CQ133" i="13"/>
  <c r="CF133" i="13"/>
  <c r="CE133" i="13"/>
  <c r="CO133" i="13"/>
  <c r="CG133" i="13"/>
  <c r="CH133" i="13"/>
  <c r="CS133" i="13"/>
  <c r="CI133" i="13"/>
  <c r="CC133" i="13"/>
  <c r="CR276" i="13"/>
  <c r="CQ276" i="13"/>
  <c r="CE276" i="13"/>
  <c r="CD276" i="13"/>
  <c r="CS276" i="13"/>
  <c r="CC276" i="13"/>
  <c r="CI276" i="13"/>
  <c r="CZ276" i="13"/>
  <c r="CH276" i="13"/>
  <c r="CV276" i="13"/>
  <c r="CW276" i="13"/>
  <c r="CK276" i="13"/>
  <c r="CF276" i="13"/>
  <c r="CY276" i="13"/>
  <c r="CT276" i="13"/>
  <c r="CL276" i="13"/>
  <c r="CV320" i="13"/>
  <c r="CL320" i="13"/>
  <c r="CI320" i="13"/>
  <c r="CY320" i="13"/>
  <c r="CF320" i="13"/>
  <c r="CW320" i="13"/>
  <c r="CT320" i="13"/>
  <c r="CZ320" i="13"/>
  <c r="CK320" i="13"/>
  <c r="CH320" i="13"/>
  <c r="CR231" i="13"/>
  <c r="CQ231" i="13"/>
  <c r="CU38" i="13"/>
  <c r="CD38" i="13"/>
  <c r="CT38" i="13"/>
  <c r="CS38" i="13"/>
  <c r="CF38" i="13"/>
  <c r="CR38" i="13"/>
  <c r="CG38" i="13"/>
  <c r="CH38" i="13"/>
  <c r="CV38" i="13"/>
  <c r="D331" i="13"/>
  <c r="D332" i="13"/>
  <c r="CT14" i="13"/>
  <c r="CU14" i="13"/>
  <c r="CV14" i="13"/>
  <c r="CR14" i="13"/>
  <c r="CS14" i="13"/>
  <c r="CT15" i="13"/>
  <c r="CU15" i="13"/>
  <c r="CV15" i="13"/>
  <c r="CR15" i="13"/>
  <c r="CS15" i="13"/>
  <c r="CT13" i="13"/>
  <c r="CU13" i="13"/>
  <c r="CV13" i="13"/>
  <c r="CS13" i="13"/>
  <c r="CR13" i="13"/>
  <c r="CU12" i="13"/>
  <c r="CV12" i="13"/>
  <c r="CT12" i="13"/>
  <c r="CS12" i="13"/>
  <c r="CR12" i="13"/>
  <c r="CT16" i="13"/>
  <c r="CU16" i="13"/>
  <c r="CV16" i="13"/>
  <c r="CR16" i="13"/>
  <c r="CS16" i="13"/>
  <c r="CT17" i="13"/>
  <c r="CU17" i="13"/>
  <c r="CV17" i="13"/>
  <c r="CR17" i="13"/>
  <c r="CS17" i="13"/>
  <c r="CG16" i="13"/>
  <c r="CD16" i="13"/>
  <c r="CH16" i="13"/>
  <c r="CE16" i="13"/>
  <c r="CF16" i="13"/>
  <c r="D174" i="13"/>
  <c r="CD14" i="13"/>
  <c r="CF14" i="13"/>
  <c r="CE14" i="13"/>
  <c r="CG14" i="13"/>
  <c r="CH14" i="13"/>
  <c r="CD15" i="13"/>
  <c r="CE15" i="13"/>
  <c r="CF15" i="13"/>
  <c r="CG15" i="13"/>
  <c r="CH15" i="13"/>
  <c r="CF13" i="13"/>
  <c r="CG13" i="13"/>
  <c r="CH13" i="13"/>
  <c r="CD13" i="13"/>
  <c r="CE13" i="13"/>
  <c r="CG12" i="13"/>
  <c r="CH12" i="13"/>
  <c r="CG17" i="13"/>
  <c r="CD17" i="13"/>
  <c r="CE17" i="13"/>
  <c r="CF17" i="13"/>
  <c r="CH17" i="13"/>
  <c r="D334" i="13"/>
  <c r="D333" i="13"/>
  <c r="D335" i="13"/>
  <c r="D143" i="13"/>
  <c r="AY326" i="13" l="1"/>
  <c r="AY38" i="13"/>
  <c r="AY324" i="13"/>
  <c r="AY329" i="13"/>
  <c r="AY318" i="13"/>
  <c r="AY305" i="13"/>
  <c r="AY315" i="13"/>
  <c r="AY317" i="13"/>
  <c r="AY269" i="13"/>
  <c r="AY301" i="13"/>
  <c r="AY321" i="13"/>
  <c r="AY311" i="13"/>
  <c r="AY259" i="13"/>
  <c r="AY320" i="13"/>
  <c r="AY306" i="13"/>
  <c r="AY325" i="13"/>
  <c r="AY308" i="13"/>
  <c r="AY323" i="13"/>
  <c r="AY328" i="13"/>
  <c r="AY316" i="13"/>
  <c r="AY307" i="13"/>
  <c r="AY319" i="13"/>
  <c r="AY251" i="13"/>
  <c r="AY322" i="13"/>
  <c r="AY303" i="13"/>
  <c r="AY310" i="13"/>
  <c r="AY254" i="13"/>
  <c r="AY265" i="13"/>
  <c r="AY304" i="13"/>
  <c r="AY312" i="13"/>
  <c r="AY327" i="13"/>
  <c r="AY313" i="13"/>
  <c r="AY257" i="13"/>
  <c r="AY283" i="13"/>
  <c r="AY293" i="13"/>
  <c r="AY264" i="13"/>
  <c r="AY262" i="13"/>
  <c r="AY267" i="13"/>
  <c r="AY275" i="13"/>
  <c r="AY260" i="13"/>
  <c r="AY263" i="13"/>
  <c r="AY258" i="13"/>
  <c r="AY287" i="13"/>
  <c r="AY268" i="13"/>
  <c r="AY266" i="13"/>
  <c r="AY272" i="13"/>
  <c r="AY274" i="13"/>
  <c r="AY256" i="13"/>
  <c r="AY292" i="13"/>
  <c r="AY289" i="13"/>
  <c r="AY282" i="13"/>
  <c r="AY261" i="13"/>
  <c r="AY286" i="13"/>
  <c r="AY280" i="13"/>
  <c r="AY278" i="13"/>
  <c r="AY273" i="13"/>
  <c r="AY277" i="13"/>
  <c r="AY276" i="13"/>
  <c r="AY279" i="13"/>
  <c r="AY281" i="13"/>
  <c r="AY252" i="13"/>
  <c r="AY255" i="13"/>
  <c r="AY253" i="13"/>
  <c r="AY250" i="13"/>
  <c r="AY296" i="13"/>
  <c r="AY294" i="13"/>
  <c r="AY299" i="13"/>
  <c r="AY298" i="13"/>
  <c r="AY297" i="13"/>
  <c r="AY295" i="13"/>
  <c r="AY110" i="13"/>
  <c r="AY270" i="13"/>
  <c r="AY202" i="13"/>
  <c r="AY206" i="13"/>
  <c r="AY288" i="13"/>
  <c r="AY101" i="13"/>
  <c r="AY100" i="13"/>
  <c r="AY95" i="13"/>
  <c r="AY94" i="13"/>
  <c r="AY47" i="13"/>
  <c r="AY64" i="13"/>
  <c r="AY50" i="13"/>
  <c r="AY49" i="13"/>
  <c r="AY13" i="13"/>
  <c r="AY14" i="13"/>
  <c r="AW162" i="46"/>
  <c r="AV162" i="46"/>
  <c r="AU162" i="46"/>
  <c r="AT162" i="46"/>
  <c r="C207" i="46" l="1"/>
  <c r="E200" i="46"/>
  <c r="D200" i="46"/>
  <c r="D198" i="46"/>
  <c r="E198" i="46"/>
  <c r="E197" i="46"/>
  <c r="C208" i="46"/>
  <c r="C199" i="46"/>
  <c r="B145" i="46"/>
  <c r="CB145" i="46" s="1"/>
  <c r="B144" i="46"/>
  <c r="CO198" i="46" l="1"/>
  <c r="CC198" i="46"/>
  <c r="CO197" i="46"/>
  <c r="CC197" i="46"/>
  <c r="CO200" i="46"/>
  <c r="CC200" i="46"/>
  <c r="CT202" i="46"/>
  <c r="CH202" i="46"/>
  <c r="CM144" i="46"/>
  <c r="CO144" i="46"/>
  <c r="CN144" i="46"/>
  <c r="CI202" i="46"/>
  <c r="CU202" i="46"/>
  <c r="CI197" i="46"/>
  <c r="CU197" i="46"/>
  <c r="CH197" i="46"/>
  <c r="CT197" i="46"/>
  <c r="C198" i="46"/>
  <c r="CH198" i="46"/>
  <c r="CT198" i="46"/>
  <c r="CI198" i="46"/>
  <c r="CU198" i="46"/>
  <c r="CT196" i="46"/>
  <c r="CT201" i="46"/>
  <c r="CH201" i="46"/>
  <c r="CO145" i="46"/>
  <c r="CM145" i="46"/>
  <c r="CN145" i="46"/>
  <c r="CQ199" i="46"/>
  <c r="CF199" i="46"/>
  <c r="CR199" i="46"/>
  <c r="CG199" i="46"/>
  <c r="CS199" i="46"/>
  <c r="CD199" i="46"/>
  <c r="CP199" i="46"/>
  <c r="CE199" i="46"/>
  <c r="CI200" i="46"/>
  <c r="CU200" i="46"/>
  <c r="CI199" i="46"/>
  <c r="CU199" i="46"/>
  <c r="CT200" i="46"/>
  <c r="CH200" i="46"/>
  <c r="CH199" i="46"/>
  <c r="CT199" i="46"/>
  <c r="CU201" i="46"/>
  <c r="CI201" i="46"/>
  <c r="CU196" i="46"/>
  <c r="C201" i="46"/>
  <c r="CB144" i="46"/>
  <c r="CC144" i="46"/>
  <c r="CD144" i="46"/>
  <c r="C202" i="46"/>
  <c r="CC145" i="46"/>
  <c r="CD145" i="46"/>
  <c r="C196" i="46"/>
  <c r="C200" i="46"/>
  <c r="C197" i="46"/>
  <c r="AB199" i="46" l="1"/>
  <c r="CG196" i="46"/>
  <c r="CF196" i="46"/>
  <c r="CE196" i="46"/>
  <c r="CD196" i="46"/>
  <c r="CB196" i="46"/>
  <c r="CE202" i="46"/>
  <c r="CF202" i="46"/>
  <c r="CG202" i="46"/>
  <c r="CP202" i="46"/>
  <c r="CR202" i="46"/>
  <c r="CD202" i="46"/>
  <c r="CQ202" i="46"/>
  <c r="CS202" i="46"/>
  <c r="CP198" i="46"/>
  <c r="CQ198" i="46"/>
  <c r="CR198" i="46"/>
  <c r="CE198" i="46"/>
  <c r="CG198" i="46"/>
  <c r="CD198" i="46"/>
  <c r="CF198" i="46"/>
  <c r="CS198" i="46"/>
  <c r="CD201" i="46"/>
  <c r="CP201" i="46"/>
  <c r="CE201" i="46"/>
  <c r="CS201" i="46"/>
  <c r="CQ201" i="46"/>
  <c r="CF201" i="46"/>
  <c r="CR201" i="46"/>
  <c r="CG201" i="46"/>
  <c r="CQ200" i="46"/>
  <c r="CD200" i="46"/>
  <c r="CG200" i="46"/>
  <c r="CR200" i="46"/>
  <c r="CE200" i="46"/>
  <c r="CP200" i="46"/>
  <c r="CF200" i="46"/>
  <c r="CS200" i="46"/>
  <c r="CS197" i="46"/>
  <c r="CP197" i="46"/>
  <c r="CE197" i="46"/>
  <c r="CF197" i="46"/>
  <c r="CQ197" i="46"/>
  <c r="CD197" i="46"/>
  <c r="CR197" i="46"/>
  <c r="CG197" i="46"/>
  <c r="CR196" i="46"/>
  <c r="CN196" i="46"/>
  <c r="CS196" i="46"/>
  <c r="CQ196" i="46"/>
  <c r="CP196" i="46"/>
  <c r="AB200" i="46" l="1"/>
  <c r="AB202" i="46"/>
  <c r="AB196" i="46"/>
  <c r="AB201" i="46"/>
  <c r="AB198" i="46"/>
  <c r="AB197" i="46"/>
  <c r="J222" i="34"/>
  <c r="CA231" i="34"/>
  <c r="CB231" i="34"/>
  <c r="G231" i="34" s="1"/>
  <c r="CK231" i="34"/>
  <c r="CL231" i="34"/>
  <c r="CL230" i="34"/>
  <c r="CK230" i="34"/>
  <c r="CB230" i="34"/>
  <c r="CA230" i="34"/>
  <c r="CA224" i="34"/>
  <c r="CB224" i="34"/>
  <c r="CA225" i="34"/>
  <c r="CB225" i="34"/>
  <c r="K225" i="34" s="1"/>
  <c r="CA226" i="34"/>
  <c r="CB226" i="34"/>
  <c r="CB223" i="34"/>
  <c r="CA223" i="34"/>
  <c r="K223" i="34" s="1"/>
  <c r="CA221" i="34"/>
  <c r="CB221" i="34"/>
  <c r="CK221" i="34"/>
  <c r="CL221" i="34"/>
  <c r="CK223" i="34"/>
  <c r="CL223" i="34"/>
  <c r="CK224" i="34"/>
  <c r="CL224" i="34"/>
  <c r="CK225" i="34"/>
  <c r="CL225" i="34"/>
  <c r="CK226" i="34"/>
  <c r="CL226" i="34"/>
  <c r="CA220" i="34"/>
  <c r="CB220" i="34"/>
  <c r="CK220" i="34"/>
  <c r="CL220" i="34"/>
  <c r="CK219" i="34"/>
  <c r="CL219" i="34"/>
  <c r="CA219" i="34"/>
  <c r="CB219" i="34"/>
  <c r="D199" i="34"/>
  <c r="D192" i="34"/>
  <c r="E183" i="34"/>
  <c r="D183" i="34"/>
  <c r="E122" i="34"/>
  <c r="D122" i="34"/>
  <c r="E101" i="34"/>
  <c r="D101" i="34"/>
  <c r="F97" i="34"/>
  <c r="E98" i="34"/>
  <c r="D98" i="34"/>
  <c r="I91" i="34"/>
  <c r="CK91" i="34"/>
  <c r="I92" i="34"/>
  <c r="CK92" i="34"/>
  <c r="I93" i="34"/>
  <c r="CK90" i="34"/>
  <c r="I90" i="34"/>
  <c r="CK87" i="34"/>
  <c r="CA87" i="34" s="1"/>
  <c r="CL87" i="34"/>
  <c r="CB87" i="34" s="1"/>
  <c r="CM87" i="34"/>
  <c r="CC87" i="34" s="1"/>
  <c r="CN87" i="34"/>
  <c r="CD87" i="34" s="1"/>
  <c r="CO87" i="34"/>
  <c r="CE87" i="34" s="1"/>
  <c r="CO86" i="34"/>
  <c r="CE86" i="34" s="1"/>
  <c r="CN86" i="34"/>
  <c r="CD86" i="34" s="1"/>
  <c r="CM86" i="34"/>
  <c r="CC86" i="34" s="1"/>
  <c r="CL86" i="34"/>
  <c r="CB86" i="34" s="1"/>
  <c r="CK86" i="34"/>
  <c r="CA86" i="34" s="1"/>
  <c r="CA64" i="34"/>
  <c r="C67" i="34"/>
  <c r="CA67" i="34" s="1"/>
  <c r="C66" i="34"/>
  <c r="CA66" i="34" s="1"/>
  <c r="C65" i="34"/>
  <c r="CA65" i="34" s="1"/>
  <c r="C64" i="34"/>
  <c r="CB64" i="34" s="1"/>
  <c r="C63" i="34"/>
  <c r="CA63" i="34" s="1"/>
  <c r="C62" i="34"/>
  <c r="CA62" i="34" s="1"/>
  <c r="C61" i="34"/>
  <c r="I54" i="34"/>
  <c r="E54" i="34"/>
  <c r="D55" i="34"/>
  <c r="C55" i="34"/>
  <c r="D46" i="34"/>
  <c r="C46" i="34"/>
  <c r="E265" i="34"/>
  <c r="D265" i="34"/>
  <c r="E264" i="34"/>
  <c r="D264" i="34"/>
  <c r="C264" i="34" s="1"/>
  <c r="E263" i="34"/>
  <c r="D263" i="34"/>
  <c r="E262" i="34"/>
  <c r="D262" i="34"/>
  <c r="E261" i="34"/>
  <c r="D261" i="34"/>
  <c r="E260" i="34"/>
  <c r="D260" i="34"/>
  <c r="C260" i="34" s="1"/>
  <c r="CK260" i="34" s="1"/>
  <c r="E255" i="34"/>
  <c r="D255" i="34"/>
  <c r="E254" i="34"/>
  <c r="D254" i="34"/>
  <c r="C254" i="34" s="1"/>
  <c r="E253" i="34"/>
  <c r="D253" i="34"/>
  <c r="C253" i="34" s="1"/>
  <c r="E252" i="34"/>
  <c r="D252" i="34"/>
  <c r="E251" i="34"/>
  <c r="D251" i="34"/>
  <c r="E250" i="34"/>
  <c r="D250" i="34"/>
  <c r="E249" i="34"/>
  <c r="D249" i="34"/>
  <c r="E248" i="34"/>
  <c r="D248" i="34"/>
  <c r="E247" i="34"/>
  <c r="D247" i="34"/>
  <c r="E246" i="34"/>
  <c r="D246" i="34"/>
  <c r="F232" i="34"/>
  <c r="E232" i="34"/>
  <c r="D232" i="34"/>
  <c r="C232" i="34"/>
  <c r="J227" i="34"/>
  <c r="I227" i="34"/>
  <c r="F227" i="34"/>
  <c r="E227" i="34"/>
  <c r="I222" i="34"/>
  <c r="H222" i="34"/>
  <c r="G222" i="34"/>
  <c r="F222" i="34"/>
  <c r="E222" i="34"/>
  <c r="E215" i="34"/>
  <c r="D215" i="34"/>
  <c r="E214" i="34"/>
  <c r="D214" i="34"/>
  <c r="E213" i="34"/>
  <c r="D213" i="34"/>
  <c r="F201" i="34"/>
  <c r="E199" i="34"/>
  <c r="S201" i="34"/>
  <c r="R201" i="34"/>
  <c r="Q201" i="34"/>
  <c r="P201" i="34"/>
  <c r="O201" i="34"/>
  <c r="N201" i="34"/>
  <c r="M201" i="34"/>
  <c r="L201" i="34"/>
  <c r="K201" i="34"/>
  <c r="J201" i="34"/>
  <c r="I201" i="34"/>
  <c r="H201" i="34"/>
  <c r="G201" i="34"/>
  <c r="E200" i="34"/>
  <c r="D200" i="34"/>
  <c r="E117" i="34"/>
  <c r="D117" i="34"/>
  <c r="E116" i="34"/>
  <c r="D116" i="34"/>
  <c r="E115" i="34"/>
  <c r="D115" i="34"/>
  <c r="E114" i="34"/>
  <c r="D114" i="34"/>
  <c r="E113" i="34"/>
  <c r="D113" i="34"/>
  <c r="E112" i="34"/>
  <c r="D112" i="34"/>
  <c r="E111" i="34"/>
  <c r="D111" i="34"/>
  <c r="E110" i="34"/>
  <c r="D110" i="34"/>
  <c r="C110" i="34" s="1"/>
  <c r="E109" i="34"/>
  <c r="D109" i="34"/>
  <c r="E108" i="34"/>
  <c r="D108" i="34"/>
  <c r="C200" i="34" l="1"/>
  <c r="G87" i="34"/>
  <c r="C246" i="34"/>
  <c r="G86" i="34"/>
  <c r="C213" i="34"/>
  <c r="CA213" i="34" s="1"/>
  <c r="C255" i="34"/>
  <c r="C199" i="34"/>
  <c r="CL199" i="34" s="1"/>
  <c r="K226" i="34"/>
  <c r="G230" i="34"/>
  <c r="K220" i="34"/>
  <c r="K221" i="34"/>
  <c r="K224" i="34"/>
  <c r="K219" i="34"/>
  <c r="CA260" i="34"/>
  <c r="Q260" i="34" s="1"/>
  <c r="CB65" i="34"/>
  <c r="CB67" i="34"/>
  <c r="CL200" i="34"/>
  <c r="C247" i="34"/>
  <c r="C251" i="34"/>
  <c r="CA61" i="34"/>
  <c r="M61" i="34" s="1"/>
  <c r="CK200" i="34"/>
  <c r="CB61" i="34"/>
  <c r="E201" i="34"/>
  <c r="C252" i="34"/>
  <c r="CL61" i="34"/>
  <c r="CB63" i="34"/>
  <c r="CB200" i="34"/>
  <c r="CD200" i="34"/>
  <c r="C108" i="34"/>
  <c r="C214" i="34"/>
  <c r="CB66" i="34"/>
  <c r="CB62" i="34"/>
  <c r="CN200" i="34"/>
  <c r="CC200" i="34"/>
  <c r="C122" i="34"/>
  <c r="C101" i="34"/>
  <c r="B55" i="34"/>
  <c r="B46" i="34"/>
  <c r="D201" i="34"/>
  <c r="C249" i="34"/>
  <c r="C263" i="34"/>
  <c r="C250" i="34"/>
  <c r="C261" i="34"/>
  <c r="C265" i="34"/>
  <c r="C215" i="34"/>
  <c r="C248" i="34"/>
  <c r="C262" i="34"/>
  <c r="C117" i="34"/>
  <c r="C116" i="34"/>
  <c r="C114" i="34"/>
  <c r="C111" i="34"/>
  <c r="C115" i="34"/>
  <c r="C112" i="34"/>
  <c r="CB112" i="34" s="1"/>
  <c r="C109" i="34"/>
  <c r="C113" i="34"/>
  <c r="CL122" i="34" l="1"/>
  <c r="CK122" i="34"/>
  <c r="CD199" i="34"/>
  <c r="CM200" i="34"/>
  <c r="CA200" i="34"/>
  <c r="CE200" i="34"/>
  <c r="CF200" i="34"/>
  <c r="CP200" i="34"/>
  <c r="CO200" i="34"/>
  <c r="CF199" i="34"/>
  <c r="CE199" i="34"/>
  <c r="CC199" i="34"/>
  <c r="CP199" i="34"/>
  <c r="CO199" i="34"/>
  <c r="C201" i="34"/>
  <c r="CN199" i="34"/>
  <c r="CK199" i="34"/>
  <c r="CB199" i="34"/>
  <c r="CB213" i="34"/>
  <c r="AG213" i="34" s="1"/>
  <c r="CB122" i="34"/>
  <c r="CA122" i="34"/>
  <c r="CA199" i="34"/>
  <c r="CA262" i="34"/>
  <c r="Q262" i="34" s="1"/>
  <c r="CK262" i="34"/>
  <c r="CM199" i="34"/>
  <c r="CA261" i="34"/>
  <c r="Q261" i="34" s="1"/>
  <c r="CK261" i="34"/>
  <c r="CB46" i="34"/>
  <c r="CA46" i="34"/>
  <c r="CA215" i="34"/>
  <c r="CB215" i="34"/>
  <c r="CL117" i="34"/>
  <c r="CA117" i="34"/>
  <c r="CB117" i="34"/>
  <c r="CK117" i="34"/>
  <c r="CA113" i="34"/>
  <c r="CB113" i="34"/>
  <c r="CK113" i="34"/>
  <c r="CL113" i="34"/>
  <c r="CL112" i="34"/>
  <c r="CK112" i="34"/>
  <c r="CA112" i="34"/>
  <c r="X112" i="34" s="1"/>
  <c r="CA115" i="34"/>
  <c r="CB115" i="34"/>
  <c r="CK115" i="34"/>
  <c r="CL115" i="34"/>
  <c r="CL116" i="34"/>
  <c r="CA116" i="34"/>
  <c r="CB116" i="34"/>
  <c r="CK116" i="34"/>
  <c r="CA55" i="34"/>
  <c r="CB55" i="34"/>
  <c r="CK55" i="34"/>
  <c r="CB214" i="34"/>
  <c r="CA214" i="34"/>
  <c r="CL114" i="34"/>
  <c r="CB114" i="34"/>
  <c r="CK114" i="34"/>
  <c r="CA114" i="34"/>
  <c r="AD122" i="34" l="1"/>
  <c r="T200" i="34"/>
  <c r="T199" i="34"/>
  <c r="X116" i="34"/>
  <c r="S46" i="34"/>
  <c r="X113" i="34"/>
  <c r="AG215" i="34"/>
  <c r="K55" i="34"/>
  <c r="X117" i="34"/>
  <c r="AG214" i="34"/>
  <c r="X115" i="34"/>
  <c r="X114" i="34"/>
  <c r="C39" i="32" l="1"/>
  <c r="CA39" i="32" s="1"/>
  <c r="C37" i="32"/>
  <c r="CU37" i="32" s="1"/>
  <c r="C38" i="32"/>
  <c r="CE38" i="32" s="1"/>
  <c r="C36" i="32"/>
  <c r="I176" i="32"/>
  <c r="I172" i="32"/>
  <c r="N156" i="32"/>
  <c r="N163" i="32"/>
  <c r="N164" i="32"/>
  <c r="CV197" i="32"/>
  <c r="CU197" i="32"/>
  <c r="CA190" i="32"/>
  <c r="I190" i="32" s="1"/>
  <c r="CB190" i="32"/>
  <c r="CU190" i="32"/>
  <c r="CV190" i="32"/>
  <c r="CA191" i="32"/>
  <c r="I191" i="32" s="1"/>
  <c r="CB191" i="32"/>
  <c r="CU191" i="32"/>
  <c r="CV191" i="32"/>
  <c r="CA192" i="32"/>
  <c r="CB192" i="32"/>
  <c r="CU192" i="32"/>
  <c r="CV192" i="32"/>
  <c r="CA193" i="32"/>
  <c r="CB193" i="32"/>
  <c r="I193" i="32" s="1"/>
  <c r="CU193" i="32"/>
  <c r="CV193" i="32"/>
  <c r="CA194" i="32"/>
  <c r="I194" i="32" s="1"/>
  <c r="CB194" i="32"/>
  <c r="CU194" i="32"/>
  <c r="CV194" i="32"/>
  <c r="CA195" i="32"/>
  <c r="I195" i="32" s="1"/>
  <c r="CB195" i="32"/>
  <c r="CU195" i="32"/>
  <c r="CV195" i="32"/>
  <c r="CA196" i="32"/>
  <c r="I196" i="32" s="1"/>
  <c r="CB196" i="32"/>
  <c r="CU196" i="32"/>
  <c r="CV196" i="32"/>
  <c r="CA197" i="32"/>
  <c r="CB197" i="32"/>
  <c r="CA198" i="32"/>
  <c r="I198" i="32" s="1"/>
  <c r="CB198" i="32"/>
  <c r="CU198" i="32"/>
  <c r="CV198" i="32"/>
  <c r="CA199" i="32"/>
  <c r="I199" i="32" s="1"/>
  <c r="CB199" i="32"/>
  <c r="CU199" i="32"/>
  <c r="CV199" i="32"/>
  <c r="CB189" i="32"/>
  <c r="CA189" i="32"/>
  <c r="I189" i="32" s="1"/>
  <c r="CV189" i="32"/>
  <c r="CU189" i="32"/>
  <c r="CV172" i="32"/>
  <c r="CU172" i="32"/>
  <c r="CU156" i="32"/>
  <c r="CU157" i="32"/>
  <c r="CU158" i="32"/>
  <c r="CU159" i="32"/>
  <c r="CU160" i="32"/>
  <c r="CU161" i="32"/>
  <c r="CU162" i="32"/>
  <c r="CU163" i="32"/>
  <c r="CU164" i="32"/>
  <c r="CU165" i="32"/>
  <c r="CU155" i="32"/>
  <c r="CB172" i="32"/>
  <c r="CA172" i="32"/>
  <c r="CA156" i="32"/>
  <c r="CA157" i="32"/>
  <c r="N157" i="32" s="1"/>
  <c r="CA158" i="32"/>
  <c r="N158" i="32" s="1"/>
  <c r="CA159" i="32"/>
  <c r="N159" i="32" s="1"/>
  <c r="CA160" i="32"/>
  <c r="N160" i="32" s="1"/>
  <c r="CA161" i="32"/>
  <c r="N161" i="32" s="1"/>
  <c r="CA162" i="32"/>
  <c r="N162" i="32" s="1"/>
  <c r="CA163" i="32"/>
  <c r="CA164" i="32"/>
  <c r="CA165" i="32"/>
  <c r="N165" i="32" s="1"/>
  <c r="CA155" i="32"/>
  <c r="N155" i="32" s="1"/>
  <c r="CA173" i="32"/>
  <c r="CB173" i="32"/>
  <c r="CU173" i="32"/>
  <c r="CV173" i="32"/>
  <c r="CA174" i="32"/>
  <c r="I174" i="32" s="1"/>
  <c r="CB174" i="32"/>
  <c r="CU174" i="32"/>
  <c r="CV174" i="32"/>
  <c r="CA175" i="32"/>
  <c r="I175" i="32" s="1"/>
  <c r="CB175" i="32"/>
  <c r="CU175" i="32"/>
  <c r="CV175" i="32"/>
  <c r="CA176" i="32"/>
  <c r="CB176" i="32"/>
  <c r="CU176" i="32"/>
  <c r="CV176" i="32"/>
  <c r="CA177" i="32"/>
  <c r="I177" i="32" s="1"/>
  <c r="CB177" i="32"/>
  <c r="CU177" i="32"/>
  <c r="CV177" i="32"/>
  <c r="CA178" i="32"/>
  <c r="I178" i="32" s="1"/>
  <c r="CB178" i="32"/>
  <c r="CU178" i="32"/>
  <c r="CV178" i="32"/>
  <c r="CA179" i="32"/>
  <c r="I179" i="32" s="1"/>
  <c r="CB179" i="32"/>
  <c r="CU179" i="32"/>
  <c r="CV179" i="32"/>
  <c r="CA180" i="32"/>
  <c r="I180" i="32" s="1"/>
  <c r="CB180" i="32"/>
  <c r="CU180" i="32"/>
  <c r="CV180" i="32"/>
  <c r="CA181" i="32"/>
  <c r="I181" i="32" s="1"/>
  <c r="CB181" i="32"/>
  <c r="CU181" i="32"/>
  <c r="CV181" i="32"/>
  <c r="CA182" i="32"/>
  <c r="I182" i="32" s="1"/>
  <c r="CB182" i="32"/>
  <c r="CU182" i="32"/>
  <c r="CV182" i="32"/>
  <c r="CV78" i="32"/>
  <c r="CX78" i="32"/>
  <c r="CB72" i="32"/>
  <c r="CC72" i="32"/>
  <c r="CD72" i="32"/>
  <c r="CW39" i="32"/>
  <c r="CW36" i="32"/>
  <c r="CV36" i="32"/>
  <c r="CG37" i="32"/>
  <c r="CE39" i="32"/>
  <c r="CF39" i="32"/>
  <c r="CG39" i="32"/>
  <c r="CC39" i="32"/>
  <c r="CB38" i="32"/>
  <c r="CB37" i="32"/>
  <c r="CC37" i="32"/>
  <c r="DA36" i="32" l="1"/>
  <c r="CA36" i="32"/>
  <c r="CU38" i="32"/>
  <c r="CF38" i="32"/>
  <c r="CZ36" i="32"/>
  <c r="CY36" i="32"/>
  <c r="CA37" i="32"/>
  <c r="CF37" i="32"/>
  <c r="CE37" i="32"/>
  <c r="CD37" i="32"/>
  <c r="A258" i="32"/>
  <c r="CD78" i="32"/>
  <c r="CW78" i="32"/>
  <c r="I197" i="32"/>
  <c r="M72" i="32"/>
  <c r="I192" i="32"/>
  <c r="CD39" i="32"/>
  <c r="AO39" i="32" s="1"/>
  <c r="CU39" i="32"/>
  <c r="CD38" i="32"/>
  <c r="CA38" i="32"/>
  <c r="CG38" i="32"/>
  <c r="CX36" i="32"/>
  <c r="I173" i="32"/>
  <c r="CB78" i="32"/>
  <c r="CC78" i="32"/>
  <c r="CB36" i="32"/>
  <c r="CC36" i="32"/>
  <c r="AO37" i="32" l="1"/>
  <c r="AO38" i="32"/>
  <c r="CI12" i="32"/>
  <c r="CJ12" i="32"/>
  <c r="CK12" i="32"/>
  <c r="CL12" i="32"/>
  <c r="CJ13" i="32"/>
  <c r="CI14" i="32"/>
  <c r="CJ14" i="32"/>
  <c r="CL14" i="32"/>
  <c r="CI15" i="32"/>
  <c r="CJ15" i="32"/>
  <c r="CL15" i="32"/>
  <c r="CI16" i="32"/>
  <c r="CJ16" i="32"/>
  <c r="CL16" i="32"/>
  <c r="CI17" i="32"/>
  <c r="CJ17" i="32"/>
  <c r="CL17" i="32"/>
  <c r="CI18" i="32"/>
  <c r="CJ18" i="32"/>
  <c r="CL18" i="32"/>
  <c r="CI19" i="32"/>
  <c r="CJ19" i="32"/>
  <c r="CL19" i="32"/>
  <c r="CI20" i="32"/>
  <c r="CJ20" i="32"/>
  <c r="CL20" i="32"/>
  <c r="CI21" i="32"/>
  <c r="CJ21" i="32"/>
  <c r="CL21" i="32"/>
  <c r="CI22" i="32"/>
  <c r="CJ22" i="32"/>
  <c r="CJ29" i="32"/>
  <c r="CJ31" i="32"/>
  <c r="CK31" i="32"/>
  <c r="CJ32" i="32"/>
  <c r="CK32" i="32"/>
  <c r="CI11" i="32"/>
  <c r="CV11" i="32"/>
  <c r="CV12" i="32"/>
  <c r="CB11" i="32"/>
  <c r="CU11" i="32"/>
  <c r="CV21" i="32"/>
  <c r="CV22" i="32"/>
  <c r="CV15" i="32"/>
  <c r="CV16" i="32"/>
  <c r="CV17" i="32"/>
  <c r="CV18" i="32"/>
  <c r="CV19" i="32"/>
  <c r="CV20" i="32"/>
  <c r="CV14" i="32"/>
  <c r="CW19" i="32"/>
  <c r="DD29" i="32"/>
  <c r="DD30" i="32"/>
  <c r="DD31" i="32"/>
  <c r="DE31" i="32"/>
  <c r="DD32" i="32"/>
  <c r="DE32" i="32"/>
  <c r="CY12" i="32"/>
  <c r="CZ12" i="32"/>
  <c r="DA12" i="32"/>
  <c r="DB12" i="32"/>
  <c r="DC12" i="32"/>
  <c r="DD12" i="32"/>
  <c r="DE12" i="32"/>
  <c r="DF12" i="32"/>
  <c r="DD13" i="32"/>
  <c r="CY14" i="32"/>
  <c r="CZ14" i="32"/>
  <c r="DA14" i="32"/>
  <c r="DB14" i="32"/>
  <c r="DC14" i="32"/>
  <c r="DD14" i="32"/>
  <c r="DF14" i="32"/>
  <c r="CY15" i="32"/>
  <c r="CZ15" i="32"/>
  <c r="DA15" i="32"/>
  <c r="DB15" i="32"/>
  <c r="DC15" i="32"/>
  <c r="DD15" i="32"/>
  <c r="DF15" i="32"/>
  <c r="CY16" i="32"/>
  <c r="CZ16" i="32"/>
  <c r="DA16" i="32"/>
  <c r="DB16" i="32"/>
  <c r="DC16" i="32"/>
  <c r="DD16" i="32"/>
  <c r="DF16" i="32"/>
  <c r="CY17" i="32"/>
  <c r="CZ17" i="32"/>
  <c r="DA17" i="32"/>
  <c r="DB17" i="32"/>
  <c r="DC17" i="32"/>
  <c r="DD17" i="32"/>
  <c r="DF17" i="32"/>
  <c r="CY18" i="32"/>
  <c r="CZ18" i="32"/>
  <c r="DA18" i="32"/>
  <c r="DB18" i="32"/>
  <c r="DC18" i="32"/>
  <c r="DD18" i="32"/>
  <c r="DF18" i="32"/>
  <c r="CY19" i="32"/>
  <c r="CZ19" i="32"/>
  <c r="DA19" i="32"/>
  <c r="DB19" i="32"/>
  <c r="DC19" i="32"/>
  <c r="DD19" i="32"/>
  <c r="DF19" i="32"/>
  <c r="CY20" i="32"/>
  <c r="CZ20" i="32"/>
  <c r="DA20" i="32"/>
  <c r="DB20" i="32"/>
  <c r="DC20" i="32"/>
  <c r="DD20" i="32"/>
  <c r="DF20" i="32"/>
  <c r="CY21" i="32"/>
  <c r="CZ21" i="32"/>
  <c r="DA21" i="32"/>
  <c r="DB21" i="32"/>
  <c r="DC21" i="32"/>
  <c r="DD21" i="32"/>
  <c r="DF21" i="32"/>
  <c r="CY22" i="32"/>
  <c r="CZ22" i="32"/>
  <c r="DA22" i="32"/>
  <c r="DB22" i="32"/>
  <c r="DC22" i="32"/>
  <c r="DD22" i="32"/>
  <c r="DF22" i="32"/>
  <c r="DD28" i="32"/>
  <c r="DF11" i="32"/>
  <c r="DE11" i="32"/>
  <c r="DD11" i="32"/>
  <c r="DC11" i="32"/>
  <c r="DB11" i="32"/>
  <c r="DA11" i="32"/>
  <c r="CZ11" i="32"/>
  <c r="CY11" i="32"/>
  <c r="CX12" i="32"/>
  <c r="CA12" i="32"/>
  <c r="CA14" i="32"/>
  <c r="CA15" i="32"/>
  <c r="CA16" i="32"/>
  <c r="CA17" i="32"/>
  <c r="CA18" i="32"/>
  <c r="CA19" i="32"/>
  <c r="CA20" i="32"/>
  <c r="CA21" i="32"/>
  <c r="CA22" i="32"/>
  <c r="CA11" i="32"/>
  <c r="CB12" i="32"/>
  <c r="CB14" i="32"/>
  <c r="CB15" i="32"/>
  <c r="CB16" i="32"/>
  <c r="CB17" i="32"/>
  <c r="CB18" i="32"/>
  <c r="CB19" i="32"/>
  <c r="CB20" i="32"/>
  <c r="CB21" i="32"/>
  <c r="CB22" i="32"/>
  <c r="CC20" i="32"/>
  <c r="CC21" i="32"/>
  <c r="CC22" i="32"/>
  <c r="CC19" i="32"/>
  <c r="CD12" i="32"/>
  <c r="CE12" i="32"/>
  <c r="CF12" i="32"/>
  <c r="CG12" i="32"/>
  <c r="CH12" i="32"/>
  <c r="CE14" i="32"/>
  <c r="CF14" i="32"/>
  <c r="CG14" i="32"/>
  <c r="CH14" i="32"/>
  <c r="CE15" i="32"/>
  <c r="CF15" i="32"/>
  <c r="CG15" i="32"/>
  <c r="CH15" i="32"/>
  <c r="CE16" i="32"/>
  <c r="CF16" i="32"/>
  <c r="CG16" i="32"/>
  <c r="CH16" i="32"/>
  <c r="CE17" i="32"/>
  <c r="CF17" i="32"/>
  <c r="CG17" i="32"/>
  <c r="CH17" i="32"/>
  <c r="CE18" i="32"/>
  <c r="CF18" i="32"/>
  <c r="CG18" i="32"/>
  <c r="CH18" i="32"/>
  <c r="CE19" i="32"/>
  <c r="CF19" i="32"/>
  <c r="CG19" i="32"/>
  <c r="CH19" i="32"/>
  <c r="CE20" i="32"/>
  <c r="CF20" i="32"/>
  <c r="CG20" i="32"/>
  <c r="CH20" i="32"/>
  <c r="CE21" i="32"/>
  <c r="CF21" i="32"/>
  <c r="CG21" i="32"/>
  <c r="CH21" i="32"/>
  <c r="CE22" i="32"/>
  <c r="CF22" i="32"/>
  <c r="CG22" i="32"/>
  <c r="CH22" i="32"/>
  <c r="CE23" i="32"/>
  <c r="CF23" i="32"/>
  <c r="CH23" i="32"/>
  <c r="CE11" i="32"/>
  <c r="CD11" i="32"/>
  <c r="C23" i="32"/>
  <c r="DA23" i="32" s="1"/>
  <c r="CH11" i="32"/>
  <c r="E44" i="32"/>
  <c r="D44" i="32"/>
  <c r="C70" i="32"/>
  <c r="CA30" i="33"/>
  <c r="CB30" i="33"/>
  <c r="CB29" i="33"/>
  <c r="CA29" i="33"/>
  <c r="D22" i="33"/>
  <c r="C22" i="33"/>
  <c r="D12" i="33"/>
  <c r="C12" i="33"/>
  <c r="D17" i="33"/>
  <c r="C17" i="33"/>
  <c r="D16" i="33"/>
  <c r="C16" i="33"/>
  <c r="B16" i="33" s="1"/>
  <c r="D15" i="33"/>
  <c r="C15" i="33"/>
  <c r="B15" i="33" s="1"/>
  <c r="CA15" i="33" s="1"/>
  <c r="D14" i="33"/>
  <c r="C14" i="33"/>
  <c r="D13" i="33"/>
  <c r="C13" i="33"/>
  <c r="B13" i="33" s="1"/>
  <c r="AH11" i="33"/>
  <c r="AG11" i="33"/>
  <c r="AF11" i="33"/>
  <c r="AE11" i="33"/>
  <c r="AD11" i="33"/>
  <c r="AC11" i="33"/>
  <c r="AB11" i="33"/>
  <c r="AA11" i="33"/>
  <c r="Z11" i="33"/>
  <c r="Y11" i="33"/>
  <c r="X11" i="33"/>
  <c r="W11" i="33"/>
  <c r="V11" i="33"/>
  <c r="U11" i="33"/>
  <c r="T11" i="33"/>
  <c r="S11" i="33"/>
  <c r="R11" i="33"/>
  <c r="Q11" i="33"/>
  <c r="P11" i="33"/>
  <c r="O11" i="33"/>
  <c r="N11" i="33"/>
  <c r="M11" i="33"/>
  <c r="L11" i="33"/>
  <c r="K11" i="33"/>
  <c r="J11" i="33"/>
  <c r="I11" i="33"/>
  <c r="H11" i="33"/>
  <c r="G11" i="33"/>
  <c r="F11" i="33"/>
  <c r="E11" i="33"/>
  <c r="B12" i="33" l="1"/>
  <c r="CF12" i="33" s="1"/>
  <c r="CC23" i="32"/>
  <c r="CY23" i="32"/>
  <c r="CA23" i="32"/>
  <c r="CZ23" i="32"/>
  <c r="CI23" i="32"/>
  <c r="C44" i="32"/>
  <c r="DC23" i="32"/>
  <c r="DB23" i="32"/>
  <c r="CG23" i="32"/>
  <c r="AI18" i="32"/>
  <c r="AI17" i="32"/>
  <c r="AI16" i="32"/>
  <c r="AI15" i="32"/>
  <c r="AI22" i="32"/>
  <c r="AI14" i="32"/>
  <c r="AI21" i="32"/>
  <c r="AI12" i="32"/>
  <c r="AI20" i="32"/>
  <c r="AI19" i="32"/>
  <c r="CD36" i="32"/>
  <c r="CU36" i="32"/>
  <c r="CG36" i="32"/>
  <c r="CF36" i="32"/>
  <c r="CE36" i="32"/>
  <c r="CU23" i="32"/>
  <c r="CF11" i="32"/>
  <c r="CG11" i="32"/>
  <c r="D11" i="33"/>
  <c r="CA16" i="33"/>
  <c r="CB16" i="33"/>
  <c r="CA13" i="33"/>
  <c r="AI13" i="33" s="1"/>
  <c r="CB13" i="33"/>
  <c r="CB15" i="33"/>
  <c r="AI15" i="33" s="1"/>
  <c r="B17" i="33"/>
  <c r="C11" i="33"/>
  <c r="B14" i="33"/>
  <c r="CA12" i="33" l="1"/>
  <c r="CB12" i="33"/>
  <c r="AI23" i="32"/>
  <c r="AI11" i="32"/>
  <c r="CV44" i="32"/>
  <c r="CB44" i="32"/>
  <c r="CA44" i="32"/>
  <c r="CC44" i="32"/>
  <c r="CW44" i="32"/>
  <c r="AI12" i="33"/>
  <c r="AO36" i="32"/>
  <c r="CA17" i="33"/>
  <c r="CB17" i="33"/>
  <c r="B11" i="33"/>
  <c r="CA14" i="33"/>
  <c r="CB14" i="33"/>
  <c r="AQ44" i="32" l="1"/>
  <c r="L111" i="32"/>
  <c r="K111" i="32"/>
  <c r="J111" i="32"/>
  <c r="I111" i="32"/>
  <c r="H111" i="32"/>
  <c r="G111" i="32"/>
  <c r="F111" i="32"/>
  <c r="E111" i="32"/>
  <c r="D111" i="32"/>
  <c r="C111" i="32"/>
  <c r="B110" i="32"/>
  <c r="B109" i="32"/>
  <c r="B108" i="32"/>
  <c r="B107" i="32"/>
  <c r="B106" i="32"/>
  <c r="B105" i="32"/>
  <c r="B104" i="32"/>
  <c r="B103" i="32"/>
  <c r="B102" i="32"/>
  <c r="B101" i="32"/>
  <c r="B100" i="32"/>
  <c r="B99" i="32"/>
  <c r="B98" i="32"/>
  <c r="CA106" i="32" l="1"/>
  <c r="M106" i="32" s="1"/>
  <c r="CU106" i="32"/>
  <c r="CU99" i="32"/>
  <c r="CA99" i="32"/>
  <c r="M99" i="32" s="1"/>
  <c r="CU100" i="32"/>
  <c r="CA100" i="32"/>
  <c r="M100" i="32" s="1"/>
  <c r="CA109" i="32"/>
  <c r="M109" i="32" s="1"/>
  <c r="CU109" i="32"/>
  <c r="CU110" i="32"/>
  <c r="CA110" i="32"/>
  <c r="M110" i="32" s="1"/>
  <c r="CU103" i="32"/>
  <c r="CA103" i="32"/>
  <c r="M103" i="32" s="1"/>
  <c r="CU98" i="32"/>
  <c r="CA107" i="32"/>
  <c r="M107" i="32" s="1"/>
  <c r="CU107" i="32"/>
  <c r="CA108" i="32"/>
  <c r="M108" i="32" s="1"/>
  <c r="CU108" i="32"/>
  <c r="CU101" i="32"/>
  <c r="CA101" i="32"/>
  <c r="M101" i="32" s="1"/>
  <c r="CU102" i="32"/>
  <c r="CA102" i="32"/>
  <c r="M102" i="32" s="1"/>
  <c r="CA105" i="32"/>
  <c r="M105" i="32" s="1"/>
  <c r="CU105" i="32"/>
  <c r="B111" i="32"/>
  <c r="CA104" i="32"/>
  <c r="M104" i="32" s="1"/>
  <c r="CU104" i="32"/>
  <c r="D107" i="31"/>
  <c r="CA149" i="31"/>
  <c r="CA148" i="31"/>
  <c r="E215" i="31"/>
  <c r="D215" i="31"/>
  <c r="E214" i="31"/>
  <c r="D214" i="31"/>
  <c r="E213" i="31"/>
  <c r="D213" i="31"/>
  <c r="E212" i="31"/>
  <c r="D212" i="31"/>
  <c r="E211" i="31"/>
  <c r="D211" i="31"/>
  <c r="E210" i="31"/>
  <c r="D210" i="31"/>
  <c r="E209" i="31"/>
  <c r="D209" i="31"/>
  <c r="E208" i="31"/>
  <c r="D208" i="31"/>
  <c r="D154" i="31"/>
  <c r="D153" i="31"/>
  <c r="B139" i="31"/>
  <c r="B138" i="31"/>
  <c r="B137" i="31"/>
  <c r="D112" i="31"/>
  <c r="D111" i="31"/>
  <c r="D109" i="31"/>
  <c r="D108" i="31"/>
  <c r="CK95" i="31"/>
  <c r="CK94" i="31"/>
  <c r="CK93" i="31"/>
  <c r="CK92" i="31"/>
  <c r="D91" i="31"/>
  <c r="CK91" i="31" s="1"/>
  <c r="D90" i="31"/>
  <c r="CK90" i="31" s="1"/>
  <c r="D89" i="31"/>
  <c r="CK89" i="31" s="1"/>
  <c r="D88" i="31"/>
  <c r="CK88" i="31" s="1"/>
  <c r="D87" i="31"/>
  <c r="CK87" i="31" s="1"/>
  <c r="D86" i="31"/>
  <c r="CK86" i="31" s="1"/>
  <c r="D85" i="31"/>
  <c r="CK85" i="31" s="1"/>
  <c r="D84" i="31"/>
  <c r="CK84" i="31" s="1"/>
  <c r="D83" i="31"/>
  <c r="CK83" i="31" s="1"/>
  <c r="CK82" i="31"/>
  <c r="D81" i="31"/>
  <c r="CK81" i="31" s="1"/>
  <c r="D80" i="31"/>
  <c r="CK80" i="31" s="1"/>
  <c r="D79" i="31"/>
  <c r="CK79" i="31" s="1"/>
  <c r="D78" i="31"/>
  <c r="CK78" i="31" s="1"/>
  <c r="D77" i="31"/>
  <c r="CK77" i="31" s="1"/>
  <c r="D76" i="31"/>
  <c r="CK76" i="31" s="1"/>
  <c r="D75" i="31"/>
  <c r="CK75" i="31" s="1"/>
  <c r="D74" i="31"/>
  <c r="CK74" i="31" s="1"/>
  <c r="D73" i="31"/>
  <c r="CK73" i="31" s="1"/>
  <c r="D72" i="31"/>
  <c r="CK72" i="31" s="1"/>
  <c r="D71" i="31"/>
  <c r="CK71" i="31" s="1"/>
  <c r="D70" i="31"/>
  <c r="CK70" i="31" s="1"/>
  <c r="D68" i="31"/>
  <c r="CK68" i="31" s="1"/>
  <c r="D67" i="31"/>
  <c r="CK67" i="31" s="1"/>
  <c r="D65" i="31"/>
  <c r="CK65" i="31" s="1"/>
  <c r="D64" i="31"/>
  <c r="CK64" i="31" s="1"/>
  <c r="D63" i="31"/>
  <c r="CK63" i="31" s="1"/>
  <c r="D62" i="31"/>
  <c r="CK62" i="31" s="1"/>
  <c r="D61" i="31"/>
  <c r="CK61" i="31" s="1"/>
  <c r="D60" i="31"/>
  <c r="CK60" i="31" s="1"/>
  <c r="D59" i="31"/>
  <c r="CK59" i="31" s="1"/>
  <c r="D58" i="31"/>
  <c r="CK58" i="31" s="1"/>
  <c r="D57" i="31"/>
  <c r="CK57" i="31" s="1"/>
  <c r="D56" i="31"/>
  <c r="D50" i="31"/>
  <c r="D49" i="31"/>
  <c r="D48" i="31"/>
  <c r="D47" i="31"/>
  <c r="D46" i="31"/>
  <c r="D45" i="31"/>
  <c r="D44" i="31"/>
  <c r="D43" i="31"/>
  <c r="D42" i="31"/>
  <c r="D41" i="31"/>
  <c r="D40" i="31"/>
  <c r="D39" i="31"/>
  <c r="D38" i="31"/>
  <c r="D37" i="31"/>
  <c r="D36" i="31"/>
  <c r="D35" i="31"/>
  <c r="D34" i="31"/>
  <c r="D33" i="31"/>
  <c r="D32" i="31"/>
  <c r="D30" i="31"/>
  <c r="D29" i="31"/>
  <c r="D28" i="31"/>
  <c r="CE28" i="31" s="1"/>
  <c r="D27" i="31"/>
  <c r="D26" i="31"/>
  <c r="D25" i="31"/>
  <c r="CB25" i="31" s="1"/>
  <c r="D21" i="31"/>
  <c r="D20" i="31"/>
  <c r="D19" i="31"/>
  <c r="D18" i="31"/>
  <c r="D17" i="31"/>
  <c r="D16" i="31"/>
  <c r="D15" i="31"/>
  <c r="D14" i="31"/>
  <c r="D13" i="31"/>
  <c r="D11" i="31"/>
  <c r="CR11" i="31" l="1"/>
  <c r="CH11" i="31"/>
  <c r="CQ11" i="31"/>
  <c r="CG11" i="31"/>
  <c r="CB154" i="31"/>
  <c r="CL154" i="31"/>
  <c r="C209" i="31"/>
  <c r="CL153" i="31"/>
  <c r="CB153" i="31"/>
  <c r="CC11" i="31"/>
  <c r="CK153" i="31"/>
  <c r="CA153" i="31"/>
  <c r="CE26" i="31"/>
  <c r="CO26" i="31"/>
  <c r="C211" i="31"/>
  <c r="CA56" i="31"/>
  <c r="J56" i="31" s="1"/>
  <c r="CK56" i="31"/>
  <c r="CK96" i="31"/>
  <c r="CA96" i="31"/>
  <c r="J96" i="31" s="1"/>
  <c r="C215" i="31"/>
  <c r="CA215" i="31" s="1"/>
  <c r="AI215" i="31" s="1"/>
  <c r="CQ38" i="31"/>
  <c r="CG38" i="31"/>
  <c r="CA77" i="31"/>
  <c r="J77" i="31" s="1"/>
  <c r="CQ14" i="31"/>
  <c r="CG14" i="31"/>
  <c r="CQ22" i="31"/>
  <c r="CG22" i="31"/>
  <c r="CG31" i="31"/>
  <c r="CQ31" i="31"/>
  <c r="CG39" i="31"/>
  <c r="CQ39" i="31"/>
  <c r="CL47" i="31"/>
  <c r="CQ47" i="31"/>
  <c r="CG47" i="31"/>
  <c r="CA60" i="31"/>
  <c r="J60" i="31" s="1"/>
  <c r="CA70" i="31"/>
  <c r="J70" i="31" s="1"/>
  <c r="CA78" i="31"/>
  <c r="J78" i="31" s="1"/>
  <c r="CA86" i="31"/>
  <c r="J86" i="31" s="1"/>
  <c r="CA94" i="31"/>
  <c r="J94" i="31" s="1"/>
  <c r="CK167" i="31"/>
  <c r="CG30" i="31"/>
  <c r="CQ30" i="31"/>
  <c r="CQ15" i="31"/>
  <c r="CG15" i="31"/>
  <c r="CQ23" i="31"/>
  <c r="CG23" i="31"/>
  <c r="CG32" i="31"/>
  <c r="CQ32" i="31"/>
  <c r="CG40" i="31"/>
  <c r="CQ40" i="31"/>
  <c r="CL48" i="31"/>
  <c r="CG48" i="31"/>
  <c r="CQ48" i="31"/>
  <c r="CA61" i="31"/>
  <c r="J61" i="31" s="1"/>
  <c r="CA71" i="31"/>
  <c r="J71" i="31" s="1"/>
  <c r="CA79" i="31"/>
  <c r="J79" i="31" s="1"/>
  <c r="CA87" i="31"/>
  <c r="J87" i="31" s="1"/>
  <c r="CA95" i="31"/>
  <c r="J95" i="31" s="1"/>
  <c r="CA160" i="31"/>
  <c r="CK160" i="31"/>
  <c r="CK168" i="31"/>
  <c r="CA85" i="31"/>
  <c r="J85" i="31" s="1"/>
  <c r="CA158" i="31"/>
  <c r="CK158" i="31"/>
  <c r="CG16" i="31"/>
  <c r="CQ16" i="31"/>
  <c r="CG25" i="31"/>
  <c r="CQ25" i="31"/>
  <c r="CG33" i="31"/>
  <c r="CQ33" i="31"/>
  <c r="CG41" i="31"/>
  <c r="CQ41" i="31"/>
  <c r="CN49" i="31"/>
  <c r="CQ49" i="31"/>
  <c r="CG49" i="31"/>
  <c r="CA62" i="31"/>
  <c r="J62" i="31" s="1"/>
  <c r="CA72" i="31"/>
  <c r="J72" i="31" s="1"/>
  <c r="CA80" i="31"/>
  <c r="J80" i="31" s="1"/>
  <c r="CA88" i="31"/>
  <c r="J88" i="31" s="1"/>
  <c r="CA161" i="31"/>
  <c r="CK161" i="31"/>
  <c r="CF49" i="31"/>
  <c r="CG21" i="31"/>
  <c r="CQ21" i="31"/>
  <c r="CA93" i="31"/>
  <c r="J93" i="31" s="1"/>
  <c r="CG17" i="31"/>
  <c r="CQ17" i="31"/>
  <c r="CQ26" i="31"/>
  <c r="CG26" i="31"/>
  <c r="CQ34" i="31"/>
  <c r="CG34" i="31"/>
  <c r="CQ42" i="31"/>
  <c r="CG42" i="31"/>
  <c r="CB50" i="31"/>
  <c r="CQ50" i="31"/>
  <c r="CG50" i="31"/>
  <c r="CA63" i="31"/>
  <c r="J63" i="31" s="1"/>
  <c r="CA73" i="31"/>
  <c r="J73" i="31" s="1"/>
  <c r="CA81" i="31"/>
  <c r="J81" i="31" s="1"/>
  <c r="CA89" i="31"/>
  <c r="J89" i="31" s="1"/>
  <c r="CK154" i="31"/>
  <c r="CA154" i="31"/>
  <c r="CK162" i="31"/>
  <c r="CA162" i="31"/>
  <c r="CN46" i="31"/>
  <c r="CQ46" i="31"/>
  <c r="CG46" i="31"/>
  <c r="CA59" i="31"/>
  <c r="J59" i="31" s="1"/>
  <c r="CQ18" i="31"/>
  <c r="CG18" i="31"/>
  <c r="CQ27" i="31"/>
  <c r="CG27" i="31"/>
  <c r="CQ35" i="31"/>
  <c r="CG35" i="31"/>
  <c r="CQ43" i="31"/>
  <c r="CG43" i="31"/>
  <c r="CP51" i="31"/>
  <c r="CQ51" i="31"/>
  <c r="CG51" i="31"/>
  <c r="CA64" i="31"/>
  <c r="J64" i="31" s="1"/>
  <c r="CA74" i="31"/>
  <c r="J74" i="31" s="1"/>
  <c r="CA82" i="31"/>
  <c r="J82" i="31" s="1"/>
  <c r="CA90" i="31"/>
  <c r="J90" i="31" s="1"/>
  <c r="CK155" i="31"/>
  <c r="CA155" i="31"/>
  <c r="CK163" i="31"/>
  <c r="CA163" i="31"/>
  <c r="CA68" i="31"/>
  <c r="J68" i="31" s="1"/>
  <c r="CA166" i="31"/>
  <c r="CK166" i="31"/>
  <c r="CP11" i="31"/>
  <c r="CQ19" i="31"/>
  <c r="CG19" i="31"/>
  <c r="CQ28" i="31"/>
  <c r="CG28" i="31"/>
  <c r="CQ36" i="31"/>
  <c r="CG36" i="31"/>
  <c r="CQ44" i="31"/>
  <c r="CG44" i="31"/>
  <c r="CQ52" i="31"/>
  <c r="CG52" i="31"/>
  <c r="CA57" i="31"/>
  <c r="J57" i="31" s="1"/>
  <c r="CA65" i="31"/>
  <c r="J65" i="31" s="1"/>
  <c r="CA75" i="31"/>
  <c r="J75" i="31" s="1"/>
  <c r="CA83" i="31"/>
  <c r="J83" i="31" s="1"/>
  <c r="CA91" i="31"/>
  <c r="J91" i="31" s="1"/>
  <c r="CA156" i="31"/>
  <c r="CK156" i="31"/>
  <c r="CA164" i="31"/>
  <c r="CK164" i="31"/>
  <c r="CG13" i="31"/>
  <c r="CQ13" i="31"/>
  <c r="CQ12" i="31"/>
  <c r="CG12" i="31"/>
  <c r="CF20" i="31"/>
  <c r="CQ20" i="31"/>
  <c r="CG20" i="31"/>
  <c r="CQ29" i="31"/>
  <c r="CG29" i="31"/>
  <c r="CQ37" i="31"/>
  <c r="CG37" i="31"/>
  <c r="CG45" i="31"/>
  <c r="CQ45" i="31"/>
  <c r="CA58" i="31"/>
  <c r="J58" i="31" s="1"/>
  <c r="CA67" i="31"/>
  <c r="J67" i="31" s="1"/>
  <c r="CA76" i="31"/>
  <c r="J76" i="31" s="1"/>
  <c r="CA84" i="31"/>
  <c r="J84" i="31" s="1"/>
  <c r="CA92" i="31"/>
  <c r="J92" i="31" s="1"/>
  <c r="CA157" i="31"/>
  <c r="CK157" i="31"/>
  <c r="CA165" i="31"/>
  <c r="CK165" i="31"/>
  <c r="C214" i="31"/>
  <c r="CF11" i="31"/>
  <c r="CE11" i="31"/>
  <c r="CL49" i="31"/>
  <c r="C212" i="31"/>
  <c r="C208" i="31"/>
  <c r="CK208" i="31" s="1"/>
  <c r="C213" i="31"/>
  <c r="C210" i="31"/>
  <c r="CO52" i="31"/>
  <c r="CE51" i="31"/>
  <c r="CD49" i="31"/>
  <c r="CB49" i="31"/>
  <c r="CD47" i="31"/>
  <c r="CD51" i="31"/>
  <c r="CO51" i="31"/>
  <c r="CN51" i="31"/>
  <c r="CC51" i="31"/>
  <c r="CM51" i="31"/>
  <c r="CP50" i="31"/>
  <c r="CE49" i="31"/>
  <c r="CO50" i="31"/>
  <c r="CN50" i="31"/>
  <c r="CC49" i="31"/>
  <c r="CM49" i="31"/>
  <c r="CP48" i="31"/>
  <c r="CC47" i="31"/>
  <c r="CO48" i="31"/>
  <c r="CB47" i="31"/>
  <c r="CP46" i="31"/>
  <c r="CF51" i="31"/>
  <c r="CP52" i="31"/>
  <c r="CE46" i="31"/>
  <c r="CN48" i="31"/>
  <c r="CL46" i="31"/>
  <c r="CF48" i="31"/>
  <c r="CD46" i="31"/>
  <c r="CE48" i="31"/>
  <c r="CC46" i="31"/>
  <c r="CF50" i="31"/>
  <c r="CD48" i="31"/>
  <c r="CB46" i="31"/>
  <c r="CM50" i="31"/>
  <c r="CP47" i="31"/>
  <c r="CN52" i="31"/>
  <c r="CE50" i="31"/>
  <c r="CC48" i="31"/>
  <c r="CF52" i="31"/>
  <c r="CL50" i="31"/>
  <c r="CO47" i="31"/>
  <c r="CM52" i="31"/>
  <c r="CM48" i="31"/>
  <c r="CM46" i="31"/>
  <c r="CB48" i="31"/>
  <c r="CP49" i="31"/>
  <c r="CN47" i="31"/>
  <c r="CC50" i="31"/>
  <c r="CF47" i="31"/>
  <c r="CD52" i="31"/>
  <c r="CO49" i="31"/>
  <c r="CM47" i="31"/>
  <c r="CF46" i="31"/>
  <c r="CD50" i="31"/>
  <c r="CE52" i="31"/>
  <c r="CE47" i="31"/>
  <c r="CO46" i="31"/>
  <c r="I148" i="31"/>
  <c r="D98" i="31"/>
  <c r="CK215" i="31" l="1"/>
  <c r="S153" i="31"/>
  <c r="S157" i="31"/>
  <c r="S162" i="31"/>
  <c r="S155" i="31"/>
  <c r="S160" i="31"/>
  <c r="S158" i="31"/>
  <c r="S166" i="31"/>
  <c r="S164" i="31"/>
  <c r="S161" i="31"/>
  <c r="S167" i="31"/>
  <c r="S168" i="31"/>
  <c r="CA208" i="31"/>
  <c r="S165" i="31"/>
  <c r="S156" i="31"/>
  <c r="S163" i="31"/>
  <c r="S154" i="31"/>
  <c r="AP125" i="19"/>
  <c r="AP126" i="19"/>
  <c r="AP128" i="19"/>
  <c r="AP129" i="19"/>
  <c r="AQ72" i="19"/>
  <c r="AQ71" i="19"/>
  <c r="AP58" i="19"/>
  <c r="AS47" i="19"/>
  <c r="AS48" i="19"/>
  <c r="AS49" i="19"/>
  <c r="AS50" i="19"/>
  <c r="AS51" i="19"/>
  <c r="AS52" i="19"/>
  <c r="AS53" i="19"/>
  <c r="AS46" i="19"/>
  <c r="AS29" i="19"/>
  <c r="AS30" i="19"/>
  <c r="AS31" i="19"/>
  <c r="AS32" i="19"/>
  <c r="AS33" i="19"/>
  <c r="AS34" i="19"/>
  <c r="AS35" i="19"/>
  <c r="AS36" i="19"/>
  <c r="AS38" i="19"/>
  <c r="AS39" i="19"/>
  <c r="AS40" i="19"/>
  <c r="AS28" i="19"/>
  <c r="AR13" i="19"/>
  <c r="AR14" i="19"/>
  <c r="AR15" i="19"/>
  <c r="AR16" i="19"/>
  <c r="AR17" i="19"/>
  <c r="AR18" i="19"/>
  <c r="AR19" i="19"/>
  <c r="AR20" i="19"/>
  <c r="AR21" i="19"/>
  <c r="AR22" i="19"/>
  <c r="AR12" i="19"/>
  <c r="CA13" i="19"/>
  <c r="E184" i="19"/>
  <c r="F184" i="19"/>
  <c r="E185" i="19"/>
  <c r="F185" i="19"/>
  <c r="E186" i="19"/>
  <c r="F186" i="19"/>
  <c r="E187" i="19"/>
  <c r="F187" i="19"/>
  <c r="E188" i="19"/>
  <c r="F188" i="19"/>
  <c r="F183" i="19"/>
  <c r="E183" i="19"/>
  <c r="D175" i="19"/>
  <c r="C158" i="19"/>
  <c r="C159" i="19"/>
  <c r="D159" i="19"/>
  <c r="C161" i="19"/>
  <c r="D161" i="19"/>
  <c r="C162" i="19"/>
  <c r="D162" i="19"/>
  <c r="D158" i="19"/>
  <c r="C153" i="19"/>
  <c r="D140" i="19"/>
  <c r="C137" i="19"/>
  <c r="D137" i="19"/>
  <c r="C138" i="19"/>
  <c r="D138" i="19"/>
  <c r="C139" i="19"/>
  <c r="D139" i="19"/>
  <c r="C140" i="19"/>
  <c r="C141" i="19"/>
  <c r="D141" i="19"/>
  <c r="D136" i="19"/>
  <c r="C136" i="19"/>
  <c r="D129" i="19"/>
  <c r="C129" i="19"/>
  <c r="C128" i="19"/>
  <c r="D126" i="19"/>
  <c r="C126" i="19"/>
  <c r="C125" i="19"/>
  <c r="D124" i="19"/>
  <c r="C124" i="19"/>
  <c r="C118" i="19"/>
  <c r="C116" i="19"/>
  <c r="D116" i="19"/>
  <c r="C117" i="19"/>
  <c r="D117" i="19"/>
  <c r="D118" i="19"/>
  <c r="C119" i="19"/>
  <c r="D119" i="19"/>
  <c r="D115" i="19"/>
  <c r="C115" i="19"/>
  <c r="D110" i="19"/>
  <c r="C109" i="19"/>
  <c r="D109" i="19"/>
  <c r="C110" i="19"/>
  <c r="D108" i="19"/>
  <c r="C108" i="19"/>
  <c r="D103" i="19"/>
  <c r="C103" i="19"/>
  <c r="D102" i="19"/>
  <c r="C102" i="19"/>
  <c r="D101" i="19"/>
  <c r="C100" i="19"/>
  <c r="C96" i="19"/>
  <c r="D96" i="19"/>
  <c r="C97" i="19"/>
  <c r="D97" i="19"/>
  <c r="C98" i="19"/>
  <c r="D98" i="19"/>
  <c r="C99" i="19"/>
  <c r="D99" i="19"/>
  <c r="D100" i="19"/>
  <c r="C101" i="19"/>
  <c r="D95" i="19"/>
  <c r="C95" i="19"/>
  <c r="C87" i="19"/>
  <c r="D83" i="19"/>
  <c r="C83" i="19"/>
  <c r="D82" i="19"/>
  <c r="D81" i="19"/>
  <c r="C81" i="19"/>
  <c r="C80" i="19"/>
  <c r="D80" i="19"/>
  <c r="D79" i="19"/>
  <c r="C79" i="19"/>
  <c r="D78" i="19"/>
  <c r="C78" i="19"/>
  <c r="D72" i="19"/>
  <c r="C72" i="19"/>
  <c r="D71" i="19"/>
  <c r="C71" i="19"/>
  <c r="C65" i="19"/>
  <c r="C64" i="19"/>
  <c r="D64" i="19"/>
  <c r="D65" i="19"/>
  <c r="D63" i="19"/>
  <c r="D58" i="19"/>
  <c r="C58" i="19"/>
  <c r="C52" i="19"/>
  <c r="C50" i="19"/>
  <c r="D50" i="19"/>
  <c r="C51" i="19"/>
  <c r="D51" i="19"/>
  <c r="D52" i="19"/>
  <c r="C53" i="19"/>
  <c r="D53" i="19"/>
  <c r="D49" i="19"/>
  <c r="C49" i="19"/>
  <c r="D48" i="19"/>
  <c r="C48" i="19"/>
  <c r="D47" i="19"/>
  <c r="C47" i="19"/>
  <c r="C46" i="19"/>
  <c r="D46" i="19"/>
  <c r="D40" i="19"/>
  <c r="H41" i="19"/>
  <c r="D37" i="19"/>
  <c r="E37" i="19"/>
  <c r="D38" i="19"/>
  <c r="E38" i="19"/>
  <c r="D39" i="19"/>
  <c r="E39" i="19"/>
  <c r="E40" i="19"/>
  <c r="D36" i="19"/>
  <c r="E36" i="19"/>
  <c r="E34" i="19"/>
  <c r="D34" i="19"/>
  <c r="E33" i="19"/>
  <c r="D32" i="19"/>
  <c r="E32" i="19"/>
  <c r="D33" i="19"/>
  <c r="E31" i="19"/>
  <c r="D31" i="19"/>
  <c r="E28" i="19"/>
  <c r="D28" i="19"/>
  <c r="E23" i="19"/>
  <c r="D20" i="19"/>
  <c r="C20" i="19"/>
  <c r="D18" i="19"/>
  <c r="C18" i="19"/>
  <c r="D19" i="19"/>
  <c r="C19" i="19"/>
  <c r="C13" i="19"/>
  <c r="C23" i="19" s="1"/>
  <c r="D13" i="19"/>
  <c r="C14" i="19"/>
  <c r="D14" i="19"/>
  <c r="C15" i="19"/>
  <c r="D15" i="19"/>
  <c r="C16" i="19"/>
  <c r="D16" i="19"/>
  <c r="C17" i="19"/>
  <c r="D17" i="19"/>
  <c r="C21" i="19"/>
  <c r="D21" i="19"/>
  <c r="C22" i="19"/>
  <c r="D22" i="19"/>
  <c r="D12" i="19"/>
  <c r="D23" i="19" s="1"/>
  <c r="C12" i="19"/>
  <c r="A150" i="36"/>
  <c r="CG113" i="36"/>
  <c r="CA110" i="36"/>
  <c r="CB110" i="36"/>
  <c r="CG110" i="36"/>
  <c r="B150" i="36" s="1"/>
  <c r="CH110" i="36"/>
  <c r="CA111" i="36"/>
  <c r="CB111" i="36"/>
  <c r="CG111" i="36"/>
  <c r="CH111" i="36"/>
  <c r="CA112" i="36"/>
  <c r="CB112" i="36"/>
  <c r="CG112" i="36"/>
  <c r="CH112" i="36"/>
  <c r="CA113" i="36"/>
  <c r="CB113" i="36"/>
  <c r="CH113" i="36"/>
  <c r="CH109" i="36"/>
  <c r="CG109" i="36"/>
  <c r="CB109" i="36"/>
  <c r="CA109" i="36"/>
  <c r="CA105" i="36"/>
  <c r="CB105" i="36"/>
  <c r="CG105" i="36"/>
  <c r="CH105" i="36"/>
  <c r="CA101" i="36"/>
  <c r="CB101" i="36"/>
  <c r="CG101" i="36"/>
  <c r="CH101" i="36"/>
  <c r="CA102" i="36"/>
  <c r="CB102" i="36"/>
  <c r="CG102" i="36"/>
  <c r="CH102" i="36"/>
  <c r="CA103" i="36"/>
  <c r="CB103" i="36"/>
  <c r="CG103" i="36"/>
  <c r="CH103" i="36"/>
  <c r="CA104" i="36"/>
  <c r="CB104" i="36"/>
  <c r="CG104" i="36"/>
  <c r="CH104" i="36"/>
  <c r="CH100" i="36"/>
  <c r="CG100" i="36"/>
  <c r="CA100" i="36"/>
  <c r="CB100" i="36"/>
  <c r="CA12" i="36"/>
  <c r="CT246" i="47"/>
  <c r="CU246" i="47"/>
  <c r="CT247" i="47"/>
  <c r="CU247" i="47"/>
  <c r="CT248" i="47"/>
  <c r="CU248" i="47"/>
  <c r="CT245" i="47"/>
  <c r="CT240" i="47"/>
  <c r="DY245" i="47"/>
  <c r="DY246" i="47"/>
  <c r="DZ246" i="47"/>
  <c r="DY247" i="47"/>
  <c r="DZ247" i="47"/>
  <c r="DY248" i="47"/>
  <c r="DZ248" i="47"/>
  <c r="EB237" i="47"/>
  <c r="EA237" i="47"/>
  <c r="DZ259" i="47"/>
  <c r="DY259" i="47"/>
  <c r="DH259" i="47"/>
  <c r="DG259" i="47"/>
  <c r="CU259" i="47"/>
  <c r="CT259" i="47"/>
  <c r="CC259" i="47"/>
  <c r="CB259" i="47"/>
  <c r="DZ258" i="47"/>
  <c r="DY258" i="47"/>
  <c r="DH258" i="47"/>
  <c r="DG258" i="47"/>
  <c r="CU258" i="47"/>
  <c r="CT258" i="47"/>
  <c r="CC258" i="47"/>
  <c r="CB258" i="47"/>
  <c r="DZ257" i="47"/>
  <c r="DY257" i="47"/>
  <c r="DH257" i="47"/>
  <c r="DG257" i="47"/>
  <c r="CU257" i="47"/>
  <c r="CT257" i="47"/>
  <c r="CC257" i="47"/>
  <c r="CB257" i="47"/>
  <c r="DZ256" i="47"/>
  <c r="DY256" i="47"/>
  <c r="DH256" i="47"/>
  <c r="DG256" i="47"/>
  <c r="CU256" i="47"/>
  <c r="CT256" i="47"/>
  <c r="CC256" i="47"/>
  <c r="CB256" i="47"/>
  <c r="DZ255" i="47"/>
  <c r="DY255" i="47"/>
  <c r="DH255" i="47"/>
  <c r="DG255" i="47"/>
  <c r="CU255" i="47"/>
  <c r="CT255" i="47"/>
  <c r="CC255" i="47"/>
  <c r="CB255" i="47"/>
  <c r="DZ254" i="47"/>
  <c r="DY254" i="47"/>
  <c r="DH254" i="47"/>
  <c r="DG254" i="47"/>
  <c r="CU254" i="47"/>
  <c r="CT254" i="47"/>
  <c r="CC254" i="47"/>
  <c r="CB254" i="47"/>
  <c r="DZ253" i="47"/>
  <c r="DY253" i="47"/>
  <c r="DH253" i="47"/>
  <c r="DG253" i="47"/>
  <c r="CU253" i="47"/>
  <c r="CT253" i="47"/>
  <c r="CC253" i="47"/>
  <c r="CB253" i="47"/>
  <c r="DZ252" i="47"/>
  <c r="DY252" i="47"/>
  <c r="DH252" i="47"/>
  <c r="DG252" i="47"/>
  <c r="CU252" i="47"/>
  <c r="CT252" i="47"/>
  <c r="CC252" i="47"/>
  <c r="CB252" i="47"/>
  <c r="DZ251" i="47"/>
  <c r="DY251" i="47"/>
  <c r="DH251" i="47"/>
  <c r="DG251" i="47"/>
  <c r="CU251" i="47"/>
  <c r="CT251" i="47"/>
  <c r="CC251" i="47"/>
  <c r="CB251" i="47"/>
  <c r="DZ250" i="47"/>
  <c r="DY250" i="47"/>
  <c r="DH250" i="47"/>
  <c r="DG250" i="47"/>
  <c r="CU250" i="47"/>
  <c r="CT250" i="47"/>
  <c r="CC250" i="47"/>
  <c r="CB250" i="47"/>
  <c r="DZ249" i="47"/>
  <c r="DY249" i="47"/>
  <c r="DH249" i="47"/>
  <c r="DG249" i="47"/>
  <c r="CU249" i="47"/>
  <c r="CT249" i="47"/>
  <c r="CC249" i="47"/>
  <c r="CB249" i="47"/>
  <c r="DH248" i="47"/>
  <c r="DG248" i="47"/>
  <c r="CC248" i="47"/>
  <c r="CB248" i="47"/>
  <c r="DH247" i="47"/>
  <c r="DG247" i="47"/>
  <c r="CC247" i="47"/>
  <c r="CB247" i="47"/>
  <c r="DH246" i="47"/>
  <c r="DG246" i="47"/>
  <c r="CC246" i="47"/>
  <c r="CB246" i="47"/>
  <c r="DZ245" i="47"/>
  <c r="DH245" i="47"/>
  <c r="DG245" i="47"/>
  <c r="CU245" i="47"/>
  <c r="CC245" i="47"/>
  <c r="CB245" i="47"/>
  <c r="DZ244" i="47"/>
  <c r="DY244" i="47"/>
  <c r="DH244" i="47"/>
  <c r="DG244" i="47"/>
  <c r="CU244" i="47"/>
  <c r="CT244" i="47"/>
  <c r="CC244" i="47"/>
  <c r="CB244" i="47"/>
  <c r="DZ243" i="47"/>
  <c r="DY243" i="47"/>
  <c r="DH243" i="47"/>
  <c r="DG243" i="47"/>
  <c r="CU243" i="47"/>
  <c r="CT243" i="47"/>
  <c r="CC243" i="47"/>
  <c r="CB243" i="47"/>
  <c r="DZ242" i="47"/>
  <c r="DY242" i="47"/>
  <c r="DH242" i="47"/>
  <c r="DG242" i="47"/>
  <c r="CU242" i="47"/>
  <c r="CT242" i="47"/>
  <c r="CC242" i="47"/>
  <c r="CB242" i="47"/>
  <c r="DZ241" i="47"/>
  <c r="DY241" i="47"/>
  <c r="DH241" i="47"/>
  <c r="DG241" i="47"/>
  <c r="CU241" i="47"/>
  <c r="CT241" i="47"/>
  <c r="CC241" i="47"/>
  <c r="CB241" i="47"/>
  <c r="DZ240" i="47"/>
  <c r="DY240" i="47"/>
  <c r="DH240" i="47"/>
  <c r="DG240" i="47"/>
  <c r="CU240" i="47"/>
  <c r="CC240" i="47"/>
  <c r="CB240" i="47"/>
  <c r="DZ239" i="47"/>
  <c r="DY239" i="47"/>
  <c r="DH239" i="47"/>
  <c r="CU239" i="47"/>
  <c r="CT239" i="47"/>
  <c r="CC239" i="47"/>
  <c r="DZ238" i="47"/>
  <c r="DY238" i="47"/>
  <c r="DH238" i="47"/>
  <c r="CU238" i="47"/>
  <c r="CT238" i="47"/>
  <c r="CC238" i="47"/>
  <c r="DZ237" i="47"/>
  <c r="DY237" i="47"/>
  <c r="DH237" i="47"/>
  <c r="CU237" i="47"/>
  <c r="CT237" i="47"/>
  <c r="CC237" i="47"/>
  <c r="CU210" i="47"/>
  <c r="CT210" i="47"/>
  <c r="CU209" i="47"/>
  <c r="CT209" i="47"/>
  <c r="CU208" i="47"/>
  <c r="CT208" i="47"/>
  <c r="CU207" i="47"/>
  <c r="CT207" i="47"/>
  <c r="CU206" i="47"/>
  <c r="CT206" i="47"/>
  <c r="CU205" i="47"/>
  <c r="CT205" i="47"/>
  <c r="CU204" i="47"/>
  <c r="CT204" i="47"/>
  <c r="CU203" i="47"/>
  <c r="CT203" i="47"/>
  <c r="CU202" i="47"/>
  <c r="CT202" i="47"/>
  <c r="CU201" i="47"/>
  <c r="CT201" i="47"/>
  <c r="CU200" i="47"/>
  <c r="CT200" i="47"/>
  <c r="CU196" i="47"/>
  <c r="CT196" i="47"/>
  <c r="CU195" i="47"/>
  <c r="CT195" i="47"/>
  <c r="CU194" i="47"/>
  <c r="CT194" i="47"/>
  <c r="CU193" i="47"/>
  <c r="CT193" i="47"/>
  <c r="CU192" i="47"/>
  <c r="CT192" i="47"/>
  <c r="CU191" i="47"/>
  <c r="CT191" i="47"/>
  <c r="CU190" i="47"/>
  <c r="CT190" i="47"/>
  <c r="CU189" i="47"/>
  <c r="CT189" i="47"/>
  <c r="CU188" i="47"/>
  <c r="CT188" i="47"/>
  <c r="DY188" i="47"/>
  <c r="DY174" i="47"/>
  <c r="DZ183" i="47"/>
  <c r="DY183" i="47"/>
  <c r="DZ182" i="47"/>
  <c r="DY182" i="47"/>
  <c r="DZ181" i="47"/>
  <c r="DY181" i="47"/>
  <c r="DZ180" i="47"/>
  <c r="DY180" i="47"/>
  <c r="DZ179" i="47"/>
  <c r="DY179" i="47"/>
  <c r="DZ178" i="47"/>
  <c r="DY178" i="47"/>
  <c r="DZ177" i="47"/>
  <c r="DY177" i="47"/>
  <c r="DZ176" i="47"/>
  <c r="DY176" i="47"/>
  <c r="DZ175" i="47"/>
  <c r="DY175" i="47"/>
  <c r="DZ174" i="47"/>
  <c r="DZ173" i="47"/>
  <c r="DY173" i="47"/>
  <c r="DY162" i="47"/>
  <c r="DZ162" i="47"/>
  <c r="DY163" i="47"/>
  <c r="DZ163" i="47"/>
  <c r="DY164" i="47"/>
  <c r="DZ164" i="47"/>
  <c r="DY165" i="47"/>
  <c r="DZ165" i="47"/>
  <c r="DY166" i="47"/>
  <c r="DZ166" i="47"/>
  <c r="DY167" i="47"/>
  <c r="DZ167" i="47"/>
  <c r="DY168" i="47"/>
  <c r="DZ168" i="47"/>
  <c r="DY169" i="47"/>
  <c r="DZ169" i="47"/>
  <c r="DZ161" i="47"/>
  <c r="DY161" i="47"/>
  <c r="DG164" i="47"/>
  <c r="DH161" i="47"/>
  <c r="CU173" i="47"/>
  <c r="CU183" i="47"/>
  <c r="CT183" i="47"/>
  <c r="CU182" i="47"/>
  <c r="CT182" i="47"/>
  <c r="CU181" i="47"/>
  <c r="CT181" i="47"/>
  <c r="CU180" i="47"/>
  <c r="CT180" i="47"/>
  <c r="CU179" i="47"/>
  <c r="CT179" i="47"/>
  <c r="CU178" i="47"/>
  <c r="CT178" i="47"/>
  <c r="CU177" i="47"/>
  <c r="CT177" i="47"/>
  <c r="CU176" i="47"/>
  <c r="CT176" i="47"/>
  <c r="CU175" i="47"/>
  <c r="CT175" i="47"/>
  <c r="CU174" i="47"/>
  <c r="CT174" i="47"/>
  <c r="CT173" i="47"/>
  <c r="CT162" i="47"/>
  <c r="CU162" i="47"/>
  <c r="CT163" i="47"/>
  <c r="CU163" i="47"/>
  <c r="CT164" i="47"/>
  <c r="CU164" i="47"/>
  <c r="CT165" i="47"/>
  <c r="CU165" i="47"/>
  <c r="CT166" i="47"/>
  <c r="CU166" i="47"/>
  <c r="CT167" i="47"/>
  <c r="CU167" i="47"/>
  <c r="CT168" i="47"/>
  <c r="CU168" i="47"/>
  <c r="CT169" i="47"/>
  <c r="CU169" i="47"/>
  <c r="CU161" i="47"/>
  <c r="CT161" i="47"/>
  <c r="CC161" i="47"/>
  <c r="CA152" i="47"/>
  <c r="DG144" i="47"/>
  <c r="DF144" i="47"/>
  <c r="CI144" i="47"/>
  <c r="CH144" i="47"/>
  <c r="CG144" i="47"/>
  <c r="CF144" i="47"/>
  <c r="CE144" i="47"/>
  <c r="CD144" i="47"/>
  <c r="CC144" i="47"/>
  <c r="CB144" i="47"/>
  <c r="CA144" i="47"/>
  <c r="Q144" i="47" s="1"/>
  <c r="CJ13" i="47"/>
  <c r="DW137" i="47"/>
  <c r="DV137" i="47"/>
  <c r="DV140" i="47"/>
  <c r="DV139" i="47"/>
  <c r="DV138" i="47"/>
  <c r="DV136" i="47"/>
  <c r="DV135" i="47"/>
  <c r="DV134" i="47"/>
  <c r="DV133" i="47"/>
  <c r="DV131" i="47"/>
  <c r="DV130" i="47"/>
  <c r="DV129" i="47"/>
  <c r="DV128" i="47"/>
  <c r="DV127" i="47"/>
  <c r="DV126" i="47"/>
  <c r="DV125" i="47"/>
  <c r="DV124" i="47"/>
  <c r="DV123" i="47"/>
  <c r="DV118" i="47"/>
  <c r="DV117" i="47"/>
  <c r="DV116" i="47"/>
  <c r="DV115" i="47"/>
  <c r="DV114" i="47"/>
  <c r="DV113" i="47"/>
  <c r="DV112" i="47"/>
  <c r="DV111" i="47"/>
  <c r="DV109" i="47"/>
  <c r="DV108" i="47"/>
  <c r="DV107" i="47"/>
  <c r="DV106" i="47"/>
  <c r="DV105" i="47"/>
  <c r="DV104" i="47"/>
  <c r="DV103" i="47"/>
  <c r="DV102" i="47"/>
  <c r="DV101" i="47"/>
  <c r="DV96" i="47"/>
  <c r="DV95" i="47"/>
  <c r="DV94" i="47"/>
  <c r="DV93" i="47"/>
  <c r="DV92" i="47"/>
  <c r="DV91" i="47"/>
  <c r="DV90" i="47"/>
  <c r="DV89" i="47"/>
  <c r="DV80" i="47"/>
  <c r="DV81" i="47"/>
  <c r="DV82" i="47"/>
  <c r="DV83" i="47"/>
  <c r="DV84" i="47"/>
  <c r="DV85" i="47"/>
  <c r="DV86" i="47"/>
  <c r="DV87" i="47"/>
  <c r="DW79" i="47"/>
  <c r="DV79" i="47"/>
  <c r="DU79" i="47"/>
  <c r="CQ140" i="47"/>
  <c r="CQ139" i="47"/>
  <c r="CQ138" i="47"/>
  <c r="CQ137" i="47"/>
  <c r="CQ136" i="47"/>
  <c r="CQ135" i="47"/>
  <c r="CQ134" i="47"/>
  <c r="CQ133" i="47"/>
  <c r="CQ131" i="47"/>
  <c r="CQ123" i="47"/>
  <c r="CQ130" i="47"/>
  <c r="CQ129" i="47"/>
  <c r="CQ128" i="47"/>
  <c r="CQ127" i="47"/>
  <c r="CQ126" i="47"/>
  <c r="CQ125" i="47"/>
  <c r="CQ124" i="47"/>
  <c r="CQ118" i="47"/>
  <c r="CQ117" i="47"/>
  <c r="CQ116" i="47"/>
  <c r="CQ115" i="47"/>
  <c r="CQ114" i="47"/>
  <c r="CQ113" i="47"/>
  <c r="CQ112" i="47"/>
  <c r="CQ111" i="47"/>
  <c r="CQ102" i="47"/>
  <c r="CQ103" i="47"/>
  <c r="CQ104" i="47"/>
  <c r="CQ105" i="47"/>
  <c r="CQ106" i="47"/>
  <c r="CQ107" i="47"/>
  <c r="CQ108" i="47"/>
  <c r="CQ109" i="47"/>
  <c r="CQ101" i="47"/>
  <c r="CQ96" i="47"/>
  <c r="CQ95" i="47"/>
  <c r="CQ94" i="47"/>
  <c r="CQ93" i="47"/>
  <c r="CQ92" i="47"/>
  <c r="CQ91" i="47"/>
  <c r="CQ90" i="47"/>
  <c r="CQ89" i="47"/>
  <c r="CQ80" i="47"/>
  <c r="CQ81" i="47"/>
  <c r="CQ82" i="47"/>
  <c r="CQ83" i="47"/>
  <c r="CQ84" i="47"/>
  <c r="CQ85" i="47"/>
  <c r="CQ86" i="47"/>
  <c r="CQ87" i="47"/>
  <c r="CQ79" i="47"/>
  <c r="CR79" i="47"/>
  <c r="CP79" i="47"/>
  <c r="DV74" i="47"/>
  <c r="DV73" i="47"/>
  <c r="DV72" i="47"/>
  <c r="DV71" i="47"/>
  <c r="DV70" i="47"/>
  <c r="DV69" i="47"/>
  <c r="DV68" i="47"/>
  <c r="DV67" i="47"/>
  <c r="DV58" i="47"/>
  <c r="DV59" i="47"/>
  <c r="DV60" i="47"/>
  <c r="DV61" i="47"/>
  <c r="DV62" i="47"/>
  <c r="DV63" i="47"/>
  <c r="DV64" i="47"/>
  <c r="DV65" i="47"/>
  <c r="DV57" i="47"/>
  <c r="DU57" i="47"/>
  <c r="DW57" i="47"/>
  <c r="CR48" i="47"/>
  <c r="CQ48" i="47"/>
  <c r="CP48" i="47"/>
  <c r="CQ52" i="47"/>
  <c r="CQ51" i="47"/>
  <c r="CQ50" i="47"/>
  <c r="CQ49" i="47"/>
  <c r="CQ47" i="47"/>
  <c r="CQ46" i="47"/>
  <c r="CQ45" i="47"/>
  <c r="CQ36" i="47"/>
  <c r="CQ37" i="47"/>
  <c r="CQ38" i="47"/>
  <c r="CQ39" i="47"/>
  <c r="CQ40" i="47"/>
  <c r="CQ41" i="47"/>
  <c r="CQ42" i="47"/>
  <c r="CQ43" i="47"/>
  <c r="CQ35" i="47"/>
  <c r="CR67" i="47"/>
  <c r="CQ67" i="47"/>
  <c r="CQ74" i="47"/>
  <c r="CQ73" i="47"/>
  <c r="CQ72" i="47"/>
  <c r="CQ71" i="47"/>
  <c r="CQ70" i="47"/>
  <c r="CQ69" i="47"/>
  <c r="CQ68" i="47"/>
  <c r="CQ58" i="47"/>
  <c r="CQ59" i="47"/>
  <c r="CQ60" i="47"/>
  <c r="CQ61" i="47"/>
  <c r="CQ62" i="47"/>
  <c r="CQ63" i="47"/>
  <c r="CQ64" i="47"/>
  <c r="CQ65" i="47"/>
  <c r="CQ57" i="47"/>
  <c r="CR57" i="47"/>
  <c r="CP57" i="47"/>
  <c r="DV52" i="47"/>
  <c r="DV51" i="47"/>
  <c r="DV50" i="47"/>
  <c r="DV49" i="47"/>
  <c r="DV48" i="47"/>
  <c r="DV47" i="47"/>
  <c r="DV46" i="47"/>
  <c r="DV45" i="47"/>
  <c r="DV36" i="47"/>
  <c r="DV37" i="47"/>
  <c r="DV38" i="47"/>
  <c r="DV39" i="47"/>
  <c r="DV40" i="47"/>
  <c r="DV41" i="47"/>
  <c r="DV42" i="47"/>
  <c r="DV43" i="47"/>
  <c r="DW35" i="47"/>
  <c r="DV35" i="47"/>
  <c r="DU35" i="47"/>
  <c r="DT35" i="47"/>
  <c r="DS35" i="47"/>
  <c r="CR45" i="47"/>
  <c r="CR35" i="47"/>
  <c r="CP35" i="47"/>
  <c r="CO35" i="47"/>
  <c r="EC26" i="47"/>
  <c r="DZ26" i="47"/>
  <c r="DV26" i="47"/>
  <c r="DV30" i="47"/>
  <c r="DV29" i="47"/>
  <c r="DV28" i="47"/>
  <c r="DV27" i="47"/>
  <c r="DV25" i="47"/>
  <c r="DV24" i="47"/>
  <c r="DV23" i="47"/>
  <c r="DV14" i="47"/>
  <c r="DV15" i="47"/>
  <c r="DV16" i="47"/>
  <c r="DV17" i="47"/>
  <c r="DV18" i="47"/>
  <c r="DV19" i="47"/>
  <c r="DV20" i="47"/>
  <c r="DV21" i="47"/>
  <c r="DW13" i="47"/>
  <c r="DV13" i="47"/>
  <c r="DW21" i="47"/>
  <c r="DU21" i="47"/>
  <c r="DT21" i="47"/>
  <c r="DX21" i="47"/>
  <c r="EC21" i="47"/>
  <c r="DJ21" i="47"/>
  <c r="DO13" i="47"/>
  <c r="CX13" i="47"/>
  <c r="CW13" i="47"/>
  <c r="CT13" i="47"/>
  <c r="CQ25" i="47"/>
  <c r="CQ24" i="47"/>
  <c r="CQ30" i="47"/>
  <c r="CQ29" i="47"/>
  <c r="CQ28" i="47"/>
  <c r="CQ27" i="47"/>
  <c r="CQ26" i="47"/>
  <c r="CQ23" i="47"/>
  <c r="CR21" i="47"/>
  <c r="CQ14" i="47"/>
  <c r="CQ15" i="47"/>
  <c r="CQ16" i="47"/>
  <c r="CQ17" i="47"/>
  <c r="CQ18" i="47"/>
  <c r="CQ19" i="47"/>
  <c r="CQ20" i="47"/>
  <c r="CQ21" i="47"/>
  <c r="CR13" i="47"/>
  <c r="CQ13" i="47"/>
  <c r="CP21" i="47"/>
  <c r="CO21" i="47"/>
  <c r="CN21" i="47"/>
  <c r="CM21" i="47"/>
  <c r="CL21" i="47"/>
  <c r="CK21" i="47"/>
  <c r="CJ21" i="47"/>
  <c r="CI21" i="47"/>
  <c r="CH21" i="47"/>
  <c r="CG21" i="47"/>
  <c r="CF21" i="47"/>
  <c r="CE21" i="47"/>
  <c r="CX30" i="47"/>
  <c r="CO12" i="13" l="1"/>
  <c r="D380" i="29"/>
  <c r="C380" i="29"/>
  <c r="CP373" i="29"/>
  <c r="CO373" i="29"/>
  <c r="CB373" i="29"/>
  <c r="CA373" i="29"/>
  <c r="AT373" i="29" s="1"/>
  <c r="B380" i="29" l="1"/>
  <c r="D124" i="29"/>
  <c r="CP86" i="29"/>
  <c r="CO86" i="29"/>
  <c r="CA86" i="29"/>
  <c r="CB86" i="29"/>
  <c r="C59" i="28"/>
  <c r="CQ18" i="29"/>
  <c r="CP18" i="29"/>
  <c r="CO18" i="29"/>
  <c r="CA19" i="29"/>
  <c r="CB19" i="29"/>
  <c r="CC19" i="29"/>
  <c r="CA20" i="29"/>
  <c r="CB20" i="29"/>
  <c r="CC20" i="29"/>
  <c r="CA21" i="29"/>
  <c r="CB21" i="29"/>
  <c r="CC21" i="29"/>
  <c r="CA22" i="29"/>
  <c r="CB22" i="29"/>
  <c r="CC22" i="29"/>
  <c r="CA23" i="29"/>
  <c r="CB23" i="29"/>
  <c r="CC23" i="29"/>
  <c r="CA24" i="29"/>
  <c r="CB24" i="29"/>
  <c r="CC24" i="29"/>
  <c r="CA25" i="29"/>
  <c r="CB25" i="29"/>
  <c r="CC25" i="29"/>
  <c r="CA26" i="29"/>
  <c r="CB26" i="29"/>
  <c r="CC26" i="29"/>
  <c r="CA27" i="29"/>
  <c r="CB27" i="29"/>
  <c r="CC27" i="29"/>
  <c r="CA28" i="29"/>
  <c r="CB28" i="29"/>
  <c r="CC28" i="29"/>
  <c r="CA29" i="29"/>
  <c r="CB29" i="29"/>
  <c r="CC29" i="29"/>
  <c r="CA30" i="29"/>
  <c r="CB30" i="29"/>
  <c r="CC30" i="29"/>
  <c r="CA31" i="29"/>
  <c r="CB31" i="29"/>
  <c r="CC31" i="29"/>
  <c r="CA18" i="29"/>
  <c r="AM75" i="28"/>
  <c r="AL75" i="28"/>
  <c r="AK75" i="28"/>
  <c r="AJ75" i="28"/>
  <c r="AI75" i="28"/>
  <c r="AH75" i="28"/>
  <c r="AG75" i="28"/>
  <c r="AF75" i="28"/>
  <c r="AE75" i="28"/>
  <c r="AD75" i="28"/>
  <c r="AC75" i="28"/>
  <c r="AB75" i="28"/>
  <c r="AA75" i="28"/>
  <c r="Z75" i="28"/>
  <c r="Y75" i="28"/>
  <c r="X75" i="28"/>
  <c r="W75" i="28"/>
  <c r="V75" i="28"/>
  <c r="U75" i="28"/>
  <c r="T75" i="28"/>
  <c r="S75" i="28"/>
  <c r="R75" i="28"/>
  <c r="Q75" i="28"/>
  <c r="P75" i="28"/>
  <c r="O75" i="28"/>
  <c r="N75" i="28"/>
  <c r="M75" i="28"/>
  <c r="L75" i="28"/>
  <c r="K75" i="28"/>
  <c r="J75" i="28"/>
  <c r="I75" i="28"/>
  <c r="H75" i="28"/>
  <c r="G75" i="28"/>
  <c r="F75" i="28"/>
  <c r="B114" i="43"/>
  <c r="B113" i="43"/>
  <c r="B112" i="43"/>
  <c r="B111" i="43"/>
  <c r="E103" i="43"/>
  <c r="D103" i="43"/>
  <c r="C103" i="43"/>
  <c r="B103" i="43"/>
  <c r="B98" i="43"/>
  <c r="B97" i="43"/>
  <c r="B92" i="43"/>
  <c r="I77" i="43"/>
  <c r="H77" i="43"/>
  <c r="G77" i="43"/>
  <c r="F77" i="43"/>
  <c r="E77" i="43"/>
  <c r="D77" i="43"/>
  <c r="C77" i="43"/>
  <c r="B77" i="43"/>
  <c r="G68" i="43"/>
  <c r="F68" i="43"/>
  <c r="E68" i="43"/>
  <c r="D68" i="43"/>
  <c r="C68" i="43"/>
  <c r="B68" i="43"/>
  <c r="E63" i="43"/>
  <c r="D63" i="43"/>
  <c r="C63" i="43"/>
  <c r="B63" i="43"/>
  <c r="E62" i="43"/>
  <c r="D62" i="43"/>
  <c r="C62" i="43"/>
  <c r="B62" i="43"/>
  <c r="E61" i="43"/>
  <c r="D61" i="43"/>
  <c r="C61" i="43"/>
  <c r="B61" i="43"/>
  <c r="E60" i="43"/>
  <c r="D60" i="43"/>
  <c r="C60" i="43"/>
  <c r="B60" i="43"/>
  <c r="E59" i="43"/>
  <c r="D59" i="43"/>
  <c r="C59" i="43"/>
  <c r="B59" i="43"/>
  <c r="E58" i="43"/>
  <c r="D58" i="43"/>
  <c r="C58" i="43"/>
  <c r="B58" i="43"/>
  <c r="E52" i="43"/>
  <c r="D52" i="43"/>
  <c r="C52" i="43"/>
  <c r="B52" i="43"/>
  <c r="E51" i="43"/>
  <c r="D51" i="43"/>
  <c r="C51" i="43"/>
  <c r="B51" i="43"/>
  <c r="E50" i="43"/>
  <c r="D50" i="43"/>
  <c r="C50" i="43"/>
  <c r="B50" i="43"/>
  <c r="E49" i="43"/>
  <c r="E48" i="43" s="1"/>
  <c r="D49" i="43"/>
  <c r="C49" i="43"/>
  <c r="B49" i="43"/>
  <c r="U48" i="43"/>
  <c r="T48" i="43"/>
  <c r="S48" i="43"/>
  <c r="R48" i="43"/>
  <c r="Q48" i="43"/>
  <c r="P48" i="43"/>
  <c r="O48" i="43"/>
  <c r="N48" i="43"/>
  <c r="M48" i="43"/>
  <c r="L48" i="43"/>
  <c r="K48" i="43"/>
  <c r="J48" i="43"/>
  <c r="I48" i="43"/>
  <c r="H48" i="43"/>
  <c r="G48" i="43"/>
  <c r="F48" i="43"/>
  <c r="E43" i="43"/>
  <c r="D43" i="43"/>
  <c r="C43" i="43"/>
  <c r="B43" i="43"/>
  <c r="E42" i="43"/>
  <c r="D42" i="43"/>
  <c r="C42" i="43"/>
  <c r="B42" i="43"/>
  <c r="E41" i="43"/>
  <c r="D41" i="43"/>
  <c r="C41" i="43"/>
  <c r="B41" i="43"/>
  <c r="E40" i="43"/>
  <c r="D40" i="43"/>
  <c r="C40" i="43"/>
  <c r="B40" i="43"/>
  <c r="E39" i="43"/>
  <c r="D39" i="43"/>
  <c r="C39" i="43"/>
  <c r="B39" i="43"/>
  <c r="E38" i="43"/>
  <c r="D38" i="43"/>
  <c r="C38" i="43"/>
  <c r="B38" i="43"/>
  <c r="E37" i="43"/>
  <c r="D37" i="43"/>
  <c r="E36" i="43"/>
  <c r="D36" i="43"/>
  <c r="C36" i="43"/>
  <c r="B36" i="43"/>
  <c r="E35" i="43"/>
  <c r="D35" i="43"/>
  <c r="C35" i="43"/>
  <c r="B35" i="43"/>
  <c r="E34" i="43"/>
  <c r="D34" i="43"/>
  <c r="E33" i="43"/>
  <c r="D33" i="43"/>
  <c r="C33" i="43"/>
  <c r="B33" i="43"/>
  <c r="E27" i="43"/>
  <c r="D27" i="43"/>
  <c r="C27" i="43"/>
  <c r="B27" i="43"/>
  <c r="E26" i="43"/>
  <c r="D26" i="43"/>
  <c r="E25" i="43"/>
  <c r="D25" i="43"/>
  <c r="E24" i="43"/>
  <c r="D24" i="43"/>
  <c r="C24" i="43"/>
  <c r="B24" i="43"/>
  <c r="E23" i="43"/>
  <c r="D23" i="43"/>
  <c r="C23" i="43"/>
  <c r="B23" i="43"/>
  <c r="E22" i="43"/>
  <c r="D22" i="43"/>
  <c r="E21" i="43"/>
  <c r="D21" i="43"/>
  <c r="E20" i="43"/>
  <c r="D20" i="43"/>
  <c r="C20" i="43"/>
  <c r="B20" i="43"/>
  <c r="E19" i="43"/>
  <c r="D19" i="43"/>
  <c r="E18" i="43"/>
  <c r="D18" i="43"/>
  <c r="E17" i="43"/>
  <c r="D17" i="43"/>
  <c r="C17" i="43"/>
  <c r="B17" i="43"/>
  <c r="E16" i="43"/>
  <c r="D16" i="43"/>
  <c r="Q15" i="43"/>
  <c r="P15" i="43"/>
  <c r="O15" i="43"/>
  <c r="N15" i="43"/>
  <c r="M15" i="43"/>
  <c r="L15" i="43"/>
  <c r="K15" i="43"/>
  <c r="J15" i="43"/>
  <c r="I15" i="43"/>
  <c r="H15" i="43"/>
  <c r="G15" i="43"/>
  <c r="F15" i="43"/>
  <c r="D75" i="28" l="1"/>
  <c r="E75" i="28"/>
  <c r="CA380" i="29"/>
  <c r="E15" i="43"/>
  <c r="D15" i="43"/>
  <c r="D32" i="43"/>
  <c r="C32" i="43"/>
  <c r="C15" i="43"/>
  <c r="B57" i="43"/>
  <c r="B32" i="43"/>
  <c r="E57" i="43"/>
  <c r="E32" i="43"/>
  <c r="D48" i="43"/>
  <c r="B15" i="43"/>
  <c r="C57" i="43"/>
  <c r="B48" i="43"/>
  <c r="D57" i="43"/>
  <c r="C48" i="43"/>
  <c r="C74" i="28"/>
  <c r="C73" i="28"/>
  <c r="CO380" i="29"/>
  <c r="CB380" i="29"/>
  <c r="CP380" i="29"/>
  <c r="E86" i="29"/>
  <c r="B219" i="28"/>
  <c r="B218" i="28"/>
  <c r="B217" i="28"/>
  <c r="C213" i="28"/>
  <c r="C212" i="28"/>
  <c r="C211" i="28"/>
  <c r="B206" i="28"/>
  <c r="B205" i="28"/>
  <c r="B204" i="28"/>
  <c r="B203" i="28"/>
  <c r="B202" i="28"/>
  <c r="B198" i="28"/>
  <c r="B197" i="28"/>
  <c r="B196" i="28"/>
  <c r="B195" i="28"/>
  <c r="B194" i="28"/>
  <c r="B189" i="28"/>
  <c r="B188" i="28"/>
  <c r="B187" i="28"/>
  <c r="D389" i="29"/>
  <c r="C389" i="29"/>
  <c r="D388" i="29"/>
  <c r="C388" i="29"/>
  <c r="D387" i="29"/>
  <c r="C387" i="29"/>
  <c r="D386" i="29"/>
  <c r="C386" i="29"/>
  <c r="D385" i="29"/>
  <c r="C385" i="29"/>
  <c r="D384" i="29"/>
  <c r="C384" i="29"/>
  <c r="D381" i="29"/>
  <c r="C381" i="29"/>
  <c r="E247" i="29"/>
  <c r="E250" i="29"/>
  <c r="D250" i="29"/>
  <c r="E249" i="29"/>
  <c r="D249" i="29"/>
  <c r="E248" i="29"/>
  <c r="D248" i="29"/>
  <c r="D247" i="29"/>
  <c r="E198" i="29"/>
  <c r="D198" i="29"/>
  <c r="CG198" i="29" s="1"/>
  <c r="E197" i="29"/>
  <c r="D197" i="29"/>
  <c r="CG197" i="29" s="1"/>
  <c r="E196" i="29"/>
  <c r="D196" i="29"/>
  <c r="CG196" i="29" s="1"/>
  <c r="E195" i="29"/>
  <c r="D195" i="29"/>
  <c r="CG195" i="29" s="1"/>
  <c r="F162" i="29"/>
  <c r="E154" i="29"/>
  <c r="D154" i="29"/>
  <c r="E146" i="29"/>
  <c r="D146" i="29"/>
  <c r="E138" i="29"/>
  <c r="D138" i="29"/>
  <c r="E133" i="29"/>
  <c r="D133" i="29"/>
  <c r="E124" i="29"/>
  <c r="E120" i="29"/>
  <c r="D119" i="29"/>
  <c r="F111" i="29"/>
  <c r="E112" i="29"/>
  <c r="D112" i="29"/>
  <c r="E95" i="29"/>
  <c r="C95" i="29" s="1"/>
  <c r="CA95" i="29" s="1"/>
  <c r="C89" i="29"/>
  <c r="CA89" i="29" s="1"/>
  <c r="C64" i="29"/>
  <c r="C55" i="29"/>
  <c r="C49" i="29"/>
  <c r="CB49" i="29" s="1"/>
  <c r="C36" i="29"/>
  <c r="C11" i="29"/>
  <c r="CH11" i="29" s="1"/>
  <c r="B211" i="24"/>
  <c r="B207" i="24"/>
  <c r="CK207" i="24" s="1"/>
  <c r="B206" i="24"/>
  <c r="CK206" i="24" s="1"/>
  <c r="C202" i="24"/>
  <c r="CB202" i="24" s="1"/>
  <c r="C201" i="24"/>
  <c r="CL200" i="24"/>
  <c r="CK200" i="24"/>
  <c r="CB200" i="24"/>
  <c r="CA200" i="24"/>
  <c r="H196" i="24"/>
  <c r="C196" i="24"/>
  <c r="H195" i="24"/>
  <c r="C195" i="24"/>
  <c r="H194" i="24"/>
  <c r="C194" i="24"/>
  <c r="H193" i="24"/>
  <c r="C193" i="24"/>
  <c r="F189" i="24"/>
  <c r="B189" i="24"/>
  <c r="F188" i="24"/>
  <c r="B188" i="24"/>
  <c r="F187" i="24"/>
  <c r="B187" i="24"/>
  <c r="E183" i="24"/>
  <c r="B183" i="24"/>
  <c r="E182" i="24"/>
  <c r="B182" i="24"/>
  <c r="E178" i="24"/>
  <c r="B178" i="24"/>
  <c r="E177" i="24"/>
  <c r="B177" i="24"/>
  <c r="E176" i="24"/>
  <c r="B176" i="24"/>
  <c r="E175" i="24"/>
  <c r="B175" i="24"/>
  <c r="D170" i="24"/>
  <c r="C170" i="24"/>
  <c r="D169" i="24"/>
  <c r="C169" i="24"/>
  <c r="D168" i="24"/>
  <c r="C168" i="24"/>
  <c r="E163" i="24"/>
  <c r="D163" i="24"/>
  <c r="E162" i="24"/>
  <c r="D162" i="24"/>
  <c r="E161" i="24"/>
  <c r="D161" i="24"/>
  <c r="E160" i="24"/>
  <c r="D160" i="24"/>
  <c r="E159" i="24"/>
  <c r="D159" i="24"/>
  <c r="E158" i="24"/>
  <c r="D158" i="24"/>
  <c r="E157" i="24"/>
  <c r="D157" i="24"/>
  <c r="E156" i="24"/>
  <c r="D156" i="24"/>
  <c r="AO151" i="24"/>
  <c r="AS151" i="24"/>
  <c r="AR151" i="24"/>
  <c r="AQ151" i="24"/>
  <c r="AP151" i="24"/>
  <c r="AN151" i="24"/>
  <c r="AM151" i="24"/>
  <c r="AL151" i="24"/>
  <c r="AK151" i="24"/>
  <c r="AJ151" i="24"/>
  <c r="AI151" i="24"/>
  <c r="AH151" i="24"/>
  <c r="AG151" i="24"/>
  <c r="AF151" i="24"/>
  <c r="AE151" i="24"/>
  <c r="AD151" i="24"/>
  <c r="AC151" i="24"/>
  <c r="AB151" i="24"/>
  <c r="AA151" i="24"/>
  <c r="Z151" i="24"/>
  <c r="Y151" i="24"/>
  <c r="X151" i="24"/>
  <c r="W151" i="24"/>
  <c r="V151" i="24"/>
  <c r="U151" i="24"/>
  <c r="T151" i="24"/>
  <c r="S151" i="24"/>
  <c r="R151" i="24"/>
  <c r="Q151" i="24"/>
  <c r="P151" i="24"/>
  <c r="O151" i="24"/>
  <c r="N151" i="24"/>
  <c r="M151" i="24"/>
  <c r="L151" i="24"/>
  <c r="K151" i="24"/>
  <c r="J151" i="24"/>
  <c r="I151" i="24"/>
  <c r="H151" i="24"/>
  <c r="G151" i="24"/>
  <c r="F151" i="24"/>
  <c r="E150" i="24"/>
  <c r="D150" i="24"/>
  <c r="E149" i="24"/>
  <c r="D149" i="24"/>
  <c r="E148" i="24"/>
  <c r="D148" i="24"/>
  <c r="E147" i="24"/>
  <c r="D147" i="24"/>
  <c r="C147" i="24" s="1"/>
  <c r="E146" i="24"/>
  <c r="D146" i="24"/>
  <c r="E145" i="24"/>
  <c r="D145" i="24"/>
  <c r="C145" i="24"/>
  <c r="CF145" i="24" s="1"/>
  <c r="E144" i="24"/>
  <c r="D144" i="24"/>
  <c r="E143" i="24"/>
  <c r="D143" i="24"/>
  <c r="E142" i="24"/>
  <c r="D142" i="24"/>
  <c r="E141" i="24"/>
  <c r="D141" i="24"/>
  <c r="AO140" i="24"/>
  <c r="AS140" i="24"/>
  <c r="AR140" i="24"/>
  <c r="AQ140" i="24"/>
  <c r="AP140" i="24"/>
  <c r="AN140" i="24"/>
  <c r="AM140" i="24"/>
  <c r="AL140" i="24"/>
  <c r="AK140" i="24"/>
  <c r="AJ140" i="24"/>
  <c r="AI140" i="24"/>
  <c r="AH140" i="24"/>
  <c r="AG140" i="24"/>
  <c r="AF140" i="24"/>
  <c r="AE140" i="24"/>
  <c r="AD140" i="24"/>
  <c r="AC140" i="24"/>
  <c r="AB140" i="24"/>
  <c r="AA140" i="24"/>
  <c r="Z140" i="24"/>
  <c r="Y140" i="24"/>
  <c r="X140" i="24"/>
  <c r="W140" i="24"/>
  <c r="V140" i="24"/>
  <c r="U140" i="24"/>
  <c r="T140" i="24"/>
  <c r="S140" i="24"/>
  <c r="R140" i="24"/>
  <c r="Q140" i="24"/>
  <c r="P140" i="24"/>
  <c r="O140" i="24"/>
  <c r="N140" i="24"/>
  <c r="M140" i="24"/>
  <c r="L140" i="24"/>
  <c r="K140" i="24"/>
  <c r="J140" i="24"/>
  <c r="I140" i="24"/>
  <c r="H140" i="24"/>
  <c r="G140" i="24"/>
  <c r="F140" i="24"/>
  <c r="E139" i="24"/>
  <c r="D139" i="24"/>
  <c r="E138" i="24"/>
  <c r="D138" i="24"/>
  <c r="E137" i="24"/>
  <c r="D137" i="24"/>
  <c r="E136" i="24"/>
  <c r="D136" i="24"/>
  <c r="E135" i="24"/>
  <c r="D135" i="24"/>
  <c r="E134" i="24"/>
  <c r="D134" i="24"/>
  <c r="E133" i="24"/>
  <c r="D133" i="24"/>
  <c r="C133" i="24" s="1"/>
  <c r="E132" i="24"/>
  <c r="D132" i="24"/>
  <c r="E131" i="24"/>
  <c r="D131" i="24"/>
  <c r="E130" i="24"/>
  <c r="D130" i="24"/>
  <c r="B125" i="24"/>
  <c r="CL125" i="24" s="1"/>
  <c r="B124" i="24"/>
  <c r="CL124" i="24" s="1"/>
  <c r="B123" i="24"/>
  <c r="CJ123" i="24" s="1"/>
  <c r="T118" i="24"/>
  <c r="S118" i="24"/>
  <c r="R118" i="24"/>
  <c r="Q118" i="24"/>
  <c r="P118" i="24"/>
  <c r="O118" i="24"/>
  <c r="N118" i="24"/>
  <c r="M118" i="24"/>
  <c r="L118" i="24"/>
  <c r="K118" i="24"/>
  <c r="J118" i="24"/>
  <c r="I118" i="24"/>
  <c r="H118" i="24"/>
  <c r="G118" i="24"/>
  <c r="F118" i="24"/>
  <c r="E118" i="24"/>
  <c r="D118" i="24"/>
  <c r="C118" i="24"/>
  <c r="CL117" i="24"/>
  <c r="CB117" i="24"/>
  <c r="B117" i="24"/>
  <c r="CH117" i="24" s="1"/>
  <c r="CL116" i="24"/>
  <c r="CB116" i="24"/>
  <c r="B116" i="24"/>
  <c r="CQ116" i="24" s="1"/>
  <c r="W112" i="24"/>
  <c r="V112" i="24"/>
  <c r="U112" i="24"/>
  <c r="T112" i="24"/>
  <c r="S112" i="24"/>
  <c r="R112" i="24"/>
  <c r="Q112" i="24"/>
  <c r="P112" i="24"/>
  <c r="O112" i="24"/>
  <c r="N112" i="24"/>
  <c r="M112" i="24"/>
  <c r="L112" i="24"/>
  <c r="K112" i="24"/>
  <c r="J112" i="24"/>
  <c r="I112" i="24"/>
  <c r="H112" i="24"/>
  <c r="G112" i="24"/>
  <c r="F112" i="24"/>
  <c r="E112" i="24"/>
  <c r="D112" i="24"/>
  <c r="C112" i="24"/>
  <c r="CL111" i="24"/>
  <c r="CK111" i="24"/>
  <c r="CC111" i="24"/>
  <c r="CB111" i="24"/>
  <c r="B111" i="24"/>
  <c r="CQ111" i="24" s="1"/>
  <c r="CJ110" i="24"/>
  <c r="CI110" i="24"/>
  <c r="CA110" i="24"/>
  <c r="BZ110" i="24"/>
  <c r="B110" i="24"/>
  <c r="CK110" i="24" s="1"/>
  <c r="CJ109" i="24"/>
  <c r="CI109" i="24"/>
  <c r="CA109" i="24"/>
  <c r="BZ109" i="24"/>
  <c r="B109" i="24"/>
  <c r="CK109" i="24" s="1"/>
  <c r="AU104" i="24"/>
  <c r="AT104" i="24"/>
  <c r="AS104" i="24"/>
  <c r="AR104" i="24"/>
  <c r="AQ104" i="24"/>
  <c r="AP104" i="24"/>
  <c r="AO104" i="24"/>
  <c r="AN104" i="24"/>
  <c r="AM104" i="24"/>
  <c r="AL104" i="24"/>
  <c r="AK104" i="24"/>
  <c r="AJ104" i="24"/>
  <c r="AI104" i="24"/>
  <c r="AH104" i="24"/>
  <c r="AG104" i="24"/>
  <c r="AF104" i="24"/>
  <c r="AE104" i="24"/>
  <c r="AD104" i="24"/>
  <c r="AC104" i="24"/>
  <c r="AB104" i="24"/>
  <c r="AA104" i="24"/>
  <c r="Z104" i="24"/>
  <c r="Y104" i="24"/>
  <c r="X104" i="24"/>
  <c r="W104" i="24"/>
  <c r="V104" i="24"/>
  <c r="U104" i="24"/>
  <c r="T104" i="24"/>
  <c r="S104" i="24"/>
  <c r="R104" i="24"/>
  <c r="Q104" i="24"/>
  <c r="P104" i="24"/>
  <c r="O104" i="24"/>
  <c r="N104" i="24"/>
  <c r="M104" i="24"/>
  <c r="L104" i="24"/>
  <c r="K104" i="24"/>
  <c r="J104" i="24"/>
  <c r="I104" i="24"/>
  <c r="H104" i="24"/>
  <c r="G104" i="24"/>
  <c r="F104" i="24"/>
  <c r="E103" i="24"/>
  <c r="C103" i="24" s="1"/>
  <c r="CP103" i="24" s="1"/>
  <c r="D103" i="24"/>
  <c r="E102" i="24"/>
  <c r="D102" i="24"/>
  <c r="E101" i="24"/>
  <c r="D101" i="24"/>
  <c r="E100" i="24"/>
  <c r="D100" i="24"/>
  <c r="E99" i="24"/>
  <c r="D99" i="24"/>
  <c r="E98" i="24"/>
  <c r="D98" i="24"/>
  <c r="E97" i="24"/>
  <c r="D97" i="24"/>
  <c r="E96" i="24"/>
  <c r="C96" i="24" s="1"/>
  <c r="CM96" i="24" s="1"/>
  <c r="E95" i="24"/>
  <c r="D95" i="24"/>
  <c r="AS90" i="24"/>
  <c r="AR90" i="24"/>
  <c r="AQ90" i="24"/>
  <c r="AP90" i="24"/>
  <c r="AO90" i="24"/>
  <c r="AN90" i="24"/>
  <c r="AM90" i="24"/>
  <c r="AL90" i="24"/>
  <c r="AK90" i="24"/>
  <c r="AJ90" i="24"/>
  <c r="AI90" i="24"/>
  <c r="AH90" i="24"/>
  <c r="AG90" i="24"/>
  <c r="AF90" i="24"/>
  <c r="AD90" i="24"/>
  <c r="AC90" i="24"/>
  <c r="AB90" i="24"/>
  <c r="AA90" i="24"/>
  <c r="Y90" i="24"/>
  <c r="X90" i="24"/>
  <c r="W90" i="24"/>
  <c r="V90" i="24"/>
  <c r="U90" i="24"/>
  <c r="T90" i="24"/>
  <c r="S90" i="24"/>
  <c r="R90" i="24"/>
  <c r="Q90" i="24"/>
  <c r="P90" i="24"/>
  <c r="O90" i="24"/>
  <c r="N90" i="24"/>
  <c r="M90" i="24"/>
  <c r="L90" i="24"/>
  <c r="K90" i="24"/>
  <c r="J90" i="24"/>
  <c r="H90" i="24"/>
  <c r="G90" i="24"/>
  <c r="F90" i="24"/>
  <c r="E90" i="24"/>
  <c r="C90" i="24"/>
  <c r="AE89" i="24"/>
  <c r="Z89" i="24"/>
  <c r="B89" i="24"/>
  <c r="AE88" i="24"/>
  <c r="Z88" i="24"/>
  <c r="B88" i="24"/>
  <c r="CP88" i="24" s="1"/>
  <c r="AE87" i="24"/>
  <c r="Z87" i="24"/>
  <c r="B87" i="24"/>
  <c r="CE87" i="24" s="1"/>
  <c r="AE86" i="24"/>
  <c r="Z86" i="24"/>
  <c r="B86" i="24"/>
  <c r="CN86" i="24" s="1"/>
  <c r="AE85" i="24"/>
  <c r="Z85" i="24"/>
  <c r="B85" i="24"/>
  <c r="CA85" i="24" s="1"/>
  <c r="AE84" i="24"/>
  <c r="Z84" i="24"/>
  <c r="B84" i="24"/>
  <c r="CP84" i="24" s="1"/>
  <c r="AE83" i="24"/>
  <c r="Z83" i="24"/>
  <c r="B83" i="24"/>
  <c r="CP83" i="24" s="1"/>
  <c r="AE82" i="24"/>
  <c r="Z82" i="24"/>
  <c r="B82" i="24"/>
  <c r="CQ82" i="24" s="1"/>
  <c r="AE81" i="24"/>
  <c r="Z81" i="24"/>
  <c r="B81" i="24"/>
  <c r="CA81" i="24" s="1"/>
  <c r="AE80" i="24"/>
  <c r="Z80" i="24"/>
  <c r="B80" i="24"/>
  <c r="CP80" i="24" s="1"/>
  <c r="AE79" i="24"/>
  <c r="Z79" i="24"/>
  <c r="B79" i="24"/>
  <c r="CP79" i="24" s="1"/>
  <c r="AE78" i="24"/>
  <c r="Z78" i="24"/>
  <c r="B78" i="24"/>
  <c r="CQ78" i="24" s="1"/>
  <c r="AE77" i="24"/>
  <c r="Z77" i="24"/>
  <c r="B77" i="24"/>
  <c r="CA77" i="24" s="1"/>
  <c r="AE76" i="24"/>
  <c r="Z76" i="24"/>
  <c r="B76" i="24"/>
  <c r="CG76" i="24" s="1"/>
  <c r="AE75" i="24"/>
  <c r="Z75" i="24"/>
  <c r="B75" i="24"/>
  <c r="CP75" i="24" s="1"/>
  <c r="AE74" i="24"/>
  <c r="Z74" i="24"/>
  <c r="B74" i="24"/>
  <c r="CQ74" i="24" s="1"/>
  <c r="AE73" i="24"/>
  <c r="Z73" i="24"/>
  <c r="B73" i="24"/>
  <c r="CF73" i="24" s="1"/>
  <c r="AE72" i="24"/>
  <c r="Z72" i="24"/>
  <c r="B72" i="24"/>
  <c r="CD72" i="24" s="1"/>
  <c r="AE71" i="24"/>
  <c r="Z71" i="24"/>
  <c r="B71" i="24"/>
  <c r="CP71" i="24" s="1"/>
  <c r="AE70" i="24"/>
  <c r="Z70" i="24"/>
  <c r="CQ70" i="24"/>
  <c r="AE69" i="24"/>
  <c r="Z69" i="24"/>
  <c r="B69" i="24"/>
  <c r="CO69" i="24" s="1"/>
  <c r="AE68" i="24"/>
  <c r="Z68" i="24"/>
  <c r="B68" i="24"/>
  <c r="CP68" i="24" s="1"/>
  <c r="AE67" i="24"/>
  <c r="Z67" i="24"/>
  <c r="B67" i="24"/>
  <c r="CP67" i="24" s="1"/>
  <c r="AE66" i="24"/>
  <c r="Z66" i="24"/>
  <c r="B66" i="24"/>
  <c r="CQ66" i="24" s="1"/>
  <c r="AE65" i="24"/>
  <c r="Z65" i="24"/>
  <c r="B65" i="24"/>
  <c r="CN65" i="24" s="1"/>
  <c r="AE64" i="24"/>
  <c r="Z64" i="24"/>
  <c r="B64" i="24"/>
  <c r="CF64" i="24" s="1"/>
  <c r="AE63" i="24"/>
  <c r="Z63" i="24"/>
  <c r="B63" i="24"/>
  <c r="CF63" i="24" s="1"/>
  <c r="AE62" i="24"/>
  <c r="Z62" i="24"/>
  <c r="B62" i="24"/>
  <c r="CQ62" i="24" s="1"/>
  <c r="AE61" i="24"/>
  <c r="Z61" i="24"/>
  <c r="B61" i="24"/>
  <c r="CE61" i="24" s="1"/>
  <c r="AE60" i="24"/>
  <c r="Z60" i="24"/>
  <c r="B60" i="24"/>
  <c r="CF60" i="24" s="1"/>
  <c r="AE59" i="24"/>
  <c r="Z59" i="24"/>
  <c r="B59" i="24"/>
  <c r="AE58" i="24"/>
  <c r="Z58" i="24"/>
  <c r="B58" i="24"/>
  <c r="CP58" i="24" s="1"/>
  <c r="AE57" i="24"/>
  <c r="Z57" i="24"/>
  <c r="B57" i="24"/>
  <c r="CG57" i="24" s="1"/>
  <c r="AE56" i="24"/>
  <c r="Z56" i="24"/>
  <c r="B56" i="24"/>
  <c r="CA56" i="24" s="1"/>
  <c r="AE55" i="24"/>
  <c r="Z55" i="24"/>
  <c r="B55" i="24"/>
  <c r="CN55" i="24" s="1"/>
  <c r="AE54" i="24"/>
  <c r="Z54" i="24"/>
  <c r="B54" i="24"/>
  <c r="CP54" i="24" s="1"/>
  <c r="AE53" i="24"/>
  <c r="Z53" i="24"/>
  <c r="B53" i="24"/>
  <c r="CQ53" i="24" s="1"/>
  <c r="AE52" i="24"/>
  <c r="Z52" i="24"/>
  <c r="B52" i="24"/>
  <c r="CA52" i="24" s="1"/>
  <c r="AE51" i="24"/>
  <c r="Z51" i="24"/>
  <c r="B51" i="24"/>
  <c r="CN51" i="24" s="1"/>
  <c r="AE50" i="24"/>
  <c r="Z50" i="24"/>
  <c r="B50" i="24"/>
  <c r="CP50" i="24" s="1"/>
  <c r="AE49" i="24"/>
  <c r="Z49" i="24"/>
  <c r="B49" i="24"/>
  <c r="CQ49" i="24" s="1"/>
  <c r="AE48" i="24"/>
  <c r="Z48" i="24"/>
  <c r="B48" i="24"/>
  <c r="CA48" i="24" s="1"/>
  <c r="AE47" i="24"/>
  <c r="Z47" i="24"/>
  <c r="B47" i="24"/>
  <c r="CN47" i="24" s="1"/>
  <c r="AE46" i="24"/>
  <c r="Z46" i="24"/>
  <c r="B46" i="24"/>
  <c r="CP46" i="24" s="1"/>
  <c r="AE45" i="24"/>
  <c r="Z45" i="24"/>
  <c r="B45" i="24"/>
  <c r="CQ45" i="24" s="1"/>
  <c r="AE44" i="24"/>
  <c r="Z44" i="24"/>
  <c r="B44" i="24"/>
  <c r="CA44" i="24" s="1"/>
  <c r="AE43" i="24"/>
  <c r="Z43" i="24"/>
  <c r="B43" i="24"/>
  <c r="CN43" i="24" s="1"/>
  <c r="AE42" i="24"/>
  <c r="Z42" i="24"/>
  <c r="B42" i="24"/>
  <c r="CP42" i="24" s="1"/>
  <c r="AE41" i="24"/>
  <c r="Z41" i="24"/>
  <c r="B41" i="24"/>
  <c r="CQ41" i="24" s="1"/>
  <c r="AE40" i="24"/>
  <c r="Z40" i="24"/>
  <c r="B40" i="24"/>
  <c r="CA40" i="24" s="1"/>
  <c r="AE39" i="24"/>
  <c r="Z39" i="24"/>
  <c r="B39" i="24"/>
  <c r="CN39" i="24" s="1"/>
  <c r="AE38" i="24"/>
  <c r="Z38" i="24"/>
  <c r="B38" i="24"/>
  <c r="CP38" i="24" s="1"/>
  <c r="AE37" i="24"/>
  <c r="Z37" i="24"/>
  <c r="CQ37" i="24"/>
  <c r="AE36" i="24"/>
  <c r="Z36" i="24"/>
  <c r="B36" i="24"/>
  <c r="CA36" i="24" s="1"/>
  <c r="AE35" i="24"/>
  <c r="Z35" i="24"/>
  <c r="B35" i="24"/>
  <c r="CN35" i="24" s="1"/>
  <c r="B29" i="24"/>
  <c r="CL29" i="24" s="1"/>
  <c r="B28" i="24"/>
  <c r="CM28" i="24" s="1"/>
  <c r="E24" i="24"/>
  <c r="D24" i="24"/>
  <c r="B23" i="24"/>
  <c r="B22" i="24"/>
  <c r="B21" i="24"/>
  <c r="B20" i="24"/>
  <c r="Z16" i="24"/>
  <c r="Y16" i="24"/>
  <c r="X16" i="24"/>
  <c r="W16" i="24"/>
  <c r="V16" i="24"/>
  <c r="U16" i="24"/>
  <c r="T16" i="24"/>
  <c r="S16" i="24"/>
  <c r="R16" i="24"/>
  <c r="Q16" i="24"/>
  <c r="P16" i="24"/>
  <c r="O16" i="24"/>
  <c r="N16" i="24"/>
  <c r="M16" i="24"/>
  <c r="L16" i="24"/>
  <c r="K16" i="24"/>
  <c r="J16" i="24"/>
  <c r="I16" i="24"/>
  <c r="H16" i="24"/>
  <c r="G16" i="24"/>
  <c r="F16" i="24"/>
  <c r="E16" i="24"/>
  <c r="D16" i="24"/>
  <c r="C16" i="24"/>
  <c r="B15" i="24"/>
  <c r="CK15" i="24" s="1"/>
  <c r="B14" i="24"/>
  <c r="CO14" i="24" s="1"/>
  <c r="B13" i="24"/>
  <c r="CL13" i="24" s="1"/>
  <c r="B12" i="24"/>
  <c r="CK12" i="24" s="1"/>
  <c r="B11" i="24"/>
  <c r="CB36" i="29" l="1"/>
  <c r="CA36" i="29"/>
  <c r="CF49" i="29"/>
  <c r="CT49" i="29"/>
  <c r="BO194" i="28"/>
  <c r="BP194" i="28"/>
  <c r="BQ194" i="28"/>
  <c r="BU194" i="28"/>
  <c r="BV194" i="28"/>
  <c r="BW194" i="28"/>
  <c r="BV195" i="28"/>
  <c r="BW195" i="28"/>
  <c r="BO195" i="28"/>
  <c r="BQ195" i="28"/>
  <c r="BP195" i="28"/>
  <c r="BU195" i="28"/>
  <c r="BU196" i="28"/>
  <c r="BV196" i="28"/>
  <c r="BW196" i="28"/>
  <c r="BO196" i="28"/>
  <c r="BP196" i="28"/>
  <c r="BQ196" i="28"/>
  <c r="BO197" i="28"/>
  <c r="BP197" i="28"/>
  <c r="BU197" i="28"/>
  <c r="BV197" i="28"/>
  <c r="BW197" i="28"/>
  <c r="BQ197" i="28"/>
  <c r="BQ198" i="28"/>
  <c r="BU198" i="28"/>
  <c r="BO198" i="28"/>
  <c r="BV198" i="28"/>
  <c r="BW198" i="28"/>
  <c r="BP198" i="28"/>
  <c r="CF36" i="29"/>
  <c r="CT36" i="29"/>
  <c r="CK11" i="24"/>
  <c r="C99" i="24"/>
  <c r="CM99" i="24" s="1"/>
  <c r="C149" i="24"/>
  <c r="C138" i="24"/>
  <c r="CA55" i="29"/>
  <c r="CF55" i="29"/>
  <c r="CE55" i="29"/>
  <c r="AT380" i="29"/>
  <c r="CA11" i="29"/>
  <c r="C130" i="24"/>
  <c r="C136" i="24"/>
  <c r="CG70" i="24"/>
  <c r="CK70" i="24"/>
  <c r="CN70" i="24"/>
  <c r="C131" i="24"/>
  <c r="CL131" i="24" s="1"/>
  <c r="C137" i="24"/>
  <c r="CL137" i="24" s="1"/>
  <c r="CN45" i="24"/>
  <c r="CM82" i="24"/>
  <c r="CK64" i="24"/>
  <c r="CN82" i="24"/>
  <c r="C134" i="24"/>
  <c r="CL134" i="24" s="1"/>
  <c r="CP64" i="24"/>
  <c r="CL96" i="24"/>
  <c r="C97" i="24"/>
  <c r="C142" i="24"/>
  <c r="CE142" i="24" s="1"/>
  <c r="C75" i="28"/>
  <c r="CC195" i="29"/>
  <c r="CX195" i="29"/>
  <c r="CJ195" i="29"/>
  <c r="CB195" i="29"/>
  <c r="CA195" i="29"/>
  <c r="CW195" i="29"/>
  <c r="CI195" i="29"/>
  <c r="CH195" i="29"/>
  <c r="CD195" i="29"/>
  <c r="CX196" i="29"/>
  <c r="CJ196" i="29"/>
  <c r="CC196" i="29"/>
  <c r="CH196" i="29"/>
  <c r="CW196" i="29"/>
  <c r="CI196" i="29"/>
  <c r="CB196" i="29"/>
  <c r="CD196" i="29"/>
  <c r="CA196" i="29"/>
  <c r="CC197" i="29"/>
  <c r="CX197" i="29"/>
  <c r="CJ197" i="29"/>
  <c r="CH197" i="29"/>
  <c r="CB197" i="29"/>
  <c r="CD197" i="29"/>
  <c r="CA197" i="29"/>
  <c r="CW197" i="29"/>
  <c r="CI197" i="29"/>
  <c r="CX198" i="29"/>
  <c r="CJ198" i="29"/>
  <c r="CC198" i="29"/>
  <c r="CW198" i="29"/>
  <c r="CH198" i="29"/>
  <c r="CI198" i="29"/>
  <c r="CD198" i="29"/>
  <c r="CB198" i="29"/>
  <c r="CA198" i="29"/>
  <c r="CV11" i="29"/>
  <c r="CS11" i="29"/>
  <c r="CX36" i="29"/>
  <c r="CW36" i="29"/>
  <c r="CV36" i="29"/>
  <c r="CC36" i="29"/>
  <c r="CU36" i="29"/>
  <c r="CJ36" i="29"/>
  <c r="CI36" i="29"/>
  <c r="CH36" i="29"/>
  <c r="CG36" i="29"/>
  <c r="CA49" i="29"/>
  <c r="CC49" i="29"/>
  <c r="CG49" i="29"/>
  <c r="CH49" i="29"/>
  <c r="CI49" i="29"/>
  <c r="CJ49" i="29"/>
  <c r="CK49" i="29"/>
  <c r="CU55" i="29"/>
  <c r="CT55" i="29"/>
  <c r="CS55" i="29"/>
  <c r="CV55" i="29"/>
  <c r="CB55" i="29"/>
  <c r="CG11" i="29"/>
  <c r="CF11" i="29"/>
  <c r="CE11" i="29"/>
  <c r="CD11" i="29"/>
  <c r="CC11" i="29"/>
  <c r="CB11" i="29"/>
  <c r="CU11" i="29"/>
  <c r="CT11" i="29"/>
  <c r="CQ11" i="29"/>
  <c r="CP11" i="29"/>
  <c r="CO11" i="29"/>
  <c r="CD74" i="24"/>
  <c r="CD77" i="24"/>
  <c r="CN74" i="24"/>
  <c r="CF77" i="24"/>
  <c r="C143" i="24"/>
  <c r="CG143" i="24" s="1"/>
  <c r="CQ71" i="24"/>
  <c r="CM77" i="24"/>
  <c r="CO77" i="24"/>
  <c r="CC77" i="24"/>
  <c r="CF88" i="24"/>
  <c r="CF111" i="24"/>
  <c r="C139" i="24"/>
  <c r="CL139" i="24" s="1"/>
  <c r="C150" i="24"/>
  <c r="CQ150" i="24" s="1"/>
  <c r="CL66" i="24"/>
  <c r="CL70" i="24"/>
  <c r="CG88" i="24"/>
  <c r="CH111" i="24"/>
  <c r="CQ56" i="24"/>
  <c r="CA70" i="24"/>
  <c r="CL82" i="24"/>
  <c r="CM45" i="24"/>
  <c r="CD70" i="24"/>
  <c r="CK82" i="24"/>
  <c r="CO86" i="24"/>
  <c r="CB73" i="24"/>
  <c r="CQ86" i="24"/>
  <c r="CO116" i="24"/>
  <c r="C163" i="24"/>
  <c r="CA163" i="24" s="1"/>
  <c r="C156" i="24"/>
  <c r="CK156" i="24" s="1"/>
  <c r="CD43" i="24"/>
  <c r="CF40" i="24"/>
  <c r="CA50" i="24"/>
  <c r="CM52" i="24"/>
  <c r="CG75" i="24"/>
  <c r="CC125" i="24"/>
  <c r="CF75" i="24"/>
  <c r="CD13" i="24"/>
  <c r="CO43" i="24"/>
  <c r="CE13" i="24"/>
  <c r="CQ40" i="24"/>
  <c r="CF50" i="24"/>
  <c r="CN52" i="24"/>
  <c r="CE69" i="24"/>
  <c r="CM70" i="24"/>
  <c r="CK75" i="24"/>
  <c r="CQ77" i="24"/>
  <c r="CB81" i="24"/>
  <c r="CN125" i="24"/>
  <c r="CG50" i="24"/>
  <c r="CC81" i="24"/>
  <c r="CQ125" i="24"/>
  <c r="CF69" i="24"/>
  <c r="CN13" i="24"/>
  <c r="CM50" i="24"/>
  <c r="CL53" i="24"/>
  <c r="CC56" i="24"/>
  <c r="CN66" i="24"/>
  <c r="CN69" i="24"/>
  <c r="CB74" i="24"/>
  <c r="CM81" i="24"/>
  <c r="CB13" i="24"/>
  <c r="CC13" i="24"/>
  <c r="CF13" i="24"/>
  <c r="CO37" i="24"/>
  <c r="CF56" i="24"/>
  <c r="CC74" i="24"/>
  <c r="CN81" i="24"/>
  <c r="C135" i="24"/>
  <c r="CB135" i="24" s="1"/>
  <c r="CC52" i="24"/>
  <c r="CF52" i="24"/>
  <c r="CM66" i="24"/>
  <c r="CE14" i="24"/>
  <c r="CN53" i="24"/>
  <c r="CM56" i="24"/>
  <c r="C132" i="24"/>
  <c r="CC132" i="24" s="1"/>
  <c r="CN56" i="24"/>
  <c r="CQ64" i="24"/>
  <c r="CG74" i="24"/>
  <c r="CL77" i="24"/>
  <c r="CO84" i="24"/>
  <c r="C102" i="24"/>
  <c r="CE102" i="24" s="1"/>
  <c r="CE111" i="24"/>
  <c r="C146" i="24"/>
  <c r="CL146" i="24" s="1"/>
  <c r="CL207" i="24"/>
  <c r="CC61" i="24"/>
  <c r="CO123" i="24"/>
  <c r="CG145" i="24"/>
  <c r="CB48" i="24"/>
  <c r="B168" i="24"/>
  <c r="CK168" i="24" s="1"/>
  <c r="CC36" i="24"/>
  <c r="CG54" i="24"/>
  <c r="CM36" i="24"/>
  <c r="CM54" i="24"/>
  <c r="C98" i="24"/>
  <c r="CF98" i="24" s="1"/>
  <c r="CP13" i="24"/>
  <c r="CN36" i="24"/>
  <c r="CF46" i="24"/>
  <c r="CA49" i="24"/>
  <c r="CB53" i="24"/>
  <c r="CQ54" i="24"/>
  <c r="CF57" i="24"/>
  <c r="CD60" i="24"/>
  <c r="CB65" i="24"/>
  <c r="CG67" i="24"/>
  <c r="CK74" i="24"/>
  <c r="CD76" i="24"/>
  <c r="CK79" i="24"/>
  <c r="CC85" i="24"/>
  <c r="CB87" i="24"/>
  <c r="CD116" i="24"/>
  <c r="CM117" i="24"/>
  <c r="C160" i="24"/>
  <c r="CK160" i="24" s="1"/>
  <c r="CK202" i="24"/>
  <c r="CB61" i="24"/>
  <c r="CB54" i="24"/>
  <c r="CD39" i="24"/>
  <c r="CG46" i="24"/>
  <c r="CC49" i="24"/>
  <c r="CD53" i="24"/>
  <c r="CN57" i="24"/>
  <c r="CK60" i="24"/>
  <c r="CO65" i="24"/>
  <c r="CQ67" i="24"/>
  <c r="CL71" i="24"/>
  <c r="CE76" i="24"/>
  <c r="CL78" i="24"/>
  <c r="CM79" i="24"/>
  <c r="CB82" i="24"/>
  <c r="CG83" i="24"/>
  <c r="CM85" i="24"/>
  <c r="CE116" i="24"/>
  <c r="CL202" i="24"/>
  <c r="CL36" i="24"/>
  <c r="CA79" i="24"/>
  <c r="CK123" i="24"/>
  <c r="CB44" i="24"/>
  <c r="CC117" i="24"/>
  <c r="CA46" i="24"/>
  <c r="CG79" i="24"/>
  <c r="CB85" i="24"/>
  <c r="CD14" i="24"/>
  <c r="CO39" i="24"/>
  <c r="CA45" i="24"/>
  <c r="CM46" i="24"/>
  <c r="CD49" i="24"/>
  <c r="CO51" i="24"/>
  <c r="CG53" i="24"/>
  <c r="CN60" i="24"/>
  <c r="CP65" i="24"/>
  <c r="CB70" i="24"/>
  <c r="CF71" i="24"/>
  <c r="CC73" i="24"/>
  <c r="CA78" i="24"/>
  <c r="CA82" i="24"/>
  <c r="CK83" i="24"/>
  <c r="CN85" i="24"/>
  <c r="CF116" i="24"/>
  <c r="CB125" i="24"/>
  <c r="CF79" i="24"/>
  <c r="CL123" i="24"/>
  <c r="CO41" i="24"/>
  <c r="CO60" i="24"/>
  <c r="CD73" i="24"/>
  <c r="CB78" i="24"/>
  <c r="CH116" i="24"/>
  <c r="BZ123" i="24"/>
  <c r="C159" i="24"/>
  <c r="CB159" i="24" s="1"/>
  <c r="CC45" i="24"/>
  <c r="CG49" i="24"/>
  <c r="CK53" i="24"/>
  <c r="CP14" i="24"/>
  <c r="CM37" i="24"/>
  <c r="CD45" i="24"/>
  <c r="CP60" i="24"/>
  <c r="CB66" i="24"/>
  <c r="CC70" i="24"/>
  <c r="CK71" i="24"/>
  <c r="CE73" i="24"/>
  <c r="CC78" i="24"/>
  <c r="CB80" i="24"/>
  <c r="CD82" i="24"/>
  <c r="CQ83" i="24"/>
  <c r="CC88" i="24"/>
  <c r="C100" i="24"/>
  <c r="CD100" i="24" s="1"/>
  <c r="CK116" i="24"/>
  <c r="CF125" i="24"/>
  <c r="CA116" i="24"/>
  <c r="CG71" i="24"/>
  <c r="CC82" i="24"/>
  <c r="CM83" i="24"/>
  <c r="CA13" i="24"/>
  <c r="CN37" i="24"/>
  <c r="CG45" i="24"/>
  <c r="CB47" i="24"/>
  <c r="CB52" i="24"/>
  <c r="CM53" i="24"/>
  <c r="CL56" i="24"/>
  <c r="CO58" i="24"/>
  <c r="CQ60" i="24"/>
  <c r="CM71" i="24"/>
  <c r="CA75" i="24"/>
  <c r="CD78" i="24"/>
  <c r="CG82" i="24"/>
  <c r="CD88" i="24"/>
  <c r="C101" i="24"/>
  <c r="CB101" i="24" s="1"/>
  <c r="CM125" i="24"/>
  <c r="C144" i="24"/>
  <c r="CC144" i="24" s="1"/>
  <c r="C148" i="24"/>
  <c r="CE148" i="24" s="1"/>
  <c r="CA207" i="24"/>
  <c r="B24" i="24"/>
  <c r="CL69" i="24"/>
  <c r="CL74" i="24"/>
  <c r="CL81" i="24"/>
  <c r="CN116" i="24"/>
  <c r="CL136" i="24"/>
  <c r="CN136" i="24"/>
  <c r="CE136" i="24"/>
  <c r="CM136" i="24"/>
  <c r="CB136" i="24"/>
  <c r="CD97" i="24"/>
  <c r="CE97" i="24"/>
  <c r="CA97" i="24"/>
  <c r="CL97" i="24"/>
  <c r="CL130" i="24"/>
  <c r="CN130" i="24"/>
  <c r="CQ130" i="24"/>
  <c r="CM130" i="24"/>
  <c r="CE130" i="24"/>
  <c r="CB130" i="24"/>
  <c r="CL138" i="24"/>
  <c r="CN138" i="24"/>
  <c r="CM138" i="24"/>
  <c r="CB138" i="24"/>
  <c r="CL133" i="24"/>
  <c r="CN133" i="24"/>
  <c r="CE133" i="24"/>
  <c r="CM133" i="24"/>
  <c r="CB133" i="24"/>
  <c r="CQ133" i="24"/>
  <c r="CE101" i="24"/>
  <c r="CA62" i="24"/>
  <c r="CB137" i="24"/>
  <c r="C158" i="24"/>
  <c r="CL158" i="24" s="1"/>
  <c r="B16" i="24"/>
  <c r="CA42" i="24"/>
  <c r="CK88" i="24"/>
  <c r="CP99" i="24"/>
  <c r="CM103" i="24"/>
  <c r="CB124" i="24"/>
  <c r="CB131" i="24"/>
  <c r="CM137" i="24"/>
  <c r="CB201" i="24"/>
  <c r="CK49" i="24"/>
  <c r="CB109" i="24"/>
  <c r="CB37" i="24"/>
  <c r="CC41" i="24"/>
  <c r="CL49" i="24"/>
  <c r="CB55" i="24"/>
  <c r="CC62" i="24"/>
  <c r="CA65" i="24"/>
  <c r="CE68" i="24"/>
  <c r="CO73" i="24"/>
  <c r="CQ75" i="24"/>
  <c r="CK78" i="24"/>
  <c r="CL86" i="24"/>
  <c r="CM88" i="24"/>
  <c r="CC109" i="24"/>
  <c r="CN111" i="24"/>
  <c r="CP116" i="24"/>
  <c r="CC124" i="24"/>
  <c r="CN137" i="24"/>
  <c r="CA206" i="24"/>
  <c r="CF11" i="24"/>
  <c r="CL62" i="24"/>
  <c r="CQ65" i="24"/>
  <c r="CB41" i="24"/>
  <c r="CL65" i="24"/>
  <c r="CO66" i="24"/>
  <c r="CL87" i="24"/>
  <c r="B170" i="24"/>
  <c r="CL170" i="24" s="1"/>
  <c r="CA201" i="24"/>
  <c r="CA41" i="24"/>
  <c r="CQ50" i="24"/>
  <c r="CA58" i="24"/>
  <c r="CM75" i="24"/>
  <c r="CG78" i="24"/>
  <c r="CC12" i="24"/>
  <c r="CL40" i="24"/>
  <c r="CF42" i="24"/>
  <c r="CF48" i="24"/>
  <c r="CC58" i="24"/>
  <c r="CD12" i="24"/>
  <c r="CM13" i="24"/>
  <c r="CD35" i="24"/>
  <c r="CA37" i="24"/>
  <c r="CA38" i="24"/>
  <c r="CD41" i="24"/>
  <c r="CG42" i="24"/>
  <c r="CC44" i="24"/>
  <c r="CK45" i="24"/>
  <c r="CQ46" i="24"/>
  <c r="CM48" i="24"/>
  <c r="CM49" i="24"/>
  <c r="CQ52" i="24"/>
  <c r="CO53" i="24"/>
  <c r="CD55" i="24"/>
  <c r="CD58" i="24"/>
  <c r="CL61" i="24"/>
  <c r="CD62" i="24"/>
  <c r="CA66" i="24"/>
  <c r="CB67" i="24"/>
  <c r="CF68" i="24"/>
  <c r="CO70" i="24"/>
  <c r="CP73" i="24"/>
  <c r="CM74" i="24"/>
  <c r="CN77" i="24"/>
  <c r="CQ79" i="24"/>
  <c r="CO82" i="24"/>
  <c r="CB84" i="24"/>
  <c r="CB86" i="24"/>
  <c r="CD87" i="24"/>
  <c r="CN88" i="24"/>
  <c r="CD109" i="24"/>
  <c r="CO111" i="24"/>
  <c r="CR116" i="24"/>
  <c r="CF124" i="24"/>
  <c r="D140" i="24"/>
  <c r="CK201" i="24"/>
  <c r="CB206" i="24"/>
  <c r="CB45" i="24"/>
  <c r="CM29" i="24"/>
  <c r="CL58" i="24"/>
  <c r="CL44" i="24"/>
  <c r="CB58" i="24"/>
  <c r="C162" i="24"/>
  <c r="CC48" i="24"/>
  <c r="CB62" i="24"/>
  <c r="CB38" i="24"/>
  <c r="CL12" i="24"/>
  <c r="CO35" i="24"/>
  <c r="CC37" i="24"/>
  <c r="CF38" i="24"/>
  <c r="CG41" i="24"/>
  <c r="CM42" i="24"/>
  <c r="CF44" i="24"/>
  <c r="CL45" i="24"/>
  <c r="CN48" i="24"/>
  <c r="CN49" i="24"/>
  <c r="CB51" i="24"/>
  <c r="CO55" i="24"/>
  <c r="CF58" i="24"/>
  <c r="CG62" i="24"/>
  <c r="CC64" i="24"/>
  <c r="CC65" i="24"/>
  <c r="CA67" i="24"/>
  <c r="CG68" i="24"/>
  <c r="CQ73" i="24"/>
  <c r="CM78" i="24"/>
  <c r="CD84" i="24"/>
  <c r="CC86" i="24"/>
  <c r="CP87" i="24"/>
  <c r="CO88" i="24"/>
  <c r="CF109" i="24"/>
  <c r="CP111" i="24"/>
  <c r="CM124" i="24"/>
  <c r="E140" i="24"/>
  <c r="CL201" i="24"/>
  <c r="CL206" i="24"/>
  <c r="CN109" i="24"/>
  <c r="CB39" i="24"/>
  <c r="CP109" i="24"/>
  <c r="B169" i="24"/>
  <c r="CB169" i="24" s="1"/>
  <c r="CA12" i="24"/>
  <c r="CD68" i="24"/>
  <c r="CB40" i="24"/>
  <c r="CM12" i="24"/>
  <c r="CO13" i="24"/>
  <c r="CD37" i="24"/>
  <c r="CG38" i="24"/>
  <c r="CC40" i="24"/>
  <c r="CK41" i="24"/>
  <c r="CQ42" i="24"/>
  <c r="CM44" i="24"/>
  <c r="CQ48" i="24"/>
  <c r="CO49" i="24"/>
  <c r="CD51" i="24"/>
  <c r="CA57" i="24"/>
  <c r="CG58" i="24"/>
  <c r="CC60" i="24"/>
  <c r="CK62" i="24"/>
  <c r="CD64" i="24"/>
  <c r="CD65" i="24"/>
  <c r="CC66" i="24"/>
  <c r="CF67" i="24"/>
  <c r="CO68" i="24"/>
  <c r="CG72" i="24"/>
  <c r="CO74" i="24"/>
  <c r="CN78" i="24"/>
  <c r="CE84" i="24"/>
  <c r="CD86" i="24"/>
  <c r="CQ87" i="24"/>
  <c r="CQ88" i="24"/>
  <c r="CK96" i="24"/>
  <c r="CA111" i="24"/>
  <c r="CR111" i="24"/>
  <c r="CN124" i="24"/>
  <c r="CQ131" i="24"/>
  <c r="V200" i="24"/>
  <c r="CQ58" i="24"/>
  <c r="BY109" i="24"/>
  <c r="C161" i="24"/>
  <c r="CA161" i="24" s="1"/>
  <c r="CL41" i="24"/>
  <c r="CN44" i="24"/>
  <c r="CM62" i="24"/>
  <c r="CO78" i="24"/>
  <c r="CP12" i="24"/>
  <c r="CK37" i="24"/>
  <c r="CQ38" i="24"/>
  <c r="CM40" i="24"/>
  <c r="CM41" i="24"/>
  <c r="CQ44" i="24"/>
  <c r="CO45" i="24"/>
  <c r="CD47" i="24"/>
  <c r="CA53" i="24"/>
  <c r="CA54" i="24"/>
  <c r="CK57" i="24"/>
  <c r="CM58" i="24"/>
  <c r="CE60" i="24"/>
  <c r="CO61" i="24"/>
  <c r="CN62" i="24"/>
  <c r="CN64" i="24"/>
  <c r="CM65" i="24"/>
  <c r="CG66" i="24"/>
  <c r="CK67" i="24"/>
  <c r="CQ68" i="24"/>
  <c r="CA71" i="24"/>
  <c r="CL75" i="24"/>
  <c r="CA83" i="24"/>
  <c r="CM86" i="24"/>
  <c r="CL109" i="24"/>
  <c r="CG117" i="24"/>
  <c r="CA123" i="24"/>
  <c r="CB160" i="24"/>
  <c r="CA202" i="24"/>
  <c r="CB207" i="24"/>
  <c r="CL48" i="24"/>
  <c r="C157" i="24"/>
  <c r="CA157" i="24" s="1"/>
  <c r="CB63" i="24"/>
  <c r="CO12" i="24"/>
  <c r="CG37" i="24"/>
  <c r="CM38" i="24"/>
  <c r="CK58" i="24"/>
  <c r="CE65" i="24"/>
  <c r="CD66" i="24"/>
  <c r="CF86" i="24"/>
  <c r="CQ124" i="24"/>
  <c r="CB36" i="24"/>
  <c r="CL37" i="24"/>
  <c r="CN40" i="24"/>
  <c r="CN41" i="24"/>
  <c r="CB43" i="24"/>
  <c r="CO47" i="24"/>
  <c r="CB49" i="24"/>
  <c r="CL52" i="24"/>
  <c r="CC53" i="24"/>
  <c r="CF54" i="24"/>
  <c r="CB56" i="24"/>
  <c r="CM57" i="24"/>
  <c r="CN58" i="24"/>
  <c r="CP61" i="24"/>
  <c r="CO62" i="24"/>
  <c r="CO64" i="24"/>
  <c r="CK66" i="24"/>
  <c r="CM67" i="24"/>
  <c r="CB71" i="24"/>
  <c r="CA74" i="24"/>
  <c r="CB75" i="24"/>
  <c r="CF83" i="24"/>
  <c r="CL85" i="24"/>
  <c r="CM109" i="24"/>
  <c r="CD111" i="24"/>
  <c r="CD123" i="24"/>
  <c r="E151" i="24"/>
  <c r="CR250" i="29"/>
  <c r="CD250" i="29"/>
  <c r="CS250" i="29"/>
  <c r="CE250" i="29"/>
  <c r="CQ250" i="29"/>
  <c r="CP250" i="29"/>
  <c r="CC250" i="29"/>
  <c r="CB250" i="29"/>
  <c r="CE247" i="29"/>
  <c r="CQ247" i="29"/>
  <c r="CP247" i="29"/>
  <c r="CC247" i="29"/>
  <c r="CB247" i="29"/>
  <c r="CS247" i="29"/>
  <c r="CR247" i="29"/>
  <c r="CD247" i="29"/>
  <c r="CD248" i="29"/>
  <c r="CR248" i="29"/>
  <c r="CQ248" i="29"/>
  <c r="CC248" i="29"/>
  <c r="CP248" i="29"/>
  <c r="CB248" i="29"/>
  <c r="CE248" i="29"/>
  <c r="CS248" i="29"/>
  <c r="CD249" i="29"/>
  <c r="CR249" i="29"/>
  <c r="CB249" i="29"/>
  <c r="CQ249" i="29"/>
  <c r="CP249" i="29"/>
  <c r="CS249" i="29"/>
  <c r="CE249" i="29"/>
  <c r="CC249" i="29"/>
  <c r="CO197" i="29"/>
  <c r="CV197" i="29"/>
  <c r="CR197" i="29"/>
  <c r="CP197" i="29"/>
  <c r="CQ198" i="29"/>
  <c r="CU198" i="29"/>
  <c r="CP198" i="29"/>
  <c r="CO198" i="29"/>
  <c r="CV198" i="29"/>
  <c r="CR198" i="29"/>
  <c r="CQ195" i="29"/>
  <c r="CU195" i="29"/>
  <c r="CR195" i="29"/>
  <c r="CO195" i="29"/>
  <c r="CV195" i="29"/>
  <c r="CP195" i="29"/>
  <c r="CU196" i="29"/>
  <c r="CQ196" i="29"/>
  <c r="CR196" i="29"/>
  <c r="CP196" i="29"/>
  <c r="CO196" i="29"/>
  <c r="CV196" i="29"/>
  <c r="CU197" i="29"/>
  <c r="CQ197" i="29"/>
  <c r="C197" i="29"/>
  <c r="B385" i="29"/>
  <c r="B389" i="29"/>
  <c r="C198" i="29"/>
  <c r="B387" i="29"/>
  <c r="B388" i="29"/>
  <c r="C247" i="29"/>
  <c r="CV49" i="29"/>
  <c r="CO49" i="29"/>
  <c r="CW49" i="29"/>
  <c r="CX49" i="29"/>
  <c r="CQ49" i="29"/>
  <c r="CY49" i="29"/>
  <c r="CU49" i="29"/>
  <c r="CY36" i="29"/>
  <c r="CQ36" i="29"/>
  <c r="CK36" i="29"/>
  <c r="CO36" i="29"/>
  <c r="CP55" i="29"/>
  <c r="CO55" i="29"/>
  <c r="CH55" i="29"/>
  <c r="CG55" i="29"/>
  <c r="CB64" i="29"/>
  <c r="CA64" i="29"/>
  <c r="CO64" i="29"/>
  <c r="CP89" i="29"/>
  <c r="CO89" i="29"/>
  <c r="CB89" i="29"/>
  <c r="C250" i="29"/>
  <c r="C195" i="29"/>
  <c r="C248" i="29"/>
  <c r="C124" i="29"/>
  <c r="B386" i="29"/>
  <c r="C138" i="29"/>
  <c r="CA138" i="29" s="1"/>
  <c r="C249" i="29"/>
  <c r="B384" i="29"/>
  <c r="C196" i="29"/>
  <c r="C103" i="29"/>
  <c r="CO59" i="24"/>
  <c r="CD59" i="24"/>
  <c r="CN59" i="24"/>
  <c r="CC59" i="24"/>
  <c r="CF59" i="24"/>
  <c r="CE59" i="24"/>
  <c r="CQ59" i="24"/>
  <c r="CP59" i="24"/>
  <c r="CA59" i="24"/>
  <c r="CM59" i="24"/>
  <c r="CK59" i="24"/>
  <c r="CB50" i="24"/>
  <c r="CE11" i="24"/>
  <c r="CM11" i="24"/>
  <c r="CA11" i="24"/>
  <c r="CP11" i="24"/>
  <c r="CD11" i="24"/>
  <c r="CN11" i="24"/>
  <c r="CO11" i="24"/>
  <c r="CC11" i="24"/>
  <c r="CB11" i="24"/>
  <c r="CL11" i="24"/>
  <c r="CB42" i="24"/>
  <c r="CB83" i="24"/>
  <c r="CL83" i="24"/>
  <c r="CB59" i="24"/>
  <c r="CB68" i="24"/>
  <c r="CL68" i="24"/>
  <c r="CL28" i="24"/>
  <c r="CK28" i="24"/>
  <c r="CC28" i="24"/>
  <c r="CB28" i="24"/>
  <c r="CA28" i="24"/>
  <c r="CG59" i="24"/>
  <c r="CB60" i="24"/>
  <c r="CL60" i="24"/>
  <c r="CE15" i="24"/>
  <c r="CP15" i="24"/>
  <c r="CD15" i="24"/>
  <c r="CO15" i="24"/>
  <c r="CC15" i="24"/>
  <c r="CB15" i="24"/>
  <c r="CM15" i="24"/>
  <c r="CN15" i="24"/>
  <c r="CA15" i="24"/>
  <c r="CL15" i="24"/>
  <c r="CB46" i="24"/>
  <c r="CF15" i="24"/>
  <c r="CB57" i="24"/>
  <c r="CE39" i="24"/>
  <c r="CE47" i="24"/>
  <c r="CP47" i="24"/>
  <c r="CP51" i="24"/>
  <c r="CO63" i="24"/>
  <c r="CD63" i="24"/>
  <c r="CN63" i="24"/>
  <c r="CC63" i="24"/>
  <c r="CG63" i="24"/>
  <c r="CK72" i="24"/>
  <c r="CN89" i="24"/>
  <c r="CC89" i="24"/>
  <c r="CG89" i="24"/>
  <c r="CE89" i="24"/>
  <c r="CQ89" i="24"/>
  <c r="CD89" i="24"/>
  <c r="CP89" i="24"/>
  <c r="CO89" i="24"/>
  <c r="CA89" i="24"/>
  <c r="CM89" i="24"/>
  <c r="CB12" i="24"/>
  <c r="CN12" i="24"/>
  <c r="CF14" i="24"/>
  <c r="Z90" i="24"/>
  <c r="CF35" i="24"/>
  <c r="CQ35" i="24"/>
  <c r="CD36" i="24"/>
  <c r="CO36" i="24"/>
  <c r="CK38" i="24"/>
  <c r="CF39" i="24"/>
  <c r="CQ39" i="24"/>
  <c r="CD40" i="24"/>
  <c r="CO40" i="24"/>
  <c r="CK42" i="24"/>
  <c r="CF43" i="24"/>
  <c r="CQ43" i="24"/>
  <c r="CD44" i="24"/>
  <c r="CO44" i="24"/>
  <c r="CK46" i="24"/>
  <c r="CF47" i="24"/>
  <c r="CQ47" i="24"/>
  <c r="CD48" i="24"/>
  <c r="CO48" i="24"/>
  <c r="CK50" i="24"/>
  <c r="CF51" i="24"/>
  <c r="CQ51" i="24"/>
  <c r="CD52" i="24"/>
  <c r="CO52" i="24"/>
  <c r="CK54" i="24"/>
  <c r="CF55" i="24"/>
  <c r="CQ55" i="24"/>
  <c r="CD56" i="24"/>
  <c r="CO56" i="24"/>
  <c r="CL57" i="24"/>
  <c r="CL59" i="24"/>
  <c r="CD61" i="24"/>
  <c r="CQ61" i="24"/>
  <c r="CK63" i="24"/>
  <c r="CA69" i="24"/>
  <c r="CK69" i="24"/>
  <c r="CG69" i="24"/>
  <c r="CM69" i="24"/>
  <c r="CO72" i="24"/>
  <c r="CF76" i="24"/>
  <c r="CN80" i="24"/>
  <c r="CC80" i="24"/>
  <c r="CM80" i="24"/>
  <c r="CA80" i="24"/>
  <c r="CK80" i="24"/>
  <c r="CG80" i="24"/>
  <c r="CQ80" i="24"/>
  <c r="CF80" i="24"/>
  <c r="CB89" i="24"/>
  <c r="CL89" i="24"/>
  <c r="D151" i="24"/>
  <c r="CC146" i="24"/>
  <c r="CE35" i="24"/>
  <c r="CE43" i="24"/>
  <c r="CK14" i="24"/>
  <c r="CA29" i="24"/>
  <c r="AE90" i="24"/>
  <c r="CG35" i="24"/>
  <c r="CE36" i="24"/>
  <c r="CP36" i="24"/>
  <c r="CL38" i="24"/>
  <c r="CG39" i="24"/>
  <c r="CE40" i="24"/>
  <c r="CP40" i="24"/>
  <c r="CL42" i="24"/>
  <c r="CG43" i="24"/>
  <c r="CE44" i="24"/>
  <c r="CP44" i="24"/>
  <c r="CL46" i="24"/>
  <c r="CG47" i="24"/>
  <c r="CE48" i="24"/>
  <c r="CP48" i="24"/>
  <c r="CL50" i="24"/>
  <c r="CG51" i="24"/>
  <c r="CE52" i="24"/>
  <c r="CP52" i="24"/>
  <c r="CL54" i="24"/>
  <c r="CG55" i="24"/>
  <c r="CE56" i="24"/>
  <c r="CP56" i="24"/>
  <c r="CL63" i="24"/>
  <c r="CL67" i="24"/>
  <c r="CB72" i="24"/>
  <c r="CL72" i="24"/>
  <c r="CP72" i="24"/>
  <c r="CB77" i="24"/>
  <c r="CB79" i="24"/>
  <c r="CL79" i="24"/>
  <c r="CL14" i="24"/>
  <c r="CB29" i="24"/>
  <c r="CK43" i="24"/>
  <c r="CK51" i="24"/>
  <c r="CK55" i="24"/>
  <c r="CK61" i="24"/>
  <c r="CG61" i="24"/>
  <c r="CF61" i="24"/>
  <c r="CM63" i="24"/>
  <c r="CQ72" i="24"/>
  <c r="CN76" i="24"/>
  <c r="CC76" i="24"/>
  <c r="CM76" i="24"/>
  <c r="CA76" i="24"/>
  <c r="CK76" i="24"/>
  <c r="CF89" i="24"/>
  <c r="CQ142" i="24"/>
  <c r="CM142" i="24"/>
  <c r="CQ147" i="24"/>
  <c r="CE147" i="24"/>
  <c r="CP147" i="24"/>
  <c r="CD147" i="24"/>
  <c r="CO147" i="24"/>
  <c r="CC147" i="24"/>
  <c r="CN147" i="24"/>
  <c r="CB147" i="24"/>
  <c r="CM147" i="24"/>
  <c r="CL147" i="24"/>
  <c r="CG147" i="24"/>
  <c r="CF147" i="24"/>
  <c r="CQ149" i="24"/>
  <c r="CE149" i="24"/>
  <c r="CP149" i="24"/>
  <c r="CD149" i="24"/>
  <c r="CO149" i="24"/>
  <c r="CC149" i="24"/>
  <c r="CN149" i="24"/>
  <c r="CB149" i="24"/>
  <c r="CM149" i="24"/>
  <c r="CL149" i="24"/>
  <c r="CG149" i="24"/>
  <c r="CF149" i="24"/>
  <c r="CP35" i="24"/>
  <c r="CP39" i="24"/>
  <c r="CP43" i="24"/>
  <c r="CE51" i="24"/>
  <c r="CK35" i="24"/>
  <c r="CF36" i="24"/>
  <c r="CE12" i="24"/>
  <c r="CK13" i="24"/>
  <c r="CA14" i="24"/>
  <c r="CM14" i="24"/>
  <c r="CC29" i="24"/>
  <c r="CA35" i="24"/>
  <c r="CL35" i="24"/>
  <c r="CG36" i="24"/>
  <c r="CE37" i="24"/>
  <c r="CP37" i="24"/>
  <c r="CC38" i="24"/>
  <c r="CN38" i="24"/>
  <c r="CA39" i="24"/>
  <c r="CL39" i="24"/>
  <c r="CG40" i="24"/>
  <c r="CE41" i="24"/>
  <c r="CP41" i="24"/>
  <c r="CC42" i="24"/>
  <c r="CN42" i="24"/>
  <c r="CA43" i="24"/>
  <c r="CL43" i="24"/>
  <c r="CG44" i="24"/>
  <c r="CE45" i="24"/>
  <c r="CP45" i="24"/>
  <c r="CC46" i="24"/>
  <c r="CN46" i="24"/>
  <c r="CA47" i="24"/>
  <c r="CL47" i="24"/>
  <c r="CG48" i="24"/>
  <c r="CE49" i="24"/>
  <c r="CP49" i="24"/>
  <c r="CC50" i="24"/>
  <c r="CN50" i="24"/>
  <c r="CA51" i="24"/>
  <c r="CL51" i="24"/>
  <c r="CG52" i="24"/>
  <c r="CE53" i="24"/>
  <c r="CP53" i="24"/>
  <c r="CC54" i="24"/>
  <c r="CN54" i="24"/>
  <c r="CA55" i="24"/>
  <c r="CL55" i="24"/>
  <c r="CG56" i="24"/>
  <c r="CC57" i="24"/>
  <c r="CO57" i="24"/>
  <c r="CA63" i="24"/>
  <c r="CP63" i="24"/>
  <c r="CE64" i="24"/>
  <c r="CK65" i="24"/>
  <c r="CG65" i="24"/>
  <c r="CF65" i="24"/>
  <c r="CB69" i="24"/>
  <c r="CP69" i="24"/>
  <c r="CA73" i="24"/>
  <c r="CK73" i="24"/>
  <c r="CG73" i="24"/>
  <c r="CM73" i="24"/>
  <c r="CO76" i="24"/>
  <c r="CD80" i="24"/>
  <c r="CK89" i="24"/>
  <c r="CK99" i="24"/>
  <c r="CF99" i="24"/>
  <c r="CO99" i="24"/>
  <c r="CC99" i="24"/>
  <c r="CN99" i="24"/>
  <c r="CB99" i="24"/>
  <c r="CL99" i="24"/>
  <c r="CE99" i="24"/>
  <c r="CD99" i="24"/>
  <c r="CA99" i="24"/>
  <c r="CE55" i="24"/>
  <c r="CP55" i="24"/>
  <c r="CB64" i="24"/>
  <c r="CL64" i="24"/>
  <c r="CN72" i="24"/>
  <c r="CC72" i="24"/>
  <c r="CM72" i="24"/>
  <c r="CA72" i="24"/>
  <c r="CQ36" i="24"/>
  <c r="CK39" i="24"/>
  <c r="CK47" i="24"/>
  <c r="CF12" i="24"/>
  <c r="CB14" i="24"/>
  <c r="CN14" i="24"/>
  <c r="CK29" i="24"/>
  <c r="CB35" i="24"/>
  <c r="CM35" i="24"/>
  <c r="CK36" i="24"/>
  <c r="CF37" i="24"/>
  <c r="CD38" i="24"/>
  <c r="CO38" i="24"/>
  <c r="CM39" i="24"/>
  <c r="CK40" i="24"/>
  <c r="CF41" i="24"/>
  <c r="CD42" i="24"/>
  <c r="CO42" i="24"/>
  <c r="CM43" i="24"/>
  <c r="CK44" i="24"/>
  <c r="CF45" i="24"/>
  <c r="CD46" i="24"/>
  <c r="CO46" i="24"/>
  <c r="CM47" i="24"/>
  <c r="CK48" i="24"/>
  <c r="CF49" i="24"/>
  <c r="CD50" i="24"/>
  <c r="CO50" i="24"/>
  <c r="CM51" i="24"/>
  <c r="CK52" i="24"/>
  <c r="CF53" i="24"/>
  <c r="CD54" i="24"/>
  <c r="CO54" i="24"/>
  <c r="CM55" i="24"/>
  <c r="CK56" i="24"/>
  <c r="CD57" i="24"/>
  <c r="CP57" i="24"/>
  <c r="CM60" i="24"/>
  <c r="CA60" i="24"/>
  <c r="CG60" i="24"/>
  <c r="CM61" i="24"/>
  <c r="CQ63" i="24"/>
  <c r="CN68" i="24"/>
  <c r="CC68" i="24"/>
  <c r="CM68" i="24"/>
  <c r="CA68" i="24"/>
  <c r="CK68" i="24"/>
  <c r="CC69" i="24"/>
  <c r="CQ69" i="24"/>
  <c r="CE72" i="24"/>
  <c r="CL73" i="24"/>
  <c r="CN73" i="24"/>
  <c r="CB76" i="24"/>
  <c r="CL76" i="24"/>
  <c r="CP76" i="24"/>
  <c r="CE80" i="24"/>
  <c r="CC150" i="24"/>
  <c r="CB150" i="24"/>
  <c r="CM150" i="24"/>
  <c r="CG150" i="24"/>
  <c r="CF150" i="24"/>
  <c r="CC14" i="24"/>
  <c r="CC35" i="24"/>
  <c r="CE38" i="24"/>
  <c r="CC39" i="24"/>
  <c r="CE42" i="24"/>
  <c r="CC43" i="24"/>
  <c r="CE46" i="24"/>
  <c r="CC47" i="24"/>
  <c r="CE50" i="24"/>
  <c r="CC51" i="24"/>
  <c r="CE54" i="24"/>
  <c r="CC55" i="24"/>
  <c r="CE57" i="24"/>
  <c r="CQ57" i="24"/>
  <c r="CA61" i="24"/>
  <c r="CN61" i="24"/>
  <c r="CE63" i="24"/>
  <c r="CM64" i="24"/>
  <c r="CA64" i="24"/>
  <c r="CG64" i="24"/>
  <c r="CD69" i="24"/>
  <c r="CF72" i="24"/>
  <c r="CQ76" i="24"/>
  <c r="CO80" i="24"/>
  <c r="CN84" i="24"/>
  <c r="CC84" i="24"/>
  <c r="CM84" i="24"/>
  <c r="CA84" i="24"/>
  <c r="CK84" i="24"/>
  <c r="CG84" i="24"/>
  <c r="CQ84" i="24"/>
  <c r="CF84" i="24"/>
  <c r="D104" i="24"/>
  <c r="C95" i="24"/>
  <c r="A236" i="24" s="1"/>
  <c r="CK103" i="24"/>
  <c r="CF103" i="24"/>
  <c r="CO103" i="24"/>
  <c r="CC103" i="24"/>
  <c r="CN103" i="24"/>
  <c r="CB103" i="24"/>
  <c r="CL103" i="24"/>
  <c r="CE103" i="24"/>
  <c r="CD103" i="24"/>
  <c r="CA103" i="24"/>
  <c r="CD81" i="24"/>
  <c r="CO81" i="24"/>
  <c r="CD85" i="24"/>
  <c r="CO85" i="24"/>
  <c r="E104" i="24"/>
  <c r="C141" i="24"/>
  <c r="CE77" i="24"/>
  <c r="CP77" i="24"/>
  <c r="CE81" i="24"/>
  <c r="CP81" i="24"/>
  <c r="CE85" i="24"/>
  <c r="CP85" i="24"/>
  <c r="CG87" i="24"/>
  <c r="CN87" i="24"/>
  <c r="CC87" i="24"/>
  <c r="CF87" i="24"/>
  <c r="CF96" i="24"/>
  <c r="CO96" i="24"/>
  <c r="CC96" i="24"/>
  <c r="CN96" i="24"/>
  <c r="CB96" i="24"/>
  <c r="CP96" i="24"/>
  <c r="BY110" i="24"/>
  <c r="CP110" i="24"/>
  <c r="CF110" i="24"/>
  <c r="CN110" i="24"/>
  <c r="CD110" i="24"/>
  <c r="CM110" i="24"/>
  <c r="CC110" i="24"/>
  <c r="CL110" i="24"/>
  <c r="B112" i="24"/>
  <c r="CF81" i="24"/>
  <c r="CQ81" i="24"/>
  <c r="CF85" i="24"/>
  <c r="CQ85" i="24"/>
  <c r="CK87" i="24"/>
  <c r="CL88" i="24"/>
  <c r="CK97" i="24"/>
  <c r="CF97" i="24"/>
  <c r="CO97" i="24"/>
  <c r="CC97" i="24"/>
  <c r="CN97" i="24"/>
  <c r="CB97" i="24"/>
  <c r="CM97" i="24"/>
  <c r="CO101" i="24"/>
  <c r="CC101" i="24"/>
  <c r="CN101" i="24"/>
  <c r="CO110" i="24"/>
  <c r="CE143" i="24"/>
  <c r="CB143" i="24"/>
  <c r="CL143" i="24"/>
  <c r="CE58" i="24"/>
  <c r="CE62" i="24"/>
  <c r="CP62" i="24"/>
  <c r="CE66" i="24"/>
  <c r="CP66" i="24"/>
  <c r="CC67" i="24"/>
  <c r="CN67" i="24"/>
  <c r="CE70" i="24"/>
  <c r="CP70" i="24"/>
  <c r="CC71" i="24"/>
  <c r="CN71" i="24"/>
  <c r="CE74" i="24"/>
  <c r="CP74" i="24"/>
  <c r="CC75" i="24"/>
  <c r="CN75" i="24"/>
  <c r="CG77" i="24"/>
  <c r="CE78" i="24"/>
  <c r="CP78" i="24"/>
  <c r="CC79" i="24"/>
  <c r="CN79" i="24"/>
  <c r="CL80" i="24"/>
  <c r="CG81" i="24"/>
  <c r="CE82" i="24"/>
  <c r="CP82" i="24"/>
  <c r="CC83" i="24"/>
  <c r="CN83" i="24"/>
  <c r="CL84" i="24"/>
  <c r="CG85" i="24"/>
  <c r="CA86" i="24"/>
  <c r="CP86" i="24"/>
  <c r="CE86" i="24"/>
  <c r="CG86" i="24"/>
  <c r="CA96" i="24"/>
  <c r="CP97" i="24"/>
  <c r="CF62" i="24"/>
  <c r="CF66" i="24"/>
  <c r="CD67" i="24"/>
  <c r="CO67" i="24"/>
  <c r="CF70" i="24"/>
  <c r="CD71" i="24"/>
  <c r="CO71" i="24"/>
  <c r="CF74" i="24"/>
  <c r="CD75" i="24"/>
  <c r="CO75" i="24"/>
  <c r="CK77" i="24"/>
  <c r="CF78" i="24"/>
  <c r="CD79" i="24"/>
  <c r="CO79" i="24"/>
  <c r="CK81" i="24"/>
  <c r="CF82" i="24"/>
  <c r="CD83" i="24"/>
  <c r="CO83" i="24"/>
  <c r="CK85" i="24"/>
  <c r="CK86" i="24"/>
  <c r="CM87" i="24"/>
  <c r="CB88" i="24"/>
  <c r="CD96" i="24"/>
  <c r="CB110" i="24"/>
  <c r="CP117" i="24"/>
  <c r="CF117" i="24"/>
  <c r="CO117" i="24"/>
  <c r="CE117" i="24"/>
  <c r="CN117" i="24"/>
  <c r="CD117" i="24"/>
  <c r="CK117" i="24"/>
  <c r="CA117" i="24"/>
  <c r="CQ117" i="24"/>
  <c r="CQ145" i="24"/>
  <c r="CE145" i="24"/>
  <c r="CP145" i="24"/>
  <c r="CD145" i="24"/>
  <c r="CO145" i="24"/>
  <c r="CC145" i="24"/>
  <c r="CN145" i="24"/>
  <c r="CB145" i="24"/>
  <c r="CM145" i="24"/>
  <c r="CL145" i="24"/>
  <c r="CE67" i="24"/>
  <c r="CE71" i="24"/>
  <c r="CE75" i="24"/>
  <c r="CE79" i="24"/>
  <c r="CE83" i="24"/>
  <c r="CA87" i="24"/>
  <c r="CO87" i="24"/>
  <c r="B90" i="24"/>
  <c r="CE96" i="24"/>
  <c r="CE110" i="24"/>
  <c r="CR117" i="24"/>
  <c r="CL156" i="24"/>
  <c r="CA160" i="24"/>
  <c r="CL160" i="24"/>
  <c r="CA162" i="24"/>
  <c r="CA168" i="24"/>
  <c r="CA88" i="24"/>
  <c r="CE109" i="24"/>
  <c r="CO109" i="24"/>
  <c r="CM111" i="24"/>
  <c r="CC116" i="24"/>
  <c r="CM116" i="24"/>
  <c r="B118" i="24"/>
  <c r="CB123" i="24"/>
  <c r="CM123" i="24"/>
  <c r="CD124" i="24"/>
  <c r="CO124" i="24"/>
  <c r="CD125" i="24"/>
  <c r="CO125" i="24"/>
  <c r="CC130" i="24"/>
  <c r="CO130" i="24"/>
  <c r="CC133" i="24"/>
  <c r="CO133" i="24"/>
  <c r="CC136" i="24"/>
  <c r="CO136" i="24"/>
  <c r="CC137" i="24"/>
  <c r="CO137" i="24"/>
  <c r="CC138" i="24"/>
  <c r="CO138" i="24"/>
  <c r="CC123" i="24"/>
  <c r="CN123" i="24"/>
  <c r="CE124" i="24"/>
  <c r="CP124" i="24"/>
  <c r="CE125" i="24"/>
  <c r="CP125" i="24"/>
  <c r="CD130" i="24"/>
  <c r="CP130" i="24"/>
  <c r="CD133" i="24"/>
  <c r="CP133" i="24"/>
  <c r="CD136" i="24"/>
  <c r="CP136" i="24"/>
  <c r="CD137" i="24"/>
  <c r="CP137" i="24"/>
  <c r="CD138" i="24"/>
  <c r="CP138" i="24"/>
  <c r="CQ136" i="24"/>
  <c r="CE137" i="24"/>
  <c r="CQ137" i="24"/>
  <c r="CE138" i="24"/>
  <c r="CQ138" i="24"/>
  <c r="CE123" i="24"/>
  <c r="CG124" i="24"/>
  <c r="CG125" i="24"/>
  <c r="CF130" i="24"/>
  <c r="CF133" i="24"/>
  <c r="CF136" i="24"/>
  <c r="CF137" i="24"/>
  <c r="CF138" i="24"/>
  <c r="CE88" i="24"/>
  <c r="CG111" i="24"/>
  <c r="CG116" i="24"/>
  <c r="CI123" i="24"/>
  <c r="CK124" i="24"/>
  <c r="CK125" i="24"/>
  <c r="CG130" i="24"/>
  <c r="CG133" i="24"/>
  <c r="CG136" i="24"/>
  <c r="CG137" i="24"/>
  <c r="CG138" i="24"/>
  <c r="BY123" i="24"/>
  <c r="CA124" i="24"/>
  <c r="CA125" i="24"/>
  <c r="Y11" i="29" l="1"/>
  <c r="I195" i="28"/>
  <c r="I198" i="28"/>
  <c r="I197" i="28"/>
  <c r="I196" i="28"/>
  <c r="I194" i="28"/>
  <c r="CN131" i="24"/>
  <c r="CF131" i="24"/>
  <c r="CP135" i="24"/>
  <c r="CG135" i="24"/>
  <c r="CO135" i="24"/>
  <c r="CB168" i="24"/>
  <c r="CE131" i="24"/>
  <c r="AU131" i="24" s="1"/>
  <c r="CC135" i="24"/>
  <c r="AU135" i="24" s="1"/>
  <c r="CA100" i="24"/>
  <c r="CQ148" i="24"/>
  <c r="CD135" i="24"/>
  <c r="CF135" i="24"/>
  <c r="CC131" i="24"/>
  <c r="CL168" i="24"/>
  <c r="Y55" i="29"/>
  <c r="CN142" i="24"/>
  <c r="CC142" i="24"/>
  <c r="CO142" i="24"/>
  <c r="CF142" i="24"/>
  <c r="CD142" i="24"/>
  <c r="CG142" i="24"/>
  <c r="CP142" i="24"/>
  <c r="CB142" i="24"/>
  <c r="AU142" i="24" s="1"/>
  <c r="CL142" i="24"/>
  <c r="CO134" i="24"/>
  <c r="CL150" i="24"/>
  <c r="CO131" i="24"/>
  <c r="CN150" i="24"/>
  <c r="CM131" i="24"/>
  <c r="CL169" i="24"/>
  <c r="CA169" i="24"/>
  <c r="AJ169" i="24" s="1"/>
  <c r="CD150" i="24"/>
  <c r="CD131" i="24"/>
  <c r="CP150" i="24"/>
  <c r="CP131" i="24"/>
  <c r="CE150" i="24"/>
  <c r="CO150" i="24"/>
  <c r="CG131" i="24"/>
  <c r="CK163" i="24"/>
  <c r="CP134" i="24"/>
  <c r="CD134" i="24"/>
  <c r="CA156" i="24"/>
  <c r="AJ156" i="24" s="1"/>
  <c r="CO143" i="24"/>
  <c r="CN146" i="24"/>
  <c r="CN134" i="24"/>
  <c r="CQ143" i="24"/>
  <c r="CF134" i="24"/>
  <c r="CG134" i="24"/>
  <c r="CM100" i="24"/>
  <c r="CC134" i="24"/>
  <c r="CN100" i="24"/>
  <c r="CB156" i="24"/>
  <c r="CB134" i="24"/>
  <c r="CQ134" i="24"/>
  <c r="CM134" i="24"/>
  <c r="CE134" i="24"/>
  <c r="CD146" i="24"/>
  <c r="CN135" i="24"/>
  <c r="CF143" i="24"/>
  <c r="CM143" i="24"/>
  <c r="CN143" i="24"/>
  <c r="CC143" i="24"/>
  <c r="CL101" i="24"/>
  <c r="CG146" i="24"/>
  <c r="CD143" i="24"/>
  <c r="CM146" i="24"/>
  <c r="AJ168" i="24"/>
  <c r="CP143" i="24"/>
  <c r="CB146" i="24"/>
  <c r="CP139" i="24"/>
  <c r="CE132" i="24"/>
  <c r="AJ160" i="24"/>
  <c r="CM139" i="24"/>
  <c r="CN139" i="24"/>
  <c r="CO139" i="24"/>
  <c r="CF139" i="24"/>
  <c r="CB139" i="24"/>
  <c r="CG139" i="24"/>
  <c r="CC139" i="24"/>
  <c r="CE139" i="24"/>
  <c r="CD139" i="24"/>
  <c r="CQ139" i="24"/>
  <c r="CG132" i="24"/>
  <c r="CK196" i="29"/>
  <c r="CF196" i="29"/>
  <c r="CE196" i="29"/>
  <c r="CK195" i="29"/>
  <c r="CF195" i="29"/>
  <c r="CE195" i="29"/>
  <c r="CI103" i="29"/>
  <c r="CH103" i="29"/>
  <c r="CG103" i="29"/>
  <c r="CW103" i="29"/>
  <c r="CV103" i="29"/>
  <c r="CU103" i="29"/>
  <c r="CF198" i="29"/>
  <c r="CE198" i="29"/>
  <c r="CK198" i="29"/>
  <c r="CF197" i="29"/>
  <c r="CE197" i="29"/>
  <c r="CK197" i="29"/>
  <c r="CQ95" i="29"/>
  <c r="CC95" i="29"/>
  <c r="CB95" i="29"/>
  <c r="CO146" i="24"/>
  <c r="M207" i="24"/>
  <c r="CE135" i="24"/>
  <c r="CQ135" i="24"/>
  <c r="CF148" i="24"/>
  <c r="CM135" i="24"/>
  <c r="CP146" i="24"/>
  <c r="CL135" i="24"/>
  <c r="CK159" i="24"/>
  <c r="CE146" i="24"/>
  <c r="CL159" i="24"/>
  <c r="CA159" i="24"/>
  <c r="AJ159" i="24" s="1"/>
  <c r="CQ146" i="24"/>
  <c r="CM132" i="24"/>
  <c r="CF146" i="24"/>
  <c r="CM102" i="24"/>
  <c r="CK102" i="24"/>
  <c r="CB102" i="24"/>
  <c r="CN102" i="24"/>
  <c r="CF101" i="24"/>
  <c r="CO144" i="24"/>
  <c r="V202" i="24"/>
  <c r="CE100" i="24"/>
  <c r="CC102" i="24"/>
  <c r="CP102" i="24"/>
  <c r="CO102" i="24"/>
  <c r="CP101" i="24"/>
  <c r="CK101" i="24"/>
  <c r="CD144" i="24"/>
  <c r="CL100" i="24"/>
  <c r="CN132" i="24"/>
  <c r="AT40" i="24"/>
  <c r="C140" i="24"/>
  <c r="CF132" i="24"/>
  <c r="CP98" i="24"/>
  <c r="CF102" i="24"/>
  <c r="CP144" i="24"/>
  <c r="CQ132" i="24"/>
  <c r="CA101" i="24"/>
  <c r="CP100" i="24"/>
  <c r="AA13" i="24"/>
  <c r="CB132" i="24"/>
  <c r="CE144" i="24"/>
  <c r="CP132" i="24"/>
  <c r="CM98" i="24"/>
  <c r="CC100" i="24"/>
  <c r="CD101" i="24"/>
  <c r="CL102" i="24"/>
  <c r="CL132" i="24"/>
  <c r="CD132" i="24"/>
  <c r="CB163" i="24"/>
  <c r="AJ163" i="24" s="1"/>
  <c r="CD102" i="24"/>
  <c r="CC98" i="24"/>
  <c r="CO132" i="24"/>
  <c r="CM101" i="24"/>
  <c r="CL163" i="24"/>
  <c r="CA102" i="24"/>
  <c r="CG148" i="24"/>
  <c r="U116" i="24"/>
  <c r="CA98" i="24"/>
  <c r="AT48" i="24"/>
  <c r="CB98" i="24"/>
  <c r="CM148" i="24"/>
  <c r="CQ144" i="24"/>
  <c r="CN98" i="24"/>
  <c r="CB148" i="24"/>
  <c r="CB100" i="24"/>
  <c r="AT49" i="24"/>
  <c r="CF144" i="24"/>
  <c r="C151" i="24"/>
  <c r="CD98" i="24"/>
  <c r="CL148" i="24"/>
  <c r="AT82" i="24"/>
  <c r="CB161" i="24"/>
  <c r="AJ161" i="24" s="1"/>
  <c r="AT77" i="24"/>
  <c r="CL144" i="24"/>
  <c r="CL98" i="24"/>
  <c r="CO148" i="24"/>
  <c r="CO100" i="24"/>
  <c r="CM144" i="24"/>
  <c r="X109" i="24"/>
  <c r="CN148" i="24"/>
  <c r="CO98" i="24"/>
  <c r="CC148" i="24"/>
  <c r="CK98" i="24"/>
  <c r="CD148" i="24"/>
  <c r="CF100" i="24"/>
  <c r="CB144" i="24"/>
  <c r="AT65" i="24"/>
  <c r="CE98" i="24"/>
  <c r="CA170" i="24"/>
  <c r="CP148" i="24"/>
  <c r="AT70" i="24"/>
  <c r="CK100" i="24"/>
  <c r="CN144" i="24"/>
  <c r="AT46" i="24"/>
  <c r="CG144" i="24"/>
  <c r="AB124" i="24"/>
  <c r="AU138" i="24"/>
  <c r="CB157" i="24"/>
  <c r="AJ157" i="24" s="1"/>
  <c r="CK158" i="24"/>
  <c r="CB158" i="24"/>
  <c r="AT87" i="24"/>
  <c r="AT67" i="24"/>
  <c r="AT42" i="24"/>
  <c r="AT35" i="24"/>
  <c r="AT56" i="24"/>
  <c r="CK170" i="24"/>
  <c r="CB170" i="24"/>
  <c r="AT59" i="24"/>
  <c r="V201" i="24"/>
  <c r="CA158" i="24"/>
  <c r="CK161" i="24"/>
  <c r="CL161" i="24"/>
  <c r="AU136" i="24"/>
  <c r="AU130" i="24"/>
  <c r="AT78" i="24"/>
  <c r="AT52" i="24"/>
  <c r="AT36" i="24"/>
  <c r="CK157" i="24"/>
  <c r="AT41" i="24"/>
  <c r="CK162" i="24"/>
  <c r="CB162" i="24"/>
  <c r="AJ162" i="24" s="1"/>
  <c r="AB123" i="24"/>
  <c r="AT54" i="24"/>
  <c r="AT44" i="24"/>
  <c r="AT73" i="24"/>
  <c r="AT75" i="24"/>
  <c r="AT62" i="24"/>
  <c r="CL157" i="24"/>
  <c r="AT85" i="24"/>
  <c r="AU149" i="24"/>
  <c r="AT81" i="24"/>
  <c r="AT83" i="24"/>
  <c r="AT58" i="24"/>
  <c r="AT84" i="24"/>
  <c r="AT50" i="24"/>
  <c r="AT57" i="24"/>
  <c r="CK169" i="24"/>
  <c r="AT66" i="24"/>
  <c r="X111" i="24"/>
  <c r="AT74" i="24"/>
  <c r="AV97" i="24"/>
  <c r="M206" i="24"/>
  <c r="CL162" i="24"/>
  <c r="AT86" i="24"/>
  <c r="AT45" i="24"/>
  <c r="AT38" i="24"/>
  <c r="AA12" i="24"/>
  <c r="CU250" i="29"/>
  <c r="CH250" i="29"/>
  <c r="CT250" i="29"/>
  <c r="CG250" i="29"/>
  <c r="CW250" i="29"/>
  <c r="CI250" i="29"/>
  <c r="CF250" i="29"/>
  <c r="CV250" i="29"/>
  <c r="CP384" i="29"/>
  <c r="CO384" i="29"/>
  <c r="CB384" i="29"/>
  <c r="CA384" i="29"/>
  <c r="AT384" i="29" s="1"/>
  <c r="CT247" i="29"/>
  <c r="CW247" i="29"/>
  <c r="CG247" i="29"/>
  <c r="CF247" i="29"/>
  <c r="CV247" i="29"/>
  <c r="CI247" i="29"/>
  <c r="CU247" i="29"/>
  <c r="CH247" i="29"/>
  <c r="CP388" i="29"/>
  <c r="CO388" i="29"/>
  <c r="CB388" i="29"/>
  <c r="CA388" i="29"/>
  <c r="AT388" i="29" s="1"/>
  <c r="CW249" i="29"/>
  <c r="CV249" i="29"/>
  <c r="CI249" i="29"/>
  <c r="CU249" i="29"/>
  <c r="CH249" i="29"/>
  <c r="CG249" i="29"/>
  <c r="CT249" i="29"/>
  <c r="CF249" i="29"/>
  <c r="CP387" i="29"/>
  <c r="CO387" i="29"/>
  <c r="CB387" i="29"/>
  <c r="CA387" i="29"/>
  <c r="CP386" i="29"/>
  <c r="CO386" i="29"/>
  <c r="CB386" i="29"/>
  <c r="CA386" i="29"/>
  <c r="CP389" i="29"/>
  <c r="CO389" i="29"/>
  <c r="CB389" i="29"/>
  <c r="CA389" i="29"/>
  <c r="AT389" i="29" s="1"/>
  <c r="CP385" i="29"/>
  <c r="CO385" i="29"/>
  <c r="CB385" i="29"/>
  <c r="CA385" i="29"/>
  <c r="CW248" i="29"/>
  <c r="CI248" i="29"/>
  <c r="CV248" i="29"/>
  <c r="CH248" i="29"/>
  <c r="CU248" i="29"/>
  <c r="CG248" i="29"/>
  <c r="CT248" i="29"/>
  <c r="CF248" i="29"/>
  <c r="CT196" i="29"/>
  <c r="CS196" i="29"/>
  <c r="CY196" i="29"/>
  <c r="CC138" i="29"/>
  <c r="CQ138" i="29"/>
  <c r="CB138" i="29"/>
  <c r="CP138" i="29"/>
  <c r="CO138" i="29"/>
  <c r="CY198" i="29"/>
  <c r="CT198" i="29"/>
  <c r="CS198" i="29"/>
  <c r="CS195" i="29"/>
  <c r="CY195" i="29"/>
  <c r="CT195" i="29"/>
  <c r="CT197" i="29"/>
  <c r="CS197" i="29"/>
  <c r="CY197" i="29"/>
  <c r="S64" i="29"/>
  <c r="AB36" i="29"/>
  <c r="CO124" i="29"/>
  <c r="CA124" i="29"/>
  <c r="CP124" i="29"/>
  <c r="CB124" i="29"/>
  <c r="CP95" i="29"/>
  <c r="CO95" i="29"/>
  <c r="AB49" i="29"/>
  <c r="CE95" i="24"/>
  <c r="CN95" i="24"/>
  <c r="CB95" i="24"/>
  <c r="CM95" i="24"/>
  <c r="CA95" i="24"/>
  <c r="CK95" i="24"/>
  <c r="CF95" i="24"/>
  <c r="CD95" i="24"/>
  <c r="CC95" i="24"/>
  <c r="C104" i="24"/>
  <c r="CP95" i="24"/>
  <c r="CO95" i="24"/>
  <c r="CL95" i="24"/>
  <c r="AT53" i="24"/>
  <c r="AT39" i="24"/>
  <c r="AT80" i="24"/>
  <c r="AU137" i="24"/>
  <c r="AU133" i="24"/>
  <c r="X110" i="24"/>
  <c r="AT43" i="24"/>
  <c r="AT76" i="24"/>
  <c r="Z29" i="24"/>
  <c r="AT69" i="24"/>
  <c r="AV96" i="24"/>
  <c r="AT60" i="24"/>
  <c r="AT47" i="24"/>
  <c r="AA14" i="24"/>
  <c r="AT79" i="24"/>
  <c r="AT71" i="24"/>
  <c r="E29" i="18"/>
  <c r="AB125" i="24"/>
  <c r="AU145" i="24"/>
  <c r="AT61" i="24"/>
  <c r="AT68" i="24"/>
  <c r="AT72" i="24"/>
  <c r="AV99" i="24"/>
  <c r="AT51" i="24"/>
  <c r="AU147" i="24"/>
  <c r="AT89" i="24"/>
  <c r="AA15" i="24"/>
  <c r="AT88" i="24"/>
  <c r="U117" i="24"/>
  <c r="CQ141" i="24"/>
  <c r="CE141" i="24"/>
  <c r="CP141" i="24"/>
  <c r="CD141" i="24"/>
  <c r="CO141" i="24"/>
  <c r="CC141" i="24"/>
  <c r="CN141" i="24"/>
  <c r="CB141" i="24"/>
  <c r="CM141" i="24"/>
  <c r="CL141" i="24"/>
  <c r="CG141" i="24"/>
  <c r="CF141" i="24"/>
  <c r="AT55" i="24"/>
  <c r="AT37" i="24"/>
  <c r="Z28" i="24"/>
  <c r="AA11" i="24"/>
  <c r="AT64" i="24"/>
  <c r="AV103" i="24"/>
  <c r="AT63" i="24"/>
  <c r="AT387" i="29" l="1"/>
  <c r="AT385" i="29"/>
  <c r="AY195" i="29"/>
  <c r="AY197" i="29"/>
  <c r="AY198" i="29"/>
  <c r="AY196" i="29"/>
  <c r="AU150" i="24"/>
  <c r="AT386" i="29"/>
  <c r="AX95" i="29"/>
  <c r="AJ124" i="29"/>
  <c r="AU143" i="24"/>
  <c r="AU134" i="24"/>
  <c r="AU146" i="24"/>
  <c r="AU139" i="24"/>
  <c r="AY247" i="29"/>
  <c r="AV102" i="24"/>
  <c r="AV101" i="24"/>
  <c r="AU132" i="24"/>
  <c r="AU144" i="24"/>
  <c r="AV98" i="24"/>
  <c r="AJ170" i="24"/>
  <c r="AV100" i="24"/>
  <c r="AU148" i="24"/>
  <c r="AJ158" i="24"/>
  <c r="B236" i="24"/>
  <c r="D29" i="18" s="1"/>
  <c r="AY248" i="29"/>
  <c r="AY250" i="29"/>
  <c r="AY249" i="29"/>
  <c r="AM103" i="29"/>
  <c r="AV95" i="24"/>
  <c r="AU141" i="24"/>
  <c r="E98" i="29" l="1"/>
  <c r="E97" i="29"/>
  <c r="E96" i="29"/>
  <c r="D98" i="29"/>
  <c r="D97" i="29"/>
  <c r="D96" i="29"/>
  <c r="G125" i="49"/>
  <c r="F125" i="49"/>
  <c r="E125" i="49"/>
  <c r="D125" i="49"/>
  <c r="C125" i="49"/>
  <c r="CL105" i="49"/>
  <c r="CA105" i="49"/>
  <c r="Z105" i="49" s="1"/>
  <c r="CL104" i="49"/>
  <c r="CA104" i="49"/>
  <c r="Z104" i="49" s="1"/>
  <c r="E94" i="49"/>
  <c r="C94" i="49" s="1"/>
  <c r="CL94" i="49" s="1"/>
  <c r="D94" i="49"/>
  <c r="E93" i="49"/>
  <c r="D93" i="49"/>
  <c r="C93" i="49" s="1"/>
  <c r="E92" i="49"/>
  <c r="D92" i="49"/>
  <c r="C92" i="49" s="1"/>
  <c r="E91" i="49"/>
  <c r="D91" i="49"/>
  <c r="C91" i="49" s="1"/>
  <c r="E90" i="49"/>
  <c r="D90" i="49"/>
  <c r="C90" i="49"/>
  <c r="CL90" i="49" s="1"/>
  <c r="E89" i="49"/>
  <c r="D89" i="49"/>
  <c r="C89" i="49" s="1"/>
  <c r="E88" i="49"/>
  <c r="D88" i="49"/>
  <c r="C88" i="49" s="1"/>
  <c r="E87" i="49"/>
  <c r="D87" i="49"/>
  <c r="E86" i="49"/>
  <c r="D86" i="49"/>
  <c r="C86" i="49"/>
  <c r="CL86" i="49" s="1"/>
  <c r="E71" i="49"/>
  <c r="D71" i="49"/>
  <c r="C71" i="49" s="1"/>
  <c r="E70" i="49"/>
  <c r="D70" i="49"/>
  <c r="C70" i="49" s="1"/>
  <c r="E69" i="49"/>
  <c r="D69" i="49"/>
  <c r="C69" i="49" s="1"/>
  <c r="E68" i="49"/>
  <c r="D68" i="49"/>
  <c r="C68" i="49"/>
  <c r="CL68" i="49" s="1"/>
  <c r="E67" i="49"/>
  <c r="D67" i="49"/>
  <c r="C67" i="49" s="1"/>
  <c r="E66" i="49"/>
  <c r="D66" i="49"/>
  <c r="E65" i="49"/>
  <c r="D65" i="49"/>
  <c r="C65" i="49" s="1"/>
  <c r="E64" i="49"/>
  <c r="C64" i="49" s="1"/>
  <c r="D64" i="49"/>
  <c r="AI58" i="49"/>
  <c r="T58" i="49"/>
  <c r="S58" i="49"/>
  <c r="R58" i="49"/>
  <c r="Q58" i="49"/>
  <c r="P58" i="49"/>
  <c r="O58" i="49"/>
  <c r="N58" i="49"/>
  <c r="M58" i="49"/>
  <c r="L58" i="49"/>
  <c r="K58" i="49"/>
  <c r="J58" i="49"/>
  <c r="I58" i="49"/>
  <c r="H58" i="49"/>
  <c r="G58" i="49"/>
  <c r="F58" i="49"/>
  <c r="E58" i="49"/>
  <c r="D57" i="49"/>
  <c r="C57" i="49"/>
  <c r="B57" i="49" s="1"/>
  <c r="D56" i="49"/>
  <c r="C56" i="49"/>
  <c r="B56" i="49"/>
  <c r="CA56" i="49" s="1"/>
  <c r="AJ56" i="49" s="1"/>
  <c r="D55" i="49"/>
  <c r="C55" i="49"/>
  <c r="B55" i="49" s="1"/>
  <c r="AJ50" i="49"/>
  <c r="U50" i="49"/>
  <c r="T50" i="49"/>
  <c r="S50" i="49"/>
  <c r="R50" i="49"/>
  <c r="Q50" i="49"/>
  <c r="P50" i="49"/>
  <c r="O50" i="49"/>
  <c r="N50" i="49"/>
  <c r="M50" i="49"/>
  <c r="L50" i="49"/>
  <c r="K50" i="49"/>
  <c r="J50" i="49"/>
  <c r="I50" i="49"/>
  <c r="H50" i="49"/>
  <c r="G50" i="49"/>
  <c r="F50" i="49"/>
  <c r="E49" i="49"/>
  <c r="D49" i="49"/>
  <c r="E48" i="49"/>
  <c r="D48" i="49"/>
  <c r="C48" i="49" s="1"/>
  <c r="CA48" i="49" s="1"/>
  <c r="AK48" i="49" s="1"/>
  <c r="E47" i="49"/>
  <c r="D47" i="49"/>
  <c r="AJ46" i="49"/>
  <c r="U46" i="49"/>
  <c r="T46" i="49"/>
  <c r="S46" i="49"/>
  <c r="R46" i="49"/>
  <c r="Q46" i="49"/>
  <c r="P46" i="49"/>
  <c r="O46" i="49"/>
  <c r="N46" i="49"/>
  <c r="M46" i="49"/>
  <c r="L46" i="49"/>
  <c r="K46" i="49"/>
  <c r="J46" i="49"/>
  <c r="I46" i="49"/>
  <c r="H46" i="49"/>
  <c r="G46" i="49"/>
  <c r="F46" i="49"/>
  <c r="E45" i="49"/>
  <c r="D45" i="49"/>
  <c r="C45" i="49" s="1"/>
  <c r="E44" i="49"/>
  <c r="D44" i="49"/>
  <c r="E43" i="49"/>
  <c r="D43" i="49"/>
  <c r="E42" i="49"/>
  <c r="D42" i="49"/>
  <c r="E41" i="49"/>
  <c r="D41" i="49"/>
  <c r="C41" i="49"/>
  <c r="CA41" i="49" s="1"/>
  <c r="AK41" i="49" s="1"/>
  <c r="AJ40" i="49"/>
  <c r="U40" i="49"/>
  <c r="T40" i="49"/>
  <c r="S40" i="49"/>
  <c r="R40" i="49"/>
  <c r="Q40" i="49"/>
  <c r="P40" i="49"/>
  <c r="O40" i="49"/>
  <c r="N40" i="49"/>
  <c r="M40" i="49"/>
  <c r="L40" i="49"/>
  <c r="K40" i="49"/>
  <c r="J40" i="49"/>
  <c r="I40" i="49"/>
  <c r="H40" i="49"/>
  <c r="G40" i="49"/>
  <c r="F40" i="49"/>
  <c r="E39" i="49"/>
  <c r="D39" i="49"/>
  <c r="E38" i="49"/>
  <c r="D38" i="49"/>
  <c r="C38" i="49" s="1"/>
  <c r="E37" i="49"/>
  <c r="D37" i="49"/>
  <c r="E36" i="49"/>
  <c r="D36" i="49"/>
  <c r="C36" i="49" s="1"/>
  <c r="E35" i="49"/>
  <c r="D35" i="49"/>
  <c r="AJ34" i="49"/>
  <c r="U34" i="49"/>
  <c r="T34" i="49"/>
  <c r="S34" i="49"/>
  <c r="R34" i="49"/>
  <c r="Q34" i="49"/>
  <c r="P34" i="49"/>
  <c r="O34" i="49"/>
  <c r="N34" i="49"/>
  <c r="M34" i="49"/>
  <c r="L34" i="49"/>
  <c r="K34" i="49"/>
  <c r="J34" i="49"/>
  <c r="I34" i="49"/>
  <c r="H34" i="49"/>
  <c r="G34" i="49"/>
  <c r="E33" i="49"/>
  <c r="D33" i="49"/>
  <c r="C33" i="49" s="1"/>
  <c r="CL33" i="49"/>
  <c r="E32" i="49"/>
  <c r="D32" i="49"/>
  <c r="C32" i="49" s="1"/>
  <c r="CA32" i="49" s="1"/>
  <c r="AK32" i="49" s="1"/>
  <c r="E31" i="49"/>
  <c r="D31" i="49"/>
  <c r="E30" i="49"/>
  <c r="D30" i="49"/>
  <c r="C30" i="49" s="1"/>
  <c r="E29" i="49"/>
  <c r="D29" i="49"/>
  <c r="K24" i="49"/>
  <c r="J24" i="49"/>
  <c r="I24" i="49"/>
  <c r="H24" i="49"/>
  <c r="G24" i="49"/>
  <c r="F24" i="49"/>
  <c r="E24" i="49"/>
  <c r="D24" i="49"/>
  <c r="C24" i="49"/>
  <c r="B23" i="49"/>
  <c r="B22" i="49"/>
  <c r="B21" i="49"/>
  <c r="AN16" i="49"/>
  <c r="AM16" i="49"/>
  <c r="AL16" i="49"/>
  <c r="AK16" i="49"/>
  <c r="AJ16" i="49"/>
  <c r="AI16" i="49"/>
  <c r="AH16" i="49"/>
  <c r="AG16" i="49"/>
  <c r="AF16" i="49"/>
  <c r="AE16" i="49"/>
  <c r="AD16" i="49"/>
  <c r="AC16" i="49"/>
  <c r="AB16" i="49"/>
  <c r="AA16" i="49"/>
  <c r="Z16" i="49"/>
  <c r="Y16" i="49"/>
  <c r="X16" i="49"/>
  <c r="W16" i="49"/>
  <c r="V16" i="49"/>
  <c r="U16" i="49"/>
  <c r="T16" i="49"/>
  <c r="S16" i="49"/>
  <c r="R16" i="49"/>
  <c r="Q16" i="49"/>
  <c r="P16" i="49"/>
  <c r="O16" i="49"/>
  <c r="N16" i="49"/>
  <c r="M16" i="49"/>
  <c r="L16" i="49"/>
  <c r="K16" i="49"/>
  <c r="J16" i="49"/>
  <c r="I16" i="49"/>
  <c r="H16" i="49"/>
  <c r="G16" i="49"/>
  <c r="F16" i="49"/>
  <c r="E15" i="49"/>
  <c r="D15" i="49"/>
  <c r="E14" i="49"/>
  <c r="D14" i="49"/>
  <c r="E13" i="49"/>
  <c r="D13" i="49"/>
  <c r="C49" i="49" l="1"/>
  <c r="C29" i="49"/>
  <c r="D50" i="49"/>
  <c r="D40" i="49"/>
  <c r="E50" i="49"/>
  <c r="C47" i="49"/>
  <c r="C50" i="49" s="1"/>
  <c r="CL64" i="49"/>
  <c r="C31" i="49"/>
  <c r="CL31" i="49" s="1"/>
  <c r="CA45" i="49"/>
  <c r="AK45" i="49" s="1"/>
  <c r="CL45" i="49"/>
  <c r="CA49" i="49"/>
  <c r="AK49" i="49" s="1"/>
  <c r="CL49" i="49"/>
  <c r="CA38" i="49"/>
  <c r="AK38" i="49" s="1"/>
  <c r="CL38" i="49"/>
  <c r="C39" i="49"/>
  <c r="CL39" i="49" s="1"/>
  <c r="CL32" i="49"/>
  <c r="E46" i="49"/>
  <c r="CL48" i="49"/>
  <c r="D58" i="49"/>
  <c r="CL41" i="49"/>
  <c r="C42" i="49"/>
  <c r="CA42" i="49" s="1"/>
  <c r="AK42" i="49" s="1"/>
  <c r="C35" i="49"/>
  <c r="CA35" i="49" s="1"/>
  <c r="AK35" i="49" s="1"/>
  <c r="C37" i="49"/>
  <c r="CL37" i="49" s="1"/>
  <c r="C43" i="49"/>
  <c r="CL43" i="49" s="1"/>
  <c r="D34" i="49"/>
  <c r="D46" i="49"/>
  <c r="E40" i="49"/>
  <c r="CL56" i="49"/>
  <c r="C44" i="49"/>
  <c r="CA44" i="49" s="1"/>
  <c r="AK44" i="49" s="1"/>
  <c r="E34" i="49"/>
  <c r="C66" i="49"/>
  <c r="C87" i="49"/>
  <c r="E16" i="49"/>
  <c r="C13" i="49"/>
  <c r="CL13" i="49" s="1"/>
  <c r="B24" i="49"/>
  <c r="C15" i="49"/>
  <c r="CL15" i="49" s="1"/>
  <c r="D16" i="49"/>
  <c r="C14" i="49"/>
  <c r="CL14" i="49" s="1"/>
  <c r="C96" i="29"/>
  <c r="C97" i="29"/>
  <c r="C98" i="29"/>
  <c r="CL30" i="49"/>
  <c r="CA30" i="49"/>
  <c r="AK30" i="49" s="1"/>
  <c r="CL69" i="49"/>
  <c r="CA69" i="49"/>
  <c r="AK69" i="49" s="1"/>
  <c r="CL57" i="49"/>
  <c r="CA57" i="49"/>
  <c r="AJ57" i="49" s="1"/>
  <c r="CL66" i="49"/>
  <c r="CA66" i="49"/>
  <c r="AK66" i="49" s="1"/>
  <c r="CL87" i="49"/>
  <c r="CA87" i="49"/>
  <c r="W87" i="49" s="1"/>
  <c r="CL70" i="49"/>
  <c r="CA70" i="49"/>
  <c r="AK70" i="49" s="1"/>
  <c r="CL91" i="49"/>
  <c r="CA91" i="49"/>
  <c r="W91" i="49" s="1"/>
  <c r="CA71" i="49"/>
  <c r="AK71" i="49" s="1"/>
  <c r="CL71" i="49"/>
  <c r="CL92" i="49"/>
  <c r="CA92" i="49"/>
  <c r="W92" i="49" s="1"/>
  <c r="CL36" i="49"/>
  <c r="CA36" i="49"/>
  <c r="AK36" i="49" s="1"/>
  <c r="CA55" i="49"/>
  <c r="AJ55" i="49" s="1"/>
  <c r="CL55" i="49"/>
  <c r="CA67" i="49"/>
  <c r="AK67" i="49" s="1"/>
  <c r="CL67" i="49"/>
  <c r="CL88" i="49"/>
  <c r="CA88" i="49"/>
  <c r="W88" i="49" s="1"/>
  <c r="CA37" i="49"/>
  <c r="AK37" i="49" s="1"/>
  <c r="CA43" i="49"/>
  <c r="AK43" i="49" s="1"/>
  <c r="CA89" i="49"/>
  <c r="W89" i="49" s="1"/>
  <c r="CL89" i="49"/>
  <c r="CL29" i="49"/>
  <c r="CA29" i="49"/>
  <c r="AK29" i="49" s="1"/>
  <c r="CA93" i="49"/>
  <c r="W93" i="49" s="1"/>
  <c r="CL93" i="49"/>
  <c r="CL65" i="49"/>
  <c r="CA65" i="49"/>
  <c r="AK65" i="49" s="1"/>
  <c r="CA33" i="49"/>
  <c r="AK33" i="49" s="1"/>
  <c r="CA64" i="49"/>
  <c r="AK64" i="49" s="1"/>
  <c r="CA68" i="49"/>
  <c r="AK68" i="49" s="1"/>
  <c r="CA86" i="49"/>
  <c r="W86" i="49" s="1"/>
  <c r="CA90" i="49"/>
  <c r="W90" i="49" s="1"/>
  <c r="CA94" i="49"/>
  <c r="W94" i="49" s="1"/>
  <c r="C58" i="49"/>
  <c r="B58" i="49" s="1"/>
  <c r="CL35" i="49" l="1"/>
  <c r="CL47" i="49"/>
  <c r="CA47" i="49"/>
  <c r="AK47" i="49" s="1"/>
  <c r="C34" i="49"/>
  <c r="CA31" i="49"/>
  <c r="AK31" i="49" s="1"/>
  <c r="C40" i="49"/>
  <c r="CL42" i="49"/>
  <c r="C46" i="49"/>
  <c r="CA39" i="49"/>
  <c r="AK39" i="49" s="1"/>
  <c r="CL44" i="49"/>
  <c r="CA13" i="49"/>
  <c r="AO13" i="49" s="1"/>
  <c r="C16" i="49"/>
  <c r="CA15" i="49"/>
  <c r="AO15" i="49" s="1"/>
  <c r="B150" i="49"/>
  <c r="D31" i="18" s="1"/>
  <c r="CA14" i="49"/>
  <c r="AO14" i="49" s="1"/>
  <c r="A150" i="49"/>
  <c r="E31" i="18" s="1"/>
  <c r="CQ96" i="29"/>
  <c r="CA96" i="29"/>
  <c r="CB96" i="29"/>
  <c r="CC96" i="29"/>
  <c r="CO96" i="29"/>
  <c r="CP96" i="29"/>
  <c r="CO98" i="29"/>
  <c r="CP98" i="29"/>
  <c r="CQ98" i="29"/>
  <c r="CC98" i="29"/>
  <c r="CA98" i="29"/>
  <c r="CB98" i="29"/>
  <c r="CO97" i="29"/>
  <c r="CP97" i="29"/>
  <c r="CQ97" i="29"/>
  <c r="CA97" i="29"/>
  <c r="CB97" i="29"/>
  <c r="CC97" i="29"/>
  <c r="CG17" i="33"/>
  <c r="CG16" i="33"/>
  <c r="CF16" i="33"/>
  <c r="CG15" i="33"/>
  <c r="CF15" i="33"/>
  <c r="CF14" i="33"/>
  <c r="CF13" i="33"/>
  <c r="CG13" i="33"/>
  <c r="H200" i="32"/>
  <c r="F200" i="32"/>
  <c r="E200" i="32"/>
  <c r="D200" i="32"/>
  <c r="C200" i="32"/>
  <c r="H183" i="32"/>
  <c r="G183" i="32"/>
  <c r="F183" i="32"/>
  <c r="E183" i="32"/>
  <c r="D183" i="32"/>
  <c r="C183" i="32"/>
  <c r="M166" i="32"/>
  <c r="L166" i="32"/>
  <c r="K166" i="32"/>
  <c r="J166" i="32"/>
  <c r="I166" i="32"/>
  <c r="H166" i="32"/>
  <c r="G166" i="32"/>
  <c r="F166" i="32"/>
  <c r="E166" i="32"/>
  <c r="D166" i="32"/>
  <c r="C166" i="32"/>
  <c r="L149" i="32"/>
  <c r="K149" i="32"/>
  <c r="J149" i="32"/>
  <c r="I149" i="32"/>
  <c r="H149" i="32"/>
  <c r="G149" i="32"/>
  <c r="F149" i="32"/>
  <c r="E149" i="32"/>
  <c r="D149" i="32"/>
  <c r="C149" i="32"/>
  <c r="B148" i="32"/>
  <c r="B147" i="32"/>
  <c r="B146" i="32"/>
  <c r="B145" i="32"/>
  <c r="B144" i="32"/>
  <c r="B143" i="32"/>
  <c r="B142" i="32"/>
  <c r="B141" i="32"/>
  <c r="B140" i="32"/>
  <c r="B139" i="32"/>
  <c r="B138" i="32"/>
  <c r="B137" i="32"/>
  <c r="B136" i="32"/>
  <c r="L130" i="32"/>
  <c r="K130" i="32"/>
  <c r="J130" i="32"/>
  <c r="I130" i="32"/>
  <c r="H130" i="32"/>
  <c r="G130" i="32"/>
  <c r="F130" i="32"/>
  <c r="E130" i="32"/>
  <c r="D130" i="32"/>
  <c r="C130" i="32"/>
  <c r="B129" i="32"/>
  <c r="B128" i="32"/>
  <c r="B127" i="32"/>
  <c r="B126" i="32"/>
  <c r="B125" i="32"/>
  <c r="B124" i="32"/>
  <c r="B123" i="32"/>
  <c r="B122" i="32"/>
  <c r="B121" i="32"/>
  <c r="B120" i="32"/>
  <c r="B119" i="32"/>
  <c r="B118" i="32"/>
  <c r="B117" i="32"/>
  <c r="E66" i="32"/>
  <c r="D66" i="32"/>
  <c r="C66" i="32" s="1"/>
  <c r="E65" i="32"/>
  <c r="D65" i="32"/>
  <c r="E64" i="32"/>
  <c r="D64" i="32"/>
  <c r="E63" i="32"/>
  <c r="D63" i="32"/>
  <c r="E62" i="32"/>
  <c r="D62" i="32"/>
  <c r="E61" i="32"/>
  <c r="D61" i="32"/>
  <c r="E60" i="32"/>
  <c r="D60" i="32"/>
  <c r="E59" i="32"/>
  <c r="D59" i="32"/>
  <c r="E58" i="32"/>
  <c r="D58" i="32"/>
  <c r="E57" i="32"/>
  <c r="D57" i="32"/>
  <c r="E56" i="32"/>
  <c r="D56" i="32"/>
  <c r="E55" i="32"/>
  <c r="D55" i="32"/>
  <c r="C55" i="32"/>
  <c r="E54" i="32"/>
  <c r="D54" i="32"/>
  <c r="E53" i="32"/>
  <c r="D53" i="32"/>
  <c r="E52" i="32"/>
  <c r="D52" i="32"/>
  <c r="E51" i="32"/>
  <c r="D51" i="32"/>
  <c r="E50" i="32"/>
  <c r="D50" i="32"/>
  <c r="E49" i="32"/>
  <c r="D49" i="32"/>
  <c r="E48" i="32"/>
  <c r="D48" i="32"/>
  <c r="E47" i="32"/>
  <c r="D47" i="32"/>
  <c r="C47" i="32" s="1"/>
  <c r="E46" i="32"/>
  <c r="D46" i="32"/>
  <c r="E45" i="32"/>
  <c r="D45" i="32"/>
  <c r="C32" i="32"/>
  <c r="C31" i="32"/>
  <c r="C28" i="32"/>
  <c r="C27" i="32"/>
  <c r="C26" i="32"/>
  <c r="C25" i="32"/>
  <c r="C24" i="32"/>
  <c r="AX97" i="29" l="1"/>
  <c r="AX98" i="29"/>
  <c r="CV66" i="32"/>
  <c r="CB66" i="32"/>
  <c r="CA66" i="32"/>
  <c r="AQ66" i="32" s="1"/>
  <c r="CB55" i="32"/>
  <c r="CA55" i="32"/>
  <c r="CA143" i="32"/>
  <c r="M143" i="32" s="1"/>
  <c r="CU143" i="32"/>
  <c r="CU124" i="32"/>
  <c r="CA124" i="32"/>
  <c r="M124" i="32" s="1"/>
  <c r="CU136" i="32"/>
  <c r="CA136" i="32"/>
  <c r="M136" i="32" s="1"/>
  <c r="CA144" i="32"/>
  <c r="M144" i="32" s="1"/>
  <c r="CU144" i="32"/>
  <c r="CA117" i="32"/>
  <c r="M117" i="32" s="1"/>
  <c r="CU117" i="32"/>
  <c r="CU125" i="32"/>
  <c r="CA125" i="32"/>
  <c r="M125" i="32" s="1"/>
  <c r="CA137" i="32"/>
  <c r="M137" i="32" s="1"/>
  <c r="CU137" i="32"/>
  <c r="CA145" i="32"/>
  <c r="M145" i="32" s="1"/>
  <c r="CU145" i="32"/>
  <c r="DC29" i="32"/>
  <c r="CH29" i="32"/>
  <c r="CA29" i="32"/>
  <c r="DF29" i="32"/>
  <c r="CL29" i="32"/>
  <c r="CI29" i="32"/>
  <c r="DA29" i="32"/>
  <c r="DB29" i="32"/>
  <c r="CG29" i="32"/>
  <c r="CB31" i="32"/>
  <c r="CZ31" i="32"/>
  <c r="CV31" i="32"/>
  <c r="CY31" i="32"/>
  <c r="DA31" i="32"/>
  <c r="CM31" i="32"/>
  <c r="CX31" i="32"/>
  <c r="DB31" i="32"/>
  <c r="CA31" i="32"/>
  <c r="CG31" i="32"/>
  <c r="CI31" i="32"/>
  <c r="DC31" i="32"/>
  <c r="CF31" i="32"/>
  <c r="CH31" i="32"/>
  <c r="CD31" i="32"/>
  <c r="CE31" i="32"/>
  <c r="CL31" i="32"/>
  <c r="CZ24" i="32"/>
  <c r="DC24" i="32"/>
  <c r="CY24" i="32"/>
  <c r="DB24" i="32"/>
  <c r="CE24" i="32"/>
  <c r="CF24" i="32"/>
  <c r="CI24" i="32"/>
  <c r="CA24" i="32"/>
  <c r="AI24" i="32" s="1"/>
  <c r="CG24" i="32"/>
  <c r="CC24" i="32"/>
  <c r="CH24" i="32"/>
  <c r="DA24" i="32"/>
  <c r="CI32" i="32"/>
  <c r="CX32" i="32"/>
  <c r="DA32" i="32"/>
  <c r="DB32" i="32"/>
  <c r="CF32" i="32"/>
  <c r="CY32" i="32"/>
  <c r="CM32" i="32"/>
  <c r="DC32" i="32"/>
  <c r="CE32" i="32"/>
  <c r="CL32" i="32"/>
  <c r="CD32" i="32"/>
  <c r="CH32" i="32"/>
  <c r="CA32" i="32"/>
  <c r="DF32" i="32"/>
  <c r="DG32" i="32"/>
  <c r="CG32" i="32"/>
  <c r="CV32" i="32"/>
  <c r="CZ32" i="32"/>
  <c r="CB32" i="32"/>
  <c r="C56" i="32"/>
  <c r="C60" i="32"/>
  <c r="CA118" i="32"/>
  <c r="M118" i="32" s="1"/>
  <c r="CU118" i="32"/>
  <c r="CA126" i="32"/>
  <c r="M126" i="32" s="1"/>
  <c r="CU126" i="32"/>
  <c r="CU138" i="32"/>
  <c r="CA138" i="32"/>
  <c r="M138" i="32" s="1"/>
  <c r="CA146" i="32"/>
  <c r="M146" i="32" s="1"/>
  <c r="CU146" i="32"/>
  <c r="CU119" i="32"/>
  <c r="CA119" i="32"/>
  <c r="M119" i="32" s="1"/>
  <c r="CA127" i="32"/>
  <c r="M127" i="32" s="1"/>
  <c r="CU127" i="32"/>
  <c r="CA139" i="32"/>
  <c r="M139" i="32" s="1"/>
  <c r="CU139" i="32"/>
  <c r="CU147" i="32"/>
  <c r="CA147" i="32"/>
  <c r="M147" i="32" s="1"/>
  <c r="C45" i="32"/>
  <c r="CU120" i="32"/>
  <c r="CA120" i="32"/>
  <c r="M120" i="32" s="1"/>
  <c r="CU128" i="32"/>
  <c r="CA128" i="32"/>
  <c r="M128" i="32" s="1"/>
  <c r="CU140" i="32"/>
  <c r="CA140" i="32"/>
  <c r="M140" i="32" s="1"/>
  <c r="CU148" i="32"/>
  <c r="CA148" i="32"/>
  <c r="M148" i="32" s="1"/>
  <c r="CY27" i="32"/>
  <c r="DA27" i="32"/>
  <c r="CD27" i="32"/>
  <c r="CG27" i="32"/>
  <c r="CH27" i="32"/>
  <c r="CX27" i="32"/>
  <c r="DB27" i="32"/>
  <c r="CI27" i="32"/>
  <c r="CZ27" i="32"/>
  <c r="DC27" i="32"/>
  <c r="CE27" i="32"/>
  <c r="CF27" i="32"/>
  <c r="CA27" i="32"/>
  <c r="CA121" i="32"/>
  <c r="M121" i="32" s="1"/>
  <c r="CU121" i="32"/>
  <c r="CA129" i="32"/>
  <c r="M129" i="32" s="1"/>
  <c r="CU129" i="32"/>
  <c r="B149" i="32"/>
  <c r="CA47" i="32"/>
  <c r="CC47" i="32"/>
  <c r="CB47" i="32"/>
  <c r="CU123" i="32"/>
  <c r="CA123" i="32"/>
  <c r="M123" i="32" s="1"/>
  <c r="CI30" i="32"/>
  <c r="CG30" i="32"/>
  <c r="DF30" i="32"/>
  <c r="CA30" i="32"/>
  <c r="CH30" i="32"/>
  <c r="DA30" i="32"/>
  <c r="DB30" i="32"/>
  <c r="DC30" i="32"/>
  <c r="CG25" i="32"/>
  <c r="CH25" i="32"/>
  <c r="CC25" i="32"/>
  <c r="CF25" i="32"/>
  <c r="DA25" i="32"/>
  <c r="CI25" i="32"/>
  <c r="CZ25" i="32"/>
  <c r="DB25" i="32"/>
  <c r="CA25" i="32"/>
  <c r="CY25" i="32"/>
  <c r="DC25" i="32"/>
  <c r="CE25" i="32"/>
  <c r="CZ26" i="32"/>
  <c r="DA26" i="32"/>
  <c r="CE26" i="32"/>
  <c r="CF26" i="32"/>
  <c r="CY26" i="32"/>
  <c r="DB26" i="32"/>
  <c r="CA26" i="32"/>
  <c r="CC26" i="32"/>
  <c r="DC26" i="32"/>
  <c r="CG26" i="32"/>
  <c r="CI26" i="32"/>
  <c r="CH26" i="32"/>
  <c r="CI28" i="32"/>
  <c r="DC28" i="32"/>
  <c r="CA28" i="32"/>
  <c r="CE28" i="32"/>
  <c r="DF28" i="32"/>
  <c r="CF28" i="32"/>
  <c r="DA28" i="32"/>
  <c r="DB28" i="32"/>
  <c r="CZ28" i="32"/>
  <c r="CG28" i="32"/>
  <c r="CY28" i="32"/>
  <c r="CH28" i="32"/>
  <c r="CX28" i="32"/>
  <c r="CD28" i="32"/>
  <c r="C50" i="32"/>
  <c r="C58" i="32"/>
  <c r="CA122" i="32"/>
  <c r="M122" i="32" s="1"/>
  <c r="CU122" i="32"/>
  <c r="B130" i="32"/>
  <c r="CA142" i="32"/>
  <c r="M142" i="32" s="1"/>
  <c r="CU142" i="32"/>
  <c r="AX96" i="29"/>
  <c r="C59" i="32"/>
  <c r="CV59" i="32" s="1"/>
  <c r="CA141" i="32"/>
  <c r="M141" i="32" s="1"/>
  <c r="CU141" i="32"/>
  <c r="CI13" i="32"/>
  <c r="CL13" i="32"/>
  <c r="CV13" i="32"/>
  <c r="CY13" i="32"/>
  <c r="CZ13" i="32"/>
  <c r="DA13" i="32"/>
  <c r="DB13" i="32"/>
  <c r="DC13" i="32"/>
  <c r="DF13" i="32"/>
  <c r="CA13" i="32"/>
  <c r="CB13" i="32"/>
  <c r="CE13" i="32"/>
  <c r="CF13" i="32"/>
  <c r="CG13" i="32"/>
  <c r="CH13" i="32"/>
  <c r="CU19" i="32"/>
  <c r="CU31" i="32"/>
  <c r="CU24" i="32"/>
  <c r="CW26" i="32"/>
  <c r="C46" i="32"/>
  <c r="C54" i="32"/>
  <c r="C61" i="32"/>
  <c r="C65" i="32"/>
  <c r="CU16" i="32"/>
  <c r="CU14" i="32"/>
  <c r="CU29" i="32"/>
  <c r="CU32" i="32"/>
  <c r="C51" i="32"/>
  <c r="CW25" i="32"/>
  <c r="CU25" i="32"/>
  <c r="CU13" i="32"/>
  <c r="CU20" i="32"/>
  <c r="CU22" i="32"/>
  <c r="CU21" i="32"/>
  <c r="CU27" i="32"/>
  <c r="C52" i="32"/>
  <c r="C63" i="32"/>
  <c r="CU26" i="32"/>
  <c r="CU12" i="32"/>
  <c r="CU15" i="32"/>
  <c r="CU30" i="32"/>
  <c r="CU17" i="32"/>
  <c r="CU18" i="32"/>
  <c r="CU28" i="32"/>
  <c r="C53" i="32"/>
  <c r="CG14" i="33"/>
  <c r="CF17" i="33"/>
  <c r="CV58" i="32"/>
  <c r="CV50" i="32"/>
  <c r="CU50" i="32"/>
  <c r="CU51" i="32"/>
  <c r="CV51" i="32"/>
  <c r="CU53" i="32"/>
  <c r="CV53" i="32"/>
  <c r="CU45" i="32"/>
  <c r="CV45" i="32"/>
  <c r="CU61" i="32"/>
  <c r="CV61" i="32"/>
  <c r="CW21" i="32"/>
  <c r="C62" i="32"/>
  <c r="CW20" i="32"/>
  <c r="CW23" i="32"/>
  <c r="C48" i="32"/>
  <c r="CU48" i="32" s="1"/>
  <c r="CW22" i="32"/>
  <c r="C49" i="32"/>
  <c r="C64" i="32"/>
  <c r="CU64" i="32" s="1"/>
  <c r="CU66" i="32"/>
  <c r="C57" i="32"/>
  <c r="CV54" i="32"/>
  <c r="CU54" i="32"/>
  <c r="CU46" i="32"/>
  <c r="CV52" i="32"/>
  <c r="CU52" i="32"/>
  <c r="CV60" i="32"/>
  <c r="CU60" i="32"/>
  <c r="CU56" i="32"/>
  <c r="CV56" i="32"/>
  <c r="CU49" i="32"/>
  <c r="CU47" i="32"/>
  <c r="CU55" i="32"/>
  <c r="CV47" i="32"/>
  <c r="CV55" i="32"/>
  <c r="CV63" i="32"/>
  <c r="CW24" i="32"/>
  <c r="CA65" i="32" l="1"/>
  <c r="CB65" i="32"/>
  <c r="CV64" i="32"/>
  <c r="CA61" i="32"/>
  <c r="AQ61" i="32" s="1"/>
  <c r="CB61" i="32"/>
  <c r="CB58" i="32"/>
  <c r="CA58" i="32"/>
  <c r="AQ58" i="32" s="1"/>
  <c r="AI26" i="32"/>
  <c r="CU57" i="32"/>
  <c r="CB57" i="32"/>
  <c r="CA57" i="32"/>
  <c r="AQ57" i="32" s="1"/>
  <c r="CV62" i="32"/>
  <c r="CB62" i="32"/>
  <c r="CA62" i="32"/>
  <c r="AQ62" i="32" s="1"/>
  <c r="CB53" i="32"/>
  <c r="CA53" i="32"/>
  <c r="AQ53" i="32" s="1"/>
  <c r="CB63" i="32"/>
  <c r="CA63" i="32"/>
  <c r="CB54" i="32"/>
  <c r="CA54" i="32"/>
  <c r="AQ54" i="32" s="1"/>
  <c r="CB50" i="32"/>
  <c r="CA50" i="32"/>
  <c r="AQ50" i="32" s="1"/>
  <c r="CA45" i="32"/>
  <c r="CB45" i="32"/>
  <c r="CC45" i="32"/>
  <c r="CW45" i="32"/>
  <c r="CV65" i="32"/>
  <c r="CA52" i="32"/>
  <c r="AQ52" i="32" s="1"/>
  <c r="CB52" i="32"/>
  <c r="CA51" i="32"/>
  <c r="AQ51" i="32" s="1"/>
  <c r="CB51" i="32"/>
  <c r="CC46" i="32"/>
  <c r="CB46" i="32"/>
  <c r="CA46" i="32"/>
  <c r="CW46" i="32"/>
  <c r="AI30" i="32"/>
  <c r="CB60" i="32"/>
  <c r="CA60" i="32"/>
  <c r="AQ60" i="32" s="1"/>
  <c r="AQ55" i="32"/>
  <c r="CA56" i="32"/>
  <c r="AQ56" i="32" s="1"/>
  <c r="CB56" i="32"/>
  <c r="CB49" i="32"/>
  <c r="CA49" i="32"/>
  <c r="AQ49" i="32" s="1"/>
  <c r="AI28" i="32"/>
  <c r="AI25" i="32"/>
  <c r="CU63" i="32"/>
  <c r="CV46" i="32"/>
  <c r="CU58" i="32"/>
  <c r="AQ47" i="32"/>
  <c r="AI32" i="32"/>
  <c r="AI29" i="32"/>
  <c r="CU65" i="32"/>
  <c r="CA64" i="32"/>
  <c r="CB64" i="32"/>
  <c r="CU62" i="32"/>
  <c r="CV48" i="32"/>
  <c r="CA48" i="32"/>
  <c r="CB48" i="32"/>
  <c r="AI27" i="32"/>
  <c r="AI31" i="32"/>
  <c r="CU59" i="32"/>
  <c r="CA59" i="32"/>
  <c r="CB59" i="32"/>
  <c r="AI13" i="32"/>
  <c r="CV57" i="32"/>
  <c r="CG12" i="33"/>
  <c r="CV49" i="32"/>
  <c r="AQ59" i="32" l="1"/>
  <c r="AQ45" i="32"/>
  <c r="AQ64" i="32"/>
  <c r="AQ46" i="32"/>
  <c r="AQ63" i="32"/>
  <c r="AQ48" i="32"/>
  <c r="AQ65" i="32"/>
  <c r="B123" i="36"/>
  <c r="B122" i="36"/>
  <c r="B121" i="36"/>
  <c r="B120" i="36"/>
  <c r="B119" i="36"/>
  <c r="B118" i="36"/>
  <c r="D123" i="36"/>
  <c r="D122" i="36"/>
  <c r="D121" i="36"/>
  <c r="D120" i="36"/>
  <c r="D119" i="36"/>
  <c r="D118" i="36"/>
  <c r="C123" i="36"/>
  <c r="C122" i="36"/>
  <c r="C121" i="36"/>
  <c r="C120" i="36"/>
  <c r="C119" i="36"/>
  <c r="C118" i="36"/>
  <c r="B113" i="36"/>
  <c r="B112" i="36"/>
  <c r="B111" i="36"/>
  <c r="B109" i="36"/>
  <c r="B101" i="36"/>
  <c r="B105" i="36"/>
  <c r="B104" i="36"/>
  <c r="B103" i="36"/>
  <c r="B102" i="36"/>
  <c r="B100" i="36"/>
  <c r="D63" i="29" l="1"/>
  <c r="E63" i="29"/>
  <c r="F63" i="29"/>
  <c r="G63" i="29"/>
  <c r="H63" i="29"/>
  <c r="I63" i="29"/>
  <c r="J63" i="29"/>
  <c r="K63" i="29"/>
  <c r="L63" i="29"/>
  <c r="M63" i="29"/>
  <c r="O63" i="29"/>
  <c r="P63" i="29"/>
  <c r="Q63" i="29"/>
  <c r="R63" i="29"/>
  <c r="C65" i="29"/>
  <c r="C66" i="29"/>
  <c r="C67" i="29"/>
  <c r="C68" i="29"/>
  <c r="C69" i="29"/>
  <c r="C70" i="29"/>
  <c r="C71" i="29"/>
  <c r="C72" i="29"/>
  <c r="C76" i="29"/>
  <c r="C77" i="29"/>
  <c r="C78" i="29"/>
  <c r="C80" i="29"/>
  <c r="C81" i="29"/>
  <c r="C82" i="29"/>
  <c r="CA74" i="29" l="1"/>
  <c r="CB74" i="29"/>
  <c r="CA80" i="29"/>
  <c r="CB80" i="29"/>
  <c r="CA66" i="29"/>
  <c r="CB66" i="29"/>
  <c r="S66" i="29" s="1"/>
  <c r="CB73" i="29"/>
  <c r="CA73" i="29"/>
  <c r="CB72" i="29"/>
  <c r="CA72" i="29"/>
  <c r="CA71" i="29"/>
  <c r="CB71" i="29"/>
  <c r="CA70" i="29"/>
  <c r="CB70" i="29"/>
  <c r="CA82" i="29"/>
  <c r="CB82" i="29"/>
  <c r="CA81" i="29"/>
  <c r="CB81" i="29"/>
  <c r="CA79" i="29"/>
  <c r="CB79" i="29"/>
  <c r="CB77" i="29"/>
  <c r="CA77" i="29"/>
  <c r="CA69" i="29"/>
  <c r="CB69" i="29"/>
  <c r="CP65" i="29"/>
  <c r="CA65" i="29"/>
  <c r="CB65" i="29"/>
  <c r="CA78" i="29"/>
  <c r="CB78" i="29"/>
  <c r="CA76" i="29"/>
  <c r="CB76" i="29"/>
  <c r="CB68" i="29"/>
  <c r="CA68" i="29"/>
  <c r="CA75" i="29"/>
  <c r="CB75" i="29"/>
  <c r="CA67" i="29"/>
  <c r="CB67" i="29"/>
  <c r="CA83" i="29"/>
  <c r="CB83" i="29"/>
  <c r="CP77" i="29"/>
  <c r="CO77" i="29"/>
  <c r="CP82" i="29"/>
  <c r="CO65" i="29"/>
  <c r="CP70" i="29"/>
  <c r="CP81" i="29"/>
  <c r="CO70" i="29"/>
  <c r="CP79" i="29"/>
  <c r="CO74" i="29"/>
  <c r="CP69" i="29"/>
  <c r="CP75" i="29"/>
  <c r="CP67" i="29"/>
  <c r="CP64" i="29"/>
  <c r="CO69" i="29"/>
  <c r="CP83" i="29"/>
  <c r="CO78" i="29"/>
  <c r="CP73" i="29"/>
  <c r="CP71" i="29"/>
  <c r="CP66" i="29"/>
  <c r="CO81" i="29"/>
  <c r="CP78" i="29"/>
  <c r="CO73" i="29"/>
  <c r="CO66" i="29"/>
  <c r="CO82" i="29"/>
  <c r="CP74" i="29"/>
  <c r="C63" i="29"/>
  <c r="CO83" i="29"/>
  <c r="CO79" i="29"/>
  <c r="CO75" i="29"/>
  <c r="CO71" i="29"/>
  <c r="CO67" i="29"/>
  <c r="CP80" i="29"/>
  <c r="CP76" i="29"/>
  <c r="CP72" i="29"/>
  <c r="CP68" i="29"/>
  <c r="CO80" i="29"/>
  <c r="CO76" i="29"/>
  <c r="CO72" i="29"/>
  <c r="CO68" i="29"/>
  <c r="S80" i="29"/>
  <c r="S70" i="29" l="1"/>
  <c r="S73" i="29"/>
  <c r="S82" i="29"/>
  <c r="S77" i="29"/>
  <c r="S75" i="29"/>
  <c r="S69" i="29"/>
  <c r="S78" i="29"/>
  <c r="S72" i="29"/>
  <c r="S79" i="29"/>
  <c r="S71" i="29"/>
  <c r="S81" i="29"/>
  <c r="S76" i="29"/>
  <c r="S67" i="29"/>
  <c r="S74" i="29"/>
  <c r="S68" i="29"/>
  <c r="S83" i="29"/>
  <c r="S65" i="29"/>
  <c r="V176" i="28"/>
  <c r="W176" i="28"/>
  <c r="W183" i="28"/>
  <c r="V183" i="28"/>
  <c r="D183" i="28"/>
  <c r="W182" i="28"/>
  <c r="N182" i="28"/>
  <c r="L182" i="28" s="1"/>
  <c r="E182" i="28"/>
  <c r="D182" i="28"/>
  <c r="W181" i="28"/>
  <c r="V181" i="28"/>
  <c r="E181" i="28"/>
  <c r="D181" i="28"/>
  <c r="W180" i="28"/>
  <c r="V180" i="28"/>
  <c r="E180" i="28"/>
  <c r="D180" i="28"/>
  <c r="W179" i="28"/>
  <c r="V179" i="28"/>
  <c r="E179" i="28"/>
  <c r="D179" i="28"/>
  <c r="W178" i="28"/>
  <c r="V178" i="28"/>
  <c r="N178" i="28"/>
  <c r="M178" i="28"/>
  <c r="E178" i="28"/>
  <c r="D178" i="28"/>
  <c r="W177" i="28"/>
  <c r="V177" i="28"/>
  <c r="E177" i="28"/>
  <c r="D177" i="28"/>
  <c r="N176" i="28"/>
  <c r="M176" i="28"/>
  <c r="E176" i="28"/>
  <c r="D176" i="28"/>
  <c r="C179" i="28" l="1"/>
  <c r="C181" i="28"/>
  <c r="U182" i="28"/>
  <c r="U178" i="28"/>
  <c r="C182" i="28"/>
  <c r="U183" i="28"/>
  <c r="C176" i="28"/>
  <c r="B176" i="28" s="1"/>
  <c r="C183" i="28"/>
  <c r="C177" i="28"/>
  <c r="C180" i="28"/>
  <c r="L178" i="28"/>
  <c r="U179" i="28"/>
  <c r="B179" i="28" s="1"/>
  <c r="U181" i="28"/>
  <c r="U180" i="28"/>
  <c r="L180" i="28"/>
  <c r="U177" i="28"/>
  <c r="L176" i="28"/>
  <c r="C178" i="28"/>
  <c r="U176" i="28"/>
  <c r="D382" i="29"/>
  <c r="C382" i="29"/>
  <c r="D379" i="29"/>
  <c r="C379" i="29"/>
  <c r="D378" i="29"/>
  <c r="C378" i="29"/>
  <c r="D376" i="29"/>
  <c r="C376" i="29"/>
  <c r="D375" i="29"/>
  <c r="C375" i="29"/>
  <c r="D372" i="29"/>
  <c r="C372" i="29"/>
  <c r="BO176" i="28" l="1"/>
  <c r="BU176" i="28"/>
  <c r="BV176" i="28"/>
  <c r="BP176" i="28"/>
  <c r="BO179" i="28"/>
  <c r="BP179" i="28"/>
  <c r="BU179" i="28"/>
  <c r="BV179" i="28"/>
  <c r="B183" i="28"/>
  <c r="B177" i="28"/>
  <c r="B181" i="28"/>
  <c r="B182" i="28"/>
  <c r="B178" i="28"/>
  <c r="B180" i="28"/>
  <c r="B376" i="29"/>
  <c r="B375" i="29"/>
  <c r="B378" i="29"/>
  <c r="B379" i="29"/>
  <c r="B381" i="29"/>
  <c r="B372" i="29"/>
  <c r="B382" i="29"/>
  <c r="C13" i="29"/>
  <c r="C14" i="29"/>
  <c r="C12" i="29"/>
  <c r="AF179" i="28" l="1"/>
  <c r="BO182" i="28"/>
  <c r="BP182" i="28"/>
  <c r="BU182" i="28"/>
  <c r="BV182" i="28"/>
  <c r="BU180" i="28"/>
  <c r="BO180" i="28"/>
  <c r="BV180" i="28"/>
  <c r="BP180" i="28"/>
  <c r="BU181" i="28"/>
  <c r="BV181" i="28"/>
  <c r="BO181" i="28"/>
  <c r="BP181" i="28"/>
  <c r="AF181" i="28" s="1"/>
  <c r="BO183" i="28"/>
  <c r="BP183" i="28"/>
  <c r="BU183" i="28"/>
  <c r="BV183" i="28"/>
  <c r="BO178" i="28"/>
  <c r="BP178" i="28"/>
  <c r="AF178" i="28" s="1"/>
  <c r="BV178" i="28"/>
  <c r="BU178" i="28"/>
  <c r="BU177" i="28"/>
  <c r="BV177" i="28"/>
  <c r="BO177" i="28"/>
  <c r="BP177" i="28"/>
  <c r="AF176" i="28"/>
  <c r="CB372" i="29"/>
  <c r="CA372" i="29"/>
  <c r="CA14" i="29"/>
  <c r="CS14" i="29"/>
  <c r="CB14" i="29"/>
  <c r="CC14" i="29"/>
  <c r="CH14" i="29"/>
  <c r="CD14" i="29"/>
  <c r="CE14" i="29"/>
  <c r="CO14" i="29"/>
  <c r="CF14" i="29"/>
  <c r="CP14" i="29"/>
  <c r="CG14" i="29"/>
  <c r="CQ14" i="29"/>
  <c r="CT14" i="29"/>
  <c r="CU14" i="29"/>
  <c r="CV14" i="29"/>
  <c r="CU13" i="29"/>
  <c r="CV13" i="29"/>
  <c r="CS13" i="29"/>
  <c r="CC13" i="29"/>
  <c r="CG13" i="29"/>
  <c r="CO13" i="29"/>
  <c r="CB13" i="29"/>
  <c r="CA13" i="29"/>
  <c r="CD13" i="29"/>
  <c r="CP13" i="29"/>
  <c r="CE13" i="29"/>
  <c r="CQ13" i="29"/>
  <c r="CF13" i="29"/>
  <c r="CH13" i="29"/>
  <c r="CT13" i="29"/>
  <c r="CA12" i="29"/>
  <c r="CO12" i="29"/>
  <c r="CB12" i="29"/>
  <c r="CP12" i="29"/>
  <c r="CC12" i="29"/>
  <c r="CQ12" i="29"/>
  <c r="CD12" i="29"/>
  <c r="CE12" i="29"/>
  <c r="CS12" i="29"/>
  <c r="CF12" i="29"/>
  <c r="CT12" i="29"/>
  <c r="CG12" i="29"/>
  <c r="CU12" i="29"/>
  <c r="CH12" i="29"/>
  <c r="CV12" i="29"/>
  <c r="CP378" i="29"/>
  <c r="CO378" i="29"/>
  <c r="CB378" i="29"/>
  <c r="CA378" i="29"/>
  <c r="CP381" i="29"/>
  <c r="CO381" i="29"/>
  <c r="CB381" i="29"/>
  <c r="CA381" i="29"/>
  <c r="CP376" i="29"/>
  <c r="CO376" i="29"/>
  <c r="CB376" i="29"/>
  <c r="CA376" i="29"/>
  <c r="AT376" i="29" s="1"/>
  <c r="CP379" i="29"/>
  <c r="CO379" i="29"/>
  <c r="CB379" i="29"/>
  <c r="CA379" i="29"/>
  <c r="CP375" i="29"/>
  <c r="CO375" i="29"/>
  <c r="CB375" i="29"/>
  <c r="CA375" i="29"/>
  <c r="AT375" i="29" s="1"/>
  <c r="CP382" i="29"/>
  <c r="CO382" i="29"/>
  <c r="CB382" i="29"/>
  <c r="CA382" i="29"/>
  <c r="CP372" i="29"/>
  <c r="CO372" i="29"/>
  <c r="AT379" i="29" l="1"/>
  <c r="AT378" i="29"/>
  <c r="AF182" i="28"/>
  <c r="AT382" i="29"/>
  <c r="AT381" i="29"/>
  <c r="Y12" i="29"/>
  <c r="AF180" i="28"/>
  <c r="AF183" i="28"/>
  <c r="AF177" i="28"/>
  <c r="Y14" i="29"/>
  <c r="Y13" i="29"/>
  <c r="AT372" i="29"/>
  <c r="O54" i="28"/>
  <c r="O53" i="28"/>
  <c r="N54" i="28"/>
  <c r="N53" i="28"/>
  <c r="D53" i="28"/>
  <c r="D54" i="28"/>
  <c r="C54" i="28"/>
  <c r="C53" i="28"/>
  <c r="B53" i="28" l="1"/>
  <c r="M53" i="28"/>
  <c r="M54" i="28"/>
  <c r="B54" i="28"/>
  <c r="D33" i="28"/>
  <c r="V142" i="19"/>
  <c r="U142" i="19"/>
  <c r="T142" i="19"/>
  <c r="S142" i="19"/>
  <c r="V130" i="19"/>
  <c r="U130" i="19"/>
  <c r="T130" i="19"/>
  <c r="S130" i="19"/>
  <c r="V84" i="19"/>
  <c r="U84" i="19"/>
  <c r="T84" i="19"/>
  <c r="S84" i="19"/>
  <c r="T73" i="19"/>
  <c r="S73" i="19"/>
  <c r="V73" i="19"/>
  <c r="U73" i="19"/>
  <c r="T66" i="19"/>
  <c r="S66" i="19"/>
  <c r="V66" i="19"/>
  <c r="U66" i="19"/>
  <c r="W41" i="19"/>
  <c r="V41" i="19"/>
  <c r="U41" i="19"/>
  <c r="T41" i="19"/>
  <c r="V23" i="19"/>
  <c r="U23" i="19"/>
  <c r="T23" i="19"/>
  <c r="S23" i="19"/>
  <c r="BQ53" i="28" l="1"/>
  <c r="BP53" i="28"/>
  <c r="BO53" i="28"/>
  <c r="BU54" i="28"/>
  <c r="BV54" i="28"/>
  <c r="BW54" i="28"/>
  <c r="BO54" i="28"/>
  <c r="BP54" i="28"/>
  <c r="BQ54" i="28"/>
  <c r="BW53" i="28"/>
  <c r="BV53" i="28"/>
  <c r="BU53" i="28"/>
  <c r="B33" i="28"/>
  <c r="AD54" i="28" l="1"/>
  <c r="AD53" i="28"/>
  <c r="BQ33" i="28"/>
  <c r="BR33" i="28"/>
  <c r="BS33" i="28"/>
  <c r="BU33" i="28"/>
  <c r="BV33" i="28"/>
  <c r="BW33" i="28"/>
  <c r="BO33" i="28"/>
  <c r="BX33" i="28"/>
  <c r="BP33" i="28"/>
  <c r="BY33" i="28"/>
  <c r="DM140" i="47"/>
  <c r="DM139" i="47"/>
  <c r="DM138" i="47"/>
  <c r="DM135" i="47"/>
  <c r="DM131" i="47"/>
  <c r="DM118" i="47"/>
  <c r="DM117" i="47"/>
  <c r="DM116" i="47"/>
  <c r="DM113" i="47"/>
  <c r="DM109" i="47"/>
  <c r="DM96" i="47"/>
  <c r="DM95" i="47"/>
  <c r="DM94" i="47"/>
  <c r="DM91" i="47"/>
  <c r="DM87" i="47"/>
  <c r="DM74" i="47"/>
  <c r="DM73" i="47"/>
  <c r="DM72" i="47"/>
  <c r="DM69" i="47"/>
  <c r="DM65" i="47"/>
  <c r="DM52" i="47"/>
  <c r="DM51" i="47"/>
  <c r="DM50" i="47"/>
  <c r="DM47" i="47"/>
  <c r="DM29" i="47"/>
  <c r="DM30" i="47"/>
  <c r="DM28" i="47"/>
  <c r="DM25" i="47"/>
  <c r="DM21" i="47"/>
  <c r="DM43" i="47"/>
  <c r="AT33" i="28" l="1"/>
  <c r="DZ210" i="47"/>
  <c r="DZ209" i="47"/>
  <c r="DZ208" i="47"/>
  <c r="DZ207" i="47"/>
  <c r="DZ206" i="47"/>
  <c r="DZ205" i="47"/>
  <c r="DZ204" i="47"/>
  <c r="DZ203" i="47"/>
  <c r="DZ202" i="47"/>
  <c r="DZ201" i="47"/>
  <c r="DZ200" i="47"/>
  <c r="DZ189" i="47"/>
  <c r="DZ190" i="47"/>
  <c r="DZ191" i="47"/>
  <c r="DZ192" i="47"/>
  <c r="DZ193" i="47"/>
  <c r="DZ194" i="47"/>
  <c r="DZ195" i="47"/>
  <c r="DZ196" i="47"/>
  <c r="DZ188" i="47"/>
  <c r="DY210" i="47"/>
  <c r="DY209" i="47"/>
  <c r="DY208" i="47"/>
  <c r="DY207" i="47"/>
  <c r="DY206" i="47"/>
  <c r="DY205" i="47"/>
  <c r="DY204" i="47"/>
  <c r="DY203" i="47"/>
  <c r="DY202" i="47"/>
  <c r="DY201" i="47"/>
  <c r="DY200" i="47"/>
  <c r="DY189" i="47"/>
  <c r="DY190" i="47"/>
  <c r="DY191" i="47"/>
  <c r="DY192" i="47"/>
  <c r="DY193" i="47"/>
  <c r="DY194" i="47"/>
  <c r="DY195" i="47"/>
  <c r="DY196" i="47"/>
  <c r="CG30" i="47"/>
  <c r="CF30" i="47"/>
  <c r="EA238" i="47" l="1"/>
  <c r="EB238" i="47"/>
  <c r="EA239" i="47"/>
  <c r="EB239" i="47"/>
  <c r="EA240" i="47"/>
  <c r="EB240" i="47"/>
  <c r="EA241" i="47"/>
  <c r="EB241" i="47"/>
  <c r="EA242" i="47"/>
  <c r="EB242" i="47"/>
  <c r="EA243" i="47"/>
  <c r="EB243" i="47"/>
  <c r="EA244" i="47"/>
  <c r="EB244" i="47"/>
  <c r="EA245" i="47"/>
  <c r="EB245" i="47"/>
  <c r="EA246" i="47"/>
  <c r="EB246" i="47"/>
  <c r="EA247" i="47"/>
  <c r="EB247" i="47"/>
  <c r="EA248" i="47"/>
  <c r="EB248" i="47"/>
  <c r="EA249" i="47"/>
  <c r="EB249" i="47"/>
  <c r="EA250" i="47"/>
  <c r="EB250" i="47"/>
  <c r="EA251" i="47"/>
  <c r="EB251" i="47"/>
  <c r="EA252" i="47"/>
  <c r="EB252" i="47"/>
  <c r="EA253" i="47"/>
  <c r="EB253" i="47"/>
  <c r="EA254" i="47"/>
  <c r="EB254" i="47"/>
  <c r="EA255" i="47"/>
  <c r="EB255" i="47"/>
  <c r="EA256" i="47"/>
  <c r="EB256" i="47"/>
  <c r="EA257" i="47"/>
  <c r="EB257" i="47"/>
  <c r="EA258" i="47"/>
  <c r="EB258" i="47"/>
  <c r="EA259" i="47"/>
  <c r="EB259" i="47"/>
  <c r="CA96" i="36" l="1"/>
  <c r="CA95" i="36"/>
  <c r="CA92" i="36"/>
  <c r="CA91" i="36"/>
  <c r="CA57" i="36"/>
  <c r="CA58" i="36"/>
  <c r="CA59" i="36"/>
  <c r="CA56" i="36"/>
  <c r="CA51" i="36"/>
  <c r="CA52" i="36"/>
  <c r="CA53" i="36"/>
  <c r="CA50" i="36"/>
  <c r="CA36" i="36"/>
  <c r="CA35" i="36"/>
  <c r="CA23" i="36"/>
  <c r="CA22" i="36"/>
  <c r="CV38" i="32" l="1"/>
  <c r="BQ64" i="28" l="1"/>
  <c r="BQ63" i="28"/>
  <c r="BQ61" i="28"/>
  <c r="BQ60" i="28"/>
  <c r="B60" i="28"/>
  <c r="B130" i="45"/>
  <c r="DH210" i="47" l="1"/>
  <c r="DG210" i="47"/>
  <c r="CC210" i="47"/>
  <c r="CB210" i="47"/>
  <c r="DH209" i="47"/>
  <c r="DG209" i="47"/>
  <c r="CC209" i="47"/>
  <c r="CB209" i="47"/>
  <c r="DH208" i="47"/>
  <c r="DG208" i="47"/>
  <c r="CC208" i="47"/>
  <c r="CB208" i="47"/>
  <c r="DH207" i="47"/>
  <c r="DG207" i="47"/>
  <c r="CC207" i="47"/>
  <c r="CB207" i="47"/>
  <c r="DH206" i="47"/>
  <c r="DG206" i="47"/>
  <c r="CC206" i="47"/>
  <c r="CB206" i="47"/>
  <c r="DH205" i="47"/>
  <c r="DG205" i="47"/>
  <c r="CC205" i="47"/>
  <c r="CB205" i="47"/>
  <c r="DH204" i="47"/>
  <c r="DG204" i="47"/>
  <c r="CC204" i="47"/>
  <c r="CB204" i="47"/>
  <c r="DH203" i="47"/>
  <c r="DG203" i="47"/>
  <c r="CC203" i="47"/>
  <c r="CB203" i="47"/>
  <c r="DH202" i="47"/>
  <c r="DG202" i="47"/>
  <c r="CC202" i="47"/>
  <c r="CB202" i="47"/>
  <c r="DH201" i="47"/>
  <c r="DG201" i="47"/>
  <c r="CC201" i="47"/>
  <c r="CB201" i="47"/>
  <c r="DH200" i="47"/>
  <c r="DG200" i="47"/>
  <c r="CC200" i="47"/>
  <c r="CB200" i="47"/>
  <c r="DH199" i="47"/>
  <c r="DG199" i="47"/>
  <c r="CC199" i="47"/>
  <c r="CB199" i="47"/>
  <c r="DH198" i="47"/>
  <c r="DG198" i="47"/>
  <c r="CC198" i="47"/>
  <c r="CB198" i="47"/>
  <c r="DH197" i="47"/>
  <c r="DG197" i="47"/>
  <c r="CC197" i="47"/>
  <c r="CB197" i="47"/>
  <c r="DH196" i="47"/>
  <c r="DG196" i="47"/>
  <c r="CC196" i="47"/>
  <c r="CB196" i="47"/>
  <c r="DH195" i="47"/>
  <c r="DG195" i="47"/>
  <c r="CC195" i="47"/>
  <c r="CB195" i="47"/>
  <c r="DH194" i="47"/>
  <c r="DG194" i="47"/>
  <c r="CC194" i="47"/>
  <c r="CB194" i="47"/>
  <c r="DH193" i="47"/>
  <c r="DG193" i="47"/>
  <c r="CC193" i="47"/>
  <c r="CB193" i="47"/>
  <c r="DH192" i="47"/>
  <c r="DG192" i="47"/>
  <c r="CC192" i="47"/>
  <c r="CB192" i="47"/>
  <c r="DH191" i="47"/>
  <c r="DG191" i="47"/>
  <c r="CC191" i="47"/>
  <c r="CB191" i="47"/>
  <c r="DH190" i="47"/>
  <c r="CC190" i="47"/>
  <c r="DH189" i="47"/>
  <c r="CC189" i="47"/>
  <c r="DH188" i="47"/>
  <c r="CC188" i="47"/>
  <c r="C146" i="28"/>
  <c r="CA308" i="29"/>
  <c r="CA309" i="29"/>
  <c r="CA310" i="29"/>
  <c r="CA311" i="29"/>
  <c r="CA312" i="29"/>
  <c r="CA313" i="29"/>
  <c r="CA314" i="29"/>
  <c r="CA315" i="29"/>
  <c r="CA317" i="29"/>
  <c r="CA318" i="29"/>
  <c r="CA319" i="29"/>
  <c r="CA320" i="29"/>
  <c r="CA321" i="29"/>
  <c r="CA322" i="29"/>
  <c r="CA323" i="29"/>
  <c r="CA324" i="29"/>
  <c r="D184" i="29"/>
  <c r="BW146" i="28" l="1"/>
  <c r="BV146" i="28"/>
  <c r="BU146" i="28"/>
  <c r="BO146" i="28"/>
  <c r="BR146" i="28"/>
  <c r="CO19" i="29"/>
  <c r="CO20" i="29"/>
  <c r="CO21" i="29"/>
  <c r="CO22" i="29"/>
  <c r="CO23" i="29"/>
  <c r="CO24" i="29"/>
  <c r="CO25" i="29"/>
  <c r="CO26" i="29"/>
  <c r="CO27" i="29"/>
  <c r="CO28" i="29"/>
  <c r="CO29" i="29"/>
  <c r="CO30" i="29"/>
  <c r="CO31" i="29"/>
  <c r="CC18" i="29"/>
  <c r="CB18" i="29"/>
  <c r="CV37" i="32"/>
  <c r="CW37" i="32"/>
  <c r="G27" i="29" l="1"/>
  <c r="G29" i="29"/>
  <c r="G20" i="29"/>
  <c r="G28" i="29"/>
  <c r="G19" i="29"/>
  <c r="G22" i="29"/>
  <c r="G31" i="29"/>
  <c r="G25" i="29"/>
  <c r="G23" i="29"/>
  <c r="G30" i="29"/>
  <c r="G24" i="29"/>
  <c r="G26" i="29"/>
  <c r="G21" i="29"/>
  <c r="G18" i="29"/>
  <c r="CO324" i="29" l="1"/>
  <c r="CO323" i="29"/>
  <c r="CO322" i="29"/>
  <c r="CO321" i="29"/>
  <c r="CO320" i="29"/>
  <c r="CO319" i="29"/>
  <c r="CO318" i="29"/>
  <c r="CO317" i="29"/>
  <c r="CO316" i="29"/>
  <c r="CO315" i="29"/>
  <c r="CO314" i="29"/>
  <c r="CO313" i="29"/>
  <c r="CO312" i="29"/>
  <c r="CO311" i="29"/>
  <c r="CO310" i="29"/>
  <c r="CO309" i="29"/>
  <c r="CO308" i="29"/>
  <c r="CR260" i="29"/>
  <c r="CN12" i="46" l="1"/>
  <c r="BW64" i="28" l="1"/>
  <c r="BW63" i="28"/>
  <c r="BW61" i="28"/>
  <c r="BW60" i="28"/>
  <c r="CH96" i="36" l="1"/>
  <c r="CG96" i="36"/>
  <c r="CH95" i="36"/>
  <c r="CG95" i="36"/>
  <c r="CB96" i="36"/>
  <c r="CB95" i="36"/>
  <c r="CH92" i="36"/>
  <c r="CH91" i="36"/>
  <c r="CG92" i="36"/>
  <c r="CG91" i="36"/>
  <c r="CB92" i="36"/>
  <c r="CB91" i="36"/>
  <c r="CH57" i="36"/>
  <c r="CH58" i="36"/>
  <c r="CH59" i="36"/>
  <c r="CH56" i="36"/>
  <c r="CG57" i="36"/>
  <c r="CG58" i="36"/>
  <c r="CG59" i="36"/>
  <c r="CG56" i="36"/>
  <c r="CB57" i="36"/>
  <c r="CB58" i="36"/>
  <c r="CB59" i="36"/>
  <c r="CB56" i="36"/>
  <c r="CH51" i="36"/>
  <c r="CH52" i="36"/>
  <c r="CH53" i="36"/>
  <c r="CH50" i="36"/>
  <c r="CG51" i="36"/>
  <c r="CG52" i="36"/>
  <c r="CG53" i="36"/>
  <c r="CG50" i="36"/>
  <c r="CB51" i="36"/>
  <c r="CB52" i="36"/>
  <c r="CB53" i="36"/>
  <c r="CB50" i="36"/>
  <c r="CH36" i="36"/>
  <c r="CH35" i="36"/>
  <c r="CG36" i="36"/>
  <c r="CG35" i="36"/>
  <c r="CB36" i="36"/>
  <c r="E36" i="36" s="1"/>
  <c r="CB35" i="36"/>
  <c r="E35" i="36" s="1"/>
  <c r="CH23" i="36"/>
  <c r="CH22" i="36"/>
  <c r="CG23" i="36"/>
  <c r="CG22" i="36"/>
  <c r="CB23" i="36"/>
  <c r="CB22" i="36"/>
  <c r="CO307" i="29" l="1"/>
  <c r="CQ19" i="29" l="1"/>
  <c r="CQ20" i="29"/>
  <c r="CQ21" i="29"/>
  <c r="CQ22" i="29"/>
  <c r="CQ23" i="29"/>
  <c r="CQ24" i="29"/>
  <c r="CQ25" i="29"/>
  <c r="CQ26" i="29"/>
  <c r="CQ27" i="29"/>
  <c r="CQ28" i="29"/>
  <c r="CQ29" i="29"/>
  <c r="CQ30" i="29"/>
  <c r="CQ31" i="29"/>
  <c r="CP19" i="29"/>
  <c r="CP20" i="29"/>
  <c r="CP21" i="29"/>
  <c r="CP22" i="29"/>
  <c r="CP23" i="29"/>
  <c r="CP24" i="29"/>
  <c r="CP25" i="29"/>
  <c r="CP26" i="29"/>
  <c r="CP27" i="29"/>
  <c r="CP28" i="29"/>
  <c r="CP29" i="29"/>
  <c r="CP30" i="29"/>
  <c r="CP31" i="29"/>
  <c r="DG153" i="47" l="1"/>
  <c r="DG154" i="47"/>
  <c r="DG155" i="47"/>
  <c r="DG156" i="47"/>
  <c r="DG152" i="47"/>
  <c r="DG145" i="47"/>
  <c r="DG146" i="47"/>
  <c r="DG147" i="47"/>
  <c r="DG148" i="47"/>
  <c r="E57" i="36" l="1"/>
  <c r="E58" i="36"/>
  <c r="E59" i="36"/>
  <c r="E51" i="36"/>
  <c r="E52" i="36"/>
  <c r="E53" i="36"/>
  <c r="E23" i="36"/>
  <c r="N14" i="36"/>
  <c r="N17" i="36"/>
  <c r="E91" i="36" l="1"/>
  <c r="E96" i="36"/>
  <c r="E56" i="36"/>
  <c r="E92" i="36"/>
  <c r="E95" i="36"/>
  <c r="E50" i="36"/>
  <c r="E22" i="36"/>
  <c r="A5" i="23" l="1"/>
  <c r="A5" i="41"/>
  <c r="A5" i="48"/>
  <c r="A5" i="31"/>
  <c r="A5" i="27"/>
  <c r="A5" i="19"/>
  <c r="A5" i="36"/>
  <c r="A5" i="47"/>
  <c r="A5" i="13"/>
  <c r="A5" i="46"/>
  <c r="A5" i="45"/>
  <c r="A5" i="29"/>
  <c r="A5" i="28"/>
  <c r="A5" i="34"/>
  <c r="A5" i="33"/>
  <c r="A5" i="32"/>
  <c r="C13" i="48" l="1"/>
  <c r="D13" i="48"/>
  <c r="C14" i="48"/>
  <c r="D14" i="48"/>
  <c r="C15" i="48"/>
  <c r="D15" i="48"/>
  <c r="C16" i="48"/>
  <c r="D16" i="48"/>
  <c r="C17" i="48"/>
  <c r="D17" i="48"/>
  <c r="C18" i="48"/>
  <c r="D18" i="48"/>
  <c r="E19" i="48"/>
  <c r="F19" i="48"/>
  <c r="G19" i="48"/>
  <c r="H19" i="48"/>
  <c r="I19" i="48"/>
  <c r="J19" i="48"/>
  <c r="K19" i="48"/>
  <c r="L19" i="48"/>
  <c r="M19" i="48"/>
  <c r="N19" i="48"/>
  <c r="O19" i="48"/>
  <c r="P19" i="48"/>
  <c r="Q19" i="48"/>
  <c r="R19" i="48"/>
  <c r="S19" i="48"/>
  <c r="T19" i="48"/>
  <c r="U19" i="48"/>
  <c r="V19" i="48"/>
  <c r="W19" i="48"/>
  <c r="X19" i="48"/>
  <c r="Y19" i="48"/>
  <c r="Z19" i="48"/>
  <c r="AA19" i="48"/>
  <c r="AB19" i="48"/>
  <c r="AC19" i="48"/>
  <c r="AD19" i="48"/>
  <c r="AE19" i="48"/>
  <c r="AF19" i="48"/>
  <c r="AG19" i="48"/>
  <c r="AH19" i="48"/>
  <c r="AI19" i="48"/>
  <c r="AJ19" i="48"/>
  <c r="AK19" i="48"/>
  <c r="AL19" i="48"/>
  <c r="AM19" i="48"/>
  <c r="AN19" i="48"/>
  <c r="AO19" i="48"/>
  <c r="AP19" i="48"/>
  <c r="AQ19" i="48"/>
  <c r="AR19" i="48"/>
  <c r="AS19" i="48"/>
  <c r="C20" i="48"/>
  <c r="D20" i="48"/>
  <c r="C21" i="48"/>
  <c r="D21" i="48"/>
  <c r="C22" i="48"/>
  <c r="D22" i="48"/>
  <c r="C23" i="48"/>
  <c r="D23" i="48"/>
  <c r="C24" i="48"/>
  <c r="D24" i="48"/>
  <c r="C97" i="48"/>
  <c r="D97" i="48"/>
  <c r="E97" i="48"/>
  <c r="C105" i="48"/>
  <c r="D105" i="48"/>
  <c r="E105" i="48"/>
  <c r="C113" i="48"/>
  <c r="D113" i="48"/>
  <c r="E113" i="48"/>
  <c r="B117" i="48"/>
  <c r="B118" i="48"/>
  <c r="B123" i="48"/>
  <c r="CA123" i="48" s="1"/>
  <c r="B124" i="48"/>
  <c r="CA124" i="48" s="1"/>
  <c r="C149" i="48"/>
  <c r="D149" i="48"/>
  <c r="C150" i="48"/>
  <c r="D150" i="48"/>
  <c r="C151" i="48"/>
  <c r="D151" i="48"/>
  <c r="C152" i="48"/>
  <c r="D152" i="48"/>
  <c r="C153" i="48"/>
  <c r="D153" i="48"/>
  <c r="C154" i="48"/>
  <c r="D154" i="48"/>
  <c r="C155" i="48"/>
  <c r="D155" i="48"/>
  <c r="C156" i="48"/>
  <c r="D156" i="48"/>
  <c r="C157" i="48"/>
  <c r="D157" i="48"/>
  <c r="C158" i="48"/>
  <c r="D158" i="48"/>
  <c r="C159" i="48"/>
  <c r="D159" i="48"/>
  <c r="C160" i="48"/>
  <c r="D160" i="48"/>
  <c r="C161" i="48"/>
  <c r="D161" i="48"/>
  <c r="C162" i="48"/>
  <c r="D162" i="48"/>
  <c r="C163" i="48"/>
  <c r="D163" i="48"/>
  <c r="C164" i="48"/>
  <c r="D164" i="48"/>
  <c r="C165" i="48"/>
  <c r="D165" i="48"/>
  <c r="C166" i="48"/>
  <c r="D166" i="48"/>
  <c r="C167" i="48"/>
  <c r="D167" i="48"/>
  <c r="C168" i="48"/>
  <c r="D168" i="48"/>
  <c r="C169" i="48"/>
  <c r="D169" i="48"/>
  <c r="C170" i="48"/>
  <c r="D170" i="48"/>
  <c r="C171" i="48"/>
  <c r="D171" i="48"/>
  <c r="C172" i="48"/>
  <c r="D172" i="48"/>
  <c r="C173" i="48"/>
  <c r="D173" i="48"/>
  <c r="C174" i="48"/>
  <c r="D174" i="48"/>
  <c r="C175" i="48"/>
  <c r="D175" i="48"/>
  <c r="C176" i="48"/>
  <c r="D176" i="48"/>
  <c r="C177" i="48"/>
  <c r="D177" i="48"/>
  <c r="E178" i="48"/>
  <c r="F178" i="48"/>
  <c r="G178" i="48"/>
  <c r="H178" i="48"/>
  <c r="I178" i="48"/>
  <c r="J178" i="48"/>
  <c r="K178" i="48"/>
  <c r="L178" i="48"/>
  <c r="M178" i="48"/>
  <c r="N178" i="48"/>
  <c r="O178" i="48"/>
  <c r="P178" i="48"/>
  <c r="Q178" i="48"/>
  <c r="R178" i="48"/>
  <c r="S178" i="48"/>
  <c r="T178" i="48"/>
  <c r="U178" i="48"/>
  <c r="V178" i="48"/>
  <c r="W178" i="48"/>
  <c r="X178" i="48"/>
  <c r="Y178" i="48"/>
  <c r="Z178" i="48"/>
  <c r="AA178" i="48"/>
  <c r="AB178" i="48"/>
  <c r="AC178" i="48"/>
  <c r="AD178" i="48"/>
  <c r="AE178" i="48"/>
  <c r="AF178" i="48"/>
  <c r="AG178" i="48"/>
  <c r="AH178" i="48"/>
  <c r="AI178" i="48"/>
  <c r="AJ178" i="48"/>
  <c r="AK178" i="48"/>
  <c r="AL178" i="48"/>
  <c r="AM178" i="48"/>
  <c r="AN178" i="48"/>
  <c r="AO178" i="48"/>
  <c r="C179" i="48"/>
  <c r="D179" i="48"/>
  <c r="C180" i="48"/>
  <c r="D180" i="48"/>
  <c r="C181" i="48"/>
  <c r="D181" i="48"/>
  <c r="C182" i="48"/>
  <c r="D182" i="48"/>
  <c r="C183" i="48"/>
  <c r="D183" i="48"/>
  <c r="B188" i="48"/>
  <c r="B189" i="48"/>
  <c r="B190" i="48"/>
  <c r="B191" i="48"/>
  <c r="B192" i="48"/>
  <c r="B193" i="48"/>
  <c r="B194" i="48"/>
  <c r="C195" i="48"/>
  <c r="D195" i="48"/>
  <c r="E195" i="48"/>
  <c r="F195" i="48"/>
  <c r="G195" i="48"/>
  <c r="H195" i="48"/>
  <c r="I195" i="48"/>
  <c r="J195" i="48"/>
  <c r="K195" i="48"/>
  <c r="L195" i="48"/>
  <c r="M195" i="48"/>
  <c r="N195" i="48"/>
  <c r="O195" i="48"/>
  <c r="P195" i="48"/>
  <c r="Q195" i="48"/>
  <c r="R195" i="48"/>
  <c r="S195" i="48"/>
  <c r="T195" i="48"/>
  <c r="U195" i="48"/>
  <c r="V195" i="48"/>
  <c r="W195" i="48"/>
  <c r="X195" i="48"/>
  <c r="B200" i="48"/>
  <c r="B201" i="48"/>
  <c r="B202" i="48"/>
  <c r="B203" i="48"/>
  <c r="B204" i="48"/>
  <c r="B205" i="48"/>
  <c r="C206" i="48"/>
  <c r="D206" i="48"/>
  <c r="E206" i="48"/>
  <c r="F206" i="48"/>
  <c r="G206" i="48"/>
  <c r="H206" i="48"/>
  <c r="I206" i="48"/>
  <c r="J206" i="48"/>
  <c r="K206" i="48"/>
  <c r="L206" i="48"/>
  <c r="M206" i="48"/>
  <c r="N206" i="48"/>
  <c r="O206" i="48"/>
  <c r="P206" i="48"/>
  <c r="Q206" i="48"/>
  <c r="R206" i="48"/>
  <c r="S206" i="48"/>
  <c r="T206" i="48"/>
  <c r="U206" i="48"/>
  <c r="V206" i="48"/>
  <c r="W206" i="48"/>
  <c r="X206" i="48"/>
  <c r="B211" i="48"/>
  <c r="B212" i="48"/>
  <c r="B213" i="48"/>
  <c r="B214" i="48"/>
  <c r="C215" i="48"/>
  <c r="D215" i="48"/>
  <c r="E215" i="48"/>
  <c r="F215" i="48"/>
  <c r="G215" i="48"/>
  <c r="H215" i="48"/>
  <c r="I215" i="48"/>
  <c r="J215" i="48"/>
  <c r="K215" i="48"/>
  <c r="L215" i="48"/>
  <c r="M215" i="48"/>
  <c r="N215" i="48"/>
  <c r="O215" i="48"/>
  <c r="P215" i="48"/>
  <c r="Q215" i="48"/>
  <c r="R215" i="48"/>
  <c r="S215" i="48"/>
  <c r="T215" i="48"/>
  <c r="U215" i="48"/>
  <c r="V215" i="48"/>
  <c r="W215" i="48"/>
  <c r="X215" i="48"/>
  <c r="B254" i="48"/>
  <c r="B255" i="48"/>
  <c r="B256" i="48"/>
  <c r="B260" i="48"/>
  <c r="B261" i="48"/>
  <c r="B262" i="48"/>
  <c r="B263" i="48"/>
  <c r="B264" i="48"/>
  <c r="B265" i="48"/>
  <c r="B266" i="48"/>
  <c r="B267" i="48"/>
  <c r="B268" i="48"/>
  <c r="B269" i="48"/>
  <c r="B270" i="48"/>
  <c r="B271" i="48"/>
  <c r="B272" i="48"/>
  <c r="B273" i="48"/>
  <c r="B274" i="48"/>
  <c r="B275" i="48"/>
  <c r="B276" i="48"/>
  <c r="B277" i="48"/>
  <c r="B278" i="48"/>
  <c r="B279" i="48"/>
  <c r="B280" i="48"/>
  <c r="B281" i="48"/>
  <c r="B282" i="48"/>
  <c r="B283" i="48"/>
  <c r="B284" i="48"/>
  <c r="B285" i="48"/>
  <c r="B286" i="48"/>
  <c r="B290" i="48"/>
  <c r="B291" i="48"/>
  <c r="B292" i="48"/>
  <c r="B293" i="48"/>
  <c r="B294" i="48"/>
  <c r="B295" i="48"/>
  <c r="B296" i="48"/>
  <c r="B297" i="48"/>
  <c r="B298" i="48"/>
  <c r="B299" i="48"/>
  <c r="B300" i="48"/>
  <c r="B301" i="48"/>
  <c r="B302" i="48"/>
  <c r="B303" i="48"/>
  <c r="B304" i="48"/>
  <c r="B305" i="48"/>
  <c r="B306" i="48"/>
  <c r="B307" i="48"/>
  <c r="B308" i="48"/>
  <c r="B309" i="48"/>
  <c r="B310" i="48"/>
  <c r="D272" i="47"/>
  <c r="C272" i="47"/>
  <c r="D271" i="47"/>
  <c r="C271" i="47"/>
  <c r="D270" i="47"/>
  <c r="C270" i="47"/>
  <c r="D265" i="47"/>
  <c r="C265" i="47"/>
  <c r="D264" i="47"/>
  <c r="C264" i="47"/>
  <c r="D259" i="47"/>
  <c r="C259" i="47"/>
  <c r="D258" i="47"/>
  <c r="C258" i="47"/>
  <c r="D257" i="47"/>
  <c r="C257" i="47"/>
  <c r="D256" i="47"/>
  <c r="C256" i="47"/>
  <c r="D255" i="47"/>
  <c r="C255" i="47"/>
  <c r="D254" i="47"/>
  <c r="C254" i="47"/>
  <c r="D253" i="47"/>
  <c r="C253" i="47"/>
  <c r="D252" i="47"/>
  <c r="C252" i="47"/>
  <c r="D251" i="47"/>
  <c r="C251" i="47"/>
  <c r="D250" i="47"/>
  <c r="C250" i="47"/>
  <c r="D249" i="47"/>
  <c r="C249" i="47"/>
  <c r="D248" i="47"/>
  <c r="C248" i="47"/>
  <c r="D247" i="47"/>
  <c r="C247" i="47"/>
  <c r="D246" i="47"/>
  <c r="C246" i="47"/>
  <c r="D245" i="47"/>
  <c r="C245" i="47"/>
  <c r="D244" i="47"/>
  <c r="C244" i="47"/>
  <c r="D243" i="47"/>
  <c r="C243" i="47"/>
  <c r="D242" i="47"/>
  <c r="C242" i="47"/>
  <c r="D241" i="47"/>
  <c r="C241" i="47"/>
  <c r="D240" i="47"/>
  <c r="C240" i="47"/>
  <c r="D239" i="47"/>
  <c r="C239" i="47"/>
  <c r="D238" i="47"/>
  <c r="C238" i="47"/>
  <c r="D237" i="47"/>
  <c r="C237" i="47"/>
  <c r="C232" i="47"/>
  <c r="B232" i="47"/>
  <c r="C231" i="47"/>
  <c r="B231" i="47"/>
  <c r="C230" i="47"/>
  <c r="B230" i="47"/>
  <c r="C229" i="47"/>
  <c r="B229" i="47"/>
  <c r="C228" i="47"/>
  <c r="B228" i="47"/>
  <c r="C227" i="47"/>
  <c r="B227" i="47"/>
  <c r="C226" i="47"/>
  <c r="B226" i="47"/>
  <c r="C221" i="47"/>
  <c r="B221" i="47"/>
  <c r="C220" i="47"/>
  <c r="B220" i="47"/>
  <c r="C219" i="47"/>
  <c r="B219" i="47"/>
  <c r="C218" i="47"/>
  <c r="B218" i="47"/>
  <c r="C217" i="47"/>
  <c r="B217" i="47"/>
  <c r="C216" i="47"/>
  <c r="B216" i="47"/>
  <c r="C215" i="47"/>
  <c r="B215" i="47"/>
  <c r="D210" i="47"/>
  <c r="C210" i="47"/>
  <c r="D209" i="47"/>
  <c r="C209" i="47"/>
  <c r="D208" i="47"/>
  <c r="C208" i="47"/>
  <c r="D207" i="47"/>
  <c r="C207" i="47"/>
  <c r="D206" i="47"/>
  <c r="C206" i="47"/>
  <c r="D205" i="47"/>
  <c r="C205" i="47"/>
  <c r="D204" i="47"/>
  <c r="C204" i="47"/>
  <c r="D203" i="47"/>
  <c r="C203" i="47"/>
  <c r="D202" i="47"/>
  <c r="C202" i="47"/>
  <c r="D201" i="47"/>
  <c r="C201" i="47"/>
  <c r="D200" i="47"/>
  <c r="C200" i="47"/>
  <c r="D199" i="47"/>
  <c r="C199" i="47"/>
  <c r="D198" i="47"/>
  <c r="C198" i="47"/>
  <c r="D197" i="47"/>
  <c r="C197" i="47"/>
  <c r="D196" i="47"/>
  <c r="C196" i="47"/>
  <c r="D195" i="47"/>
  <c r="C195" i="47"/>
  <c r="D194" i="47"/>
  <c r="C194" i="47"/>
  <c r="D193" i="47"/>
  <c r="C193" i="47"/>
  <c r="D192" i="47"/>
  <c r="C192" i="47"/>
  <c r="D191" i="47"/>
  <c r="C191" i="47"/>
  <c r="D190" i="47"/>
  <c r="C190" i="47"/>
  <c r="D189" i="47"/>
  <c r="C189" i="47"/>
  <c r="D188" i="47"/>
  <c r="C188" i="47"/>
  <c r="DH183" i="47"/>
  <c r="DG183" i="47"/>
  <c r="CC183" i="47"/>
  <c r="CB183" i="47"/>
  <c r="D183" i="47"/>
  <c r="C183" i="47"/>
  <c r="DH182" i="47"/>
  <c r="DG182" i="47"/>
  <c r="CC182" i="47"/>
  <c r="CB182" i="47"/>
  <c r="D182" i="47"/>
  <c r="C182" i="47"/>
  <c r="DH181" i="47"/>
  <c r="DG181" i="47"/>
  <c r="CC181" i="47"/>
  <c r="CB181" i="47"/>
  <c r="D181" i="47"/>
  <c r="C181" i="47"/>
  <c r="DH180" i="47"/>
  <c r="DG180" i="47"/>
  <c r="CC180" i="47"/>
  <c r="CB180" i="47"/>
  <c r="D180" i="47"/>
  <c r="C180" i="47"/>
  <c r="DH179" i="47"/>
  <c r="DG179" i="47"/>
  <c r="CC179" i="47"/>
  <c r="CB179" i="47"/>
  <c r="D179" i="47"/>
  <c r="C179" i="47"/>
  <c r="DH178" i="47"/>
  <c r="DG178" i="47"/>
  <c r="CC178" i="47"/>
  <c r="CB178" i="47"/>
  <c r="D178" i="47"/>
  <c r="C178" i="47"/>
  <c r="DH177" i="47"/>
  <c r="DG177" i="47"/>
  <c r="CC177" i="47"/>
  <c r="CB177" i="47"/>
  <c r="D177" i="47"/>
  <c r="C177" i="47"/>
  <c r="DH176" i="47"/>
  <c r="DG176" i="47"/>
  <c r="CC176" i="47"/>
  <c r="CB176" i="47"/>
  <c r="D176" i="47"/>
  <c r="C176" i="47"/>
  <c r="DH175" i="47"/>
  <c r="DG175" i="47"/>
  <c r="CC175" i="47"/>
  <c r="CB175" i="47"/>
  <c r="D175" i="47"/>
  <c r="C175" i="47"/>
  <c r="DH174" i="47"/>
  <c r="DG174" i="47"/>
  <c r="CC174" i="47"/>
  <c r="CB174" i="47"/>
  <c r="D174" i="47"/>
  <c r="C174" i="47"/>
  <c r="DH173" i="47"/>
  <c r="DG173" i="47"/>
  <c r="CC173" i="47"/>
  <c r="CB173" i="47"/>
  <c r="D173" i="47"/>
  <c r="C173" i="47"/>
  <c r="DH172" i="47"/>
  <c r="DG172" i="47"/>
  <c r="CC172" i="47"/>
  <c r="CB172" i="47"/>
  <c r="D172" i="47"/>
  <c r="C172" i="47"/>
  <c r="DH171" i="47"/>
  <c r="DG171" i="47"/>
  <c r="CC171" i="47"/>
  <c r="CB171" i="47"/>
  <c r="D171" i="47"/>
  <c r="C171" i="47"/>
  <c r="DH170" i="47"/>
  <c r="DG170" i="47"/>
  <c r="CC170" i="47"/>
  <c r="CB170" i="47"/>
  <c r="D170" i="47"/>
  <c r="C170" i="47"/>
  <c r="DH169" i="47"/>
  <c r="DG169" i="47"/>
  <c r="CC169" i="47"/>
  <c r="CB169" i="47"/>
  <c r="D169" i="47"/>
  <c r="C169" i="47"/>
  <c r="DH168" i="47"/>
  <c r="DG168" i="47"/>
  <c r="CC168" i="47"/>
  <c r="CB168" i="47"/>
  <c r="D168" i="47"/>
  <c r="C168" i="47"/>
  <c r="DH167" i="47"/>
  <c r="DG167" i="47"/>
  <c r="CC167" i="47"/>
  <c r="CB167" i="47"/>
  <c r="D167" i="47"/>
  <c r="C167" i="47"/>
  <c r="DH166" i="47"/>
  <c r="DG166" i="47"/>
  <c r="CC166" i="47"/>
  <c r="CB166" i="47"/>
  <c r="D166" i="47"/>
  <c r="C166" i="47"/>
  <c r="DH165" i="47"/>
  <c r="DG165" i="47"/>
  <c r="CC165" i="47"/>
  <c r="CB165" i="47"/>
  <c r="D165" i="47"/>
  <c r="C165" i="47"/>
  <c r="DH164" i="47"/>
  <c r="CC164" i="47"/>
  <c r="CB164" i="47"/>
  <c r="D164" i="47"/>
  <c r="C164" i="47"/>
  <c r="DH163" i="47"/>
  <c r="CC163" i="47"/>
  <c r="D163" i="47"/>
  <c r="C163" i="47"/>
  <c r="DH162" i="47"/>
  <c r="CC162" i="47"/>
  <c r="D162" i="47"/>
  <c r="C162" i="47"/>
  <c r="D161" i="47"/>
  <c r="C161" i="47"/>
  <c r="DN156" i="47"/>
  <c r="DM156" i="47"/>
  <c r="DL156" i="47"/>
  <c r="DK156" i="47"/>
  <c r="DJ156" i="47"/>
  <c r="DI156" i="47"/>
  <c r="DH156" i="47"/>
  <c r="DF156" i="47"/>
  <c r="CI156" i="47"/>
  <c r="CH156" i="47"/>
  <c r="CG156" i="47"/>
  <c r="CF156" i="47"/>
  <c r="CE156" i="47"/>
  <c r="CD156" i="47"/>
  <c r="CC156" i="47"/>
  <c r="CB156" i="47"/>
  <c r="CA156" i="47"/>
  <c r="DN155" i="47"/>
  <c r="DM155" i="47"/>
  <c r="DL155" i="47"/>
  <c r="DK155" i="47"/>
  <c r="DJ155" i="47"/>
  <c r="DI155" i="47"/>
  <c r="DH155" i="47"/>
  <c r="DF155" i="47"/>
  <c r="CI155" i="47"/>
  <c r="CH155" i="47"/>
  <c r="CG155" i="47"/>
  <c r="CF155" i="47"/>
  <c r="CE155" i="47"/>
  <c r="CD155" i="47"/>
  <c r="CC155" i="47"/>
  <c r="CB155" i="47"/>
  <c r="CA155" i="47"/>
  <c r="DN154" i="47"/>
  <c r="DM154" i="47"/>
  <c r="DL154" i="47"/>
  <c r="DK154" i="47"/>
  <c r="DJ154" i="47"/>
  <c r="DI154" i="47"/>
  <c r="DH154" i="47"/>
  <c r="DF154" i="47"/>
  <c r="CI154" i="47"/>
  <c r="CH154" i="47"/>
  <c r="CG154" i="47"/>
  <c r="CF154" i="47"/>
  <c r="CE154" i="47"/>
  <c r="CD154" i="47"/>
  <c r="CC154" i="47"/>
  <c r="CB154" i="47"/>
  <c r="CA154" i="47"/>
  <c r="DN153" i="47"/>
  <c r="DM153" i="47"/>
  <c r="DL153" i="47"/>
  <c r="DK153" i="47"/>
  <c r="DJ153" i="47"/>
  <c r="DI153" i="47"/>
  <c r="DH153" i="47"/>
  <c r="DF153" i="47"/>
  <c r="CI153" i="47"/>
  <c r="CH153" i="47"/>
  <c r="CG153" i="47"/>
  <c r="CF153" i="47"/>
  <c r="CE153" i="47"/>
  <c r="CD153" i="47"/>
  <c r="CC153" i="47"/>
  <c r="CB153" i="47"/>
  <c r="CA153" i="47"/>
  <c r="DN152" i="47"/>
  <c r="DM152" i="47"/>
  <c r="DL152" i="47"/>
  <c r="DK152" i="47"/>
  <c r="DJ152" i="47"/>
  <c r="DI152" i="47"/>
  <c r="DH152" i="47"/>
  <c r="DF152" i="47"/>
  <c r="CI152" i="47"/>
  <c r="CH152" i="47"/>
  <c r="CG152" i="47"/>
  <c r="CF152" i="47"/>
  <c r="CE152" i="47"/>
  <c r="CD152" i="47"/>
  <c r="CC152" i="47"/>
  <c r="CB152" i="47"/>
  <c r="DN148" i="47"/>
  <c r="DM148" i="47"/>
  <c r="DL148" i="47"/>
  <c r="DK148" i="47"/>
  <c r="DJ148" i="47"/>
  <c r="DI148" i="47"/>
  <c r="DH148" i="47"/>
  <c r="DF148" i="47"/>
  <c r="CI148" i="47"/>
  <c r="CH148" i="47"/>
  <c r="CG148" i="47"/>
  <c r="CF148" i="47"/>
  <c r="CE148" i="47"/>
  <c r="CD148" i="47"/>
  <c r="CC148" i="47"/>
  <c r="CB148" i="47"/>
  <c r="CA148" i="47"/>
  <c r="DN147" i="47"/>
  <c r="DM147" i="47"/>
  <c r="DL147" i="47"/>
  <c r="DK147" i="47"/>
  <c r="DJ147" i="47"/>
  <c r="DI147" i="47"/>
  <c r="DH147" i="47"/>
  <c r="DF147" i="47"/>
  <c r="CI147" i="47"/>
  <c r="CH147" i="47"/>
  <c r="CG147" i="47"/>
  <c r="CF147" i="47"/>
  <c r="CE147" i="47"/>
  <c r="CD147" i="47"/>
  <c r="CC147" i="47"/>
  <c r="CB147" i="47"/>
  <c r="CA147" i="47"/>
  <c r="DN146" i="47"/>
  <c r="DM146" i="47"/>
  <c r="DL146" i="47"/>
  <c r="DK146" i="47"/>
  <c r="DJ146" i="47"/>
  <c r="DI146" i="47"/>
  <c r="DH146" i="47"/>
  <c r="DF146" i="47"/>
  <c r="CI146" i="47"/>
  <c r="CH146" i="47"/>
  <c r="CG146" i="47"/>
  <c r="CF146" i="47"/>
  <c r="CE146" i="47"/>
  <c r="CD146" i="47"/>
  <c r="CC146" i="47"/>
  <c r="CB146" i="47"/>
  <c r="CA146" i="47"/>
  <c r="DN145" i="47"/>
  <c r="DM145" i="47"/>
  <c r="DL145" i="47"/>
  <c r="DK145" i="47"/>
  <c r="DJ145" i="47"/>
  <c r="DI145" i="47"/>
  <c r="DH145" i="47"/>
  <c r="DF145" i="47"/>
  <c r="CI145" i="47"/>
  <c r="CH145" i="47"/>
  <c r="CG145" i="47"/>
  <c r="CF145" i="47"/>
  <c r="CE145" i="47"/>
  <c r="CD145" i="47"/>
  <c r="CC145" i="47"/>
  <c r="CB145" i="47"/>
  <c r="CA145" i="47"/>
  <c r="DN144" i="47"/>
  <c r="DM144" i="47"/>
  <c r="DL144" i="47"/>
  <c r="DK144" i="47"/>
  <c r="DJ144" i="47"/>
  <c r="DI144" i="47"/>
  <c r="DH144" i="47"/>
  <c r="EC140" i="47"/>
  <c r="EB140" i="47"/>
  <c r="EA140" i="47"/>
  <c r="DZ140" i="47"/>
  <c r="DY140" i="47"/>
  <c r="DX140" i="47"/>
  <c r="DW140" i="47"/>
  <c r="DU140" i="47"/>
  <c r="DT140" i="47"/>
  <c r="DS140" i="47"/>
  <c r="DR140" i="47"/>
  <c r="DQ140" i="47"/>
  <c r="DP140" i="47"/>
  <c r="DO140" i="47"/>
  <c r="DN140" i="47"/>
  <c r="DL140" i="47"/>
  <c r="DK140" i="47"/>
  <c r="DJ140" i="47"/>
  <c r="CX140" i="47"/>
  <c r="CW140" i="47"/>
  <c r="CV140" i="47"/>
  <c r="CU140" i="47"/>
  <c r="CT140" i="47"/>
  <c r="CS140" i="47"/>
  <c r="CR140" i="47"/>
  <c r="CP140" i="47"/>
  <c r="CO140" i="47"/>
  <c r="CN140" i="47"/>
  <c r="CM140" i="47"/>
  <c r="CL140" i="47"/>
  <c r="CK140" i="47"/>
  <c r="CJ140" i="47"/>
  <c r="CI140" i="47"/>
  <c r="CH140" i="47"/>
  <c r="CG140" i="47"/>
  <c r="CF140" i="47"/>
  <c r="CE140" i="47"/>
  <c r="C140" i="47"/>
  <c r="B140" i="47"/>
  <c r="EC139" i="47"/>
  <c r="EB139" i="47"/>
  <c r="EA139" i="47"/>
  <c r="DZ139" i="47"/>
  <c r="DY139" i="47"/>
  <c r="DX139" i="47"/>
  <c r="DW139" i="47"/>
  <c r="DU139" i="47"/>
  <c r="DT139" i="47"/>
  <c r="DS139" i="47"/>
  <c r="DR139" i="47"/>
  <c r="DQ139" i="47"/>
  <c r="DP139" i="47"/>
  <c r="DO139" i="47"/>
  <c r="DN139" i="47"/>
  <c r="DL139" i="47"/>
  <c r="DK139" i="47"/>
  <c r="DJ139" i="47"/>
  <c r="CX139" i="47"/>
  <c r="CW139" i="47"/>
  <c r="CV139" i="47"/>
  <c r="CU139" i="47"/>
  <c r="CT139" i="47"/>
  <c r="CS139" i="47"/>
  <c r="CR139" i="47"/>
  <c r="CP139" i="47"/>
  <c r="CO139" i="47"/>
  <c r="CN139" i="47"/>
  <c r="CM139" i="47"/>
  <c r="CL139" i="47"/>
  <c r="CK139" i="47"/>
  <c r="CJ139" i="47"/>
  <c r="CI139" i="47"/>
  <c r="CH139" i="47"/>
  <c r="CG139" i="47"/>
  <c r="CF139" i="47"/>
  <c r="CE139" i="47"/>
  <c r="C139" i="47"/>
  <c r="B139" i="47"/>
  <c r="EC138" i="47"/>
  <c r="EB138" i="47"/>
  <c r="EA138" i="47"/>
  <c r="DZ138" i="47"/>
  <c r="DY138" i="47"/>
  <c r="DX138" i="47"/>
  <c r="DW138" i="47"/>
  <c r="DU138" i="47"/>
  <c r="DT138" i="47"/>
  <c r="DS138" i="47"/>
  <c r="DR138" i="47"/>
  <c r="DQ138" i="47"/>
  <c r="DP138" i="47"/>
  <c r="DO138" i="47"/>
  <c r="DN138" i="47"/>
  <c r="DL138" i="47"/>
  <c r="DK138" i="47"/>
  <c r="DJ138" i="47"/>
  <c r="CX138" i="47"/>
  <c r="CW138" i="47"/>
  <c r="CV138" i="47"/>
  <c r="CU138" i="47"/>
  <c r="CT138" i="47"/>
  <c r="CS138" i="47"/>
  <c r="CR138" i="47"/>
  <c r="CP138" i="47"/>
  <c r="CO138" i="47"/>
  <c r="CN138" i="47"/>
  <c r="CM138" i="47"/>
  <c r="CL138" i="47"/>
  <c r="CK138" i="47"/>
  <c r="CJ138" i="47"/>
  <c r="CI138" i="47"/>
  <c r="CH138" i="47"/>
  <c r="CG138" i="47"/>
  <c r="CF138" i="47"/>
  <c r="CE138" i="47"/>
  <c r="C138" i="47"/>
  <c r="B138" i="47"/>
  <c r="DY137" i="47"/>
  <c r="DX137" i="47"/>
  <c r="DU137" i="47"/>
  <c r="DT137" i="47"/>
  <c r="DS137" i="47"/>
  <c r="DR137" i="47"/>
  <c r="DQ137" i="47"/>
  <c r="DP137" i="47"/>
  <c r="CT137" i="47"/>
  <c r="CS137" i="47"/>
  <c r="CR137" i="47"/>
  <c r="CP137" i="47"/>
  <c r="CO137" i="47"/>
  <c r="CN137" i="47"/>
  <c r="CM137" i="47"/>
  <c r="CL137" i="47"/>
  <c r="CK137" i="47"/>
  <c r="C137" i="47"/>
  <c r="B137" i="47"/>
  <c r="EC136" i="47"/>
  <c r="EB136" i="47"/>
  <c r="EA136" i="47"/>
  <c r="DZ136" i="47"/>
  <c r="DY136" i="47"/>
  <c r="DX136" i="47"/>
  <c r="DW136" i="47"/>
  <c r="DU136" i="47"/>
  <c r="DT136" i="47"/>
  <c r="DS136" i="47"/>
  <c r="DR136" i="47"/>
  <c r="DQ136" i="47"/>
  <c r="DP136" i="47"/>
  <c r="CX136" i="47"/>
  <c r="CW136" i="47"/>
  <c r="CV136" i="47"/>
  <c r="CU136" i="47"/>
  <c r="CT136" i="47"/>
  <c r="CS136" i="47"/>
  <c r="CR136" i="47"/>
  <c r="CP136" i="47"/>
  <c r="CO136" i="47"/>
  <c r="CN136" i="47"/>
  <c r="CM136" i="47"/>
  <c r="CL136" i="47"/>
  <c r="CK136" i="47"/>
  <c r="C136" i="47"/>
  <c r="B136" i="47"/>
  <c r="EC135" i="47"/>
  <c r="EB135" i="47"/>
  <c r="EA135" i="47"/>
  <c r="DZ135" i="47"/>
  <c r="DY135" i="47"/>
  <c r="DX135" i="47"/>
  <c r="DW135" i="47"/>
  <c r="DU135" i="47"/>
  <c r="DT135" i="47"/>
  <c r="DS135" i="47"/>
  <c r="DR135" i="47"/>
  <c r="DQ135" i="47"/>
  <c r="DP135" i="47"/>
  <c r="DO135" i="47"/>
  <c r="DN135" i="47"/>
  <c r="DL135" i="47"/>
  <c r="DK135" i="47"/>
  <c r="DJ135" i="47"/>
  <c r="CX135" i="47"/>
  <c r="CW135" i="47"/>
  <c r="CV135" i="47"/>
  <c r="CU135" i="47"/>
  <c r="CT135" i="47"/>
  <c r="CS135" i="47"/>
  <c r="CR135" i="47"/>
  <c r="CP135" i="47"/>
  <c r="CO135" i="47"/>
  <c r="CN135" i="47"/>
  <c r="CM135" i="47"/>
  <c r="CL135" i="47"/>
  <c r="CK135" i="47"/>
  <c r="CJ135" i="47"/>
  <c r="CI135" i="47"/>
  <c r="CH135" i="47"/>
  <c r="CG135" i="47"/>
  <c r="CF135" i="47"/>
  <c r="CE135" i="47"/>
  <c r="C135" i="47"/>
  <c r="B135" i="47"/>
  <c r="EC134" i="47"/>
  <c r="EB134" i="47"/>
  <c r="EA134" i="47"/>
  <c r="DZ134" i="47"/>
  <c r="DY134" i="47"/>
  <c r="DX134" i="47"/>
  <c r="DW134" i="47"/>
  <c r="DU134" i="47"/>
  <c r="DT134" i="47"/>
  <c r="DS134" i="47"/>
  <c r="DR134" i="47"/>
  <c r="DQ134" i="47"/>
  <c r="DP134" i="47"/>
  <c r="DO134" i="47"/>
  <c r="CX134" i="47"/>
  <c r="CW134" i="47"/>
  <c r="CV134" i="47"/>
  <c r="CU134" i="47"/>
  <c r="CT134" i="47"/>
  <c r="CS134" i="47"/>
  <c r="CR134" i="47"/>
  <c r="CP134" i="47"/>
  <c r="CO134" i="47"/>
  <c r="CN134" i="47"/>
  <c r="CM134" i="47"/>
  <c r="CL134" i="47"/>
  <c r="CK134" i="47"/>
  <c r="CJ134" i="47"/>
  <c r="C134" i="47"/>
  <c r="B134" i="47"/>
  <c r="EC133" i="47"/>
  <c r="EB133" i="47"/>
  <c r="EA133" i="47"/>
  <c r="DZ133" i="47"/>
  <c r="DY133" i="47"/>
  <c r="DX133" i="47"/>
  <c r="DW133" i="47"/>
  <c r="DU133" i="47"/>
  <c r="DT133" i="47"/>
  <c r="DS133" i="47"/>
  <c r="DR133" i="47"/>
  <c r="DQ133" i="47"/>
  <c r="DP133" i="47"/>
  <c r="CX133" i="47"/>
  <c r="CW133" i="47"/>
  <c r="CV133" i="47"/>
  <c r="CU133" i="47"/>
  <c r="CT133" i="47"/>
  <c r="CS133" i="47"/>
  <c r="CR133" i="47"/>
  <c r="CP133" i="47"/>
  <c r="CO133" i="47"/>
  <c r="CN133" i="47"/>
  <c r="CM133" i="47"/>
  <c r="CL133" i="47"/>
  <c r="CK133" i="47"/>
  <c r="C133" i="47"/>
  <c r="B133" i="47"/>
  <c r="DL132" i="47"/>
  <c r="DK132" i="47"/>
  <c r="DJ132" i="47"/>
  <c r="CG132" i="47"/>
  <c r="CF132" i="47"/>
  <c r="CE132" i="47"/>
  <c r="C132" i="47"/>
  <c r="B132" i="47"/>
  <c r="EC131" i="47"/>
  <c r="EB131" i="47"/>
  <c r="EA131" i="47"/>
  <c r="DZ131" i="47"/>
  <c r="DY131" i="47"/>
  <c r="DX131" i="47"/>
  <c r="DW131" i="47"/>
  <c r="DU131" i="47"/>
  <c r="DT131" i="47"/>
  <c r="DS131" i="47"/>
  <c r="DR131" i="47"/>
  <c r="DQ131" i="47"/>
  <c r="DP131" i="47"/>
  <c r="DO131" i="47"/>
  <c r="DN131" i="47"/>
  <c r="DL131" i="47"/>
  <c r="DK131" i="47"/>
  <c r="DJ131" i="47"/>
  <c r="CX131" i="47"/>
  <c r="CW131" i="47"/>
  <c r="CV131" i="47"/>
  <c r="CU131" i="47"/>
  <c r="CT131" i="47"/>
  <c r="CS131" i="47"/>
  <c r="CR131" i="47"/>
  <c r="CP131" i="47"/>
  <c r="CO131" i="47"/>
  <c r="CN131" i="47"/>
  <c r="CM131" i="47"/>
  <c r="CL131" i="47"/>
  <c r="CK131" i="47"/>
  <c r="CJ131" i="47"/>
  <c r="CI131" i="47"/>
  <c r="CH131" i="47"/>
  <c r="CG131" i="47"/>
  <c r="CF131" i="47"/>
  <c r="CE131" i="47"/>
  <c r="C131" i="47"/>
  <c r="B131" i="47"/>
  <c r="EC130" i="47"/>
  <c r="EB130" i="47"/>
  <c r="EA130" i="47"/>
  <c r="DZ130" i="47"/>
  <c r="DY130" i="47"/>
  <c r="DX130" i="47"/>
  <c r="DW130" i="47"/>
  <c r="DU130" i="47"/>
  <c r="DT130" i="47"/>
  <c r="DS130" i="47"/>
  <c r="DR130" i="47"/>
  <c r="DQ130" i="47"/>
  <c r="DP130" i="47"/>
  <c r="DO130" i="47"/>
  <c r="CX130" i="47"/>
  <c r="CW130" i="47"/>
  <c r="CV130" i="47"/>
  <c r="CU130" i="47"/>
  <c r="CT130" i="47"/>
  <c r="CS130" i="47"/>
  <c r="CR130" i="47"/>
  <c r="CP130" i="47"/>
  <c r="CO130" i="47"/>
  <c r="CN130" i="47"/>
  <c r="CM130" i="47"/>
  <c r="CL130" i="47"/>
  <c r="CK130" i="47"/>
  <c r="CJ130" i="47"/>
  <c r="C130" i="47"/>
  <c r="B130" i="47"/>
  <c r="EC129" i="47"/>
  <c r="EB129" i="47"/>
  <c r="EA129" i="47"/>
  <c r="DZ129" i="47"/>
  <c r="DY129" i="47"/>
  <c r="DX129" i="47"/>
  <c r="DW129" i="47"/>
  <c r="DU129" i="47"/>
  <c r="DT129" i="47"/>
  <c r="DS129" i="47"/>
  <c r="DR129" i="47"/>
  <c r="DQ129" i="47"/>
  <c r="DP129" i="47"/>
  <c r="DO129" i="47"/>
  <c r="CX129" i="47"/>
  <c r="CW129" i="47"/>
  <c r="CV129" i="47"/>
  <c r="CU129" i="47"/>
  <c r="CT129" i="47"/>
  <c r="CS129" i="47"/>
  <c r="CR129" i="47"/>
  <c r="CP129" i="47"/>
  <c r="CO129" i="47"/>
  <c r="CN129" i="47"/>
  <c r="CM129" i="47"/>
  <c r="CL129" i="47"/>
  <c r="CK129" i="47"/>
  <c r="CJ129" i="47"/>
  <c r="C129" i="47"/>
  <c r="B129" i="47"/>
  <c r="EC128" i="47"/>
  <c r="EB128" i="47"/>
  <c r="EA128" i="47"/>
  <c r="DZ128" i="47"/>
  <c r="DY128" i="47"/>
  <c r="DX128" i="47"/>
  <c r="DW128" i="47"/>
  <c r="DU128" i="47"/>
  <c r="DT128" i="47"/>
  <c r="DS128" i="47"/>
  <c r="DR128" i="47"/>
  <c r="DQ128" i="47"/>
  <c r="DP128" i="47"/>
  <c r="DO128" i="47"/>
  <c r="CX128" i="47"/>
  <c r="CW128" i="47"/>
  <c r="CV128" i="47"/>
  <c r="CU128" i="47"/>
  <c r="CT128" i="47"/>
  <c r="CS128" i="47"/>
  <c r="CR128" i="47"/>
  <c r="CP128" i="47"/>
  <c r="CO128" i="47"/>
  <c r="CN128" i="47"/>
  <c r="CM128" i="47"/>
  <c r="CL128" i="47"/>
  <c r="CK128" i="47"/>
  <c r="CJ128" i="47"/>
  <c r="C128" i="47"/>
  <c r="B128" i="47"/>
  <c r="EC127" i="47"/>
  <c r="EB127" i="47"/>
  <c r="EA127" i="47"/>
  <c r="DZ127" i="47"/>
  <c r="DY127" i="47"/>
  <c r="DX127" i="47"/>
  <c r="DW127" i="47"/>
  <c r="DU127" i="47"/>
  <c r="DT127" i="47"/>
  <c r="DS127" i="47"/>
  <c r="DR127" i="47"/>
  <c r="DQ127" i="47"/>
  <c r="DP127" i="47"/>
  <c r="DO127" i="47"/>
  <c r="CX127" i="47"/>
  <c r="CW127" i="47"/>
  <c r="CV127" i="47"/>
  <c r="CU127" i="47"/>
  <c r="CT127" i="47"/>
  <c r="CS127" i="47"/>
  <c r="CR127" i="47"/>
  <c r="CP127" i="47"/>
  <c r="CO127" i="47"/>
  <c r="CN127" i="47"/>
  <c r="CM127" i="47"/>
  <c r="CL127" i="47"/>
  <c r="CK127" i="47"/>
  <c r="CJ127" i="47"/>
  <c r="C127" i="47"/>
  <c r="B127" i="47"/>
  <c r="EC126" i="47"/>
  <c r="EB126" i="47"/>
  <c r="EA126" i="47"/>
  <c r="DZ126" i="47"/>
  <c r="DY126" i="47"/>
  <c r="DX126" i="47"/>
  <c r="DW126" i="47"/>
  <c r="DU126" i="47"/>
  <c r="DT126" i="47"/>
  <c r="DS126" i="47"/>
  <c r="DR126" i="47"/>
  <c r="DQ126" i="47"/>
  <c r="DP126" i="47"/>
  <c r="DO126" i="47"/>
  <c r="CX126" i="47"/>
  <c r="CW126" i="47"/>
  <c r="CV126" i="47"/>
  <c r="CU126" i="47"/>
  <c r="CT126" i="47"/>
  <c r="CS126" i="47"/>
  <c r="CR126" i="47"/>
  <c r="CP126" i="47"/>
  <c r="CO126" i="47"/>
  <c r="CN126" i="47"/>
  <c r="CM126" i="47"/>
  <c r="CL126" i="47"/>
  <c r="CK126" i="47"/>
  <c r="CJ126" i="47"/>
  <c r="C126" i="47"/>
  <c r="B126" i="47"/>
  <c r="EC125" i="47"/>
  <c r="EB125" i="47"/>
  <c r="EA125" i="47"/>
  <c r="DZ125" i="47"/>
  <c r="DY125" i="47"/>
  <c r="DX125" i="47"/>
  <c r="DW125" i="47"/>
  <c r="DU125" i="47"/>
  <c r="DT125" i="47"/>
  <c r="DS125" i="47"/>
  <c r="DR125" i="47"/>
  <c r="DQ125" i="47"/>
  <c r="DP125" i="47"/>
  <c r="DO125" i="47"/>
  <c r="CX125" i="47"/>
  <c r="CW125" i="47"/>
  <c r="CV125" i="47"/>
  <c r="CU125" i="47"/>
  <c r="CT125" i="47"/>
  <c r="CS125" i="47"/>
  <c r="CR125" i="47"/>
  <c r="CP125" i="47"/>
  <c r="CO125" i="47"/>
  <c r="CN125" i="47"/>
  <c r="CM125" i="47"/>
  <c r="CL125" i="47"/>
  <c r="CK125" i="47"/>
  <c r="CJ125" i="47"/>
  <c r="C125" i="47"/>
  <c r="B125" i="47"/>
  <c r="EC124" i="47"/>
  <c r="EB124" i="47"/>
  <c r="EA124" i="47"/>
  <c r="DZ124" i="47"/>
  <c r="DY124" i="47"/>
  <c r="DX124" i="47"/>
  <c r="DW124" i="47"/>
  <c r="DU124" i="47"/>
  <c r="DT124" i="47"/>
  <c r="DS124" i="47"/>
  <c r="DR124" i="47"/>
  <c r="DQ124" i="47"/>
  <c r="DP124" i="47"/>
  <c r="DO124" i="47"/>
  <c r="CX124" i="47"/>
  <c r="CW124" i="47"/>
  <c r="CV124" i="47"/>
  <c r="CU124" i="47"/>
  <c r="CT124" i="47"/>
  <c r="CS124" i="47"/>
  <c r="CR124" i="47"/>
  <c r="CP124" i="47"/>
  <c r="CO124" i="47"/>
  <c r="CN124" i="47"/>
  <c r="CM124" i="47"/>
  <c r="CL124" i="47"/>
  <c r="CK124" i="47"/>
  <c r="CJ124" i="47"/>
  <c r="C124" i="47"/>
  <c r="B124" i="47"/>
  <c r="EC123" i="47"/>
  <c r="EB123" i="47"/>
  <c r="EA123" i="47"/>
  <c r="DZ123" i="47"/>
  <c r="DY123" i="47"/>
  <c r="DX123" i="47"/>
  <c r="DW123" i="47"/>
  <c r="DU123" i="47"/>
  <c r="DT123" i="47"/>
  <c r="DS123" i="47"/>
  <c r="DR123" i="47"/>
  <c r="DQ123" i="47"/>
  <c r="DP123" i="47"/>
  <c r="DO123" i="47"/>
  <c r="CX123" i="47"/>
  <c r="CW123" i="47"/>
  <c r="CV123" i="47"/>
  <c r="CU123" i="47"/>
  <c r="CT123" i="47"/>
  <c r="CS123" i="47"/>
  <c r="CR123" i="47"/>
  <c r="CP123" i="47"/>
  <c r="CO123" i="47"/>
  <c r="CN123" i="47"/>
  <c r="CM123" i="47"/>
  <c r="CL123" i="47"/>
  <c r="CK123" i="47"/>
  <c r="CJ123" i="47"/>
  <c r="C123" i="47"/>
  <c r="B123" i="47"/>
  <c r="EC118" i="47"/>
  <c r="EB118" i="47"/>
  <c r="EA118" i="47"/>
  <c r="DZ118" i="47"/>
  <c r="DY118" i="47"/>
  <c r="DX118" i="47"/>
  <c r="DW118" i="47"/>
  <c r="DU118" i="47"/>
  <c r="DT118" i="47"/>
  <c r="DS118" i="47"/>
  <c r="DR118" i="47"/>
  <c r="DQ118" i="47"/>
  <c r="DP118" i="47"/>
  <c r="DO118" i="47"/>
  <c r="DN118" i="47"/>
  <c r="DL118" i="47"/>
  <c r="DK118" i="47"/>
  <c r="DJ118" i="47"/>
  <c r="CX118" i="47"/>
  <c r="CW118" i="47"/>
  <c r="CV118" i="47"/>
  <c r="CU118" i="47"/>
  <c r="CT118" i="47"/>
  <c r="CS118" i="47"/>
  <c r="CR118" i="47"/>
  <c r="CP118" i="47"/>
  <c r="CO118" i="47"/>
  <c r="CN118" i="47"/>
  <c r="CM118" i="47"/>
  <c r="CL118" i="47"/>
  <c r="CK118" i="47"/>
  <c r="CJ118" i="47"/>
  <c r="CI118" i="47"/>
  <c r="CH118" i="47"/>
  <c r="CG118" i="47"/>
  <c r="CF118" i="47"/>
  <c r="CE118" i="47"/>
  <c r="C118" i="47"/>
  <c r="B118" i="47"/>
  <c r="EC117" i="47"/>
  <c r="EB117" i="47"/>
  <c r="EA117" i="47"/>
  <c r="DZ117" i="47"/>
  <c r="DY117" i="47"/>
  <c r="DX117" i="47"/>
  <c r="DW117" i="47"/>
  <c r="DU117" i="47"/>
  <c r="DT117" i="47"/>
  <c r="DS117" i="47"/>
  <c r="DR117" i="47"/>
  <c r="DQ117" i="47"/>
  <c r="DP117" i="47"/>
  <c r="DO117" i="47"/>
  <c r="DN117" i="47"/>
  <c r="DL117" i="47"/>
  <c r="DK117" i="47"/>
  <c r="DJ117" i="47"/>
  <c r="CX117" i="47"/>
  <c r="CW117" i="47"/>
  <c r="CV117" i="47"/>
  <c r="CU117" i="47"/>
  <c r="CT117" i="47"/>
  <c r="CS117" i="47"/>
  <c r="CR117" i="47"/>
  <c r="CP117" i="47"/>
  <c r="CO117" i="47"/>
  <c r="CN117" i="47"/>
  <c r="CM117" i="47"/>
  <c r="CL117" i="47"/>
  <c r="CK117" i="47"/>
  <c r="CJ117" i="47"/>
  <c r="CI117" i="47"/>
  <c r="CH117" i="47"/>
  <c r="CG117" i="47"/>
  <c r="CF117" i="47"/>
  <c r="CE117" i="47"/>
  <c r="C117" i="47"/>
  <c r="B117" i="47"/>
  <c r="EC116" i="47"/>
  <c r="EB116" i="47"/>
  <c r="EA116" i="47"/>
  <c r="DZ116" i="47"/>
  <c r="DY116" i="47"/>
  <c r="DX116" i="47"/>
  <c r="DW116" i="47"/>
  <c r="DU116" i="47"/>
  <c r="DT116" i="47"/>
  <c r="DS116" i="47"/>
  <c r="DR116" i="47"/>
  <c r="DQ116" i="47"/>
  <c r="DP116" i="47"/>
  <c r="DO116" i="47"/>
  <c r="DN116" i="47"/>
  <c r="DL116" i="47"/>
  <c r="DK116" i="47"/>
  <c r="DJ116" i="47"/>
  <c r="CX116" i="47"/>
  <c r="CW116" i="47"/>
  <c r="CV116" i="47"/>
  <c r="CU116" i="47"/>
  <c r="CT116" i="47"/>
  <c r="CS116" i="47"/>
  <c r="CR116" i="47"/>
  <c r="CP116" i="47"/>
  <c r="CO116" i="47"/>
  <c r="CN116" i="47"/>
  <c r="CM116" i="47"/>
  <c r="CL116" i="47"/>
  <c r="CK116" i="47"/>
  <c r="CJ116" i="47"/>
  <c r="CI116" i="47"/>
  <c r="CH116" i="47"/>
  <c r="CG116" i="47"/>
  <c r="CF116" i="47"/>
  <c r="CE116" i="47"/>
  <c r="C116" i="47"/>
  <c r="B116" i="47"/>
  <c r="DY115" i="47"/>
  <c r="DX115" i="47"/>
  <c r="DW115" i="47"/>
  <c r="DU115" i="47"/>
  <c r="DT115" i="47"/>
  <c r="DS115" i="47"/>
  <c r="DR115" i="47"/>
  <c r="DQ115" i="47"/>
  <c r="DP115" i="47"/>
  <c r="CT115" i="47"/>
  <c r="CS115" i="47"/>
  <c r="CR115" i="47"/>
  <c r="CP115" i="47"/>
  <c r="CO115" i="47"/>
  <c r="CN115" i="47"/>
  <c r="CM115" i="47"/>
  <c r="CL115" i="47"/>
  <c r="CK115" i="47"/>
  <c r="C115" i="47"/>
  <c r="B115" i="47"/>
  <c r="EC114" i="47"/>
  <c r="EB114" i="47"/>
  <c r="EA114" i="47"/>
  <c r="DZ114" i="47"/>
  <c r="DY114" i="47"/>
  <c r="DX114" i="47"/>
  <c r="DW114" i="47"/>
  <c r="DU114" i="47"/>
  <c r="DT114" i="47"/>
  <c r="DS114" i="47"/>
  <c r="DR114" i="47"/>
  <c r="DQ114" i="47"/>
  <c r="DP114" i="47"/>
  <c r="CX114" i="47"/>
  <c r="CW114" i="47"/>
  <c r="CV114" i="47"/>
  <c r="CU114" i="47"/>
  <c r="CT114" i="47"/>
  <c r="CS114" i="47"/>
  <c r="CR114" i="47"/>
  <c r="CP114" i="47"/>
  <c r="CO114" i="47"/>
  <c r="CN114" i="47"/>
  <c r="CM114" i="47"/>
  <c r="CL114" i="47"/>
  <c r="CK114" i="47"/>
  <c r="C114" i="47"/>
  <c r="B114" i="47"/>
  <c r="EC113" i="47"/>
  <c r="EB113" i="47"/>
  <c r="EA113" i="47"/>
  <c r="DZ113" i="47"/>
  <c r="DY113" i="47"/>
  <c r="DX113" i="47"/>
  <c r="DW113" i="47"/>
  <c r="DU113" i="47"/>
  <c r="DT113" i="47"/>
  <c r="DS113" i="47"/>
  <c r="DR113" i="47"/>
  <c r="DQ113" i="47"/>
  <c r="DP113" i="47"/>
  <c r="DO113" i="47"/>
  <c r="DN113" i="47"/>
  <c r="DL113" i="47"/>
  <c r="DK113" i="47"/>
  <c r="DJ113" i="47"/>
  <c r="CX113" i="47"/>
  <c r="CW113" i="47"/>
  <c r="CV113" i="47"/>
  <c r="CU113" i="47"/>
  <c r="CT113" i="47"/>
  <c r="CS113" i="47"/>
  <c r="CR113" i="47"/>
  <c r="CP113" i="47"/>
  <c r="CO113" i="47"/>
  <c r="CN113" i="47"/>
  <c r="CM113" i="47"/>
  <c r="CL113" i="47"/>
  <c r="CK113" i="47"/>
  <c r="CJ113" i="47"/>
  <c r="CI113" i="47"/>
  <c r="CH113" i="47"/>
  <c r="CG113" i="47"/>
  <c r="CF113" i="47"/>
  <c r="CE113" i="47"/>
  <c r="C113" i="47"/>
  <c r="B113" i="47"/>
  <c r="EC112" i="47"/>
  <c r="EB112" i="47"/>
  <c r="EA112" i="47"/>
  <c r="DZ112" i="47"/>
  <c r="DY112" i="47"/>
  <c r="DX112" i="47"/>
  <c r="DW112" i="47"/>
  <c r="DU112" i="47"/>
  <c r="DT112" i="47"/>
  <c r="DS112" i="47"/>
  <c r="DR112" i="47"/>
  <c r="DQ112" i="47"/>
  <c r="DP112" i="47"/>
  <c r="DO112" i="47"/>
  <c r="CX112" i="47"/>
  <c r="CW112" i="47"/>
  <c r="CV112" i="47"/>
  <c r="CU112" i="47"/>
  <c r="CT112" i="47"/>
  <c r="CS112" i="47"/>
  <c r="CR112" i="47"/>
  <c r="CP112" i="47"/>
  <c r="CO112" i="47"/>
  <c r="CN112" i="47"/>
  <c r="CM112" i="47"/>
  <c r="CL112" i="47"/>
  <c r="CK112" i="47"/>
  <c r="CJ112" i="47"/>
  <c r="C112" i="47"/>
  <c r="B112" i="47"/>
  <c r="EC111" i="47"/>
  <c r="EB111" i="47"/>
  <c r="EA111" i="47"/>
  <c r="DZ111" i="47"/>
  <c r="DY111" i="47"/>
  <c r="DX111" i="47"/>
  <c r="DW111" i="47"/>
  <c r="DU111" i="47"/>
  <c r="DT111" i="47"/>
  <c r="DS111" i="47"/>
  <c r="DR111" i="47"/>
  <c r="DQ111" i="47"/>
  <c r="DP111" i="47"/>
  <c r="CX111" i="47"/>
  <c r="CW111" i="47"/>
  <c r="CV111" i="47"/>
  <c r="CU111" i="47"/>
  <c r="CT111" i="47"/>
  <c r="CS111" i="47"/>
  <c r="CR111" i="47"/>
  <c r="CP111" i="47"/>
  <c r="CO111" i="47"/>
  <c r="CN111" i="47"/>
  <c r="CM111" i="47"/>
  <c r="CL111" i="47"/>
  <c r="CK111" i="47"/>
  <c r="C111" i="47"/>
  <c r="B111" i="47"/>
  <c r="DL110" i="47"/>
  <c r="DK110" i="47"/>
  <c r="DJ110" i="47"/>
  <c r="CG110" i="47"/>
  <c r="CF110" i="47"/>
  <c r="CE110" i="47"/>
  <c r="C110" i="47"/>
  <c r="B110" i="47"/>
  <c r="EC109" i="47"/>
  <c r="EB109" i="47"/>
  <c r="EA109" i="47"/>
  <c r="DZ109" i="47"/>
  <c r="DY109" i="47"/>
  <c r="DX109" i="47"/>
  <c r="DW109" i="47"/>
  <c r="DU109" i="47"/>
  <c r="DT109" i="47"/>
  <c r="DS109" i="47"/>
  <c r="DR109" i="47"/>
  <c r="DQ109" i="47"/>
  <c r="DP109" i="47"/>
  <c r="DO109" i="47"/>
  <c r="DN109" i="47"/>
  <c r="DL109" i="47"/>
  <c r="DK109" i="47"/>
  <c r="DJ109" i="47"/>
  <c r="CX109" i="47"/>
  <c r="CW109" i="47"/>
  <c r="CV109" i="47"/>
  <c r="CU109" i="47"/>
  <c r="CT109" i="47"/>
  <c r="CS109" i="47"/>
  <c r="CR109" i="47"/>
  <c r="CP109" i="47"/>
  <c r="CO109" i="47"/>
  <c r="CN109" i="47"/>
  <c r="CM109" i="47"/>
  <c r="CL109" i="47"/>
  <c r="CK109" i="47"/>
  <c r="CJ109" i="47"/>
  <c r="CI109" i="47"/>
  <c r="CH109" i="47"/>
  <c r="CG109" i="47"/>
  <c r="CF109" i="47"/>
  <c r="CE109" i="47"/>
  <c r="C109" i="47"/>
  <c r="B109" i="47"/>
  <c r="EC108" i="47"/>
  <c r="EB108" i="47"/>
  <c r="EA108" i="47"/>
  <c r="DZ108" i="47"/>
  <c r="DY108" i="47"/>
  <c r="DX108" i="47"/>
  <c r="DW108" i="47"/>
  <c r="DU108" i="47"/>
  <c r="DT108" i="47"/>
  <c r="DS108" i="47"/>
  <c r="DR108" i="47"/>
  <c r="DQ108" i="47"/>
  <c r="DP108" i="47"/>
  <c r="DO108" i="47"/>
  <c r="CX108" i="47"/>
  <c r="CW108" i="47"/>
  <c r="CV108" i="47"/>
  <c r="CU108" i="47"/>
  <c r="CT108" i="47"/>
  <c r="CS108" i="47"/>
  <c r="CR108" i="47"/>
  <c r="CP108" i="47"/>
  <c r="CO108" i="47"/>
  <c r="CN108" i="47"/>
  <c r="CM108" i="47"/>
  <c r="CL108" i="47"/>
  <c r="CK108" i="47"/>
  <c r="CJ108" i="47"/>
  <c r="C108" i="47"/>
  <c r="B108" i="47"/>
  <c r="EC107" i="47"/>
  <c r="EB107" i="47"/>
  <c r="EA107" i="47"/>
  <c r="DZ107" i="47"/>
  <c r="DY107" i="47"/>
  <c r="DX107" i="47"/>
  <c r="DW107" i="47"/>
  <c r="DU107" i="47"/>
  <c r="DT107" i="47"/>
  <c r="DS107" i="47"/>
  <c r="DR107" i="47"/>
  <c r="DQ107" i="47"/>
  <c r="DP107" i="47"/>
  <c r="DO107" i="47"/>
  <c r="CX107" i="47"/>
  <c r="CW107" i="47"/>
  <c r="CV107" i="47"/>
  <c r="CU107" i="47"/>
  <c r="CT107" i="47"/>
  <c r="CS107" i="47"/>
  <c r="CR107" i="47"/>
  <c r="CP107" i="47"/>
  <c r="CO107" i="47"/>
  <c r="CN107" i="47"/>
  <c r="CM107" i="47"/>
  <c r="CL107" i="47"/>
  <c r="CK107" i="47"/>
  <c r="CJ107" i="47"/>
  <c r="C107" i="47"/>
  <c r="B107" i="47"/>
  <c r="EC106" i="47"/>
  <c r="EB106" i="47"/>
  <c r="EA106" i="47"/>
  <c r="DZ106" i="47"/>
  <c r="DY106" i="47"/>
  <c r="DX106" i="47"/>
  <c r="DW106" i="47"/>
  <c r="DU106" i="47"/>
  <c r="DT106" i="47"/>
  <c r="DS106" i="47"/>
  <c r="DR106" i="47"/>
  <c r="DQ106" i="47"/>
  <c r="DP106" i="47"/>
  <c r="DO106" i="47"/>
  <c r="CX106" i="47"/>
  <c r="CW106" i="47"/>
  <c r="CV106" i="47"/>
  <c r="CU106" i="47"/>
  <c r="CT106" i="47"/>
  <c r="CS106" i="47"/>
  <c r="CR106" i="47"/>
  <c r="CP106" i="47"/>
  <c r="CO106" i="47"/>
  <c r="CN106" i="47"/>
  <c r="CM106" i="47"/>
  <c r="CL106" i="47"/>
  <c r="CK106" i="47"/>
  <c r="CJ106" i="47"/>
  <c r="C106" i="47"/>
  <c r="B106" i="47"/>
  <c r="EC105" i="47"/>
  <c r="EB105" i="47"/>
  <c r="EA105" i="47"/>
  <c r="DZ105" i="47"/>
  <c r="DY105" i="47"/>
  <c r="DX105" i="47"/>
  <c r="DW105" i="47"/>
  <c r="DU105" i="47"/>
  <c r="DT105" i="47"/>
  <c r="DS105" i="47"/>
  <c r="DR105" i="47"/>
  <c r="DQ105" i="47"/>
  <c r="DP105" i="47"/>
  <c r="DO105" i="47"/>
  <c r="CX105" i="47"/>
  <c r="CW105" i="47"/>
  <c r="CV105" i="47"/>
  <c r="CU105" i="47"/>
  <c r="CT105" i="47"/>
  <c r="CS105" i="47"/>
  <c r="CR105" i="47"/>
  <c r="CP105" i="47"/>
  <c r="CO105" i="47"/>
  <c r="CN105" i="47"/>
  <c r="CM105" i="47"/>
  <c r="CL105" i="47"/>
  <c r="CK105" i="47"/>
  <c r="CJ105" i="47"/>
  <c r="C105" i="47"/>
  <c r="B105" i="47"/>
  <c r="EC104" i="47"/>
  <c r="EB104" i="47"/>
  <c r="EA104" i="47"/>
  <c r="DZ104" i="47"/>
  <c r="DY104" i="47"/>
  <c r="DX104" i="47"/>
  <c r="DW104" i="47"/>
  <c r="DU104" i="47"/>
  <c r="DT104" i="47"/>
  <c r="DS104" i="47"/>
  <c r="DR104" i="47"/>
  <c r="DQ104" i="47"/>
  <c r="DP104" i="47"/>
  <c r="DO104" i="47"/>
  <c r="CX104" i="47"/>
  <c r="CW104" i="47"/>
  <c r="CV104" i="47"/>
  <c r="CU104" i="47"/>
  <c r="CT104" i="47"/>
  <c r="CS104" i="47"/>
  <c r="CR104" i="47"/>
  <c r="CP104" i="47"/>
  <c r="CO104" i="47"/>
  <c r="CN104" i="47"/>
  <c r="CM104" i="47"/>
  <c r="CL104" i="47"/>
  <c r="CK104" i="47"/>
  <c r="CJ104" i="47"/>
  <c r="C104" i="47"/>
  <c r="B104" i="47"/>
  <c r="EC103" i="47"/>
  <c r="EB103" i="47"/>
  <c r="EA103" i="47"/>
  <c r="DZ103" i="47"/>
  <c r="DY103" i="47"/>
  <c r="DX103" i="47"/>
  <c r="DW103" i="47"/>
  <c r="DU103" i="47"/>
  <c r="DT103" i="47"/>
  <c r="DS103" i="47"/>
  <c r="DR103" i="47"/>
  <c r="DQ103" i="47"/>
  <c r="DP103" i="47"/>
  <c r="DO103" i="47"/>
  <c r="CX103" i="47"/>
  <c r="CW103" i="47"/>
  <c r="CV103" i="47"/>
  <c r="CU103" i="47"/>
  <c r="CT103" i="47"/>
  <c r="CS103" i="47"/>
  <c r="CR103" i="47"/>
  <c r="CP103" i="47"/>
  <c r="CO103" i="47"/>
  <c r="CN103" i="47"/>
  <c r="CM103" i="47"/>
  <c r="CL103" i="47"/>
  <c r="CK103" i="47"/>
  <c r="CJ103" i="47"/>
  <c r="C103" i="47"/>
  <c r="B103" i="47"/>
  <c r="EC102" i="47"/>
  <c r="EB102" i="47"/>
  <c r="EA102" i="47"/>
  <c r="DZ102" i="47"/>
  <c r="DY102" i="47"/>
  <c r="DX102" i="47"/>
  <c r="DW102" i="47"/>
  <c r="DU102" i="47"/>
  <c r="DT102" i="47"/>
  <c r="DS102" i="47"/>
  <c r="DR102" i="47"/>
  <c r="DQ102" i="47"/>
  <c r="DP102" i="47"/>
  <c r="DO102" i="47"/>
  <c r="CX102" i="47"/>
  <c r="CW102" i="47"/>
  <c r="CV102" i="47"/>
  <c r="CU102" i="47"/>
  <c r="CT102" i="47"/>
  <c r="CS102" i="47"/>
  <c r="CR102" i="47"/>
  <c r="CP102" i="47"/>
  <c r="CO102" i="47"/>
  <c r="CN102" i="47"/>
  <c r="CM102" i="47"/>
  <c r="CL102" i="47"/>
  <c r="CK102" i="47"/>
  <c r="CJ102" i="47"/>
  <c r="C102" i="47"/>
  <c r="B102" i="47"/>
  <c r="EC101" i="47"/>
  <c r="EB101" i="47"/>
  <c r="EA101" i="47"/>
  <c r="DZ101" i="47"/>
  <c r="DY101" i="47"/>
  <c r="DX101" i="47"/>
  <c r="DW101" i="47"/>
  <c r="DU101" i="47"/>
  <c r="DT101" i="47"/>
  <c r="DS101" i="47"/>
  <c r="DR101" i="47"/>
  <c r="DQ101" i="47"/>
  <c r="DP101" i="47"/>
  <c r="DO101" i="47"/>
  <c r="CX101" i="47"/>
  <c r="CW101" i="47"/>
  <c r="CV101" i="47"/>
  <c r="CU101" i="47"/>
  <c r="CT101" i="47"/>
  <c r="CS101" i="47"/>
  <c r="CR101" i="47"/>
  <c r="CP101" i="47"/>
  <c r="CO101" i="47"/>
  <c r="CN101" i="47"/>
  <c r="CM101" i="47"/>
  <c r="CL101" i="47"/>
  <c r="CK101" i="47"/>
  <c r="CJ101" i="47"/>
  <c r="C101" i="47"/>
  <c r="B101" i="47"/>
  <c r="EC96" i="47"/>
  <c r="EB96" i="47"/>
  <c r="EA96" i="47"/>
  <c r="DZ96" i="47"/>
  <c r="DY96" i="47"/>
  <c r="DX96" i="47"/>
  <c r="DW96" i="47"/>
  <c r="DU96" i="47"/>
  <c r="DT96" i="47"/>
  <c r="DS96" i="47"/>
  <c r="DR96" i="47"/>
  <c r="DQ96" i="47"/>
  <c r="DP96" i="47"/>
  <c r="DO96" i="47"/>
  <c r="DN96" i="47"/>
  <c r="DL96" i="47"/>
  <c r="DK96" i="47"/>
  <c r="DJ96" i="47"/>
  <c r="CX96" i="47"/>
  <c r="CW96" i="47"/>
  <c r="CV96" i="47"/>
  <c r="CU96" i="47"/>
  <c r="CT96" i="47"/>
  <c r="CS96" i="47"/>
  <c r="CR96" i="47"/>
  <c r="CP96" i="47"/>
  <c r="CO96" i="47"/>
  <c r="CN96" i="47"/>
  <c r="CM96" i="47"/>
  <c r="CL96" i="47"/>
  <c r="CK96" i="47"/>
  <c r="CJ96" i="47"/>
  <c r="CI96" i="47"/>
  <c r="CH96" i="47"/>
  <c r="CG96" i="47"/>
  <c r="CF96" i="47"/>
  <c r="CE96" i="47"/>
  <c r="C96" i="47"/>
  <c r="B96" i="47"/>
  <c r="EC95" i="47"/>
  <c r="EB95" i="47"/>
  <c r="EA95" i="47"/>
  <c r="DZ95" i="47"/>
  <c r="DY95" i="47"/>
  <c r="DX95" i="47"/>
  <c r="DW95" i="47"/>
  <c r="DU95" i="47"/>
  <c r="DT95" i="47"/>
  <c r="DS95" i="47"/>
  <c r="DR95" i="47"/>
  <c r="DQ95" i="47"/>
  <c r="DP95" i="47"/>
  <c r="DO95" i="47"/>
  <c r="DN95" i="47"/>
  <c r="DL95" i="47"/>
  <c r="DK95" i="47"/>
  <c r="DJ95" i="47"/>
  <c r="CX95" i="47"/>
  <c r="CW95" i="47"/>
  <c r="CV95" i="47"/>
  <c r="CU95" i="47"/>
  <c r="CT95" i="47"/>
  <c r="CS95" i="47"/>
  <c r="CR95" i="47"/>
  <c r="CP95" i="47"/>
  <c r="CO95" i="47"/>
  <c r="CN95" i="47"/>
  <c r="CM95" i="47"/>
  <c r="CL95" i="47"/>
  <c r="CK95" i="47"/>
  <c r="CJ95" i="47"/>
  <c r="CI95" i="47"/>
  <c r="CH95" i="47"/>
  <c r="CG95" i="47"/>
  <c r="CF95" i="47"/>
  <c r="CE95" i="47"/>
  <c r="C95" i="47"/>
  <c r="B95" i="47"/>
  <c r="EC94" i="47"/>
  <c r="EB94" i="47"/>
  <c r="EA94" i="47"/>
  <c r="DZ94" i="47"/>
  <c r="DY94" i="47"/>
  <c r="DX94" i="47"/>
  <c r="DW94" i="47"/>
  <c r="DU94" i="47"/>
  <c r="DT94" i="47"/>
  <c r="DS94" i="47"/>
  <c r="DR94" i="47"/>
  <c r="DQ94" i="47"/>
  <c r="DP94" i="47"/>
  <c r="DO94" i="47"/>
  <c r="DN94" i="47"/>
  <c r="DL94" i="47"/>
  <c r="DK94" i="47"/>
  <c r="DJ94" i="47"/>
  <c r="CX94" i="47"/>
  <c r="CW94" i="47"/>
  <c r="CV94" i="47"/>
  <c r="CU94" i="47"/>
  <c r="CT94" i="47"/>
  <c r="CS94" i="47"/>
  <c r="CR94" i="47"/>
  <c r="CP94" i="47"/>
  <c r="CO94" i="47"/>
  <c r="CN94" i="47"/>
  <c r="CM94" i="47"/>
  <c r="CL94" i="47"/>
  <c r="CK94" i="47"/>
  <c r="CJ94" i="47"/>
  <c r="CI94" i="47"/>
  <c r="CH94" i="47"/>
  <c r="CG94" i="47"/>
  <c r="CF94" i="47"/>
  <c r="CE94" i="47"/>
  <c r="C94" i="47"/>
  <c r="B94" i="47"/>
  <c r="DY93" i="47"/>
  <c r="DX93" i="47"/>
  <c r="DW93" i="47"/>
  <c r="DU93" i="47"/>
  <c r="DT93" i="47"/>
  <c r="DS93" i="47"/>
  <c r="DR93" i="47"/>
  <c r="DQ93" i="47"/>
  <c r="DP93" i="47"/>
  <c r="CT93" i="47"/>
  <c r="CS93" i="47"/>
  <c r="CR93" i="47"/>
  <c r="CP93" i="47"/>
  <c r="CO93" i="47"/>
  <c r="CN93" i="47"/>
  <c r="CM93" i="47"/>
  <c r="CL93" i="47"/>
  <c r="CK93" i="47"/>
  <c r="C93" i="47"/>
  <c r="B93" i="47"/>
  <c r="EC92" i="47"/>
  <c r="EB92" i="47"/>
  <c r="EA92" i="47"/>
  <c r="DZ92" i="47"/>
  <c r="DY92" i="47"/>
  <c r="DX92" i="47"/>
  <c r="DW92" i="47"/>
  <c r="DU92" i="47"/>
  <c r="DT92" i="47"/>
  <c r="DS92" i="47"/>
  <c r="DR92" i="47"/>
  <c r="DQ92" i="47"/>
  <c r="DP92" i="47"/>
  <c r="CX92" i="47"/>
  <c r="CW92" i="47"/>
  <c r="CV92" i="47"/>
  <c r="CU92" i="47"/>
  <c r="CT92" i="47"/>
  <c r="CS92" i="47"/>
  <c r="CR92" i="47"/>
  <c r="CP92" i="47"/>
  <c r="CO92" i="47"/>
  <c r="CN92" i="47"/>
  <c r="CM92" i="47"/>
  <c r="CL92" i="47"/>
  <c r="CK92" i="47"/>
  <c r="C92" i="47"/>
  <c r="B92" i="47"/>
  <c r="EC91" i="47"/>
  <c r="EB91" i="47"/>
  <c r="EA91" i="47"/>
  <c r="DZ91" i="47"/>
  <c r="DY91" i="47"/>
  <c r="DX91" i="47"/>
  <c r="DW91" i="47"/>
  <c r="DU91" i="47"/>
  <c r="DT91" i="47"/>
  <c r="DS91" i="47"/>
  <c r="DR91" i="47"/>
  <c r="DQ91" i="47"/>
  <c r="DP91" i="47"/>
  <c r="DO91" i="47"/>
  <c r="DN91" i="47"/>
  <c r="DL91" i="47"/>
  <c r="DK91" i="47"/>
  <c r="DJ91" i="47"/>
  <c r="CX91" i="47"/>
  <c r="CW91" i="47"/>
  <c r="CV91" i="47"/>
  <c r="CU91" i="47"/>
  <c r="CT91" i="47"/>
  <c r="CS91" i="47"/>
  <c r="CR91" i="47"/>
  <c r="CP91" i="47"/>
  <c r="CO91" i="47"/>
  <c r="CN91" i="47"/>
  <c r="CM91" i="47"/>
  <c r="CL91" i="47"/>
  <c r="CK91" i="47"/>
  <c r="CJ91" i="47"/>
  <c r="CI91" i="47"/>
  <c r="CH91" i="47"/>
  <c r="CG91" i="47"/>
  <c r="CF91" i="47"/>
  <c r="CE91" i="47"/>
  <c r="C91" i="47"/>
  <c r="B91" i="47"/>
  <c r="EC90" i="47"/>
  <c r="EB90" i="47"/>
  <c r="EA90" i="47"/>
  <c r="DZ90" i="47"/>
  <c r="DY90" i="47"/>
  <c r="DX90" i="47"/>
  <c r="DW90" i="47"/>
  <c r="DU90" i="47"/>
  <c r="DT90" i="47"/>
  <c r="DS90" i="47"/>
  <c r="DR90" i="47"/>
  <c r="DQ90" i="47"/>
  <c r="DP90" i="47"/>
  <c r="DO90" i="47"/>
  <c r="CX90" i="47"/>
  <c r="CW90" i="47"/>
  <c r="CV90" i="47"/>
  <c r="CU90" i="47"/>
  <c r="CT90" i="47"/>
  <c r="CS90" i="47"/>
  <c r="CR90" i="47"/>
  <c r="CP90" i="47"/>
  <c r="CO90" i="47"/>
  <c r="CN90" i="47"/>
  <c r="CM90" i="47"/>
  <c r="CL90" i="47"/>
  <c r="CK90" i="47"/>
  <c r="CJ90" i="47"/>
  <c r="C90" i="47"/>
  <c r="B90" i="47"/>
  <c r="EC89" i="47"/>
  <c r="EB89" i="47"/>
  <c r="EA89" i="47"/>
  <c r="DZ89" i="47"/>
  <c r="DY89" i="47"/>
  <c r="DX89" i="47"/>
  <c r="DW89" i="47"/>
  <c r="DU89" i="47"/>
  <c r="DT89" i="47"/>
  <c r="DS89" i="47"/>
  <c r="DR89" i="47"/>
  <c r="DQ89" i="47"/>
  <c r="DP89" i="47"/>
  <c r="CX89" i="47"/>
  <c r="CW89" i="47"/>
  <c r="CV89" i="47"/>
  <c r="CU89" i="47"/>
  <c r="CT89" i="47"/>
  <c r="CS89" i="47"/>
  <c r="CR89" i="47"/>
  <c r="CP89" i="47"/>
  <c r="CO89" i="47"/>
  <c r="CN89" i="47"/>
  <c r="CM89" i="47"/>
  <c r="CL89" i="47"/>
  <c r="CK89" i="47"/>
  <c r="C89" i="47"/>
  <c r="B89" i="47"/>
  <c r="DL88" i="47"/>
  <c r="DK88" i="47"/>
  <c r="DJ88" i="47"/>
  <c r="CG88" i="47"/>
  <c r="CF88" i="47"/>
  <c r="CE88" i="47"/>
  <c r="C88" i="47"/>
  <c r="B88" i="47"/>
  <c r="EC87" i="47"/>
  <c r="EB87" i="47"/>
  <c r="EA87" i="47"/>
  <c r="DZ87" i="47"/>
  <c r="DY87" i="47"/>
  <c r="DX87" i="47"/>
  <c r="DW87" i="47"/>
  <c r="DU87" i="47"/>
  <c r="DT87" i="47"/>
  <c r="DS87" i="47"/>
  <c r="DR87" i="47"/>
  <c r="DQ87" i="47"/>
  <c r="DP87" i="47"/>
  <c r="DO87" i="47"/>
  <c r="DN87" i="47"/>
  <c r="DL87" i="47"/>
  <c r="DK87" i="47"/>
  <c r="DJ87" i="47"/>
  <c r="CX87" i="47"/>
  <c r="CW87" i="47"/>
  <c r="CV87" i="47"/>
  <c r="CU87" i="47"/>
  <c r="CT87" i="47"/>
  <c r="CS87" i="47"/>
  <c r="CR87" i="47"/>
  <c r="CP87" i="47"/>
  <c r="CO87" i="47"/>
  <c r="CN87" i="47"/>
  <c r="CM87" i="47"/>
  <c r="CL87" i="47"/>
  <c r="CK87" i="47"/>
  <c r="CJ87" i="47"/>
  <c r="CI87" i="47"/>
  <c r="CH87" i="47"/>
  <c r="CG87" i="47"/>
  <c r="CF87" i="47"/>
  <c r="CE87" i="47"/>
  <c r="C87" i="47"/>
  <c r="B87" i="47"/>
  <c r="EC86" i="47"/>
  <c r="EB86" i="47"/>
  <c r="EA86" i="47"/>
  <c r="DZ86" i="47"/>
  <c r="DY86" i="47"/>
  <c r="DX86" i="47"/>
  <c r="DW86" i="47"/>
  <c r="DU86" i="47"/>
  <c r="DT86" i="47"/>
  <c r="DS86" i="47"/>
  <c r="DR86" i="47"/>
  <c r="DQ86" i="47"/>
  <c r="DP86" i="47"/>
  <c r="DO86" i="47"/>
  <c r="CX86" i="47"/>
  <c r="CW86" i="47"/>
  <c r="CV86" i="47"/>
  <c r="CU86" i="47"/>
  <c r="CT86" i="47"/>
  <c r="CS86" i="47"/>
  <c r="CR86" i="47"/>
  <c r="CP86" i="47"/>
  <c r="CO86" i="47"/>
  <c r="CN86" i="47"/>
  <c r="CM86" i="47"/>
  <c r="CL86" i="47"/>
  <c r="CK86" i="47"/>
  <c r="CJ86" i="47"/>
  <c r="C86" i="47"/>
  <c r="B86" i="47"/>
  <c r="EC85" i="47"/>
  <c r="EB85" i="47"/>
  <c r="EA85" i="47"/>
  <c r="DZ85" i="47"/>
  <c r="DY85" i="47"/>
  <c r="DX85" i="47"/>
  <c r="DW85" i="47"/>
  <c r="DU85" i="47"/>
  <c r="DT85" i="47"/>
  <c r="DS85" i="47"/>
  <c r="DR85" i="47"/>
  <c r="DQ85" i="47"/>
  <c r="DP85" i="47"/>
  <c r="DO85" i="47"/>
  <c r="CX85" i="47"/>
  <c r="CW85" i="47"/>
  <c r="CV85" i="47"/>
  <c r="CU85" i="47"/>
  <c r="CT85" i="47"/>
  <c r="CS85" i="47"/>
  <c r="CR85" i="47"/>
  <c r="CP85" i="47"/>
  <c r="CO85" i="47"/>
  <c r="CN85" i="47"/>
  <c r="CM85" i="47"/>
  <c r="CL85" i="47"/>
  <c r="CK85" i="47"/>
  <c r="CJ85" i="47"/>
  <c r="C85" i="47"/>
  <c r="B85" i="47"/>
  <c r="EC84" i="47"/>
  <c r="EB84" i="47"/>
  <c r="EA84" i="47"/>
  <c r="DZ84" i="47"/>
  <c r="DY84" i="47"/>
  <c r="DX84" i="47"/>
  <c r="DW84" i="47"/>
  <c r="DU84" i="47"/>
  <c r="DT84" i="47"/>
  <c r="DS84" i="47"/>
  <c r="DR84" i="47"/>
  <c r="DQ84" i="47"/>
  <c r="DP84" i="47"/>
  <c r="DO84" i="47"/>
  <c r="CX84" i="47"/>
  <c r="CW84" i="47"/>
  <c r="CV84" i="47"/>
  <c r="CU84" i="47"/>
  <c r="CT84" i="47"/>
  <c r="CS84" i="47"/>
  <c r="CR84" i="47"/>
  <c r="CP84" i="47"/>
  <c r="CO84" i="47"/>
  <c r="CN84" i="47"/>
  <c r="CM84" i="47"/>
  <c r="CL84" i="47"/>
  <c r="CK84" i="47"/>
  <c r="CJ84" i="47"/>
  <c r="C84" i="47"/>
  <c r="B84" i="47"/>
  <c r="EC83" i="47"/>
  <c r="EB83" i="47"/>
  <c r="EA83" i="47"/>
  <c r="DZ83" i="47"/>
  <c r="DY83" i="47"/>
  <c r="DX83" i="47"/>
  <c r="DW83" i="47"/>
  <c r="DU83" i="47"/>
  <c r="DT83" i="47"/>
  <c r="DS83" i="47"/>
  <c r="DR83" i="47"/>
  <c r="DQ83" i="47"/>
  <c r="DP83" i="47"/>
  <c r="DO83" i="47"/>
  <c r="CX83" i="47"/>
  <c r="CW83" i="47"/>
  <c r="CV83" i="47"/>
  <c r="CU83" i="47"/>
  <c r="CT83" i="47"/>
  <c r="CS83" i="47"/>
  <c r="CR83" i="47"/>
  <c r="CP83" i="47"/>
  <c r="CO83" i="47"/>
  <c r="CN83" i="47"/>
  <c r="CM83" i="47"/>
  <c r="CL83" i="47"/>
  <c r="CK83" i="47"/>
  <c r="CJ83" i="47"/>
  <c r="C83" i="47"/>
  <c r="B83" i="47"/>
  <c r="EC82" i="47"/>
  <c r="EB82" i="47"/>
  <c r="EA82" i="47"/>
  <c r="DZ82" i="47"/>
  <c r="DY82" i="47"/>
  <c r="DX82" i="47"/>
  <c r="DW82" i="47"/>
  <c r="DU82" i="47"/>
  <c r="DT82" i="47"/>
  <c r="DS82" i="47"/>
  <c r="DR82" i="47"/>
  <c r="DQ82" i="47"/>
  <c r="DP82" i="47"/>
  <c r="DO82" i="47"/>
  <c r="CX82" i="47"/>
  <c r="CW82" i="47"/>
  <c r="CV82" i="47"/>
  <c r="CU82" i="47"/>
  <c r="CT82" i="47"/>
  <c r="CS82" i="47"/>
  <c r="CR82" i="47"/>
  <c r="CP82" i="47"/>
  <c r="CO82" i="47"/>
  <c r="CN82" i="47"/>
  <c r="CM82" i="47"/>
  <c r="CL82" i="47"/>
  <c r="CK82" i="47"/>
  <c r="CJ82" i="47"/>
  <c r="C82" i="47"/>
  <c r="B82" i="47"/>
  <c r="EC81" i="47"/>
  <c r="EB81" i="47"/>
  <c r="EA81" i="47"/>
  <c r="DZ81" i="47"/>
  <c r="DY81" i="47"/>
  <c r="DX81" i="47"/>
  <c r="DW81" i="47"/>
  <c r="DU81" i="47"/>
  <c r="DT81" i="47"/>
  <c r="DS81" i="47"/>
  <c r="DR81" i="47"/>
  <c r="DQ81" i="47"/>
  <c r="DP81" i="47"/>
  <c r="DO81" i="47"/>
  <c r="CX81" i="47"/>
  <c r="CW81" i="47"/>
  <c r="CV81" i="47"/>
  <c r="CU81" i="47"/>
  <c r="CT81" i="47"/>
  <c r="CS81" i="47"/>
  <c r="CR81" i="47"/>
  <c r="CP81" i="47"/>
  <c r="CO81" i="47"/>
  <c r="CN81" i="47"/>
  <c r="CM81" i="47"/>
  <c r="CL81" i="47"/>
  <c r="CK81" i="47"/>
  <c r="CJ81" i="47"/>
  <c r="C81" i="47"/>
  <c r="B81" i="47"/>
  <c r="EC80" i="47"/>
  <c r="EB80" i="47"/>
  <c r="EA80" i="47"/>
  <c r="DZ80" i="47"/>
  <c r="DY80" i="47"/>
  <c r="DX80" i="47"/>
  <c r="DW80" i="47"/>
  <c r="DU80" i="47"/>
  <c r="DT80" i="47"/>
  <c r="DS80" i="47"/>
  <c r="DR80" i="47"/>
  <c r="DQ80" i="47"/>
  <c r="DP80" i="47"/>
  <c r="DO80" i="47"/>
  <c r="CX80" i="47"/>
  <c r="CW80" i="47"/>
  <c r="CV80" i="47"/>
  <c r="CU80" i="47"/>
  <c r="CT80" i="47"/>
  <c r="CS80" i="47"/>
  <c r="CR80" i="47"/>
  <c r="CP80" i="47"/>
  <c r="CO80" i="47"/>
  <c r="CN80" i="47"/>
  <c r="CM80" i="47"/>
  <c r="CL80" i="47"/>
  <c r="CK80" i="47"/>
  <c r="CJ80" i="47"/>
  <c r="C80" i="47"/>
  <c r="B80" i="47"/>
  <c r="EC79" i="47"/>
  <c r="EB79" i="47"/>
  <c r="EA79" i="47"/>
  <c r="DZ79" i="47"/>
  <c r="DY79" i="47"/>
  <c r="DX79" i="47"/>
  <c r="DT79" i="47"/>
  <c r="DS79" i="47"/>
  <c r="DR79" i="47"/>
  <c r="DQ79" i="47"/>
  <c r="DP79" i="47"/>
  <c r="DO79" i="47"/>
  <c r="CX79" i="47"/>
  <c r="CW79" i="47"/>
  <c r="CV79" i="47"/>
  <c r="CU79" i="47"/>
  <c r="CT79" i="47"/>
  <c r="CS79" i="47"/>
  <c r="CO79" i="47"/>
  <c r="CN79" i="47"/>
  <c r="CM79" i="47"/>
  <c r="CL79" i="47"/>
  <c r="CK79" i="47"/>
  <c r="CJ79" i="47"/>
  <c r="C79" i="47"/>
  <c r="B79" i="47"/>
  <c r="EC74" i="47"/>
  <c r="EB74" i="47"/>
  <c r="EA74" i="47"/>
  <c r="DZ74" i="47"/>
  <c r="DY74" i="47"/>
  <c r="DX74" i="47"/>
  <c r="DW74" i="47"/>
  <c r="DU74" i="47"/>
  <c r="DT74" i="47"/>
  <c r="DS74" i="47"/>
  <c r="DR74" i="47"/>
  <c r="DQ74" i="47"/>
  <c r="DP74" i="47"/>
  <c r="DO74" i="47"/>
  <c r="DN74" i="47"/>
  <c r="DL74" i="47"/>
  <c r="DK74" i="47"/>
  <c r="DJ74" i="47"/>
  <c r="CX74" i="47"/>
  <c r="CW74" i="47"/>
  <c r="CV74" i="47"/>
  <c r="CU74" i="47"/>
  <c r="CT74" i="47"/>
  <c r="CS74" i="47"/>
  <c r="CR74" i="47"/>
  <c r="CP74" i="47"/>
  <c r="CO74" i="47"/>
  <c r="CN74" i="47"/>
  <c r="CM74" i="47"/>
  <c r="CL74" i="47"/>
  <c r="CK74" i="47"/>
  <c r="CJ74" i="47"/>
  <c r="CI74" i="47"/>
  <c r="CH74" i="47"/>
  <c r="CG74" i="47"/>
  <c r="CF74" i="47"/>
  <c r="CE74" i="47"/>
  <c r="C74" i="47"/>
  <c r="B74" i="47"/>
  <c r="EC73" i="47"/>
  <c r="EB73" i="47"/>
  <c r="EA73" i="47"/>
  <c r="DZ73" i="47"/>
  <c r="DY73" i="47"/>
  <c r="DX73" i="47"/>
  <c r="DW73" i="47"/>
  <c r="DU73" i="47"/>
  <c r="DT73" i="47"/>
  <c r="DS73" i="47"/>
  <c r="DR73" i="47"/>
  <c r="DQ73" i="47"/>
  <c r="DP73" i="47"/>
  <c r="DO73" i="47"/>
  <c r="DN73" i="47"/>
  <c r="DL73" i="47"/>
  <c r="DK73" i="47"/>
  <c r="DJ73" i="47"/>
  <c r="CX73" i="47"/>
  <c r="CW73" i="47"/>
  <c r="CV73" i="47"/>
  <c r="CU73" i="47"/>
  <c r="CT73" i="47"/>
  <c r="CS73" i="47"/>
  <c r="CR73" i="47"/>
  <c r="CP73" i="47"/>
  <c r="CO73" i="47"/>
  <c r="CN73" i="47"/>
  <c r="CM73" i="47"/>
  <c r="CL73" i="47"/>
  <c r="CK73" i="47"/>
  <c r="CJ73" i="47"/>
  <c r="CI73" i="47"/>
  <c r="CH73" i="47"/>
  <c r="CG73" i="47"/>
  <c r="CF73" i="47"/>
  <c r="CE73" i="47"/>
  <c r="C73" i="47"/>
  <c r="B73" i="47"/>
  <c r="EC72" i="47"/>
  <c r="EB72" i="47"/>
  <c r="EA72" i="47"/>
  <c r="DZ72" i="47"/>
  <c r="DY72" i="47"/>
  <c r="DX72" i="47"/>
  <c r="DW72" i="47"/>
  <c r="DU72" i="47"/>
  <c r="DT72" i="47"/>
  <c r="DS72" i="47"/>
  <c r="DR72" i="47"/>
  <c r="DQ72" i="47"/>
  <c r="DP72" i="47"/>
  <c r="DO72" i="47"/>
  <c r="DN72" i="47"/>
  <c r="DL72" i="47"/>
  <c r="DK72" i="47"/>
  <c r="DJ72" i="47"/>
  <c r="CX72" i="47"/>
  <c r="CW72" i="47"/>
  <c r="CV72" i="47"/>
  <c r="CU72" i="47"/>
  <c r="CT72" i="47"/>
  <c r="CS72" i="47"/>
  <c r="CR72" i="47"/>
  <c r="CP72" i="47"/>
  <c r="CO72" i="47"/>
  <c r="CN72" i="47"/>
  <c r="CM72" i="47"/>
  <c r="CL72" i="47"/>
  <c r="CK72" i="47"/>
  <c r="CJ72" i="47"/>
  <c r="CI72" i="47"/>
  <c r="CH72" i="47"/>
  <c r="CG72" i="47"/>
  <c r="CF72" i="47"/>
  <c r="CE72" i="47"/>
  <c r="C72" i="47"/>
  <c r="B72" i="47"/>
  <c r="DY71" i="47"/>
  <c r="DX71" i="47"/>
  <c r="DW71" i="47"/>
  <c r="DU71" i="47"/>
  <c r="DT71" i="47"/>
  <c r="DS71" i="47"/>
  <c r="DR71" i="47"/>
  <c r="DQ71" i="47"/>
  <c r="DP71" i="47"/>
  <c r="CT71" i="47"/>
  <c r="CS71" i="47"/>
  <c r="CR71" i="47"/>
  <c r="CP71" i="47"/>
  <c r="CO71" i="47"/>
  <c r="CN71" i="47"/>
  <c r="CM71" i="47"/>
  <c r="CL71" i="47"/>
  <c r="CK71" i="47"/>
  <c r="C71" i="47"/>
  <c r="B71" i="47"/>
  <c r="EC70" i="47"/>
  <c r="EB70" i="47"/>
  <c r="EA70" i="47"/>
  <c r="DZ70" i="47"/>
  <c r="DY70" i="47"/>
  <c r="DX70" i="47"/>
  <c r="DW70" i="47"/>
  <c r="DU70" i="47"/>
  <c r="DT70" i="47"/>
  <c r="DS70" i="47"/>
  <c r="DR70" i="47"/>
  <c r="DQ70" i="47"/>
  <c r="DP70" i="47"/>
  <c r="CX70" i="47"/>
  <c r="CW70" i="47"/>
  <c r="CV70" i="47"/>
  <c r="CU70" i="47"/>
  <c r="CT70" i="47"/>
  <c r="CS70" i="47"/>
  <c r="CR70" i="47"/>
  <c r="CP70" i="47"/>
  <c r="CO70" i="47"/>
  <c r="CN70" i="47"/>
  <c r="CM70" i="47"/>
  <c r="CL70" i="47"/>
  <c r="CK70" i="47"/>
  <c r="C70" i="47"/>
  <c r="B70" i="47"/>
  <c r="EC69" i="47"/>
  <c r="EB69" i="47"/>
  <c r="EA69" i="47"/>
  <c r="DZ69" i="47"/>
  <c r="DY69" i="47"/>
  <c r="DX69" i="47"/>
  <c r="DW69" i="47"/>
  <c r="DU69" i="47"/>
  <c r="DT69" i="47"/>
  <c r="DS69" i="47"/>
  <c r="DR69" i="47"/>
  <c r="DQ69" i="47"/>
  <c r="DP69" i="47"/>
  <c r="DO69" i="47"/>
  <c r="DN69" i="47"/>
  <c r="DL69" i="47"/>
  <c r="DK69" i="47"/>
  <c r="DJ69" i="47"/>
  <c r="CX69" i="47"/>
  <c r="CW69" i="47"/>
  <c r="CV69" i="47"/>
  <c r="CU69" i="47"/>
  <c r="CT69" i="47"/>
  <c r="CS69" i="47"/>
  <c r="CR69" i="47"/>
  <c r="CP69" i="47"/>
  <c r="CO69" i="47"/>
  <c r="CN69" i="47"/>
  <c r="CM69" i="47"/>
  <c r="CL69" i="47"/>
  <c r="CK69" i="47"/>
  <c r="CJ69" i="47"/>
  <c r="CI69" i="47"/>
  <c r="CH69" i="47"/>
  <c r="CG69" i="47"/>
  <c r="CF69" i="47"/>
  <c r="CE69" i="47"/>
  <c r="C69" i="47"/>
  <c r="B69" i="47"/>
  <c r="EC68" i="47"/>
  <c r="EB68" i="47"/>
  <c r="EA68" i="47"/>
  <c r="DZ68" i="47"/>
  <c r="DY68" i="47"/>
  <c r="DX68" i="47"/>
  <c r="DW68" i="47"/>
  <c r="DU68" i="47"/>
  <c r="DT68" i="47"/>
  <c r="DS68" i="47"/>
  <c r="DR68" i="47"/>
  <c r="DQ68" i="47"/>
  <c r="DP68" i="47"/>
  <c r="DO68" i="47"/>
  <c r="CX68" i="47"/>
  <c r="CW68" i="47"/>
  <c r="CV68" i="47"/>
  <c r="CU68" i="47"/>
  <c r="CT68" i="47"/>
  <c r="CS68" i="47"/>
  <c r="CR68" i="47"/>
  <c r="CP68" i="47"/>
  <c r="CO68" i="47"/>
  <c r="CN68" i="47"/>
  <c r="CM68" i="47"/>
  <c r="CL68" i="47"/>
  <c r="CK68" i="47"/>
  <c r="CJ68" i="47"/>
  <c r="C68" i="47"/>
  <c r="B68" i="47"/>
  <c r="EC67" i="47"/>
  <c r="EB67" i="47"/>
  <c r="EA67" i="47"/>
  <c r="DZ67" i="47"/>
  <c r="DY67" i="47"/>
  <c r="DX67" i="47"/>
  <c r="DW67" i="47"/>
  <c r="DU67" i="47"/>
  <c r="DT67" i="47"/>
  <c r="DS67" i="47"/>
  <c r="DR67" i="47"/>
  <c r="DQ67" i="47"/>
  <c r="DP67" i="47"/>
  <c r="CX67" i="47"/>
  <c r="CW67" i="47"/>
  <c r="CV67" i="47"/>
  <c r="CU67" i="47"/>
  <c r="CT67" i="47"/>
  <c r="CS67" i="47"/>
  <c r="CP67" i="47"/>
  <c r="CO67" i="47"/>
  <c r="CN67" i="47"/>
  <c r="CM67" i="47"/>
  <c r="CL67" i="47"/>
  <c r="CK67" i="47"/>
  <c r="C67" i="47"/>
  <c r="B67" i="47"/>
  <c r="DL66" i="47"/>
  <c r="DK66" i="47"/>
  <c r="DJ66" i="47"/>
  <c r="CG66" i="47"/>
  <c r="CF66" i="47"/>
  <c r="CE66" i="47"/>
  <c r="C66" i="47"/>
  <c r="B66" i="47"/>
  <c r="EC65" i="47"/>
  <c r="EB65" i="47"/>
  <c r="EA65" i="47"/>
  <c r="DZ65" i="47"/>
  <c r="DY65" i="47"/>
  <c r="DX65" i="47"/>
  <c r="DW65" i="47"/>
  <c r="DU65" i="47"/>
  <c r="DT65" i="47"/>
  <c r="DS65" i="47"/>
  <c r="DR65" i="47"/>
  <c r="DQ65" i="47"/>
  <c r="DP65" i="47"/>
  <c r="DO65" i="47"/>
  <c r="DN65" i="47"/>
  <c r="DL65" i="47"/>
  <c r="DK65" i="47"/>
  <c r="DJ65" i="47"/>
  <c r="CX65" i="47"/>
  <c r="CW65" i="47"/>
  <c r="CV65" i="47"/>
  <c r="CU65" i="47"/>
  <c r="CT65" i="47"/>
  <c r="CS65" i="47"/>
  <c r="CR65" i="47"/>
  <c r="CP65" i="47"/>
  <c r="CO65" i="47"/>
  <c r="CN65" i="47"/>
  <c r="CM65" i="47"/>
  <c r="CL65" i="47"/>
  <c r="CK65" i="47"/>
  <c r="CJ65" i="47"/>
  <c r="CI65" i="47"/>
  <c r="CH65" i="47"/>
  <c r="CG65" i="47"/>
  <c r="CF65" i="47"/>
  <c r="CE65" i="47"/>
  <c r="C65" i="47"/>
  <c r="B65" i="47"/>
  <c r="EC64" i="47"/>
  <c r="EB64" i="47"/>
  <c r="EA64" i="47"/>
  <c r="DZ64" i="47"/>
  <c r="DY64" i="47"/>
  <c r="DX64" i="47"/>
  <c r="DW64" i="47"/>
  <c r="DU64" i="47"/>
  <c r="DT64" i="47"/>
  <c r="DS64" i="47"/>
  <c r="DR64" i="47"/>
  <c r="DQ64" i="47"/>
  <c r="DP64" i="47"/>
  <c r="DO64" i="47"/>
  <c r="CX64" i="47"/>
  <c r="CW64" i="47"/>
  <c r="CV64" i="47"/>
  <c r="CU64" i="47"/>
  <c r="CT64" i="47"/>
  <c r="CS64" i="47"/>
  <c r="CR64" i="47"/>
  <c r="CP64" i="47"/>
  <c r="CO64" i="47"/>
  <c r="CN64" i="47"/>
  <c r="CM64" i="47"/>
  <c r="CL64" i="47"/>
  <c r="CK64" i="47"/>
  <c r="CJ64" i="47"/>
  <c r="C64" i="47"/>
  <c r="B64" i="47"/>
  <c r="EC63" i="47"/>
  <c r="EB63" i="47"/>
  <c r="EA63" i="47"/>
  <c r="DZ63" i="47"/>
  <c r="DY63" i="47"/>
  <c r="DX63" i="47"/>
  <c r="DW63" i="47"/>
  <c r="DU63" i="47"/>
  <c r="DT63" i="47"/>
  <c r="DS63" i="47"/>
  <c r="DR63" i="47"/>
  <c r="DQ63" i="47"/>
  <c r="DP63" i="47"/>
  <c r="DO63" i="47"/>
  <c r="CX63" i="47"/>
  <c r="CW63" i="47"/>
  <c r="CV63" i="47"/>
  <c r="CU63" i="47"/>
  <c r="CT63" i="47"/>
  <c r="CS63" i="47"/>
  <c r="CR63" i="47"/>
  <c r="CP63" i="47"/>
  <c r="CO63" i="47"/>
  <c r="CN63" i="47"/>
  <c r="CM63" i="47"/>
  <c r="CL63" i="47"/>
  <c r="CK63" i="47"/>
  <c r="CJ63" i="47"/>
  <c r="C63" i="47"/>
  <c r="B63" i="47"/>
  <c r="EC62" i="47"/>
  <c r="EB62" i="47"/>
  <c r="EA62" i="47"/>
  <c r="DZ62" i="47"/>
  <c r="DY62" i="47"/>
  <c r="DX62" i="47"/>
  <c r="DW62" i="47"/>
  <c r="DU62" i="47"/>
  <c r="DT62" i="47"/>
  <c r="DS62" i="47"/>
  <c r="DR62" i="47"/>
  <c r="DQ62" i="47"/>
  <c r="DP62" i="47"/>
  <c r="DO62" i="47"/>
  <c r="CX62" i="47"/>
  <c r="CW62" i="47"/>
  <c r="CV62" i="47"/>
  <c r="CU62" i="47"/>
  <c r="CT62" i="47"/>
  <c r="CS62" i="47"/>
  <c r="CR62" i="47"/>
  <c r="CP62" i="47"/>
  <c r="CO62" i="47"/>
  <c r="CN62" i="47"/>
  <c r="CM62" i="47"/>
  <c r="CL62" i="47"/>
  <c r="CK62" i="47"/>
  <c r="CJ62" i="47"/>
  <c r="C62" i="47"/>
  <c r="B62" i="47"/>
  <c r="EC61" i="47"/>
  <c r="EB61" i="47"/>
  <c r="EA61" i="47"/>
  <c r="DZ61" i="47"/>
  <c r="DY61" i="47"/>
  <c r="DX61" i="47"/>
  <c r="DW61" i="47"/>
  <c r="DU61" i="47"/>
  <c r="DT61" i="47"/>
  <c r="DS61" i="47"/>
  <c r="DR61" i="47"/>
  <c r="DQ61" i="47"/>
  <c r="DP61" i="47"/>
  <c r="DO61" i="47"/>
  <c r="CX61" i="47"/>
  <c r="CW61" i="47"/>
  <c r="CV61" i="47"/>
  <c r="CU61" i="47"/>
  <c r="CT61" i="47"/>
  <c r="CS61" i="47"/>
  <c r="CR61" i="47"/>
  <c r="CP61" i="47"/>
  <c r="CO61" i="47"/>
  <c r="CN61" i="47"/>
  <c r="CM61" i="47"/>
  <c r="CL61" i="47"/>
  <c r="CK61" i="47"/>
  <c r="CJ61" i="47"/>
  <c r="C61" i="47"/>
  <c r="B61" i="47"/>
  <c r="EC60" i="47"/>
  <c r="EB60" i="47"/>
  <c r="EA60" i="47"/>
  <c r="DZ60" i="47"/>
  <c r="DY60" i="47"/>
  <c r="DX60" i="47"/>
  <c r="DW60" i="47"/>
  <c r="DU60" i="47"/>
  <c r="DT60" i="47"/>
  <c r="DS60" i="47"/>
  <c r="DR60" i="47"/>
  <c r="DQ60" i="47"/>
  <c r="DP60" i="47"/>
  <c r="DO60" i="47"/>
  <c r="CX60" i="47"/>
  <c r="CW60" i="47"/>
  <c r="CV60" i="47"/>
  <c r="CU60" i="47"/>
  <c r="CT60" i="47"/>
  <c r="CS60" i="47"/>
  <c r="CR60" i="47"/>
  <c r="CP60" i="47"/>
  <c r="CO60" i="47"/>
  <c r="CN60" i="47"/>
  <c r="CM60" i="47"/>
  <c r="CL60" i="47"/>
  <c r="CK60" i="47"/>
  <c r="CJ60" i="47"/>
  <c r="C60" i="47"/>
  <c r="B60" i="47"/>
  <c r="EC59" i="47"/>
  <c r="EB59" i="47"/>
  <c r="EA59" i="47"/>
  <c r="DZ59" i="47"/>
  <c r="DY59" i="47"/>
  <c r="DX59" i="47"/>
  <c r="DW59" i="47"/>
  <c r="DU59" i="47"/>
  <c r="DT59" i="47"/>
  <c r="DS59" i="47"/>
  <c r="DR59" i="47"/>
  <c r="DQ59" i="47"/>
  <c r="DP59" i="47"/>
  <c r="DO59" i="47"/>
  <c r="CX59" i="47"/>
  <c r="CW59" i="47"/>
  <c r="CV59" i="47"/>
  <c r="CU59" i="47"/>
  <c r="CT59" i="47"/>
  <c r="CS59" i="47"/>
  <c r="CR59" i="47"/>
  <c r="CP59" i="47"/>
  <c r="CO59" i="47"/>
  <c r="CN59" i="47"/>
  <c r="CM59" i="47"/>
  <c r="CL59" i="47"/>
  <c r="CK59" i="47"/>
  <c r="CJ59" i="47"/>
  <c r="C59" i="47"/>
  <c r="B59" i="47"/>
  <c r="EC58" i="47"/>
  <c r="EB58" i="47"/>
  <c r="EA58" i="47"/>
  <c r="DZ58" i="47"/>
  <c r="DY58" i="47"/>
  <c r="DX58" i="47"/>
  <c r="DW58" i="47"/>
  <c r="DU58" i="47"/>
  <c r="DT58" i="47"/>
  <c r="DS58" i="47"/>
  <c r="DR58" i="47"/>
  <c r="DQ58" i="47"/>
  <c r="DP58" i="47"/>
  <c r="DO58" i="47"/>
  <c r="CX58" i="47"/>
  <c r="CW58" i="47"/>
  <c r="CV58" i="47"/>
  <c r="CU58" i="47"/>
  <c r="CT58" i="47"/>
  <c r="CS58" i="47"/>
  <c r="CR58" i="47"/>
  <c r="CP58" i="47"/>
  <c r="CO58" i="47"/>
  <c r="CN58" i="47"/>
  <c r="CM58" i="47"/>
  <c r="CL58" i="47"/>
  <c r="CK58" i="47"/>
  <c r="CJ58" i="47"/>
  <c r="C58" i="47"/>
  <c r="B58" i="47"/>
  <c r="EC57" i="47"/>
  <c r="EB57" i="47"/>
  <c r="EA57" i="47"/>
  <c r="DZ57" i="47"/>
  <c r="DY57" i="47"/>
  <c r="DX57" i="47"/>
  <c r="DT57" i="47"/>
  <c r="DS57" i="47"/>
  <c r="DR57" i="47"/>
  <c r="DQ57" i="47"/>
  <c r="DP57" i="47"/>
  <c r="DO57" i="47"/>
  <c r="CX57" i="47"/>
  <c r="CW57" i="47"/>
  <c r="CV57" i="47"/>
  <c r="CU57" i="47"/>
  <c r="CT57" i="47"/>
  <c r="CS57" i="47"/>
  <c r="CO57" i="47"/>
  <c r="CN57" i="47"/>
  <c r="CM57" i="47"/>
  <c r="CL57" i="47"/>
  <c r="CK57" i="47"/>
  <c r="CJ57" i="47"/>
  <c r="C57" i="47"/>
  <c r="B57" i="47"/>
  <c r="EC52" i="47"/>
  <c r="EB52" i="47"/>
  <c r="EA52" i="47"/>
  <c r="DZ52" i="47"/>
  <c r="DY52" i="47"/>
  <c r="DX52" i="47"/>
  <c r="DW52" i="47"/>
  <c r="DU52" i="47"/>
  <c r="DT52" i="47"/>
  <c r="DS52" i="47"/>
  <c r="DR52" i="47"/>
  <c r="DQ52" i="47"/>
  <c r="DP52" i="47"/>
  <c r="DO52" i="47"/>
  <c r="DN52" i="47"/>
  <c r="DL52" i="47"/>
  <c r="DK52" i="47"/>
  <c r="DJ52" i="47"/>
  <c r="CX52" i="47"/>
  <c r="CW52" i="47"/>
  <c r="CV52" i="47"/>
  <c r="CU52" i="47"/>
  <c r="CT52" i="47"/>
  <c r="CS52" i="47"/>
  <c r="CR52" i="47"/>
  <c r="CP52" i="47"/>
  <c r="CO52" i="47"/>
  <c r="CN52" i="47"/>
  <c r="CM52" i="47"/>
  <c r="CL52" i="47"/>
  <c r="CK52" i="47"/>
  <c r="CJ52" i="47"/>
  <c r="CI52" i="47"/>
  <c r="CH52" i="47"/>
  <c r="CG52" i="47"/>
  <c r="CF52" i="47"/>
  <c r="CE52" i="47"/>
  <c r="C52" i="47"/>
  <c r="B52" i="47"/>
  <c r="EC51" i="47"/>
  <c r="EB51" i="47"/>
  <c r="EA51" i="47"/>
  <c r="DZ51" i="47"/>
  <c r="DY51" i="47"/>
  <c r="DX51" i="47"/>
  <c r="DW51" i="47"/>
  <c r="DU51" i="47"/>
  <c r="DT51" i="47"/>
  <c r="DS51" i="47"/>
  <c r="DR51" i="47"/>
  <c r="DQ51" i="47"/>
  <c r="DP51" i="47"/>
  <c r="DO51" i="47"/>
  <c r="DN51" i="47"/>
  <c r="DL51" i="47"/>
  <c r="DK51" i="47"/>
  <c r="DJ51" i="47"/>
  <c r="CX51" i="47"/>
  <c r="CW51" i="47"/>
  <c r="CV51" i="47"/>
  <c r="CU51" i="47"/>
  <c r="CT51" i="47"/>
  <c r="CS51" i="47"/>
  <c r="CR51" i="47"/>
  <c r="CP51" i="47"/>
  <c r="CO51" i="47"/>
  <c r="CN51" i="47"/>
  <c r="CM51" i="47"/>
  <c r="CL51" i="47"/>
  <c r="CK51" i="47"/>
  <c r="CJ51" i="47"/>
  <c r="CI51" i="47"/>
  <c r="CH51" i="47"/>
  <c r="CG51" i="47"/>
  <c r="CF51" i="47"/>
  <c r="CE51" i="47"/>
  <c r="C51" i="47"/>
  <c r="B51" i="47"/>
  <c r="EC50" i="47"/>
  <c r="EB50" i="47"/>
  <c r="EA50" i="47"/>
  <c r="DZ50" i="47"/>
  <c r="DY50" i="47"/>
  <c r="DX50" i="47"/>
  <c r="DW50" i="47"/>
  <c r="DU50" i="47"/>
  <c r="DT50" i="47"/>
  <c r="DS50" i="47"/>
  <c r="DR50" i="47"/>
  <c r="DQ50" i="47"/>
  <c r="DP50" i="47"/>
  <c r="DO50" i="47"/>
  <c r="DN50" i="47"/>
  <c r="DL50" i="47"/>
  <c r="DK50" i="47"/>
  <c r="DJ50" i="47"/>
  <c r="CX50" i="47"/>
  <c r="CW50" i="47"/>
  <c r="CV50" i="47"/>
  <c r="CU50" i="47"/>
  <c r="CT50" i="47"/>
  <c r="CS50" i="47"/>
  <c r="CR50" i="47"/>
  <c r="CP50" i="47"/>
  <c r="CO50" i="47"/>
  <c r="CN50" i="47"/>
  <c r="CM50" i="47"/>
  <c r="CL50" i="47"/>
  <c r="CK50" i="47"/>
  <c r="CJ50" i="47"/>
  <c r="CI50" i="47"/>
  <c r="CH50" i="47"/>
  <c r="CG50" i="47"/>
  <c r="CF50" i="47"/>
  <c r="CE50" i="47"/>
  <c r="C50" i="47"/>
  <c r="B50" i="47"/>
  <c r="DY49" i="47"/>
  <c r="DX49" i="47"/>
  <c r="DW49" i="47"/>
  <c r="DU49" i="47"/>
  <c r="DT49" i="47"/>
  <c r="DS49" i="47"/>
  <c r="DR49" i="47"/>
  <c r="DQ49" i="47"/>
  <c r="DP49" i="47"/>
  <c r="CT49" i="47"/>
  <c r="CS49" i="47"/>
  <c r="CR49" i="47"/>
  <c r="CP49" i="47"/>
  <c r="CO49" i="47"/>
  <c r="CN49" i="47"/>
  <c r="CM49" i="47"/>
  <c r="CL49" i="47"/>
  <c r="CK49" i="47"/>
  <c r="C49" i="47"/>
  <c r="B49" i="47"/>
  <c r="EC48" i="47"/>
  <c r="EB48" i="47"/>
  <c r="EA48" i="47"/>
  <c r="DZ48" i="47"/>
  <c r="DY48" i="47"/>
  <c r="DX48" i="47"/>
  <c r="DW48" i="47"/>
  <c r="DU48" i="47"/>
  <c r="DT48" i="47"/>
  <c r="DS48" i="47"/>
  <c r="DR48" i="47"/>
  <c r="DQ48" i="47"/>
  <c r="DP48" i="47"/>
  <c r="CX48" i="47"/>
  <c r="CW48" i="47"/>
  <c r="CV48" i="47"/>
  <c r="CU48" i="47"/>
  <c r="CT48" i="47"/>
  <c r="CS48" i="47"/>
  <c r="CO48" i="47"/>
  <c r="CN48" i="47"/>
  <c r="CM48" i="47"/>
  <c r="CL48" i="47"/>
  <c r="CK48" i="47"/>
  <c r="C48" i="47"/>
  <c r="B48" i="47"/>
  <c r="EC47" i="47"/>
  <c r="EB47" i="47"/>
  <c r="EA47" i="47"/>
  <c r="DZ47" i="47"/>
  <c r="DY47" i="47"/>
  <c r="DX47" i="47"/>
  <c r="DW47" i="47"/>
  <c r="DU47" i="47"/>
  <c r="DT47" i="47"/>
  <c r="DS47" i="47"/>
  <c r="DR47" i="47"/>
  <c r="DQ47" i="47"/>
  <c r="DP47" i="47"/>
  <c r="DO47" i="47"/>
  <c r="DN47" i="47"/>
  <c r="DL47" i="47"/>
  <c r="DK47" i="47"/>
  <c r="DJ47" i="47"/>
  <c r="CX47" i="47"/>
  <c r="CW47" i="47"/>
  <c r="CV47" i="47"/>
  <c r="CU47" i="47"/>
  <c r="CT47" i="47"/>
  <c r="CS47" i="47"/>
  <c r="CR47" i="47"/>
  <c r="CP47" i="47"/>
  <c r="CO47" i="47"/>
  <c r="CN47" i="47"/>
  <c r="CM47" i="47"/>
  <c r="CL47" i="47"/>
  <c r="CK47" i="47"/>
  <c r="CJ47" i="47"/>
  <c r="CI47" i="47"/>
  <c r="CH47" i="47"/>
  <c r="CG47" i="47"/>
  <c r="CF47" i="47"/>
  <c r="CE47" i="47"/>
  <c r="C47" i="47"/>
  <c r="B47" i="47"/>
  <c r="EC46" i="47"/>
  <c r="EB46" i="47"/>
  <c r="EA46" i="47"/>
  <c r="DZ46" i="47"/>
  <c r="DY46" i="47"/>
  <c r="DX46" i="47"/>
  <c r="DW46" i="47"/>
  <c r="DU46" i="47"/>
  <c r="DT46" i="47"/>
  <c r="DS46" i="47"/>
  <c r="DR46" i="47"/>
  <c r="DQ46" i="47"/>
  <c r="DP46" i="47"/>
  <c r="DO46" i="47"/>
  <c r="CX46" i="47"/>
  <c r="CW46" i="47"/>
  <c r="CV46" i="47"/>
  <c r="CU46" i="47"/>
  <c r="CT46" i="47"/>
  <c r="CS46" i="47"/>
  <c r="CR46" i="47"/>
  <c r="CP46" i="47"/>
  <c r="CO46" i="47"/>
  <c r="CN46" i="47"/>
  <c r="CM46" i="47"/>
  <c r="CL46" i="47"/>
  <c r="CK46" i="47"/>
  <c r="CJ46" i="47"/>
  <c r="C46" i="47"/>
  <c r="B46" i="47"/>
  <c r="EC45" i="47"/>
  <c r="EB45" i="47"/>
  <c r="EA45" i="47"/>
  <c r="DZ45" i="47"/>
  <c r="DY45" i="47"/>
  <c r="DX45" i="47"/>
  <c r="DW45" i="47"/>
  <c r="DU45" i="47"/>
  <c r="DT45" i="47"/>
  <c r="DS45" i="47"/>
  <c r="DR45" i="47"/>
  <c r="DQ45" i="47"/>
  <c r="DP45" i="47"/>
  <c r="CX45" i="47"/>
  <c r="CW45" i="47"/>
  <c r="CV45" i="47"/>
  <c r="CU45" i="47"/>
  <c r="CT45" i="47"/>
  <c r="CS45" i="47"/>
  <c r="CP45" i="47"/>
  <c r="CO45" i="47"/>
  <c r="CN45" i="47"/>
  <c r="CM45" i="47"/>
  <c r="CL45" i="47"/>
  <c r="CK45" i="47"/>
  <c r="C45" i="47"/>
  <c r="B45" i="47"/>
  <c r="DL44" i="47"/>
  <c r="DK44" i="47"/>
  <c r="DJ44" i="47"/>
  <c r="CG44" i="47"/>
  <c r="CF44" i="47"/>
  <c r="CE44" i="47"/>
  <c r="C44" i="47"/>
  <c r="B44" i="47"/>
  <c r="EC43" i="47"/>
  <c r="EB43" i="47"/>
  <c r="EA43" i="47"/>
  <c r="DZ43" i="47"/>
  <c r="DY43" i="47"/>
  <c r="DX43" i="47"/>
  <c r="DW43" i="47"/>
  <c r="DU43" i="47"/>
  <c r="DT43" i="47"/>
  <c r="DS43" i="47"/>
  <c r="DR43" i="47"/>
  <c r="DQ43" i="47"/>
  <c r="DP43" i="47"/>
  <c r="DO43" i="47"/>
  <c r="DN43" i="47"/>
  <c r="DL43" i="47"/>
  <c r="DK43" i="47"/>
  <c r="DJ43" i="47"/>
  <c r="CX43" i="47"/>
  <c r="CW43" i="47"/>
  <c r="CV43" i="47"/>
  <c r="CU43" i="47"/>
  <c r="CT43" i="47"/>
  <c r="CS43" i="47"/>
  <c r="CR43" i="47"/>
  <c r="CP43" i="47"/>
  <c r="CO43" i="47"/>
  <c r="CN43" i="47"/>
  <c r="CM43" i="47"/>
  <c r="CL43" i="47"/>
  <c r="CK43" i="47"/>
  <c r="CJ43" i="47"/>
  <c r="CI43" i="47"/>
  <c r="CH43" i="47"/>
  <c r="CG43" i="47"/>
  <c r="CF43" i="47"/>
  <c r="CE43" i="47"/>
  <c r="C43" i="47"/>
  <c r="B43" i="47"/>
  <c r="EC42" i="47"/>
  <c r="EB42" i="47"/>
  <c r="EA42" i="47"/>
  <c r="DZ42" i="47"/>
  <c r="DY42" i="47"/>
  <c r="DX42" i="47"/>
  <c r="DW42" i="47"/>
  <c r="DU42" i="47"/>
  <c r="DT42" i="47"/>
  <c r="DS42" i="47"/>
  <c r="DR42" i="47"/>
  <c r="DQ42" i="47"/>
  <c r="DP42" i="47"/>
  <c r="DO42" i="47"/>
  <c r="CX42" i="47"/>
  <c r="CW42" i="47"/>
  <c r="CV42" i="47"/>
  <c r="CU42" i="47"/>
  <c r="CT42" i="47"/>
  <c r="CS42" i="47"/>
  <c r="CR42" i="47"/>
  <c r="CP42" i="47"/>
  <c r="CO42" i="47"/>
  <c r="CN42" i="47"/>
  <c r="CM42" i="47"/>
  <c r="CL42" i="47"/>
  <c r="CK42" i="47"/>
  <c r="CJ42" i="47"/>
  <c r="C42" i="47"/>
  <c r="B42" i="47"/>
  <c r="EC41" i="47"/>
  <c r="EB41" i="47"/>
  <c r="EA41" i="47"/>
  <c r="DZ41" i="47"/>
  <c r="DY41" i="47"/>
  <c r="DX41" i="47"/>
  <c r="DW41" i="47"/>
  <c r="DU41" i="47"/>
  <c r="DT41" i="47"/>
  <c r="DS41" i="47"/>
  <c r="DR41" i="47"/>
  <c r="DQ41" i="47"/>
  <c r="DP41" i="47"/>
  <c r="DO41" i="47"/>
  <c r="CX41" i="47"/>
  <c r="CW41" i="47"/>
  <c r="CV41" i="47"/>
  <c r="CU41" i="47"/>
  <c r="CT41" i="47"/>
  <c r="CS41" i="47"/>
  <c r="CR41" i="47"/>
  <c r="CP41" i="47"/>
  <c r="CO41" i="47"/>
  <c r="CN41" i="47"/>
  <c r="CM41" i="47"/>
  <c r="CL41" i="47"/>
  <c r="CK41" i="47"/>
  <c r="CJ41" i="47"/>
  <c r="C41" i="47"/>
  <c r="B41" i="47"/>
  <c r="EC40" i="47"/>
  <c r="EB40" i="47"/>
  <c r="EA40" i="47"/>
  <c r="DZ40" i="47"/>
  <c r="DY40" i="47"/>
  <c r="DX40" i="47"/>
  <c r="DW40" i="47"/>
  <c r="DU40" i="47"/>
  <c r="DT40" i="47"/>
  <c r="DS40" i="47"/>
  <c r="DR40" i="47"/>
  <c r="DQ40" i="47"/>
  <c r="DP40" i="47"/>
  <c r="DO40" i="47"/>
  <c r="CX40" i="47"/>
  <c r="CW40" i="47"/>
  <c r="CV40" i="47"/>
  <c r="CU40" i="47"/>
  <c r="CT40" i="47"/>
  <c r="CS40" i="47"/>
  <c r="CR40" i="47"/>
  <c r="CP40" i="47"/>
  <c r="CO40" i="47"/>
  <c r="CN40" i="47"/>
  <c r="CM40" i="47"/>
  <c r="CL40" i="47"/>
  <c r="CK40" i="47"/>
  <c r="CJ40" i="47"/>
  <c r="C40" i="47"/>
  <c r="B40" i="47"/>
  <c r="EC39" i="47"/>
  <c r="EB39" i="47"/>
  <c r="EA39" i="47"/>
  <c r="DZ39" i="47"/>
  <c r="DY39" i="47"/>
  <c r="DX39" i="47"/>
  <c r="DW39" i="47"/>
  <c r="DU39" i="47"/>
  <c r="DT39" i="47"/>
  <c r="DS39" i="47"/>
  <c r="DR39" i="47"/>
  <c r="DQ39" i="47"/>
  <c r="DP39" i="47"/>
  <c r="DO39" i="47"/>
  <c r="CX39" i="47"/>
  <c r="CW39" i="47"/>
  <c r="CV39" i="47"/>
  <c r="CU39" i="47"/>
  <c r="CT39" i="47"/>
  <c r="CS39" i="47"/>
  <c r="CR39" i="47"/>
  <c r="CP39" i="47"/>
  <c r="CO39" i="47"/>
  <c r="CN39" i="47"/>
  <c r="CM39" i="47"/>
  <c r="CL39" i="47"/>
  <c r="CK39" i="47"/>
  <c r="CJ39" i="47"/>
  <c r="C39" i="47"/>
  <c r="B39" i="47"/>
  <c r="EC38" i="47"/>
  <c r="EB38" i="47"/>
  <c r="EA38" i="47"/>
  <c r="DZ38" i="47"/>
  <c r="DY38" i="47"/>
  <c r="DX38" i="47"/>
  <c r="DW38" i="47"/>
  <c r="DU38" i="47"/>
  <c r="DT38" i="47"/>
  <c r="DS38" i="47"/>
  <c r="DR38" i="47"/>
  <c r="DQ38" i="47"/>
  <c r="DP38" i="47"/>
  <c r="DO38" i="47"/>
  <c r="CX38" i="47"/>
  <c r="CW38" i="47"/>
  <c r="CV38" i="47"/>
  <c r="CU38" i="47"/>
  <c r="CT38" i="47"/>
  <c r="CS38" i="47"/>
  <c r="CR38" i="47"/>
  <c r="CP38" i="47"/>
  <c r="CO38" i="47"/>
  <c r="CN38" i="47"/>
  <c r="CM38" i="47"/>
  <c r="CL38" i="47"/>
  <c r="CK38" i="47"/>
  <c r="CJ38" i="47"/>
  <c r="C38" i="47"/>
  <c r="B38" i="47"/>
  <c r="EC37" i="47"/>
  <c r="EB37" i="47"/>
  <c r="EA37" i="47"/>
  <c r="DZ37" i="47"/>
  <c r="DY37" i="47"/>
  <c r="DX37" i="47"/>
  <c r="DW37" i="47"/>
  <c r="DU37" i="47"/>
  <c r="DT37" i="47"/>
  <c r="DS37" i="47"/>
  <c r="DR37" i="47"/>
  <c r="DQ37" i="47"/>
  <c r="DP37" i="47"/>
  <c r="DO37" i="47"/>
  <c r="CX37" i="47"/>
  <c r="CW37" i="47"/>
  <c r="CV37" i="47"/>
  <c r="CU37" i="47"/>
  <c r="CT37" i="47"/>
  <c r="CS37" i="47"/>
  <c r="CR37" i="47"/>
  <c r="CP37" i="47"/>
  <c r="CO37" i="47"/>
  <c r="CN37" i="47"/>
  <c r="CM37" i="47"/>
  <c r="CL37" i="47"/>
  <c r="CK37" i="47"/>
  <c r="CJ37" i="47"/>
  <c r="C37" i="47"/>
  <c r="B37" i="47"/>
  <c r="EC36" i="47"/>
  <c r="EB36" i="47"/>
  <c r="EA36" i="47"/>
  <c r="DZ36" i="47"/>
  <c r="DY36" i="47"/>
  <c r="DX36" i="47"/>
  <c r="DW36" i="47"/>
  <c r="DU36" i="47"/>
  <c r="DT36" i="47"/>
  <c r="DS36" i="47"/>
  <c r="DR36" i="47"/>
  <c r="DQ36" i="47"/>
  <c r="DP36" i="47"/>
  <c r="DO36" i="47"/>
  <c r="CX36" i="47"/>
  <c r="CW36" i="47"/>
  <c r="CV36" i="47"/>
  <c r="CU36" i="47"/>
  <c r="CT36" i="47"/>
  <c r="CS36" i="47"/>
  <c r="CR36" i="47"/>
  <c r="CP36" i="47"/>
  <c r="CO36" i="47"/>
  <c r="CN36" i="47"/>
  <c r="CM36" i="47"/>
  <c r="CL36" i="47"/>
  <c r="CK36" i="47"/>
  <c r="CJ36" i="47"/>
  <c r="C36" i="47"/>
  <c r="B36" i="47"/>
  <c r="EC35" i="47"/>
  <c r="EB35" i="47"/>
  <c r="EA35" i="47"/>
  <c r="DZ35" i="47"/>
  <c r="DY35" i="47"/>
  <c r="DX35" i="47"/>
  <c r="DR35" i="47"/>
  <c r="DQ35" i="47"/>
  <c r="DP35" i="47"/>
  <c r="DO35" i="47"/>
  <c r="CX35" i="47"/>
  <c r="CW35" i="47"/>
  <c r="CV35" i="47"/>
  <c r="CU35" i="47"/>
  <c r="CT35" i="47"/>
  <c r="CS35" i="47"/>
  <c r="CN35" i="47"/>
  <c r="CM35" i="47"/>
  <c r="CL35" i="47"/>
  <c r="CK35" i="47"/>
  <c r="CJ35" i="47"/>
  <c r="C35" i="47"/>
  <c r="B35" i="47"/>
  <c r="EC30" i="47"/>
  <c r="EB30" i="47"/>
  <c r="EA30" i="47"/>
  <c r="DZ30" i="47"/>
  <c r="DY30" i="47"/>
  <c r="DX30" i="47"/>
  <c r="DW30" i="47"/>
  <c r="DU30" i="47"/>
  <c r="DT30" i="47"/>
  <c r="DS30" i="47"/>
  <c r="DR30" i="47"/>
  <c r="DQ30" i="47"/>
  <c r="DP30" i="47"/>
  <c r="DO30" i="47"/>
  <c r="DN30" i="47"/>
  <c r="DL30" i="47"/>
  <c r="DK30" i="47"/>
  <c r="DJ30" i="47"/>
  <c r="CW30" i="47"/>
  <c r="CV30" i="47"/>
  <c r="CU30" i="47"/>
  <c r="CT30" i="47"/>
  <c r="CS30" i="47"/>
  <c r="CR30" i="47"/>
  <c r="CP30" i="47"/>
  <c r="CO30" i="47"/>
  <c r="CN30" i="47"/>
  <c r="CM30" i="47"/>
  <c r="CL30" i="47"/>
  <c r="CK30" i="47"/>
  <c r="CJ30" i="47"/>
  <c r="CI30" i="47"/>
  <c r="CH30" i="47"/>
  <c r="CE30" i="47"/>
  <c r="C30" i="47"/>
  <c r="B30" i="47"/>
  <c r="CA30" i="47" s="1"/>
  <c r="EC29" i="47"/>
  <c r="EB29" i="47"/>
  <c r="EA29" i="47"/>
  <c r="DZ29" i="47"/>
  <c r="DY29" i="47"/>
  <c r="DX29" i="47"/>
  <c r="DW29" i="47"/>
  <c r="DU29" i="47"/>
  <c r="DT29" i="47"/>
  <c r="DS29" i="47"/>
  <c r="DR29" i="47"/>
  <c r="DQ29" i="47"/>
  <c r="DP29" i="47"/>
  <c r="DO29" i="47"/>
  <c r="DN29" i="47"/>
  <c r="DL29" i="47"/>
  <c r="DK29" i="47"/>
  <c r="DJ29" i="47"/>
  <c r="CX29" i="47"/>
  <c r="CW29" i="47"/>
  <c r="CV29" i="47"/>
  <c r="CU29" i="47"/>
  <c r="CT29" i="47"/>
  <c r="CS29" i="47"/>
  <c r="CR29" i="47"/>
  <c r="CP29" i="47"/>
  <c r="CO29" i="47"/>
  <c r="CN29" i="47"/>
  <c r="CM29" i="47"/>
  <c r="CL29" i="47"/>
  <c r="CK29" i="47"/>
  <c r="CJ29" i="47"/>
  <c r="CI29" i="47"/>
  <c r="CH29" i="47"/>
  <c r="CG29" i="47"/>
  <c r="CF29" i="47"/>
  <c r="CE29" i="47"/>
  <c r="C29" i="47"/>
  <c r="B29" i="47"/>
  <c r="EC28" i="47"/>
  <c r="EB28" i="47"/>
  <c r="EA28" i="47"/>
  <c r="DZ28" i="47"/>
  <c r="DY28" i="47"/>
  <c r="DX28" i="47"/>
  <c r="DW28" i="47"/>
  <c r="DU28" i="47"/>
  <c r="DT28" i="47"/>
  <c r="DS28" i="47"/>
  <c r="DR28" i="47"/>
  <c r="DQ28" i="47"/>
  <c r="DP28" i="47"/>
  <c r="DO28" i="47"/>
  <c r="DN28" i="47"/>
  <c r="DL28" i="47"/>
  <c r="DK28" i="47"/>
  <c r="DJ28" i="47"/>
  <c r="CX28" i="47"/>
  <c r="CW28" i="47"/>
  <c r="CV28" i="47"/>
  <c r="CU28" i="47"/>
  <c r="CT28" i="47"/>
  <c r="CS28" i="47"/>
  <c r="CR28" i="47"/>
  <c r="CP28" i="47"/>
  <c r="CO28" i="47"/>
  <c r="CN28" i="47"/>
  <c r="CM28" i="47"/>
  <c r="CL28" i="47"/>
  <c r="CK28" i="47"/>
  <c r="CJ28" i="47"/>
  <c r="CI28" i="47"/>
  <c r="CH28" i="47"/>
  <c r="CG28" i="47"/>
  <c r="CF28" i="47"/>
  <c r="CE28" i="47"/>
  <c r="C28" i="47"/>
  <c r="B28" i="47"/>
  <c r="DY27" i="47"/>
  <c r="DX27" i="47"/>
  <c r="DW27" i="47"/>
  <c r="DU27" i="47"/>
  <c r="DT27" i="47"/>
  <c r="DS27" i="47"/>
  <c r="DR27" i="47"/>
  <c r="DQ27" i="47"/>
  <c r="DP27" i="47"/>
  <c r="CT27" i="47"/>
  <c r="CS27" i="47"/>
  <c r="CR27" i="47"/>
  <c r="CP27" i="47"/>
  <c r="CO27" i="47"/>
  <c r="CN27" i="47"/>
  <c r="CM27" i="47"/>
  <c r="CL27" i="47"/>
  <c r="CK27" i="47"/>
  <c r="C27" i="47"/>
  <c r="B27" i="47"/>
  <c r="EB26" i="47"/>
  <c r="EA26" i="47"/>
  <c r="DY26" i="47"/>
  <c r="DX26" i="47"/>
  <c r="DW26" i="47"/>
  <c r="DU26" i="47"/>
  <c r="DT26" i="47"/>
  <c r="DS26" i="47"/>
  <c r="DR26" i="47"/>
  <c r="DQ26" i="47"/>
  <c r="DP26" i="47"/>
  <c r="CX26" i="47"/>
  <c r="CW26" i="47"/>
  <c r="CV26" i="47"/>
  <c r="CU26" i="47"/>
  <c r="CT26" i="47"/>
  <c r="CS26" i="47"/>
  <c r="CR26" i="47"/>
  <c r="CP26" i="47"/>
  <c r="CO26" i="47"/>
  <c r="CN26" i="47"/>
  <c r="CM26" i="47"/>
  <c r="CL26" i="47"/>
  <c r="CK26" i="47"/>
  <c r="C26" i="47"/>
  <c r="B26" i="47"/>
  <c r="EC25" i="47"/>
  <c r="EB25" i="47"/>
  <c r="EA25" i="47"/>
  <c r="DZ25" i="47"/>
  <c r="DY25" i="47"/>
  <c r="DX25" i="47"/>
  <c r="DW25" i="47"/>
  <c r="DU25" i="47"/>
  <c r="DT25" i="47"/>
  <c r="DS25" i="47"/>
  <c r="DR25" i="47"/>
  <c r="DQ25" i="47"/>
  <c r="DP25" i="47"/>
  <c r="DO25" i="47"/>
  <c r="DN25" i="47"/>
  <c r="DL25" i="47"/>
  <c r="DK25" i="47"/>
  <c r="DJ25" i="47"/>
  <c r="CX25" i="47"/>
  <c r="CW25" i="47"/>
  <c r="CV25" i="47"/>
  <c r="CU25" i="47"/>
  <c r="CT25" i="47"/>
  <c r="CS25" i="47"/>
  <c r="CR25" i="47"/>
  <c r="CP25" i="47"/>
  <c r="CO25" i="47"/>
  <c r="CN25" i="47"/>
  <c r="CM25" i="47"/>
  <c r="CL25" i="47"/>
  <c r="CK25" i="47"/>
  <c r="CJ25" i="47"/>
  <c r="CI25" i="47"/>
  <c r="CH25" i="47"/>
  <c r="CG25" i="47"/>
  <c r="CF25" i="47"/>
  <c r="CE25" i="47"/>
  <c r="C25" i="47"/>
  <c r="B25" i="47"/>
  <c r="EC24" i="47"/>
  <c r="EB24" i="47"/>
  <c r="EA24" i="47"/>
  <c r="DZ24" i="47"/>
  <c r="DY24" i="47"/>
  <c r="DX24" i="47"/>
  <c r="DW24" i="47"/>
  <c r="DU24" i="47"/>
  <c r="DT24" i="47"/>
  <c r="DS24" i="47"/>
  <c r="DR24" i="47"/>
  <c r="DQ24" i="47"/>
  <c r="DP24" i="47"/>
  <c r="DO24" i="47"/>
  <c r="CX24" i="47"/>
  <c r="CW24" i="47"/>
  <c r="CV24" i="47"/>
  <c r="CU24" i="47"/>
  <c r="CT24" i="47"/>
  <c r="CS24" i="47"/>
  <c r="CR24" i="47"/>
  <c r="CP24" i="47"/>
  <c r="CO24" i="47"/>
  <c r="CN24" i="47"/>
  <c r="CM24" i="47"/>
  <c r="CL24" i="47"/>
  <c r="CK24" i="47"/>
  <c r="CJ24" i="47"/>
  <c r="C24" i="47"/>
  <c r="B24" i="47"/>
  <c r="EC23" i="47"/>
  <c r="EB23" i="47"/>
  <c r="EA23" i="47"/>
  <c r="DZ23" i="47"/>
  <c r="DY23" i="47"/>
  <c r="DX23" i="47"/>
  <c r="DW23" i="47"/>
  <c r="DU23" i="47"/>
  <c r="DT23" i="47"/>
  <c r="DS23" i="47"/>
  <c r="DR23" i="47"/>
  <c r="DQ23" i="47"/>
  <c r="DP23" i="47"/>
  <c r="CX23" i="47"/>
  <c r="CW23" i="47"/>
  <c r="CV23" i="47"/>
  <c r="CU23" i="47"/>
  <c r="CT23" i="47"/>
  <c r="CS23" i="47"/>
  <c r="CR23" i="47"/>
  <c r="CP23" i="47"/>
  <c r="CO23" i="47"/>
  <c r="CN23" i="47"/>
  <c r="CM23" i="47"/>
  <c r="CL23" i="47"/>
  <c r="CK23" i="47"/>
  <c r="C23" i="47"/>
  <c r="B23" i="47"/>
  <c r="DL22" i="47"/>
  <c r="DK22" i="47"/>
  <c r="DJ22" i="47"/>
  <c r="CG22" i="47"/>
  <c r="CF22" i="47"/>
  <c r="CE22" i="47"/>
  <c r="C22" i="47"/>
  <c r="B22" i="47"/>
  <c r="EB21" i="47"/>
  <c r="EA21" i="47"/>
  <c r="DZ21" i="47"/>
  <c r="DY21" i="47"/>
  <c r="DS21" i="47"/>
  <c r="DR21" i="47"/>
  <c r="DQ21" i="47"/>
  <c r="DP21" i="47"/>
  <c r="DO21" i="47"/>
  <c r="DN21" i="47"/>
  <c r="DL21" i="47"/>
  <c r="DK21" i="47"/>
  <c r="CX21" i="47"/>
  <c r="CW21" i="47"/>
  <c r="CV21" i="47"/>
  <c r="CU21" i="47"/>
  <c r="CT21" i="47"/>
  <c r="CS21" i="47"/>
  <c r="C21" i="47"/>
  <c r="B21" i="47"/>
  <c r="CD21" i="47" s="1"/>
  <c r="EC20" i="47"/>
  <c r="EB20" i="47"/>
  <c r="EA20" i="47"/>
  <c r="DZ20" i="47"/>
  <c r="DY20" i="47"/>
  <c r="DX20" i="47"/>
  <c r="DW20" i="47"/>
  <c r="DU20" i="47"/>
  <c r="DT20" i="47"/>
  <c r="DS20" i="47"/>
  <c r="DR20" i="47"/>
  <c r="DQ20" i="47"/>
  <c r="DP20" i="47"/>
  <c r="DO20" i="47"/>
  <c r="CX20" i="47"/>
  <c r="CW20" i="47"/>
  <c r="CV20" i="47"/>
  <c r="CU20" i="47"/>
  <c r="CT20" i="47"/>
  <c r="CS20" i="47"/>
  <c r="CR20" i="47"/>
  <c r="CP20" i="47"/>
  <c r="CO20" i="47"/>
  <c r="CN20" i="47"/>
  <c r="CM20" i="47"/>
  <c r="CL20" i="47"/>
  <c r="CK20" i="47"/>
  <c r="CJ20" i="47"/>
  <c r="C20" i="47"/>
  <c r="B20" i="47"/>
  <c r="EC19" i="47"/>
  <c r="EB19" i="47"/>
  <c r="EA19" i="47"/>
  <c r="DZ19" i="47"/>
  <c r="DY19" i="47"/>
  <c r="DX19" i="47"/>
  <c r="DW19" i="47"/>
  <c r="DU19" i="47"/>
  <c r="DT19" i="47"/>
  <c r="DS19" i="47"/>
  <c r="DR19" i="47"/>
  <c r="DQ19" i="47"/>
  <c r="DP19" i="47"/>
  <c r="DO19" i="47"/>
  <c r="CX19" i="47"/>
  <c r="CW19" i="47"/>
  <c r="CV19" i="47"/>
  <c r="CU19" i="47"/>
  <c r="CT19" i="47"/>
  <c r="CS19" i="47"/>
  <c r="CR19" i="47"/>
  <c r="CP19" i="47"/>
  <c r="CO19" i="47"/>
  <c r="CN19" i="47"/>
  <c r="CM19" i="47"/>
  <c r="CL19" i="47"/>
  <c r="CK19" i="47"/>
  <c r="CJ19" i="47"/>
  <c r="C19" i="47"/>
  <c r="B19" i="47"/>
  <c r="EC18" i="47"/>
  <c r="EB18" i="47"/>
  <c r="EA18" i="47"/>
  <c r="DZ18" i="47"/>
  <c r="DY18" i="47"/>
  <c r="DX18" i="47"/>
  <c r="DW18" i="47"/>
  <c r="DU18" i="47"/>
  <c r="DT18" i="47"/>
  <c r="DS18" i="47"/>
  <c r="DR18" i="47"/>
  <c r="DQ18" i="47"/>
  <c r="DP18" i="47"/>
  <c r="DO18" i="47"/>
  <c r="CX18" i="47"/>
  <c r="CW18" i="47"/>
  <c r="CV18" i="47"/>
  <c r="CU18" i="47"/>
  <c r="CT18" i="47"/>
  <c r="CS18" i="47"/>
  <c r="CR18" i="47"/>
  <c r="CP18" i="47"/>
  <c r="CO18" i="47"/>
  <c r="CN18" i="47"/>
  <c r="CM18" i="47"/>
  <c r="CL18" i="47"/>
  <c r="CK18" i="47"/>
  <c r="CJ18" i="47"/>
  <c r="C18" i="47"/>
  <c r="B18" i="47"/>
  <c r="EC17" i="47"/>
  <c r="EB17" i="47"/>
  <c r="EA17" i="47"/>
  <c r="DZ17" i="47"/>
  <c r="DY17" i="47"/>
  <c r="DX17" i="47"/>
  <c r="DW17" i="47"/>
  <c r="DU17" i="47"/>
  <c r="DT17" i="47"/>
  <c r="DS17" i="47"/>
  <c r="DR17" i="47"/>
  <c r="DQ17" i="47"/>
  <c r="DP17" i="47"/>
  <c r="DO17" i="47"/>
  <c r="CX17" i="47"/>
  <c r="CW17" i="47"/>
  <c r="CV17" i="47"/>
  <c r="CU17" i="47"/>
  <c r="CT17" i="47"/>
  <c r="CS17" i="47"/>
  <c r="CR17" i="47"/>
  <c r="CP17" i="47"/>
  <c r="CO17" i="47"/>
  <c r="CN17" i="47"/>
  <c r="CM17" i="47"/>
  <c r="CL17" i="47"/>
  <c r="CK17" i="47"/>
  <c r="CJ17" i="47"/>
  <c r="C17" i="47"/>
  <c r="B17" i="47"/>
  <c r="EC16" i="47"/>
  <c r="EB16" i="47"/>
  <c r="EA16" i="47"/>
  <c r="DZ16" i="47"/>
  <c r="DY16" i="47"/>
  <c r="DX16" i="47"/>
  <c r="DW16" i="47"/>
  <c r="DU16" i="47"/>
  <c r="DT16" i="47"/>
  <c r="DS16" i="47"/>
  <c r="DR16" i="47"/>
  <c r="DQ16" i="47"/>
  <c r="DP16" i="47"/>
  <c r="DO16" i="47"/>
  <c r="CX16" i="47"/>
  <c r="CW16" i="47"/>
  <c r="CV16" i="47"/>
  <c r="CU16" i="47"/>
  <c r="CT16" i="47"/>
  <c r="CS16" i="47"/>
  <c r="CR16" i="47"/>
  <c r="CP16" i="47"/>
  <c r="CO16" i="47"/>
  <c r="CN16" i="47"/>
  <c r="CM16" i="47"/>
  <c r="CL16" i="47"/>
  <c r="CK16" i="47"/>
  <c r="CJ16" i="47"/>
  <c r="C16" i="47"/>
  <c r="B16" i="47"/>
  <c r="EC15" i="47"/>
  <c r="EB15" i="47"/>
  <c r="EA15" i="47"/>
  <c r="DZ15" i="47"/>
  <c r="DY15" i="47"/>
  <c r="DX15" i="47"/>
  <c r="DW15" i="47"/>
  <c r="DU15" i="47"/>
  <c r="DT15" i="47"/>
  <c r="DS15" i="47"/>
  <c r="DR15" i="47"/>
  <c r="DQ15" i="47"/>
  <c r="DP15" i="47"/>
  <c r="DO15" i="47"/>
  <c r="CX15" i="47"/>
  <c r="CW15" i="47"/>
  <c r="CV15" i="47"/>
  <c r="CU15" i="47"/>
  <c r="CT15" i="47"/>
  <c r="CS15" i="47"/>
  <c r="CR15" i="47"/>
  <c r="CP15" i="47"/>
  <c r="CO15" i="47"/>
  <c r="CN15" i="47"/>
  <c r="CM15" i="47"/>
  <c r="CL15" i="47"/>
  <c r="CK15" i="47"/>
  <c r="CJ15" i="47"/>
  <c r="C15" i="47"/>
  <c r="B15" i="47"/>
  <c r="EC14" i="47"/>
  <c r="EB14" i="47"/>
  <c r="EA14" i="47"/>
  <c r="DZ14" i="47"/>
  <c r="DY14" i="47"/>
  <c r="DX14" i="47"/>
  <c r="DW14" i="47"/>
  <c r="DU14" i="47"/>
  <c r="DT14" i="47"/>
  <c r="DS14" i="47"/>
  <c r="DR14" i="47"/>
  <c r="DQ14" i="47"/>
  <c r="DP14" i="47"/>
  <c r="DO14" i="47"/>
  <c r="CX14" i="47"/>
  <c r="CW14" i="47"/>
  <c r="CV14" i="47"/>
  <c r="CU14" i="47"/>
  <c r="CT14" i="47"/>
  <c r="CS14" i="47"/>
  <c r="CR14" i="47"/>
  <c r="CP14" i="47"/>
  <c r="CO14" i="47"/>
  <c r="CN14" i="47"/>
  <c r="CM14" i="47"/>
  <c r="CL14" i="47"/>
  <c r="CK14" i="47"/>
  <c r="CJ14" i="47"/>
  <c r="C14" i="47"/>
  <c r="B14" i="47"/>
  <c r="EC13" i="47"/>
  <c r="EB13" i="47"/>
  <c r="EA13" i="47"/>
  <c r="DZ13" i="47"/>
  <c r="DY13" i="47"/>
  <c r="DX13" i="47"/>
  <c r="DU13" i="47"/>
  <c r="DT13" i="47"/>
  <c r="DS13" i="47"/>
  <c r="DR13" i="47"/>
  <c r="DQ13" i="47"/>
  <c r="DP13" i="47"/>
  <c r="CV13" i="47"/>
  <c r="CU13" i="47"/>
  <c r="CS13" i="47"/>
  <c r="CP13" i="47"/>
  <c r="CO13" i="47"/>
  <c r="CN13" i="47"/>
  <c r="CM13" i="47"/>
  <c r="CL13" i="47"/>
  <c r="CK13" i="47"/>
  <c r="C13" i="47"/>
  <c r="B13" i="47"/>
  <c r="CC177" i="46"/>
  <c r="CD177" i="46"/>
  <c r="CC176" i="46"/>
  <c r="CD176" i="46"/>
  <c r="CC175" i="46"/>
  <c r="CD175" i="46"/>
  <c r="CC174" i="46"/>
  <c r="CD174" i="46"/>
  <c r="CC173" i="46"/>
  <c r="CD173" i="46"/>
  <c r="CC172" i="46"/>
  <c r="CD172" i="46"/>
  <c r="CC171" i="46"/>
  <c r="CD171" i="46"/>
  <c r="CC170" i="46"/>
  <c r="CD170" i="46"/>
  <c r="CC169" i="46"/>
  <c r="CD169" i="46"/>
  <c r="CC168" i="46"/>
  <c r="CD168" i="46"/>
  <c r="AS162" i="46"/>
  <c r="AR162" i="46"/>
  <c r="AQ162" i="46"/>
  <c r="AP162" i="46"/>
  <c r="AO162" i="46"/>
  <c r="AN162" i="46"/>
  <c r="AM162" i="46"/>
  <c r="AL162" i="46"/>
  <c r="AK162" i="46"/>
  <c r="AJ162" i="46"/>
  <c r="AI162" i="46"/>
  <c r="AH162" i="46"/>
  <c r="AG162" i="46"/>
  <c r="AF162" i="46"/>
  <c r="AE162" i="46"/>
  <c r="AD162" i="46"/>
  <c r="AC162" i="46"/>
  <c r="AB162" i="46"/>
  <c r="AA162" i="46"/>
  <c r="Z162" i="46"/>
  <c r="Y162" i="46"/>
  <c r="X162" i="46"/>
  <c r="W162" i="46"/>
  <c r="V162" i="46"/>
  <c r="U162" i="46"/>
  <c r="T162" i="46"/>
  <c r="S162" i="46"/>
  <c r="R162" i="46"/>
  <c r="Q162" i="46"/>
  <c r="P162" i="46"/>
  <c r="M162" i="46"/>
  <c r="L162" i="46"/>
  <c r="K162" i="46"/>
  <c r="J162" i="46"/>
  <c r="I162" i="46"/>
  <c r="H162" i="46"/>
  <c r="G162" i="46"/>
  <c r="F162" i="46"/>
  <c r="E155" i="46"/>
  <c r="C153" i="46"/>
  <c r="V146" i="46"/>
  <c r="U146" i="46"/>
  <c r="T146" i="46"/>
  <c r="S146" i="46"/>
  <c r="R146" i="46"/>
  <c r="Q146" i="46"/>
  <c r="P146" i="46"/>
  <c r="O146" i="46"/>
  <c r="N146" i="46"/>
  <c r="M146" i="46"/>
  <c r="L146" i="46"/>
  <c r="K146" i="46"/>
  <c r="J146" i="46"/>
  <c r="I146" i="46"/>
  <c r="H146" i="46"/>
  <c r="E146" i="46"/>
  <c r="D146" i="46"/>
  <c r="C146" i="46"/>
  <c r="B143" i="46"/>
  <c r="B142" i="46"/>
  <c r="B141" i="46"/>
  <c r="B140" i="46"/>
  <c r="B139" i="46"/>
  <c r="B138" i="46"/>
  <c r="B137" i="46"/>
  <c r="B136" i="46"/>
  <c r="B135" i="46"/>
  <c r="B134" i="46"/>
  <c r="B133" i="46"/>
  <c r="B132" i="46"/>
  <c r="B131" i="46"/>
  <c r="B130" i="46"/>
  <c r="B129" i="46"/>
  <c r="AI126" i="46"/>
  <c r="AH126" i="46"/>
  <c r="AG126" i="46"/>
  <c r="AF126" i="46"/>
  <c r="AE126" i="46"/>
  <c r="AD126" i="46"/>
  <c r="AC126" i="46"/>
  <c r="AB126" i="46"/>
  <c r="AA126" i="46"/>
  <c r="Z126" i="46"/>
  <c r="Y126" i="46"/>
  <c r="X126" i="46"/>
  <c r="W126" i="46"/>
  <c r="V126" i="46"/>
  <c r="U126" i="46"/>
  <c r="T126" i="46"/>
  <c r="S126" i="46"/>
  <c r="R126" i="46"/>
  <c r="Q126" i="46"/>
  <c r="P126" i="46"/>
  <c r="O126" i="46"/>
  <c r="M126" i="46"/>
  <c r="L126" i="46"/>
  <c r="K126" i="46"/>
  <c r="I126" i="46"/>
  <c r="H126" i="46"/>
  <c r="G126" i="46"/>
  <c r="E126" i="46"/>
  <c r="D126" i="46"/>
  <c r="C126" i="46"/>
  <c r="N125" i="46"/>
  <c r="J125" i="46"/>
  <c r="F125" i="46"/>
  <c r="B125" i="46"/>
  <c r="N124" i="46"/>
  <c r="J124" i="46"/>
  <c r="F124" i="46"/>
  <c r="B124" i="46"/>
  <c r="N123" i="46"/>
  <c r="J123" i="46"/>
  <c r="F123" i="46"/>
  <c r="B123" i="46"/>
  <c r="N122" i="46"/>
  <c r="J122" i="46"/>
  <c r="F122" i="46"/>
  <c r="B122" i="46"/>
  <c r="N121" i="46"/>
  <c r="J121" i="46"/>
  <c r="F121" i="46"/>
  <c r="B121" i="46"/>
  <c r="N120" i="46"/>
  <c r="J120" i="46"/>
  <c r="F120" i="46"/>
  <c r="B120" i="46"/>
  <c r="N119" i="46"/>
  <c r="J119" i="46"/>
  <c r="F119" i="46"/>
  <c r="B119" i="46"/>
  <c r="N118" i="46"/>
  <c r="J118" i="46"/>
  <c r="F118" i="46"/>
  <c r="B118" i="46"/>
  <c r="N117" i="46"/>
  <c r="J117" i="46"/>
  <c r="F117" i="46"/>
  <c r="B117" i="46"/>
  <c r="N116" i="46"/>
  <c r="J116" i="46"/>
  <c r="F116" i="46"/>
  <c r="B116" i="46"/>
  <c r="N115" i="46"/>
  <c r="J115" i="46"/>
  <c r="F115" i="46"/>
  <c r="B115" i="46"/>
  <c r="N114" i="46"/>
  <c r="J114" i="46"/>
  <c r="F114" i="46"/>
  <c r="B114" i="46"/>
  <c r="N113" i="46"/>
  <c r="J113" i="46"/>
  <c r="F113" i="46"/>
  <c r="B113" i="46"/>
  <c r="N112" i="46"/>
  <c r="J112" i="46"/>
  <c r="F112" i="46"/>
  <c r="B112" i="46"/>
  <c r="N111" i="46"/>
  <c r="J111" i="46"/>
  <c r="F111" i="46"/>
  <c r="B111" i="46"/>
  <c r="N110" i="46"/>
  <c r="J110" i="46"/>
  <c r="F110" i="46"/>
  <c r="B110" i="46"/>
  <c r="N109" i="46"/>
  <c r="J109" i="46"/>
  <c r="F109" i="46"/>
  <c r="B109" i="46"/>
  <c r="N108" i="46"/>
  <c r="J108" i="46"/>
  <c r="F108" i="46"/>
  <c r="B108" i="46"/>
  <c r="N107" i="46"/>
  <c r="J107" i="46"/>
  <c r="F107" i="46"/>
  <c r="B107" i="46"/>
  <c r="N106" i="46"/>
  <c r="J106" i="46"/>
  <c r="F106" i="46"/>
  <c r="B106" i="46"/>
  <c r="N105" i="46"/>
  <c r="J105" i="46"/>
  <c r="F105" i="46"/>
  <c r="B105" i="46"/>
  <c r="N104" i="46"/>
  <c r="J104" i="46"/>
  <c r="F104" i="46"/>
  <c r="B104" i="46"/>
  <c r="N103" i="46"/>
  <c r="J103" i="46"/>
  <c r="F103" i="46"/>
  <c r="B103" i="46"/>
  <c r="N102" i="46"/>
  <c r="J102" i="46"/>
  <c r="F102" i="46"/>
  <c r="B102" i="46"/>
  <c r="N101" i="46"/>
  <c r="J101" i="46"/>
  <c r="F101" i="46"/>
  <c r="B101" i="46"/>
  <c r="N100" i="46"/>
  <c r="J100" i="46"/>
  <c r="F100" i="46"/>
  <c r="B100" i="46"/>
  <c r="N99" i="46"/>
  <c r="J99" i="46"/>
  <c r="F99" i="46"/>
  <c r="B99" i="46"/>
  <c r="N98" i="46"/>
  <c r="J98" i="46"/>
  <c r="F98" i="46"/>
  <c r="B98" i="46"/>
  <c r="N97" i="46"/>
  <c r="J97" i="46"/>
  <c r="F97" i="46"/>
  <c r="B97" i="46"/>
  <c r="N96" i="46"/>
  <c r="J96" i="46"/>
  <c r="F96" i="46"/>
  <c r="B96" i="46"/>
  <c r="N95" i="46"/>
  <c r="J95" i="46"/>
  <c r="F95" i="46"/>
  <c r="B95" i="46"/>
  <c r="N94" i="46"/>
  <c r="J94" i="46"/>
  <c r="F94" i="46"/>
  <c r="B94" i="46"/>
  <c r="N93" i="46"/>
  <c r="J93" i="46"/>
  <c r="F93" i="46"/>
  <c r="B93" i="46"/>
  <c r="N92" i="46"/>
  <c r="J92" i="46"/>
  <c r="F92" i="46"/>
  <c r="B92" i="46"/>
  <c r="N91" i="46"/>
  <c r="J91" i="46"/>
  <c r="F91" i="46"/>
  <c r="B91" i="46"/>
  <c r="N90" i="46"/>
  <c r="J90" i="46"/>
  <c r="F90" i="46"/>
  <c r="B90" i="46"/>
  <c r="N89" i="46"/>
  <c r="J89" i="46"/>
  <c r="F89" i="46"/>
  <c r="B89" i="46"/>
  <c r="N88" i="46"/>
  <c r="J88" i="46"/>
  <c r="F88" i="46"/>
  <c r="B88" i="46"/>
  <c r="N87" i="46"/>
  <c r="J87" i="46"/>
  <c r="F87" i="46"/>
  <c r="B87" i="46"/>
  <c r="N86" i="46"/>
  <c r="J86" i="46"/>
  <c r="F86" i="46"/>
  <c r="B86" i="46"/>
  <c r="N85" i="46"/>
  <c r="J85" i="46"/>
  <c r="F85" i="46"/>
  <c r="B85" i="46"/>
  <c r="N84" i="46"/>
  <c r="J84" i="46"/>
  <c r="F84" i="46"/>
  <c r="B84" i="46"/>
  <c r="N83" i="46"/>
  <c r="J83" i="46"/>
  <c r="F83" i="46"/>
  <c r="B83" i="46"/>
  <c r="N82" i="46"/>
  <c r="J82" i="46"/>
  <c r="F82" i="46"/>
  <c r="B82" i="46"/>
  <c r="N81" i="46"/>
  <c r="J81" i="46"/>
  <c r="F81" i="46"/>
  <c r="B81" i="46"/>
  <c r="N80" i="46"/>
  <c r="J80" i="46"/>
  <c r="F80" i="46"/>
  <c r="B80" i="46"/>
  <c r="N79" i="46"/>
  <c r="J79" i="46"/>
  <c r="F79" i="46"/>
  <c r="B79" i="46"/>
  <c r="N78" i="46"/>
  <c r="J78" i="46"/>
  <c r="F78" i="46"/>
  <c r="B78" i="46"/>
  <c r="N77" i="46"/>
  <c r="J77" i="46"/>
  <c r="F77" i="46"/>
  <c r="B77" i="46"/>
  <c r="N76" i="46"/>
  <c r="J76" i="46"/>
  <c r="F76" i="46"/>
  <c r="B76" i="46"/>
  <c r="N75" i="46"/>
  <c r="J75" i="46"/>
  <c r="F75" i="46"/>
  <c r="B75" i="46"/>
  <c r="N74" i="46"/>
  <c r="J74" i="46"/>
  <c r="F74" i="46"/>
  <c r="B74" i="46"/>
  <c r="N73" i="46"/>
  <c r="J73" i="46"/>
  <c r="F73" i="46"/>
  <c r="B73" i="46"/>
  <c r="N72" i="46"/>
  <c r="J72" i="46"/>
  <c r="F72" i="46"/>
  <c r="B72" i="46"/>
  <c r="N71" i="46"/>
  <c r="J71" i="46"/>
  <c r="F71" i="46"/>
  <c r="B71" i="46"/>
  <c r="AG67" i="46"/>
  <c r="AF67" i="46"/>
  <c r="AE67" i="46"/>
  <c r="AD67" i="46"/>
  <c r="AC67" i="46"/>
  <c r="AA67" i="46"/>
  <c r="Z67" i="46"/>
  <c r="Y67" i="46"/>
  <c r="W67" i="46"/>
  <c r="V67" i="46"/>
  <c r="U67" i="46"/>
  <c r="T67" i="46"/>
  <c r="S67" i="46"/>
  <c r="R67" i="46"/>
  <c r="Q67" i="46"/>
  <c r="P67" i="46"/>
  <c r="O67" i="46"/>
  <c r="N67" i="46"/>
  <c r="M67" i="46"/>
  <c r="L67" i="46"/>
  <c r="K67" i="46"/>
  <c r="J67" i="46"/>
  <c r="I67" i="46"/>
  <c r="H67" i="46"/>
  <c r="G67" i="46"/>
  <c r="E67" i="46"/>
  <c r="D67" i="46"/>
  <c r="C67" i="46"/>
  <c r="AB66" i="46"/>
  <c r="X66" i="46"/>
  <c r="B66" i="46"/>
  <c r="AB65" i="46"/>
  <c r="X65" i="46"/>
  <c r="B65" i="46"/>
  <c r="AB64" i="46"/>
  <c r="X64" i="46"/>
  <c r="B64" i="46"/>
  <c r="AB63" i="46"/>
  <c r="X63" i="46"/>
  <c r="B63" i="46"/>
  <c r="AB62" i="46"/>
  <c r="X62" i="46"/>
  <c r="B62" i="46"/>
  <c r="AB61" i="46"/>
  <c r="X61" i="46"/>
  <c r="B61" i="46"/>
  <c r="AB60" i="46"/>
  <c r="X60" i="46"/>
  <c r="B60" i="46"/>
  <c r="AB59" i="46"/>
  <c r="X59" i="46"/>
  <c r="B59" i="46"/>
  <c r="AB58" i="46"/>
  <c r="X58" i="46"/>
  <c r="B58" i="46"/>
  <c r="AB57" i="46"/>
  <c r="X57" i="46"/>
  <c r="B57" i="46"/>
  <c r="AB56" i="46"/>
  <c r="X56" i="46"/>
  <c r="B56" i="46"/>
  <c r="AB55" i="46"/>
  <c r="X55" i="46"/>
  <c r="B55" i="46"/>
  <c r="AB54" i="46"/>
  <c r="X54" i="46"/>
  <c r="B54" i="46"/>
  <c r="AB53" i="46"/>
  <c r="X53" i="46"/>
  <c r="B53" i="46"/>
  <c r="AB52" i="46"/>
  <c r="X52" i="46"/>
  <c r="B52" i="46"/>
  <c r="AB51" i="46"/>
  <c r="X51" i="46"/>
  <c r="B51" i="46"/>
  <c r="AB50" i="46"/>
  <c r="X50" i="46"/>
  <c r="B50" i="46"/>
  <c r="AB49" i="46"/>
  <c r="X49" i="46"/>
  <c r="B49" i="46"/>
  <c r="AB48" i="46"/>
  <c r="X48" i="46"/>
  <c r="B48" i="46"/>
  <c r="AB47" i="46"/>
  <c r="X47" i="46"/>
  <c r="B47" i="46"/>
  <c r="AB46" i="46"/>
  <c r="X46" i="46"/>
  <c r="B46" i="46"/>
  <c r="AB45" i="46"/>
  <c r="X45" i="46"/>
  <c r="B45" i="46"/>
  <c r="AB44" i="46"/>
  <c r="X44" i="46"/>
  <c r="B44" i="46"/>
  <c r="AB43" i="46"/>
  <c r="X43" i="46"/>
  <c r="B43" i="46"/>
  <c r="AB42" i="46"/>
  <c r="X42" i="46"/>
  <c r="B42" i="46"/>
  <c r="AB41" i="46"/>
  <c r="X41" i="46"/>
  <c r="B41" i="46"/>
  <c r="AB40" i="46"/>
  <c r="X40" i="46"/>
  <c r="B40" i="46"/>
  <c r="AB39" i="46"/>
  <c r="X39" i="46"/>
  <c r="B39" i="46"/>
  <c r="AB38" i="46"/>
  <c r="X38" i="46"/>
  <c r="B38" i="46"/>
  <c r="AB37" i="46"/>
  <c r="X37" i="46"/>
  <c r="B37" i="46"/>
  <c r="AB36" i="46"/>
  <c r="X36" i="46"/>
  <c r="B36" i="46"/>
  <c r="AB35" i="46"/>
  <c r="X35" i="46"/>
  <c r="B35" i="46"/>
  <c r="AB34" i="46"/>
  <c r="X34" i="46"/>
  <c r="B34" i="46"/>
  <c r="AB33" i="46"/>
  <c r="X33" i="46"/>
  <c r="B33" i="46"/>
  <c r="AB32" i="46"/>
  <c r="X32" i="46"/>
  <c r="B32" i="46"/>
  <c r="AB31" i="46"/>
  <c r="X31" i="46"/>
  <c r="B31" i="46"/>
  <c r="AB30" i="46"/>
  <c r="X30" i="46"/>
  <c r="B30" i="46"/>
  <c r="AB29" i="46"/>
  <c r="X29" i="46"/>
  <c r="B29" i="46"/>
  <c r="AB28" i="46"/>
  <c r="X28" i="46"/>
  <c r="B28" i="46"/>
  <c r="AB27" i="46"/>
  <c r="X27" i="46"/>
  <c r="B27" i="46"/>
  <c r="AB26" i="46"/>
  <c r="X26" i="46"/>
  <c r="B26" i="46"/>
  <c r="AB25" i="46"/>
  <c r="X25" i="46"/>
  <c r="B25" i="46"/>
  <c r="AB24" i="46"/>
  <c r="X24" i="46"/>
  <c r="B24" i="46"/>
  <c r="AB23" i="46"/>
  <c r="X23" i="46"/>
  <c r="B23" i="46"/>
  <c r="AB22" i="46"/>
  <c r="X22" i="46"/>
  <c r="B22" i="46"/>
  <c r="AB21" i="46"/>
  <c r="X21" i="46"/>
  <c r="B21" i="46"/>
  <c r="AB20" i="46"/>
  <c r="X20" i="46"/>
  <c r="B20" i="46"/>
  <c r="AB19" i="46"/>
  <c r="X19" i="46"/>
  <c r="B19" i="46"/>
  <c r="AB18" i="46"/>
  <c r="X18" i="46"/>
  <c r="B18" i="46"/>
  <c r="AB17" i="46"/>
  <c r="X17" i="46"/>
  <c r="B17" i="46"/>
  <c r="AB16" i="46"/>
  <c r="X16" i="46"/>
  <c r="B16" i="46"/>
  <c r="AB15" i="46"/>
  <c r="X15" i="46"/>
  <c r="B15" i="46"/>
  <c r="AB14" i="46"/>
  <c r="X14" i="46"/>
  <c r="AB13" i="46"/>
  <c r="X13" i="46"/>
  <c r="B13" i="46"/>
  <c r="AB12" i="46"/>
  <c r="X12" i="46"/>
  <c r="E168" i="45"/>
  <c r="CF168" i="45" s="1"/>
  <c r="D168" i="45"/>
  <c r="CG168" i="45" s="1"/>
  <c r="X167" i="45"/>
  <c r="W167" i="45"/>
  <c r="V167" i="45"/>
  <c r="U167" i="45"/>
  <c r="T167" i="45"/>
  <c r="S167" i="45"/>
  <c r="R167" i="45"/>
  <c r="Q167" i="45"/>
  <c r="P167" i="45"/>
  <c r="O167" i="45"/>
  <c r="N167" i="45"/>
  <c r="M167" i="45"/>
  <c r="L167" i="45"/>
  <c r="K167" i="45"/>
  <c r="J167" i="45"/>
  <c r="I167" i="45"/>
  <c r="H167" i="45"/>
  <c r="G167" i="45"/>
  <c r="F167" i="45"/>
  <c r="E166" i="45"/>
  <c r="CF166" i="45" s="1"/>
  <c r="D166" i="45"/>
  <c r="CG166" i="45" s="1"/>
  <c r="E165" i="45"/>
  <c r="CF165" i="45" s="1"/>
  <c r="D165" i="45"/>
  <c r="CG165" i="45" s="1"/>
  <c r="E164" i="45"/>
  <c r="CF164" i="45" s="1"/>
  <c r="D164" i="45"/>
  <c r="CG164" i="45" s="1"/>
  <c r="X163" i="45"/>
  <c r="W163" i="45"/>
  <c r="V163" i="45"/>
  <c r="U163" i="45"/>
  <c r="T163" i="45"/>
  <c r="S163" i="45"/>
  <c r="R163" i="45"/>
  <c r="Q163" i="45"/>
  <c r="P163" i="45"/>
  <c r="O163" i="45"/>
  <c r="N163" i="45"/>
  <c r="M163" i="45"/>
  <c r="L163" i="45"/>
  <c r="K163" i="45"/>
  <c r="J163" i="45"/>
  <c r="I163" i="45"/>
  <c r="H163" i="45"/>
  <c r="G163" i="45"/>
  <c r="F163" i="45"/>
  <c r="E162" i="45"/>
  <c r="CF162" i="45" s="1"/>
  <c r="D162" i="45"/>
  <c r="CG162" i="45" s="1"/>
  <c r="E161" i="45"/>
  <c r="CF161" i="45" s="1"/>
  <c r="D161" i="45"/>
  <c r="CG161" i="45" s="1"/>
  <c r="E160" i="45"/>
  <c r="CF160" i="45" s="1"/>
  <c r="D160" i="45"/>
  <c r="CG160" i="45" s="1"/>
  <c r="B150" i="45"/>
  <c r="B149" i="45"/>
  <c r="B148" i="45"/>
  <c r="B147" i="45"/>
  <c r="B146" i="45"/>
  <c r="B145" i="45"/>
  <c r="B144" i="45"/>
  <c r="B143" i="45"/>
  <c r="AR138" i="45"/>
  <c r="AQ138" i="45"/>
  <c r="AP138" i="45"/>
  <c r="AO138" i="45"/>
  <c r="AN138" i="45"/>
  <c r="AM138" i="45"/>
  <c r="AL138" i="45"/>
  <c r="AK138" i="45"/>
  <c r="AJ138" i="45"/>
  <c r="AI138" i="45"/>
  <c r="AH138" i="45"/>
  <c r="AG138" i="45"/>
  <c r="AF138" i="45"/>
  <c r="AE138" i="45"/>
  <c r="AD138" i="45"/>
  <c r="AC138" i="45"/>
  <c r="AB138" i="45"/>
  <c r="AA138" i="45"/>
  <c r="Z138" i="45"/>
  <c r="Y138" i="45"/>
  <c r="X138" i="45"/>
  <c r="W138" i="45"/>
  <c r="V138" i="45"/>
  <c r="U138" i="45"/>
  <c r="T138" i="45"/>
  <c r="S138" i="45"/>
  <c r="R138" i="45"/>
  <c r="Q138" i="45"/>
  <c r="P138" i="45"/>
  <c r="O138" i="45"/>
  <c r="N138" i="45"/>
  <c r="M138" i="45"/>
  <c r="L138" i="45"/>
  <c r="K138" i="45"/>
  <c r="J138" i="45"/>
  <c r="I138" i="45"/>
  <c r="H138" i="45"/>
  <c r="G138" i="45"/>
  <c r="F138" i="45"/>
  <c r="E137" i="45"/>
  <c r="D137" i="45"/>
  <c r="E136" i="45"/>
  <c r="D136" i="45"/>
  <c r="E135" i="45"/>
  <c r="D135" i="45"/>
  <c r="D126" i="45"/>
  <c r="C126" i="45"/>
  <c r="D125" i="45"/>
  <c r="C125" i="45"/>
  <c r="D116" i="45"/>
  <c r="C116" i="45"/>
  <c r="D115" i="45"/>
  <c r="C115" i="45"/>
  <c r="D114" i="45"/>
  <c r="C114" i="45"/>
  <c r="F102" i="45"/>
  <c r="E102" i="45"/>
  <c r="D102" i="45"/>
  <c r="C102" i="45"/>
  <c r="B102" i="45"/>
  <c r="E76" i="45"/>
  <c r="D76" i="45"/>
  <c r="E75" i="45"/>
  <c r="D75" i="45"/>
  <c r="E74" i="45"/>
  <c r="D74" i="45"/>
  <c r="E73" i="45"/>
  <c r="D73" i="45"/>
  <c r="E72" i="45"/>
  <c r="D72" i="45"/>
  <c r="E71" i="45"/>
  <c r="D71" i="45"/>
  <c r="E70" i="45"/>
  <c r="D70" i="45"/>
  <c r="E69" i="45"/>
  <c r="D69" i="45"/>
  <c r="E68" i="45"/>
  <c r="D68" i="45"/>
  <c r="E67" i="45"/>
  <c r="D67" i="45"/>
  <c r="E66" i="45"/>
  <c r="D66" i="45"/>
  <c r="E65" i="45"/>
  <c r="D65" i="45"/>
  <c r="E64" i="45"/>
  <c r="D64" i="45"/>
  <c r="E63" i="45"/>
  <c r="D63" i="45"/>
  <c r="E62" i="45"/>
  <c r="D62" i="45"/>
  <c r="E61" i="45"/>
  <c r="D61" i="45"/>
  <c r="E60" i="45"/>
  <c r="D60" i="45"/>
  <c r="E59" i="45"/>
  <c r="D59" i="45"/>
  <c r="E58" i="45"/>
  <c r="D58" i="45"/>
  <c r="E57" i="45"/>
  <c r="D57" i="45"/>
  <c r="E56" i="45"/>
  <c r="D56" i="45"/>
  <c r="E55" i="45"/>
  <c r="D55" i="45"/>
  <c r="E50" i="45"/>
  <c r="D50" i="45"/>
  <c r="E49" i="45"/>
  <c r="D49" i="45"/>
  <c r="M38" i="45"/>
  <c r="L38" i="45"/>
  <c r="K38" i="45"/>
  <c r="J38" i="45"/>
  <c r="I38" i="45"/>
  <c r="H38" i="45"/>
  <c r="G38" i="45"/>
  <c r="F38" i="45"/>
  <c r="D38" i="45"/>
  <c r="C38" i="45"/>
  <c r="E37" i="45"/>
  <c r="B37" i="45"/>
  <c r="E36" i="45"/>
  <c r="B36" i="45"/>
  <c r="AU32" i="45"/>
  <c r="AT32" i="45"/>
  <c r="AS32" i="45"/>
  <c r="AR32" i="45"/>
  <c r="AQ32" i="45"/>
  <c r="AP32" i="45"/>
  <c r="AO32" i="45"/>
  <c r="AN32" i="45"/>
  <c r="AM32" i="45"/>
  <c r="AL32" i="45"/>
  <c r="AK32" i="45"/>
  <c r="AJ32" i="45"/>
  <c r="AI32" i="45"/>
  <c r="AH32" i="45"/>
  <c r="AG32" i="45"/>
  <c r="AF32" i="45"/>
  <c r="AE32" i="45"/>
  <c r="AD32" i="45"/>
  <c r="AC32" i="45"/>
  <c r="AB32" i="45"/>
  <c r="AA32" i="45"/>
  <c r="Z32" i="45"/>
  <c r="Y32" i="45"/>
  <c r="X32" i="45"/>
  <c r="W32" i="45"/>
  <c r="V32" i="45"/>
  <c r="U32" i="45"/>
  <c r="T32" i="45"/>
  <c r="S32" i="45"/>
  <c r="R32" i="45"/>
  <c r="Q32" i="45"/>
  <c r="P32" i="45"/>
  <c r="O32" i="45"/>
  <c r="N32" i="45"/>
  <c r="M32" i="45"/>
  <c r="L32" i="45"/>
  <c r="K32" i="45"/>
  <c r="J32" i="45"/>
  <c r="I32" i="45"/>
  <c r="H32" i="45"/>
  <c r="D32" i="45"/>
  <c r="C32" i="45"/>
  <c r="G31" i="45"/>
  <c r="F31" i="45"/>
  <c r="B31" i="45"/>
  <c r="G30" i="45"/>
  <c r="F30" i="45"/>
  <c r="B30" i="45"/>
  <c r="E26" i="45"/>
  <c r="CG26" i="45" s="1"/>
  <c r="D26" i="45"/>
  <c r="CH26" i="45" s="1"/>
  <c r="E25" i="45"/>
  <c r="CG25" i="45" s="1"/>
  <c r="D25" i="45"/>
  <c r="CH25" i="45" s="1"/>
  <c r="E24" i="45"/>
  <c r="CG24" i="45" s="1"/>
  <c r="D24" i="45"/>
  <c r="CH24" i="45" s="1"/>
  <c r="E23" i="45"/>
  <c r="CG23" i="45" s="1"/>
  <c r="D23" i="45"/>
  <c r="CH23" i="45" s="1"/>
  <c r="AT22" i="45"/>
  <c r="AS22" i="45"/>
  <c r="AR22" i="45"/>
  <c r="AQ22" i="45"/>
  <c r="AP22" i="45"/>
  <c r="AO22" i="45"/>
  <c r="AN22" i="45"/>
  <c r="AM22" i="45"/>
  <c r="AL22" i="45"/>
  <c r="AK22" i="45"/>
  <c r="AJ22" i="45"/>
  <c r="AI22" i="45"/>
  <c r="AH22" i="45"/>
  <c r="AG22" i="45"/>
  <c r="AF22" i="45"/>
  <c r="AE22" i="45"/>
  <c r="AD22" i="45"/>
  <c r="AC22" i="45"/>
  <c r="AB22" i="45"/>
  <c r="AA22" i="45"/>
  <c r="Z22" i="45"/>
  <c r="Y22" i="45"/>
  <c r="X22" i="45"/>
  <c r="W22" i="45"/>
  <c r="V22" i="45"/>
  <c r="U22" i="45"/>
  <c r="T22" i="45"/>
  <c r="S22" i="45"/>
  <c r="R22" i="45"/>
  <c r="Q22" i="45"/>
  <c r="P22" i="45"/>
  <c r="O22" i="45"/>
  <c r="N22" i="45"/>
  <c r="M22" i="45"/>
  <c r="L22" i="45"/>
  <c r="K22" i="45"/>
  <c r="J22" i="45"/>
  <c r="I22" i="45"/>
  <c r="H22" i="45"/>
  <c r="G22" i="45"/>
  <c r="F22" i="45"/>
  <c r="E21" i="45"/>
  <c r="CG21" i="45" s="1"/>
  <c r="D21" i="45"/>
  <c r="CH21" i="45" s="1"/>
  <c r="E20" i="45"/>
  <c r="CG20" i="45" s="1"/>
  <c r="D20" i="45"/>
  <c r="CH20" i="45" s="1"/>
  <c r="E19" i="45"/>
  <c r="CG19" i="45" s="1"/>
  <c r="D19" i="45"/>
  <c r="CH19" i="45" s="1"/>
  <c r="E18" i="45"/>
  <c r="CG18" i="45" s="1"/>
  <c r="D18" i="45"/>
  <c r="CH18" i="45" s="1"/>
  <c r="E17" i="45"/>
  <c r="CG17" i="45" s="1"/>
  <c r="D17" i="45"/>
  <c r="CH17" i="45" s="1"/>
  <c r="E16" i="45"/>
  <c r="CG16" i="45" s="1"/>
  <c r="D16" i="45"/>
  <c r="CH16" i="45" s="1"/>
  <c r="E15" i="45"/>
  <c r="CG15" i="45" s="1"/>
  <c r="D15" i="45"/>
  <c r="CH15" i="45" s="1"/>
  <c r="E14" i="45"/>
  <c r="CG14" i="45" s="1"/>
  <c r="D14" i="45"/>
  <c r="CH14" i="45" s="1"/>
  <c r="E13" i="45"/>
  <c r="CG13" i="45" s="1"/>
  <c r="D13" i="45"/>
  <c r="CH13" i="45" s="1"/>
  <c r="B67" i="46" l="1"/>
  <c r="CO163" i="47"/>
  <c r="CP163" i="47"/>
  <c r="CQ163" i="47"/>
  <c r="CL163" i="47"/>
  <c r="CM165" i="47"/>
  <c r="CN165" i="47"/>
  <c r="CK165" i="47"/>
  <c r="CI165" i="47"/>
  <c r="CK169" i="47"/>
  <c r="CI169" i="47"/>
  <c r="CM169" i="47"/>
  <c r="CN169" i="47"/>
  <c r="CM173" i="47"/>
  <c r="CN173" i="47"/>
  <c r="CK173" i="47"/>
  <c r="CI173" i="47"/>
  <c r="CK177" i="47"/>
  <c r="CI177" i="47"/>
  <c r="CM177" i="47"/>
  <c r="CN177" i="47"/>
  <c r="CM181" i="47"/>
  <c r="CN181" i="47"/>
  <c r="CK181" i="47"/>
  <c r="CI181" i="47"/>
  <c r="CK191" i="47"/>
  <c r="CM191" i="47"/>
  <c r="CN191" i="47"/>
  <c r="CN195" i="47"/>
  <c r="CM195" i="47"/>
  <c r="CK195" i="47"/>
  <c r="CM199" i="47"/>
  <c r="CN199" i="47"/>
  <c r="CK199" i="47"/>
  <c r="CN203" i="47"/>
  <c r="CM203" i="47"/>
  <c r="CK203" i="47"/>
  <c r="CM207" i="47"/>
  <c r="CN207" i="47"/>
  <c r="CK207" i="47"/>
  <c r="CE215" i="47"/>
  <c r="DJ215" i="47"/>
  <c r="DH215" i="47"/>
  <c r="CB215" i="47"/>
  <c r="DG215" i="47"/>
  <c r="CD215" i="47"/>
  <c r="CC215" i="47"/>
  <c r="DI215" i="47"/>
  <c r="DH219" i="47"/>
  <c r="CE219" i="47"/>
  <c r="DJ219" i="47"/>
  <c r="DI219" i="47"/>
  <c r="DG219" i="47"/>
  <c r="CD219" i="47"/>
  <c r="CC219" i="47"/>
  <c r="CB219" i="47"/>
  <c r="DH227" i="47"/>
  <c r="CE227" i="47"/>
  <c r="DG227" i="47"/>
  <c r="DI227" i="47"/>
  <c r="DJ227" i="47"/>
  <c r="CB227" i="47"/>
  <c r="CC227" i="47"/>
  <c r="CD227" i="47"/>
  <c r="DG231" i="47"/>
  <c r="CD231" i="47"/>
  <c r="DH231" i="47"/>
  <c r="CE231" i="47"/>
  <c r="CB231" i="47"/>
  <c r="CC231" i="47"/>
  <c r="DI231" i="47"/>
  <c r="DJ231" i="47"/>
  <c r="CK239" i="47"/>
  <c r="DP239" i="47"/>
  <c r="DS239" i="47"/>
  <c r="CN239" i="47"/>
  <c r="DR239" i="47"/>
  <c r="CM239" i="47"/>
  <c r="DN239" i="47"/>
  <c r="CI239" i="47"/>
  <c r="CM243" i="47"/>
  <c r="DS243" i="47"/>
  <c r="DR243" i="47"/>
  <c r="CI243" i="47"/>
  <c r="DP243" i="47"/>
  <c r="CN243" i="47"/>
  <c r="DN243" i="47"/>
  <c r="CK243" i="47"/>
  <c r="CK247" i="47"/>
  <c r="CI247" i="47"/>
  <c r="DS247" i="47"/>
  <c r="DR247" i="47"/>
  <c r="DP247" i="47"/>
  <c r="CN247" i="47"/>
  <c r="CM247" i="47"/>
  <c r="DN247" i="47"/>
  <c r="DS251" i="47"/>
  <c r="CK251" i="47"/>
  <c r="DR251" i="47"/>
  <c r="CI251" i="47"/>
  <c r="DP251" i="47"/>
  <c r="DN251" i="47"/>
  <c r="CN251" i="47"/>
  <c r="CM251" i="47"/>
  <c r="DS255" i="47"/>
  <c r="CK255" i="47"/>
  <c r="DR255" i="47"/>
  <c r="CI255" i="47"/>
  <c r="DP255" i="47"/>
  <c r="DN255" i="47"/>
  <c r="CN255" i="47"/>
  <c r="CM255" i="47"/>
  <c r="DS259" i="47"/>
  <c r="CK259" i="47"/>
  <c r="DR259" i="47"/>
  <c r="CI259" i="47"/>
  <c r="DP259" i="47"/>
  <c r="DN259" i="47"/>
  <c r="CN259" i="47"/>
  <c r="CM259" i="47"/>
  <c r="CN161" i="47"/>
  <c r="CI161" i="47"/>
  <c r="CK161" i="47"/>
  <c r="CM161" i="47"/>
  <c r="CO165" i="47"/>
  <c r="CP165" i="47"/>
  <c r="CQ165" i="47"/>
  <c r="CL165" i="47"/>
  <c r="CQ169" i="47"/>
  <c r="CL169" i="47"/>
  <c r="CO169" i="47"/>
  <c r="CP169" i="47"/>
  <c r="CO173" i="47"/>
  <c r="CP173" i="47"/>
  <c r="CQ173" i="47"/>
  <c r="CL173" i="47"/>
  <c r="CQ177" i="47"/>
  <c r="CL177" i="47"/>
  <c r="CO177" i="47"/>
  <c r="CP177" i="47"/>
  <c r="CO181" i="47"/>
  <c r="CP181" i="47"/>
  <c r="CQ181" i="47"/>
  <c r="CL181" i="47"/>
  <c r="CL191" i="47"/>
  <c r="CQ191" i="47"/>
  <c r="CP191" i="47"/>
  <c r="CO191" i="47"/>
  <c r="CQ195" i="47"/>
  <c r="CP195" i="47"/>
  <c r="CO195" i="47"/>
  <c r="CL195" i="47"/>
  <c r="CQ199" i="47"/>
  <c r="CP199" i="47"/>
  <c r="CO199" i="47"/>
  <c r="CL199" i="47"/>
  <c r="CQ203" i="47"/>
  <c r="CP203" i="47"/>
  <c r="CO203" i="47"/>
  <c r="CL203" i="47"/>
  <c r="CQ207" i="47"/>
  <c r="CL207" i="47"/>
  <c r="CP207" i="47"/>
  <c r="CO207" i="47"/>
  <c r="CA215" i="47"/>
  <c r="DF215" i="47"/>
  <c r="CA219" i="47"/>
  <c r="DF219" i="47"/>
  <c r="CA227" i="47"/>
  <c r="DF227" i="47"/>
  <c r="CA231" i="47"/>
  <c r="DF231" i="47"/>
  <c r="DT239" i="47"/>
  <c r="DQ239" i="47"/>
  <c r="CP239" i="47"/>
  <c r="CA239" i="47"/>
  <c r="CO239" i="47"/>
  <c r="DV239" i="47"/>
  <c r="DU239" i="47"/>
  <c r="CQ239" i="47"/>
  <c r="CL239" i="47"/>
  <c r="DF239" i="47"/>
  <c r="DU243" i="47"/>
  <c r="DT243" i="47"/>
  <c r="DF243" i="47"/>
  <c r="DQ243" i="47"/>
  <c r="CQ243" i="47"/>
  <c r="CO243" i="47"/>
  <c r="DV243" i="47"/>
  <c r="CL243" i="47"/>
  <c r="CP243" i="47"/>
  <c r="CA243" i="47"/>
  <c r="DU247" i="47"/>
  <c r="DT247" i="47"/>
  <c r="DF247" i="47"/>
  <c r="CQ247" i="47"/>
  <c r="CP247" i="47"/>
  <c r="DQ247" i="47"/>
  <c r="CO247" i="47"/>
  <c r="CA247" i="47"/>
  <c r="CL247" i="47"/>
  <c r="DV247" i="47"/>
  <c r="DQ251" i="47"/>
  <c r="CQ251" i="47"/>
  <c r="CP251" i="47"/>
  <c r="CO251" i="47"/>
  <c r="CA251" i="47"/>
  <c r="DV251" i="47"/>
  <c r="DU251" i="47"/>
  <c r="CL251" i="47"/>
  <c r="DT251" i="47"/>
  <c r="DF251" i="47"/>
  <c r="DQ255" i="47"/>
  <c r="CQ255" i="47"/>
  <c r="CP255" i="47"/>
  <c r="CO255" i="47"/>
  <c r="CA255" i="47"/>
  <c r="DV255" i="47"/>
  <c r="DT255" i="47"/>
  <c r="DF255" i="47"/>
  <c r="CL255" i="47"/>
  <c r="DU255" i="47"/>
  <c r="DQ259" i="47"/>
  <c r="CQ259" i="47"/>
  <c r="CP259" i="47"/>
  <c r="CO259" i="47"/>
  <c r="CA259" i="47"/>
  <c r="DV259" i="47"/>
  <c r="DF259" i="47"/>
  <c r="DU259" i="47"/>
  <c r="CL259" i="47"/>
  <c r="DT259" i="47"/>
  <c r="DF161" i="47"/>
  <c r="CL161" i="47"/>
  <c r="CQ161" i="47"/>
  <c r="CA161" i="47"/>
  <c r="CP161" i="47"/>
  <c r="CO161" i="47"/>
  <c r="CK168" i="47"/>
  <c r="CI168" i="47"/>
  <c r="CM168" i="47"/>
  <c r="CN168" i="47"/>
  <c r="CM172" i="47"/>
  <c r="CN172" i="47"/>
  <c r="CK172" i="47"/>
  <c r="CI172" i="47"/>
  <c r="CI176" i="47"/>
  <c r="CK176" i="47"/>
  <c r="CM176" i="47"/>
  <c r="CN176" i="47"/>
  <c r="CM180" i="47"/>
  <c r="CN180" i="47"/>
  <c r="CK180" i="47"/>
  <c r="CI180" i="47"/>
  <c r="CN188" i="47"/>
  <c r="CM188" i="47"/>
  <c r="CK188" i="47"/>
  <c r="CM192" i="47"/>
  <c r="CK192" i="47"/>
  <c r="CN192" i="47"/>
  <c r="CN196" i="47"/>
  <c r="CM196" i="47"/>
  <c r="CK196" i="47"/>
  <c r="CN200" i="47"/>
  <c r="CK200" i="47"/>
  <c r="CM200" i="47"/>
  <c r="CN204" i="47"/>
  <c r="CM204" i="47"/>
  <c r="CK204" i="47"/>
  <c r="CN208" i="47"/>
  <c r="CK208" i="47"/>
  <c r="CM208" i="47"/>
  <c r="DG216" i="47"/>
  <c r="CE216" i="47"/>
  <c r="CD216" i="47"/>
  <c r="DJ216" i="47"/>
  <c r="DI216" i="47"/>
  <c r="DH216" i="47"/>
  <c r="CC216" i="47"/>
  <c r="CB216" i="47"/>
  <c r="CD220" i="47"/>
  <c r="DH220" i="47"/>
  <c r="DG220" i="47"/>
  <c r="CE220" i="47"/>
  <c r="CC220" i="47"/>
  <c r="CB220" i="47"/>
  <c r="DJ220" i="47"/>
  <c r="DI220" i="47"/>
  <c r="CC228" i="47"/>
  <c r="DG228" i="47"/>
  <c r="CD228" i="47"/>
  <c r="CE228" i="47"/>
  <c r="DH228" i="47"/>
  <c r="DI228" i="47"/>
  <c r="DJ228" i="47"/>
  <c r="CB228" i="47"/>
  <c r="DG232" i="47"/>
  <c r="CD232" i="47"/>
  <c r="DJ232" i="47"/>
  <c r="DH232" i="47"/>
  <c r="DI232" i="47"/>
  <c r="CB232" i="47"/>
  <c r="CC232" i="47"/>
  <c r="CE232" i="47"/>
  <c r="DS240" i="47"/>
  <c r="CI240" i="47"/>
  <c r="DP240" i="47"/>
  <c r="DN240" i="47"/>
  <c r="CN240" i="47"/>
  <c r="DR240" i="47"/>
  <c r="CM240" i="47"/>
  <c r="CK240" i="47"/>
  <c r="DS244" i="47"/>
  <c r="CK244" i="47"/>
  <c r="DR244" i="47"/>
  <c r="CI244" i="47"/>
  <c r="DP244" i="47"/>
  <c r="DN244" i="47"/>
  <c r="CN244" i="47"/>
  <c r="CM244" i="47"/>
  <c r="DN248" i="47"/>
  <c r="CM248" i="47"/>
  <c r="CK248" i="47"/>
  <c r="CI248" i="47"/>
  <c r="DS248" i="47"/>
  <c r="DR248" i="47"/>
  <c r="CN248" i="47"/>
  <c r="DP248" i="47"/>
  <c r="DP252" i="47"/>
  <c r="DN252" i="47"/>
  <c r="CN252" i="47"/>
  <c r="CM252" i="47"/>
  <c r="CK252" i="47"/>
  <c r="CI252" i="47"/>
  <c r="DS252" i="47"/>
  <c r="DR252" i="47"/>
  <c r="DP256" i="47"/>
  <c r="DN256" i="47"/>
  <c r="CN256" i="47"/>
  <c r="CM256" i="47"/>
  <c r="CK256" i="47"/>
  <c r="CI256" i="47"/>
  <c r="DS256" i="47"/>
  <c r="DR256" i="47"/>
  <c r="CI163" i="47"/>
  <c r="CK163" i="47"/>
  <c r="CM163" i="47"/>
  <c r="CN163" i="47"/>
  <c r="CO174" i="47"/>
  <c r="CP174" i="47"/>
  <c r="CQ174" i="47"/>
  <c r="CL174" i="47"/>
  <c r="CO182" i="47"/>
  <c r="CP182" i="47"/>
  <c r="CQ182" i="47"/>
  <c r="CL182" i="47"/>
  <c r="CO194" i="47"/>
  <c r="CL194" i="47"/>
  <c r="CQ194" i="47"/>
  <c r="CP194" i="47"/>
  <c r="CL206" i="47"/>
  <c r="CQ206" i="47"/>
  <c r="CP206" i="47"/>
  <c r="CO206" i="47"/>
  <c r="CA218" i="47"/>
  <c r="DF218" i="47"/>
  <c r="DT238" i="47"/>
  <c r="DQ238" i="47"/>
  <c r="CP238" i="47"/>
  <c r="CA238" i="47"/>
  <c r="CO238" i="47"/>
  <c r="DF238" i="47"/>
  <c r="DV238" i="47"/>
  <c r="DU238" i="47"/>
  <c r="CQ238" i="47"/>
  <c r="CL238" i="47"/>
  <c r="DU250" i="47"/>
  <c r="DT250" i="47"/>
  <c r="DF250" i="47"/>
  <c r="CL250" i="47"/>
  <c r="DQ250" i="47"/>
  <c r="CQ250" i="47"/>
  <c r="CP250" i="47"/>
  <c r="CA250" i="47"/>
  <c r="CO250" i="47"/>
  <c r="DV250" i="47"/>
  <c r="CK162" i="47"/>
  <c r="CI162" i="47"/>
  <c r="CM162" i="47"/>
  <c r="CN162" i="47"/>
  <c r="CN164" i="47"/>
  <c r="CK164" i="47"/>
  <c r="CI164" i="47"/>
  <c r="CM164" i="47"/>
  <c r="CL168" i="47"/>
  <c r="CO168" i="47"/>
  <c r="CP168" i="47"/>
  <c r="CQ168" i="47"/>
  <c r="CL172" i="47"/>
  <c r="CO172" i="47"/>
  <c r="CP172" i="47"/>
  <c r="CQ172" i="47"/>
  <c r="CP176" i="47"/>
  <c r="CQ176" i="47"/>
  <c r="CL176" i="47"/>
  <c r="CO176" i="47"/>
  <c r="CL180" i="47"/>
  <c r="CO180" i="47"/>
  <c r="CP180" i="47"/>
  <c r="CQ180" i="47"/>
  <c r="CQ188" i="47"/>
  <c r="CP188" i="47"/>
  <c r="CO188" i="47"/>
  <c r="CL188" i="47"/>
  <c r="CL192" i="47"/>
  <c r="CQ192" i="47"/>
  <c r="CP192" i="47"/>
  <c r="CO192" i="47"/>
  <c r="CQ196" i="47"/>
  <c r="CP196" i="47"/>
  <c r="CO196" i="47"/>
  <c r="CL196" i="47"/>
  <c r="CL200" i="47"/>
  <c r="CQ200" i="47"/>
  <c r="CP200" i="47"/>
  <c r="CO200" i="47"/>
  <c r="CO204" i="47"/>
  <c r="CQ204" i="47"/>
  <c r="CP204" i="47"/>
  <c r="CL204" i="47"/>
  <c r="CQ208" i="47"/>
  <c r="CP208" i="47"/>
  <c r="CO208" i="47"/>
  <c r="CL208" i="47"/>
  <c r="CA216" i="47"/>
  <c r="DF216" i="47"/>
  <c r="CA220" i="47"/>
  <c r="DF220" i="47"/>
  <c r="DF228" i="47"/>
  <c r="CA228" i="47"/>
  <c r="CA232" i="47"/>
  <c r="DF232" i="47"/>
  <c r="CO240" i="47"/>
  <c r="CA240" i="47"/>
  <c r="DU240" i="47"/>
  <c r="CQ240" i="47"/>
  <c r="DT240" i="47"/>
  <c r="CP240" i="47"/>
  <c r="DQ240" i="47"/>
  <c r="CL240" i="47"/>
  <c r="DF240" i="47"/>
  <c r="DV240" i="47"/>
  <c r="DQ244" i="47"/>
  <c r="CQ244" i="47"/>
  <c r="CP244" i="47"/>
  <c r="CO244" i="47"/>
  <c r="CA244" i="47"/>
  <c r="DV244" i="47"/>
  <c r="DF244" i="47"/>
  <c r="DU244" i="47"/>
  <c r="CL244" i="47"/>
  <c r="DT244" i="47"/>
  <c r="DV248" i="47"/>
  <c r="CL248" i="47"/>
  <c r="DU248" i="47"/>
  <c r="DT248" i="47"/>
  <c r="DF248" i="47"/>
  <c r="CQ248" i="47"/>
  <c r="CP248" i="47"/>
  <c r="CO248" i="47"/>
  <c r="DQ248" i="47"/>
  <c r="CA248" i="47"/>
  <c r="DQ252" i="47"/>
  <c r="CQ252" i="47"/>
  <c r="CP252" i="47"/>
  <c r="CO252" i="47"/>
  <c r="CA252" i="47"/>
  <c r="DV252" i="47"/>
  <c r="DU252" i="47"/>
  <c r="DT252" i="47"/>
  <c r="DF252" i="47"/>
  <c r="CL252" i="47"/>
  <c r="DQ256" i="47"/>
  <c r="CQ256" i="47"/>
  <c r="CP256" i="47"/>
  <c r="CO256" i="47"/>
  <c r="CA256" i="47"/>
  <c r="DV256" i="47"/>
  <c r="DU256" i="47"/>
  <c r="DT256" i="47"/>
  <c r="DF256" i="47"/>
  <c r="CL256" i="47"/>
  <c r="CL178" i="47"/>
  <c r="CO178" i="47"/>
  <c r="CP178" i="47"/>
  <c r="CQ178" i="47"/>
  <c r="CP202" i="47"/>
  <c r="CL202" i="47"/>
  <c r="CQ202" i="47"/>
  <c r="CO202" i="47"/>
  <c r="DF226" i="47"/>
  <c r="CA226" i="47"/>
  <c r="CO242" i="47"/>
  <c r="CA242" i="47"/>
  <c r="DT242" i="47"/>
  <c r="DF242" i="47"/>
  <c r="CL242" i="47"/>
  <c r="DV242" i="47"/>
  <c r="DU242" i="47"/>
  <c r="CQ242" i="47"/>
  <c r="CP242" i="47"/>
  <c r="DQ242" i="47"/>
  <c r="DU254" i="47"/>
  <c r="DT254" i="47"/>
  <c r="DF254" i="47"/>
  <c r="CL254" i="47"/>
  <c r="DQ254" i="47"/>
  <c r="CQ254" i="47"/>
  <c r="CP254" i="47"/>
  <c r="CO254" i="47"/>
  <c r="DV254" i="47"/>
  <c r="CA254" i="47"/>
  <c r="CP162" i="47"/>
  <c r="CQ162" i="47"/>
  <c r="CL162" i="47"/>
  <c r="CO162" i="47"/>
  <c r="CO164" i="47"/>
  <c r="CP164" i="47"/>
  <c r="CQ164" i="47"/>
  <c r="CL164" i="47"/>
  <c r="CK167" i="47"/>
  <c r="CM167" i="47"/>
  <c r="CN167" i="47"/>
  <c r="CI167" i="47"/>
  <c r="CK171" i="47"/>
  <c r="CM171" i="47"/>
  <c r="CN171" i="47"/>
  <c r="CI171" i="47"/>
  <c r="CK175" i="47"/>
  <c r="CI175" i="47"/>
  <c r="CN175" i="47"/>
  <c r="CM175" i="47"/>
  <c r="CK179" i="47"/>
  <c r="CM179" i="47"/>
  <c r="CN179" i="47"/>
  <c r="CI179" i="47"/>
  <c r="CK183" i="47"/>
  <c r="CI183" i="47"/>
  <c r="CM183" i="47"/>
  <c r="CN183" i="47"/>
  <c r="CN189" i="47"/>
  <c r="CM189" i="47"/>
  <c r="CK189" i="47"/>
  <c r="CN193" i="47"/>
  <c r="CM193" i="47"/>
  <c r="CK193" i="47"/>
  <c r="CK197" i="47"/>
  <c r="CN197" i="47"/>
  <c r="CM197" i="47"/>
  <c r="CK201" i="47"/>
  <c r="CN201" i="47"/>
  <c r="CM201" i="47"/>
  <c r="CK205" i="47"/>
  <c r="CN205" i="47"/>
  <c r="CM205" i="47"/>
  <c r="CK209" i="47"/>
  <c r="CM209" i="47"/>
  <c r="CN209" i="47"/>
  <c r="DJ217" i="47"/>
  <c r="CC217" i="47"/>
  <c r="DG217" i="47"/>
  <c r="DH217" i="47"/>
  <c r="CE217" i="47"/>
  <c r="CD217" i="47"/>
  <c r="CB217" i="47"/>
  <c r="DI217" i="47"/>
  <c r="CD221" i="47"/>
  <c r="DJ221" i="47"/>
  <c r="CC221" i="47"/>
  <c r="DI221" i="47"/>
  <c r="DH221" i="47"/>
  <c r="DG221" i="47"/>
  <c r="CE221" i="47"/>
  <c r="CB221" i="47"/>
  <c r="CC229" i="47"/>
  <c r="DI229" i="47"/>
  <c r="DJ229" i="47"/>
  <c r="CB229" i="47"/>
  <c r="CD229" i="47"/>
  <c r="CE229" i="47"/>
  <c r="DG229" i="47"/>
  <c r="DH229" i="47"/>
  <c r="CK237" i="47"/>
  <c r="DP237" i="47"/>
  <c r="CI237" i="47"/>
  <c r="DS237" i="47"/>
  <c r="CN237" i="47"/>
  <c r="DR237" i="47"/>
  <c r="DN237" i="47"/>
  <c r="CM237" i="47"/>
  <c r="CN241" i="47"/>
  <c r="CM241" i="47"/>
  <c r="CK241" i="47"/>
  <c r="CI241" i="47"/>
  <c r="DS241" i="47"/>
  <c r="DR241" i="47"/>
  <c r="DP241" i="47"/>
  <c r="DN241" i="47"/>
  <c r="DR245" i="47"/>
  <c r="DP245" i="47"/>
  <c r="DN245" i="47"/>
  <c r="CN245" i="47"/>
  <c r="CM245" i="47"/>
  <c r="DS245" i="47"/>
  <c r="CK245" i="47"/>
  <c r="CI245" i="47"/>
  <c r="DN249" i="47"/>
  <c r="CN249" i="47"/>
  <c r="CM249" i="47"/>
  <c r="DS249" i="47"/>
  <c r="CK249" i="47"/>
  <c r="DR249" i="47"/>
  <c r="CI249" i="47"/>
  <c r="DP249" i="47"/>
  <c r="DN253" i="47"/>
  <c r="CN253" i="47"/>
  <c r="CM253" i="47"/>
  <c r="DS253" i="47"/>
  <c r="CK253" i="47"/>
  <c r="DR253" i="47"/>
  <c r="CI253" i="47"/>
  <c r="DP253" i="47"/>
  <c r="DN257" i="47"/>
  <c r="CN257" i="47"/>
  <c r="CM257" i="47"/>
  <c r="DS257" i="47"/>
  <c r="CK257" i="47"/>
  <c r="DR257" i="47"/>
  <c r="CI257" i="47"/>
  <c r="DP257" i="47"/>
  <c r="CL167" i="47"/>
  <c r="CO167" i="47"/>
  <c r="CP167" i="47"/>
  <c r="CQ167" i="47"/>
  <c r="CL171" i="47"/>
  <c r="CO171" i="47"/>
  <c r="CP171" i="47"/>
  <c r="CQ171" i="47"/>
  <c r="CO175" i="47"/>
  <c r="CP175" i="47"/>
  <c r="CQ175" i="47"/>
  <c r="CL175" i="47"/>
  <c r="CL179" i="47"/>
  <c r="CO179" i="47"/>
  <c r="CP179" i="47"/>
  <c r="CQ179" i="47"/>
  <c r="CO183" i="47"/>
  <c r="CP183" i="47"/>
  <c r="CQ183" i="47"/>
  <c r="CL183" i="47"/>
  <c r="CQ189" i="47"/>
  <c r="CP189" i="47"/>
  <c r="CO189" i="47"/>
  <c r="CL189" i="47"/>
  <c r="CL193" i="47"/>
  <c r="CQ193" i="47"/>
  <c r="CP193" i="47"/>
  <c r="CO193" i="47"/>
  <c r="CP197" i="47"/>
  <c r="CL197" i="47"/>
  <c r="CQ197" i="47"/>
  <c r="CO197" i="47"/>
  <c r="CO201" i="47"/>
  <c r="CL201" i="47"/>
  <c r="CQ201" i="47"/>
  <c r="CP201" i="47"/>
  <c r="CP205" i="47"/>
  <c r="CO205" i="47"/>
  <c r="CL205" i="47"/>
  <c r="CQ205" i="47"/>
  <c r="CO209" i="47"/>
  <c r="CL209" i="47"/>
  <c r="CQ209" i="47"/>
  <c r="CP209" i="47"/>
  <c r="DF217" i="47"/>
  <c r="CA217" i="47"/>
  <c r="DF221" i="47"/>
  <c r="CA221" i="47"/>
  <c r="DF229" i="47"/>
  <c r="CA229" i="47"/>
  <c r="DT237" i="47"/>
  <c r="CA237" i="47"/>
  <c r="DQ237" i="47"/>
  <c r="CP237" i="47"/>
  <c r="CO237" i="47"/>
  <c r="DF237" i="47"/>
  <c r="DV237" i="47"/>
  <c r="DU237" i="47"/>
  <c r="CQ237" i="47"/>
  <c r="CL237" i="47"/>
  <c r="DQ241" i="47"/>
  <c r="CQ241" i="47"/>
  <c r="DV241" i="47"/>
  <c r="DU241" i="47"/>
  <c r="DF241" i="47"/>
  <c r="DT241" i="47"/>
  <c r="CA241" i="47"/>
  <c r="CP241" i="47"/>
  <c r="CO241" i="47"/>
  <c r="CL241" i="47"/>
  <c r="CQ245" i="47"/>
  <c r="DQ245" i="47"/>
  <c r="CP245" i="47"/>
  <c r="CO245" i="47"/>
  <c r="CA245" i="47"/>
  <c r="DV245" i="47"/>
  <c r="DU245" i="47"/>
  <c r="CL245" i="47"/>
  <c r="DT245" i="47"/>
  <c r="DF245" i="47"/>
  <c r="CO249" i="47"/>
  <c r="CA249" i="47"/>
  <c r="DV249" i="47"/>
  <c r="DU249" i="47"/>
  <c r="DT249" i="47"/>
  <c r="DF249" i="47"/>
  <c r="CL249" i="47"/>
  <c r="CQ249" i="47"/>
  <c r="CP249" i="47"/>
  <c r="DQ249" i="47"/>
  <c r="CO253" i="47"/>
  <c r="CA253" i="47"/>
  <c r="DV253" i="47"/>
  <c r="DU253" i="47"/>
  <c r="DT253" i="47"/>
  <c r="DF253" i="47"/>
  <c r="CL253" i="47"/>
  <c r="CP253" i="47"/>
  <c r="DQ253" i="47"/>
  <c r="CQ253" i="47"/>
  <c r="CO257" i="47"/>
  <c r="CA257" i="47"/>
  <c r="DV257" i="47"/>
  <c r="DU257" i="47"/>
  <c r="DT257" i="47"/>
  <c r="DF257" i="47"/>
  <c r="CL257" i="47"/>
  <c r="CQ257" i="47"/>
  <c r="CP257" i="47"/>
  <c r="DQ257" i="47"/>
  <c r="CL166" i="47"/>
  <c r="CO166" i="47"/>
  <c r="CQ166" i="47"/>
  <c r="CP166" i="47"/>
  <c r="CL170" i="47"/>
  <c r="CO170" i="47"/>
  <c r="CP170" i="47"/>
  <c r="CQ170" i="47"/>
  <c r="CQ190" i="47"/>
  <c r="CP190" i="47"/>
  <c r="CO190" i="47"/>
  <c r="CL190" i="47"/>
  <c r="CL198" i="47"/>
  <c r="CQ198" i="47"/>
  <c r="CO198" i="47"/>
  <c r="CP198" i="47"/>
  <c r="CP210" i="47"/>
  <c r="CL210" i="47"/>
  <c r="CQ210" i="47"/>
  <c r="CO210" i="47"/>
  <c r="CA230" i="47"/>
  <c r="DF230" i="47"/>
  <c r="CQ246" i="47"/>
  <c r="CP246" i="47"/>
  <c r="DQ246" i="47"/>
  <c r="CO246" i="47"/>
  <c r="CA246" i="47"/>
  <c r="DV246" i="47"/>
  <c r="CL246" i="47"/>
  <c r="DF246" i="47"/>
  <c r="DT246" i="47"/>
  <c r="DU246" i="47"/>
  <c r="DU258" i="47"/>
  <c r="DT258" i="47"/>
  <c r="DF258" i="47"/>
  <c r="CL258" i="47"/>
  <c r="DQ258" i="47"/>
  <c r="CQ258" i="47"/>
  <c r="CP258" i="47"/>
  <c r="CO258" i="47"/>
  <c r="DV258" i="47"/>
  <c r="CA258" i="47"/>
  <c r="CI166" i="47"/>
  <c r="CM166" i="47"/>
  <c r="CN166" i="47"/>
  <c r="CK166" i="47"/>
  <c r="CK170" i="47"/>
  <c r="CM170" i="47"/>
  <c r="CN170" i="47"/>
  <c r="CI170" i="47"/>
  <c r="CN174" i="47"/>
  <c r="CI174" i="47"/>
  <c r="CK174" i="47"/>
  <c r="CM174" i="47"/>
  <c r="CK178" i="47"/>
  <c r="CM178" i="47"/>
  <c r="CN178" i="47"/>
  <c r="CI178" i="47"/>
  <c r="CN182" i="47"/>
  <c r="CI182" i="47"/>
  <c r="CK182" i="47"/>
  <c r="CM182" i="47"/>
  <c r="CK190" i="47"/>
  <c r="CN190" i="47"/>
  <c r="CM190" i="47"/>
  <c r="CN194" i="47"/>
  <c r="CM194" i="47"/>
  <c r="CK194" i="47"/>
  <c r="CN198" i="47"/>
  <c r="CM198" i="47"/>
  <c r="CK198" i="47"/>
  <c r="CM202" i="47"/>
  <c r="CN202" i="47"/>
  <c r="CK202" i="47"/>
  <c r="CN206" i="47"/>
  <c r="CM206" i="47"/>
  <c r="CK206" i="47"/>
  <c r="CM210" i="47"/>
  <c r="CN210" i="47"/>
  <c r="CK210" i="47"/>
  <c r="DJ218" i="47"/>
  <c r="CC218" i="47"/>
  <c r="DI218" i="47"/>
  <c r="CB218" i="47"/>
  <c r="CD218" i="47"/>
  <c r="DH218" i="47"/>
  <c r="DG218" i="47"/>
  <c r="CE218" i="47"/>
  <c r="CE226" i="47"/>
  <c r="DJ226" i="47"/>
  <c r="CC226" i="47"/>
  <c r="DI226" i="47"/>
  <c r="DH226" i="47"/>
  <c r="DG226" i="47"/>
  <c r="CD226" i="47"/>
  <c r="CB226" i="47"/>
  <c r="DI230" i="47"/>
  <c r="CB230" i="47"/>
  <c r="DG230" i="47"/>
  <c r="DH230" i="47"/>
  <c r="DJ230" i="47"/>
  <c r="CC230" i="47"/>
  <c r="CD230" i="47"/>
  <c r="CE230" i="47"/>
  <c r="CK238" i="47"/>
  <c r="DP238" i="47"/>
  <c r="DS238" i="47"/>
  <c r="CN238" i="47"/>
  <c r="DR238" i="47"/>
  <c r="CM238" i="47"/>
  <c r="CI238" i="47"/>
  <c r="DN238" i="47"/>
  <c r="DN242" i="47"/>
  <c r="DS242" i="47"/>
  <c r="CK242" i="47"/>
  <c r="DR242" i="47"/>
  <c r="CN242" i="47"/>
  <c r="DP242" i="47"/>
  <c r="CM242" i="47"/>
  <c r="CI242" i="47"/>
  <c r="DS246" i="47"/>
  <c r="DR246" i="47"/>
  <c r="DP246" i="47"/>
  <c r="CN246" i="47"/>
  <c r="DN246" i="47"/>
  <c r="CM246" i="47"/>
  <c r="CK246" i="47"/>
  <c r="CI246" i="47"/>
  <c r="CM250" i="47"/>
  <c r="DS250" i="47"/>
  <c r="CK250" i="47"/>
  <c r="DR250" i="47"/>
  <c r="CI250" i="47"/>
  <c r="DP250" i="47"/>
  <c r="CN250" i="47"/>
  <c r="DN250" i="47"/>
  <c r="CM254" i="47"/>
  <c r="DS254" i="47"/>
  <c r="CK254" i="47"/>
  <c r="DR254" i="47"/>
  <c r="CI254" i="47"/>
  <c r="DP254" i="47"/>
  <c r="CN254" i="47"/>
  <c r="DN254" i="47"/>
  <c r="CM258" i="47"/>
  <c r="DS258" i="47"/>
  <c r="CK258" i="47"/>
  <c r="DR258" i="47"/>
  <c r="CI258" i="47"/>
  <c r="DP258" i="47"/>
  <c r="CN258" i="47"/>
  <c r="DN258" i="47"/>
  <c r="CD21" i="46"/>
  <c r="CD13" i="46"/>
  <c r="CD52" i="46"/>
  <c r="CD36" i="46"/>
  <c r="CD29" i="46"/>
  <c r="CD44" i="46"/>
  <c r="CD60" i="46"/>
  <c r="CD64" i="46"/>
  <c r="CD12" i="46"/>
  <c r="AH12" i="46" s="1"/>
  <c r="CD20" i="46"/>
  <c r="CD28" i="46"/>
  <c r="CD35" i="46"/>
  <c r="CD43" i="46"/>
  <c r="CD51" i="46"/>
  <c r="CD59" i="46"/>
  <c r="CD63" i="46"/>
  <c r="CD37" i="46"/>
  <c r="CD30" i="46"/>
  <c r="CD65" i="46"/>
  <c r="CD14" i="46"/>
  <c r="CD22" i="46"/>
  <c r="CD45" i="46"/>
  <c r="CD53" i="46"/>
  <c r="E22" i="45"/>
  <c r="B215" i="48"/>
  <c r="CB138" i="46"/>
  <c r="CD138" i="46"/>
  <c r="CC138" i="46"/>
  <c r="CD17" i="46"/>
  <c r="CB20" i="46"/>
  <c r="CC20" i="46"/>
  <c r="CD25" i="46"/>
  <c r="CB28" i="46"/>
  <c r="CC28" i="46"/>
  <c r="CD33" i="46"/>
  <c r="CB35" i="46"/>
  <c r="CC35" i="46"/>
  <c r="CD40" i="46"/>
  <c r="CB43" i="46"/>
  <c r="CC43" i="46"/>
  <c r="CD48" i="46"/>
  <c r="CB51" i="46"/>
  <c r="CC51" i="46"/>
  <c r="CD56" i="46"/>
  <c r="CB59" i="46"/>
  <c r="CC59" i="46"/>
  <c r="CB63" i="46"/>
  <c r="CC63" i="46"/>
  <c r="CD131" i="46"/>
  <c r="CC131" i="46"/>
  <c r="CB131" i="46"/>
  <c r="CD139" i="46"/>
  <c r="CB139" i="46"/>
  <c r="CC139" i="46"/>
  <c r="CB25" i="46"/>
  <c r="CC25" i="46"/>
  <c r="CB31" i="46"/>
  <c r="CC31" i="46"/>
  <c r="CC66" i="46"/>
  <c r="CB66" i="46"/>
  <c r="CD15" i="46"/>
  <c r="CB18" i="46"/>
  <c r="CC18" i="46"/>
  <c r="CD23" i="46"/>
  <c r="CB26" i="46"/>
  <c r="CC26" i="46"/>
  <c r="CD31" i="46"/>
  <c r="CD38" i="46"/>
  <c r="CB41" i="46"/>
  <c r="CC41" i="46"/>
  <c r="CD46" i="46"/>
  <c r="CB49" i="46"/>
  <c r="CC49" i="46"/>
  <c r="CD54" i="46"/>
  <c r="CB57" i="46"/>
  <c r="CC57" i="46"/>
  <c r="CD61" i="46"/>
  <c r="CB62" i="46"/>
  <c r="CC62" i="46"/>
  <c r="CD66" i="46"/>
  <c r="CC133" i="46"/>
  <c r="CB133" i="46"/>
  <c r="CD133" i="46"/>
  <c r="CC141" i="46"/>
  <c r="CB141" i="46"/>
  <c r="CD141" i="46"/>
  <c r="CD167" i="46"/>
  <c r="CP167" i="46"/>
  <c r="CB33" i="46"/>
  <c r="CC33" i="46"/>
  <c r="CB40" i="46"/>
  <c r="CC40" i="46"/>
  <c r="CB132" i="46"/>
  <c r="CC132" i="46"/>
  <c r="CD132" i="46"/>
  <c r="CC13" i="46"/>
  <c r="CB13" i="46"/>
  <c r="CD18" i="46"/>
  <c r="CC21" i="46"/>
  <c r="CB21" i="46"/>
  <c r="CD26" i="46"/>
  <c r="CC29" i="46"/>
  <c r="CB29" i="46"/>
  <c r="CB36" i="46"/>
  <c r="CC36" i="46"/>
  <c r="CD41" i="46"/>
  <c r="CC44" i="46"/>
  <c r="CB44" i="46"/>
  <c r="CD49" i="46"/>
  <c r="CC52" i="46"/>
  <c r="CB52" i="46"/>
  <c r="CD57" i="46"/>
  <c r="CB60" i="46"/>
  <c r="CC60" i="46"/>
  <c r="CD62" i="46"/>
  <c r="CC64" i="46"/>
  <c r="CB64" i="46"/>
  <c r="CD134" i="46"/>
  <c r="CB134" i="46"/>
  <c r="CC134" i="46"/>
  <c r="CD142" i="46"/>
  <c r="CC142" i="46"/>
  <c r="CB142" i="46"/>
  <c r="CE153" i="46"/>
  <c r="CB153" i="46"/>
  <c r="CC153" i="46"/>
  <c r="CD153" i="46"/>
  <c r="CR153" i="46"/>
  <c r="CF153" i="46"/>
  <c r="CC167" i="46"/>
  <c r="CO167" i="46"/>
  <c r="CB17" i="46"/>
  <c r="CC17" i="46"/>
  <c r="CB48" i="46"/>
  <c r="CC48" i="46"/>
  <c r="CC38" i="46"/>
  <c r="CB38" i="46"/>
  <c r="CC46" i="46"/>
  <c r="CB46" i="46"/>
  <c r="CB16" i="46"/>
  <c r="CC16" i="46"/>
  <c r="CC24" i="46"/>
  <c r="CB24" i="46"/>
  <c r="CB32" i="46"/>
  <c r="CC32" i="46"/>
  <c r="CB39" i="46"/>
  <c r="CC39" i="46"/>
  <c r="CC47" i="46"/>
  <c r="CB47" i="46"/>
  <c r="CB55" i="46"/>
  <c r="CC55" i="46"/>
  <c r="CB135" i="46"/>
  <c r="CC135" i="46"/>
  <c r="CD135" i="46"/>
  <c r="CB143" i="46"/>
  <c r="CC143" i="46"/>
  <c r="CD143" i="46"/>
  <c r="CB56" i="46"/>
  <c r="CC56" i="46"/>
  <c r="CM130" i="46"/>
  <c r="CB130" i="46"/>
  <c r="CD130" i="46"/>
  <c r="CC130" i="46"/>
  <c r="CD16" i="46"/>
  <c r="CC19" i="46"/>
  <c r="CB19" i="46"/>
  <c r="CD24" i="46"/>
  <c r="CC27" i="46"/>
  <c r="CB27" i="46"/>
  <c r="CD32" i="46"/>
  <c r="CC34" i="46"/>
  <c r="CB34" i="46"/>
  <c r="CD39" i="46"/>
  <c r="CB42" i="46"/>
  <c r="CC42" i="46"/>
  <c r="CD47" i="46"/>
  <c r="CC50" i="46"/>
  <c r="CB50" i="46"/>
  <c r="CD55" i="46"/>
  <c r="CC58" i="46"/>
  <c r="CB58" i="46"/>
  <c r="CB136" i="46"/>
  <c r="CD136" i="46"/>
  <c r="CC136" i="46"/>
  <c r="CC15" i="46"/>
  <c r="CB15" i="46"/>
  <c r="CC23" i="46"/>
  <c r="CB23" i="46"/>
  <c r="CB54" i="46"/>
  <c r="CC54" i="46"/>
  <c r="CC61" i="46"/>
  <c r="CB61" i="46"/>
  <c r="CB140" i="46"/>
  <c r="CC140" i="46"/>
  <c r="CD140" i="46"/>
  <c r="CB14" i="46"/>
  <c r="CC14" i="46"/>
  <c r="CD19" i="46"/>
  <c r="CB22" i="46"/>
  <c r="CC22" i="46"/>
  <c r="CD27" i="46"/>
  <c r="CB30" i="46"/>
  <c r="CC30" i="46"/>
  <c r="CD34" i="46"/>
  <c r="CB37" i="46"/>
  <c r="CC37" i="46"/>
  <c r="CD42" i="46"/>
  <c r="CB45" i="46"/>
  <c r="CC45" i="46"/>
  <c r="CD50" i="46"/>
  <c r="CB53" i="46"/>
  <c r="CC53" i="46"/>
  <c r="CD58" i="46"/>
  <c r="CB65" i="46"/>
  <c r="CC65" i="46"/>
  <c r="CB129" i="46"/>
  <c r="CC129" i="46"/>
  <c r="CD129" i="46"/>
  <c r="CM129" i="46"/>
  <c r="CC137" i="46"/>
  <c r="CD137" i="46"/>
  <c r="CB137" i="46"/>
  <c r="CN131" i="46"/>
  <c r="CM131" i="46"/>
  <c r="CN139" i="46"/>
  <c r="CM139" i="46"/>
  <c r="CN142" i="46"/>
  <c r="CM142" i="46"/>
  <c r="CN135" i="46"/>
  <c r="CM135" i="46"/>
  <c r="CM136" i="46"/>
  <c r="CN136" i="46"/>
  <c r="CM132" i="46"/>
  <c r="CN132" i="46"/>
  <c r="CM140" i="46"/>
  <c r="CN140" i="46"/>
  <c r="CN134" i="46"/>
  <c r="CM134" i="46"/>
  <c r="CM133" i="46"/>
  <c r="CN133" i="46"/>
  <c r="CM141" i="46"/>
  <c r="CN141" i="46"/>
  <c r="CN143" i="46"/>
  <c r="CM143" i="46"/>
  <c r="CM137" i="46"/>
  <c r="CN137" i="46"/>
  <c r="CN130" i="46"/>
  <c r="CM138" i="46"/>
  <c r="CN138" i="46"/>
  <c r="CA40" i="47"/>
  <c r="DF40" i="47"/>
  <c r="CA18" i="47"/>
  <c r="DF18" i="47"/>
  <c r="CA13" i="47"/>
  <c r="CB13" i="47"/>
  <c r="CD13" i="47"/>
  <c r="CC13" i="47"/>
  <c r="CN129" i="46"/>
  <c r="DT164" i="47"/>
  <c r="DT165" i="47"/>
  <c r="DT166" i="47"/>
  <c r="DT167" i="47"/>
  <c r="DT168" i="47"/>
  <c r="DT169" i="47"/>
  <c r="DT170" i="47"/>
  <c r="DT171" i="47"/>
  <c r="DT172" i="47"/>
  <c r="DT173" i="47"/>
  <c r="DT174" i="47"/>
  <c r="DT175" i="47"/>
  <c r="DT176" i="47"/>
  <c r="DT177" i="47"/>
  <c r="DT178" i="47"/>
  <c r="DT179" i="47"/>
  <c r="DT180" i="47"/>
  <c r="DT181" i="47"/>
  <c r="DT182" i="47"/>
  <c r="DT183" i="47"/>
  <c r="DT163" i="47"/>
  <c r="DT162" i="47"/>
  <c r="DT161" i="47"/>
  <c r="CB37" i="47"/>
  <c r="CC37" i="47"/>
  <c r="CD37" i="47"/>
  <c r="CB41" i="47"/>
  <c r="CC41" i="47"/>
  <c r="CD41" i="47"/>
  <c r="CC46" i="47"/>
  <c r="CD46" i="47"/>
  <c r="CB46" i="47"/>
  <c r="CB88" i="47"/>
  <c r="CC88" i="47"/>
  <c r="CD88" i="47"/>
  <c r="DG88" i="47"/>
  <c r="DG115" i="47"/>
  <c r="CB115" i="47"/>
  <c r="CC115" i="47"/>
  <c r="CD115" i="47"/>
  <c r="CB27" i="47"/>
  <c r="CD27" i="47"/>
  <c r="CC27" i="47"/>
  <c r="DG27" i="47"/>
  <c r="CB36" i="47"/>
  <c r="CC36" i="47"/>
  <c r="CD36" i="47"/>
  <c r="CB40" i="47"/>
  <c r="CC40" i="47"/>
  <c r="CD40" i="47"/>
  <c r="CB49" i="47"/>
  <c r="CC49" i="47"/>
  <c r="CD49" i="47"/>
  <c r="DG49" i="47"/>
  <c r="CB110" i="47"/>
  <c r="CC110" i="47"/>
  <c r="CD110" i="47"/>
  <c r="DG110" i="47"/>
  <c r="DG137" i="47"/>
  <c r="CB137" i="47"/>
  <c r="CC137" i="47"/>
  <c r="CD137" i="47"/>
  <c r="CC22" i="47"/>
  <c r="CD22" i="47"/>
  <c r="DG22" i="47"/>
  <c r="CB22" i="47"/>
  <c r="CD35" i="47"/>
  <c r="CC35" i="47"/>
  <c r="CB35" i="47"/>
  <c r="CB39" i="47"/>
  <c r="CC39" i="47"/>
  <c r="CD39" i="47"/>
  <c r="CD43" i="47"/>
  <c r="CC43" i="47"/>
  <c r="CB43" i="47"/>
  <c r="CB44" i="47"/>
  <c r="DG44" i="47"/>
  <c r="CC44" i="47"/>
  <c r="CD44" i="47"/>
  <c r="CB45" i="47"/>
  <c r="CC45" i="47"/>
  <c r="CD45" i="47"/>
  <c r="CD71" i="47"/>
  <c r="DG71" i="47"/>
  <c r="CC71" i="47"/>
  <c r="CB71" i="47"/>
  <c r="CB132" i="47"/>
  <c r="DG132" i="47"/>
  <c r="CC132" i="47"/>
  <c r="CD132" i="47"/>
  <c r="CC38" i="47"/>
  <c r="CD38" i="47"/>
  <c r="CB38" i="47"/>
  <c r="CB42" i="47"/>
  <c r="CC42" i="47"/>
  <c r="CD42" i="47"/>
  <c r="CB47" i="47"/>
  <c r="CC47" i="47"/>
  <c r="CD47" i="47"/>
  <c r="CD48" i="47"/>
  <c r="CB48" i="47"/>
  <c r="CC48" i="47"/>
  <c r="CB50" i="47"/>
  <c r="CC50" i="47"/>
  <c r="CD50" i="47"/>
  <c r="CD51" i="47"/>
  <c r="CB51" i="47"/>
  <c r="CC51" i="47"/>
  <c r="CB52" i="47"/>
  <c r="CC52" i="47"/>
  <c r="CD52" i="47"/>
  <c r="DG66" i="47"/>
  <c r="CB66" i="47"/>
  <c r="CC66" i="47"/>
  <c r="CD66" i="47"/>
  <c r="DG93" i="47"/>
  <c r="CB93" i="47"/>
  <c r="CC93" i="47"/>
  <c r="CD93" i="47"/>
  <c r="CA204" i="47"/>
  <c r="CI189" i="47"/>
  <c r="DN189" i="47"/>
  <c r="DN193" i="47"/>
  <c r="CI193" i="47"/>
  <c r="CI197" i="47"/>
  <c r="DN197" i="47"/>
  <c r="DN201" i="47"/>
  <c r="CI201" i="47"/>
  <c r="CI205" i="47"/>
  <c r="DN205" i="47"/>
  <c r="DN209" i="47"/>
  <c r="CI209" i="47"/>
  <c r="CA200" i="47"/>
  <c r="CA189" i="47"/>
  <c r="CA193" i="47"/>
  <c r="CA197" i="47"/>
  <c r="CA201" i="47"/>
  <c r="CA205" i="47"/>
  <c r="CA209" i="47"/>
  <c r="CI190" i="47"/>
  <c r="DN190" i="47"/>
  <c r="DN194" i="47"/>
  <c r="CI194" i="47"/>
  <c r="DN198" i="47"/>
  <c r="CI198" i="47"/>
  <c r="CI202" i="47"/>
  <c r="DN202" i="47"/>
  <c r="CI206" i="47"/>
  <c r="DN206" i="47"/>
  <c r="CI210" i="47"/>
  <c r="DN210" i="47"/>
  <c r="CA192" i="47"/>
  <c r="CA190" i="47"/>
  <c r="CA194" i="47"/>
  <c r="CA198" i="47"/>
  <c r="CA202" i="47"/>
  <c r="CA206" i="47"/>
  <c r="CA210" i="47"/>
  <c r="CA208" i="47"/>
  <c r="DN191" i="47"/>
  <c r="CI191" i="47"/>
  <c r="CI195" i="47"/>
  <c r="DN195" i="47"/>
  <c r="DN199" i="47"/>
  <c r="CI199" i="47"/>
  <c r="DN203" i="47"/>
  <c r="CI203" i="47"/>
  <c r="DN207" i="47"/>
  <c r="CI207" i="47"/>
  <c r="CA196" i="47"/>
  <c r="CA191" i="47"/>
  <c r="CA195" i="47"/>
  <c r="CA199" i="47"/>
  <c r="CA203" i="47"/>
  <c r="CA207" i="47"/>
  <c r="CA188" i="47"/>
  <c r="CI188" i="47"/>
  <c r="DN188" i="47"/>
  <c r="DN192" i="47"/>
  <c r="CI192" i="47"/>
  <c r="DN196" i="47"/>
  <c r="CI196" i="47"/>
  <c r="DN200" i="47"/>
  <c r="CI200" i="47"/>
  <c r="DN204" i="47"/>
  <c r="CI204" i="47"/>
  <c r="DN208" i="47"/>
  <c r="CI208" i="47"/>
  <c r="CA174" i="47"/>
  <c r="DN174" i="47"/>
  <c r="CA175" i="47"/>
  <c r="DN175" i="47"/>
  <c r="CA176" i="47"/>
  <c r="DN176" i="47"/>
  <c r="CA177" i="47"/>
  <c r="DN177" i="47"/>
  <c r="CA178" i="47"/>
  <c r="DN178" i="47"/>
  <c r="CA179" i="47"/>
  <c r="DN179" i="47"/>
  <c r="DN180" i="47"/>
  <c r="CA180" i="47"/>
  <c r="DN181" i="47"/>
  <c r="CA181" i="47"/>
  <c r="CA182" i="47"/>
  <c r="DN182" i="47"/>
  <c r="CA183" i="47"/>
  <c r="DN183" i="47"/>
  <c r="CA173" i="47"/>
  <c r="DN173" i="47"/>
  <c r="CA165" i="47"/>
  <c r="CA166" i="47"/>
  <c r="CA167" i="47"/>
  <c r="CA168" i="47"/>
  <c r="CA169" i="47"/>
  <c r="DN164" i="47"/>
  <c r="DN165" i="47"/>
  <c r="DN166" i="47"/>
  <c r="DN167" i="47"/>
  <c r="DN168" i="47"/>
  <c r="DN169" i="47"/>
  <c r="CA163" i="47"/>
  <c r="CA162" i="47"/>
  <c r="CA164" i="47"/>
  <c r="DN172" i="47"/>
  <c r="DN171" i="47"/>
  <c r="DN170" i="47"/>
  <c r="CA172" i="47"/>
  <c r="CA171" i="47"/>
  <c r="CA170" i="47"/>
  <c r="DN163" i="47"/>
  <c r="DN162" i="47"/>
  <c r="DN161" i="47"/>
  <c r="CD138" i="47"/>
  <c r="DG138" i="47"/>
  <c r="CB138" i="47"/>
  <c r="CC138" i="47"/>
  <c r="CB139" i="47"/>
  <c r="CC139" i="47"/>
  <c r="DG139" i="47"/>
  <c r="CD139" i="47"/>
  <c r="DG140" i="47"/>
  <c r="CB140" i="47"/>
  <c r="CC140" i="47"/>
  <c r="CD140" i="47"/>
  <c r="CD134" i="47"/>
  <c r="DG134" i="47"/>
  <c r="CB134" i="47"/>
  <c r="CC134" i="47"/>
  <c r="CB133" i="47"/>
  <c r="CC133" i="47"/>
  <c r="DG133" i="47"/>
  <c r="CD133" i="47"/>
  <c r="CB135" i="47"/>
  <c r="CC135" i="47"/>
  <c r="CD135" i="47"/>
  <c r="DG135" i="47"/>
  <c r="CB136" i="47"/>
  <c r="DG136" i="47"/>
  <c r="CC136" i="47"/>
  <c r="CD136" i="47"/>
  <c r="CB125" i="47"/>
  <c r="CC125" i="47"/>
  <c r="DG125" i="47"/>
  <c r="CD125" i="47"/>
  <c r="CC129" i="47"/>
  <c r="CD129" i="47"/>
  <c r="CB129" i="47"/>
  <c r="DG129" i="47"/>
  <c r="CB124" i="47"/>
  <c r="DG124" i="47"/>
  <c r="CC124" i="47"/>
  <c r="CD124" i="47"/>
  <c r="DG128" i="47"/>
  <c r="CB128" i="47"/>
  <c r="CD128" i="47"/>
  <c r="CC128" i="47"/>
  <c r="DG123" i="47"/>
  <c r="CD123" i="47"/>
  <c r="CC123" i="47"/>
  <c r="CB123" i="47"/>
  <c r="CB127" i="47"/>
  <c r="DG127" i="47"/>
  <c r="CC127" i="47"/>
  <c r="CD127" i="47"/>
  <c r="CD131" i="47"/>
  <c r="CC131" i="47"/>
  <c r="CB131" i="47"/>
  <c r="DG131" i="47"/>
  <c r="CD126" i="47"/>
  <c r="DG126" i="47"/>
  <c r="CB126" i="47"/>
  <c r="CC126" i="47"/>
  <c r="CB130" i="47"/>
  <c r="CC130" i="47"/>
  <c r="CD130" i="47"/>
  <c r="DG130" i="47"/>
  <c r="CD116" i="47"/>
  <c r="CB116" i="47"/>
  <c r="CC116" i="47"/>
  <c r="DG116" i="47"/>
  <c r="CD117" i="47"/>
  <c r="CB117" i="47"/>
  <c r="CC117" i="47"/>
  <c r="DG117" i="47"/>
  <c r="CC118" i="47"/>
  <c r="CD118" i="47"/>
  <c r="CB118" i="47"/>
  <c r="DG118" i="47"/>
  <c r="CB111" i="47"/>
  <c r="CC111" i="47"/>
  <c r="DG111" i="47"/>
  <c r="CD111" i="47"/>
  <c r="DG113" i="47"/>
  <c r="CB113" i="47"/>
  <c r="CC113" i="47"/>
  <c r="CD113" i="47"/>
  <c r="DG114" i="47"/>
  <c r="CD114" i="47"/>
  <c r="CB114" i="47"/>
  <c r="CC114" i="47"/>
  <c r="CC112" i="47"/>
  <c r="CD112" i="47"/>
  <c r="CB112" i="47"/>
  <c r="DG112" i="47"/>
  <c r="DG102" i="47"/>
  <c r="CB102" i="47"/>
  <c r="CC102" i="47"/>
  <c r="CD102" i="47"/>
  <c r="CD106" i="47"/>
  <c r="DG106" i="47"/>
  <c r="CB106" i="47"/>
  <c r="CC106" i="47"/>
  <c r="DG101" i="47"/>
  <c r="CB101" i="47"/>
  <c r="CD101" i="47"/>
  <c r="CC101" i="47"/>
  <c r="CD105" i="47"/>
  <c r="CB105" i="47"/>
  <c r="DG105" i="47"/>
  <c r="CC105" i="47"/>
  <c r="CC109" i="47"/>
  <c r="CD109" i="47"/>
  <c r="CB109" i="47"/>
  <c r="DG109" i="47"/>
  <c r="CB104" i="47"/>
  <c r="CC104" i="47"/>
  <c r="CD104" i="47"/>
  <c r="DG104" i="47"/>
  <c r="CC108" i="47"/>
  <c r="CB108" i="47"/>
  <c r="CD108" i="47"/>
  <c r="DG108" i="47"/>
  <c r="DG103" i="47"/>
  <c r="CB103" i="47"/>
  <c r="CC103" i="47"/>
  <c r="CD103" i="47"/>
  <c r="DG107" i="47"/>
  <c r="CB107" i="47"/>
  <c r="CC107" i="47"/>
  <c r="CD107" i="47"/>
  <c r="DG94" i="47"/>
  <c r="CD94" i="47"/>
  <c r="CB94" i="47"/>
  <c r="CC94" i="47"/>
  <c r="CD95" i="47"/>
  <c r="DG95" i="47"/>
  <c r="CB95" i="47"/>
  <c r="CC95" i="47"/>
  <c r="CB96" i="47"/>
  <c r="DG96" i="47"/>
  <c r="CC96" i="47"/>
  <c r="CD96" i="47"/>
  <c r="CB89" i="47"/>
  <c r="CD89" i="47"/>
  <c r="CC89" i="47"/>
  <c r="DG89" i="47"/>
  <c r="CB91" i="47"/>
  <c r="CC91" i="47"/>
  <c r="DG91" i="47"/>
  <c r="CD91" i="47"/>
  <c r="CC92" i="47"/>
  <c r="CB92" i="47"/>
  <c r="CD92" i="47"/>
  <c r="DG92" i="47"/>
  <c r="CD90" i="47"/>
  <c r="CB90" i="47"/>
  <c r="CC90" i="47"/>
  <c r="DG90" i="47"/>
  <c r="CC79" i="47"/>
  <c r="CB79" i="47"/>
  <c r="CD79" i="47"/>
  <c r="DG79" i="47"/>
  <c r="DG83" i="47"/>
  <c r="CB83" i="47"/>
  <c r="CC83" i="47"/>
  <c r="CD83" i="47"/>
  <c r="CB87" i="47"/>
  <c r="DG87" i="47"/>
  <c r="CC87" i="47"/>
  <c r="CD87" i="47"/>
  <c r="CD82" i="47"/>
  <c r="CB82" i="47"/>
  <c r="CC82" i="47"/>
  <c r="DG82" i="47"/>
  <c r="CD86" i="47"/>
  <c r="CB86" i="47"/>
  <c r="CC86" i="47"/>
  <c r="DG86" i="47"/>
  <c r="CB81" i="47"/>
  <c r="CC81" i="47"/>
  <c r="CD81" i="47"/>
  <c r="DG81" i="47"/>
  <c r="CC85" i="47"/>
  <c r="CD85" i="47"/>
  <c r="DG85" i="47"/>
  <c r="CB85" i="47"/>
  <c r="CB80" i="47"/>
  <c r="DG80" i="47"/>
  <c r="CC80" i="47"/>
  <c r="CD80" i="47"/>
  <c r="DG84" i="47"/>
  <c r="CC84" i="47"/>
  <c r="CB84" i="47"/>
  <c r="CD84" i="47"/>
  <c r="CD72" i="47"/>
  <c r="CC72" i="47"/>
  <c r="DG72" i="47"/>
  <c r="CB72" i="47"/>
  <c r="CB73" i="47"/>
  <c r="CC73" i="47"/>
  <c r="CD73" i="47"/>
  <c r="DG73" i="47"/>
  <c r="DG74" i="47"/>
  <c r="CC74" i="47"/>
  <c r="CB74" i="47"/>
  <c r="CD74" i="47"/>
  <c r="CB69" i="47"/>
  <c r="CC69" i="47"/>
  <c r="CD69" i="47"/>
  <c r="DG69" i="47"/>
  <c r="DG70" i="47"/>
  <c r="CD70" i="47"/>
  <c r="CB70" i="47"/>
  <c r="CC70" i="47"/>
  <c r="CD68" i="47"/>
  <c r="CC68" i="47"/>
  <c r="CB68" i="47"/>
  <c r="DG68" i="47"/>
  <c r="DG67" i="47"/>
  <c r="CB67" i="47"/>
  <c r="CC67" i="47"/>
  <c r="CD67" i="47"/>
  <c r="CB60" i="47"/>
  <c r="DG60" i="47"/>
  <c r="CC60" i="47"/>
  <c r="CD60" i="47"/>
  <c r="CC64" i="47"/>
  <c r="CB64" i="47"/>
  <c r="DG64" i="47"/>
  <c r="CD64" i="47"/>
  <c r="CB59" i="47"/>
  <c r="CC59" i="47"/>
  <c r="CD59" i="47"/>
  <c r="DG59" i="47"/>
  <c r="CD63" i="47"/>
  <c r="DG63" i="47"/>
  <c r="CC63" i="47"/>
  <c r="CB63" i="47"/>
  <c r="CB58" i="47"/>
  <c r="CC58" i="47"/>
  <c r="CD58" i="47"/>
  <c r="DG58" i="47"/>
  <c r="CB62" i="47"/>
  <c r="CC62" i="47"/>
  <c r="DG62" i="47"/>
  <c r="CD62" i="47"/>
  <c r="CC57" i="47"/>
  <c r="CD57" i="47"/>
  <c r="CB57" i="47"/>
  <c r="DG57" i="47"/>
  <c r="CB61" i="47"/>
  <c r="CD61" i="47"/>
  <c r="CC61" i="47"/>
  <c r="DG61" i="47"/>
  <c r="DG65" i="47"/>
  <c r="CB65" i="47"/>
  <c r="CC65" i="47"/>
  <c r="CD65" i="47"/>
  <c r="DG52" i="47"/>
  <c r="DG51" i="47"/>
  <c r="DG50" i="47"/>
  <c r="DG48" i="47"/>
  <c r="DG47" i="47"/>
  <c r="DG46" i="47"/>
  <c r="DG45" i="47"/>
  <c r="DG43" i="47"/>
  <c r="CA42" i="47"/>
  <c r="DG42" i="47"/>
  <c r="DG41" i="47"/>
  <c r="DG40" i="47"/>
  <c r="DG38" i="47"/>
  <c r="DG39" i="47"/>
  <c r="DG37" i="47"/>
  <c r="DG36" i="47"/>
  <c r="DG35" i="47"/>
  <c r="CC28" i="47"/>
  <c r="DG28" i="47"/>
  <c r="CD28" i="47"/>
  <c r="CB28" i="47"/>
  <c r="DG29" i="47"/>
  <c r="CC29" i="47"/>
  <c r="CD29" i="47"/>
  <c r="CB29" i="47"/>
  <c r="CB30" i="47"/>
  <c r="DG30" i="47"/>
  <c r="CC30" i="47"/>
  <c r="CD30" i="47"/>
  <c r="CD24" i="47"/>
  <c r="CB24" i="47"/>
  <c r="DG24" i="47"/>
  <c r="CC24" i="47"/>
  <c r="DG23" i="47"/>
  <c r="CD23" i="47"/>
  <c r="CB23" i="47"/>
  <c r="CC23" i="47"/>
  <c r="CB25" i="47"/>
  <c r="CD25" i="47"/>
  <c r="DG25" i="47"/>
  <c r="CC25" i="47"/>
  <c r="DG26" i="47"/>
  <c r="CB26" i="47"/>
  <c r="CC26" i="47"/>
  <c r="CD26" i="47"/>
  <c r="CC16" i="47"/>
  <c r="CD16" i="47"/>
  <c r="DG16" i="47"/>
  <c r="CB16" i="47"/>
  <c r="CD15" i="47"/>
  <c r="CB15" i="47"/>
  <c r="CC15" i="47"/>
  <c r="DG15" i="47"/>
  <c r="DG19" i="47"/>
  <c r="CC19" i="47"/>
  <c r="CB19" i="47"/>
  <c r="CD19" i="47"/>
  <c r="CD20" i="47"/>
  <c r="CB20" i="47"/>
  <c r="CC20" i="47"/>
  <c r="DG20" i="47"/>
  <c r="CB14" i="47"/>
  <c r="DG14" i="47"/>
  <c r="CC14" i="47"/>
  <c r="CD14" i="47"/>
  <c r="DG18" i="47"/>
  <c r="CC18" i="47"/>
  <c r="CD18" i="47"/>
  <c r="CB18" i="47"/>
  <c r="CD17" i="47"/>
  <c r="CB17" i="47"/>
  <c r="CC17" i="47"/>
  <c r="DG17" i="47"/>
  <c r="CC21" i="47"/>
  <c r="DG21" i="47"/>
  <c r="CB21" i="47"/>
  <c r="DG13" i="47"/>
  <c r="C67" i="45"/>
  <c r="CK67" i="45" s="1"/>
  <c r="C55" i="45"/>
  <c r="C64" i="45"/>
  <c r="CL64" i="45" s="1"/>
  <c r="CR20" i="45"/>
  <c r="CP175" i="46"/>
  <c r="DF188" i="47"/>
  <c r="DV188" i="47"/>
  <c r="DU188" i="47"/>
  <c r="DT188" i="47"/>
  <c r="DQ188" i="47"/>
  <c r="DT204" i="47"/>
  <c r="DQ204" i="47"/>
  <c r="DV204" i="47"/>
  <c r="DU204" i="47"/>
  <c r="DF204" i="47"/>
  <c r="CM214" i="48"/>
  <c r="CN74" i="48"/>
  <c r="CM74" i="48"/>
  <c r="DP189" i="47"/>
  <c r="DS189" i="47"/>
  <c r="DR189" i="47"/>
  <c r="DS193" i="47"/>
  <c r="DR193" i="47"/>
  <c r="DP193" i="47"/>
  <c r="DP197" i="47"/>
  <c r="DS197" i="47"/>
  <c r="DR197" i="47"/>
  <c r="DS201" i="47"/>
  <c r="DR201" i="47"/>
  <c r="DP201" i="47"/>
  <c r="DP205" i="47"/>
  <c r="DS205" i="47"/>
  <c r="DR205" i="47"/>
  <c r="DP209" i="47"/>
  <c r="DS209" i="47"/>
  <c r="DR209" i="47"/>
  <c r="CM213" i="48"/>
  <c r="CM191" i="48"/>
  <c r="DU208" i="47"/>
  <c r="DQ208" i="47"/>
  <c r="DF208" i="47"/>
  <c r="DV208" i="47"/>
  <c r="DT208" i="47"/>
  <c r="CQ21" i="45"/>
  <c r="CO168" i="46"/>
  <c r="CO172" i="46"/>
  <c r="CO176" i="46"/>
  <c r="DS190" i="47"/>
  <c r="DR190" i="47"/>
  <c r="DP190" i="47"/>
  <c r="DS194" i="47"/>
  <c r="DR194" i="47"/>
  <c r="DP194" i="47"/>
  <c r="DS198" i="47"/>
  <c r="DR198" i="47"/>
  <c r="DP198" i="47"/>
  <c r="DS202" i="47"/>
  <c r="DR202" i="47"/>
  <c r="DP202" i="47"/>
  <c r="DP206" i="47"/>
  <c r="DR206" i="47"/>
  <c r="DS206" i="47"/>
  <c r="DP210" i="47"/>
  <c r="DS210" i="47"/>
  <c r="DR210" i="47"/>
  <c r="CM204" i="48"/>
  <c r="CM189" i="48"/>
  <c r="CM67" i="48"/>
  <c r="CN67" i="48"/>
  <c r="CR16" i="45"/>
  <c r="CP166" i="45"/>
  <c r="DQ192" i="47"/>
  <c r="DV192" i="47"/>
  <c r="DF192" i="47"/>
  <c r="DU192" i="47"/>
  <c r="DT192" i="47"/>
  <c r="CR13" i="45"/>
  <c r="CP168" i="46"/>
  <c r="DQ197" i="47"/>
  <c r="DV197" i="47"/>
  <c r="DF197" i="47"/>
  <c r="DT197" i="47"/>
  <c r="DU197" i="47"/>
  <c r="DU209" i="47"/>
  <c r="DV209" i="47"/>
  <c r="DT209" i="47"/>
  <c r="DQ209" i="47"/>
  <c r="DF209" i="47"/>
  <c r="CM205" i="48"/>
  <c r="CM190" i="48"/>
  <c r="CR14" i="45"/>
  <c r="CP169" i="46"/>
  <c r="CP177" i="46"/>
  <c r="DQ190" i="47"/>
  <c r="DV190" i="47"/>
  <c r="DF190" i="47"/>
  <c r="DU190" i="47"/>
  <c r="DT190" i="47"/>
  <c r="DV194" i="47"/>
  <c r="DF194" i="47"/>
  <c r="DU194" i="47"/>
  <c r="DT194" i="47"/>
  <c r="DQ194" i="47"/>
  <c r="DU198" i="47"/>
  <c r="DT198" i="47"/>
  <c r="DF198" i="47"/>
  <c r="DQ198" i="47"/>
  <c r="DV198" i="47"/>
  <c r="DT202" i="47"/>
  <c r="DQ202" i="47"/>
  <c r="DF202" i="47"/>
  <c r="DV202" i="47"/>
  <c r="DU202" i="47"/>
  <c r="DU206" i="47"/>
  <c r="DQ206" i="47"/>
  <c r="DF206" i="47"/>
  <c r="DV206" i="47"/>
  <c r="DT206" i="47"/>
  <c r="DQ210" i="47"/>
  <c r="DU210" i="47"/>
  <c r="DV210" i="47"/>
  <c r="DT210" i="47"/>
  <c r="DF210" i="47"/>
  <c r="CM203" i="48"/>
  <c r="CM66" i="48"/>
  <c r="CN66" i="48"/>
  <c r="CQ24" i="45"/>
  <c r="CR17" i="45"/>
  <c r="CP172" i="46"/>
  <c r="DQ189" i="47"/>
  <c r="DF189" i="47"/>
  <c r="DV189" i="47"/>
  <c r="DU189" i="47"/>
  <c r="DT189" i="47"/>
  <c r="DU205" i="47"/>
  <c r="DV205" i="47"/>
  <c r="DT205" i="47"/>
  <c r="DQ205" i="47"/>
  <c r="DF205" i="47"/>
  <c r="CQ17" i="45"/>
  <c r="CR18" i="45"/>
  <c r="CQ161" i="45"/>
  <c r="CP173" i="46"/>
  <c r="CQ14" i="45"/>
  <c r="CQ18" i="45"/>
  <c r="CQ26" i="45"/>
  <c r="CP161" i="45"/>
  <c r="CQ165" i="45"/>
  <c r="CP168" i="45"/>
  <c r="CO169" i="46"/>
  <c r="CO173" i="46"/>
  <c r="CO177" i="46"/>
  <c r="DS191" i="47"/>
  <c r="DR191" i="47"/>
  <c r="DP191" i="47"/>
  <c r="DS195" i="47"/>
  <c r="DP195" i="47"/>
  <c r="DR195" i="47"/>
  <c r="DR199" i="47"/>
  <c r="DP199" i="47"/>
  <c r="DS199" i="47"/>
  <c r="DS203" i="47"/>
  <c r="DR203" i="47"/>
  <c r="DP203" i="47"/>
  <c r="DP207" i="47"/>
  <c r="DS207" i="47"/>
  <c r="DR207" i="47"/>
  <c r="CM202" i="48"/>
  <c r="DV196" i="47"/>
  <c r="DF196" i="47"/>
  <c r="DT196" i="47"/>
  <c r="DQ196" i="47"/>
  <c r="DU196" i="47"/>
  <c r="CM192" i="48"/>
  <c r="CQ20" i="45"/>
  <c r="CO175" i="46"/>
  <c r="CR25" i="45"/>
  <c r="DT201" i="47"/>
  <c r="DQ201" i="47"/>
  <c r="DV201" i="47"/>
  <c r="DU201" i="47"/>
  <c r="DF201" i="47"/>
  <c r="CQ13" i="45"/>
  <c r="CP164" i="45"/>
  <c r="CR15" i="45"/>
  <c r="CR19" i="45"/>
  <c r="CR23" i="45"/>
  <c r="CQ162" i="45"/>
  <c r="CP165" i="45"/>
  <c r="CP170" i="46"/>
  <c r="CP174" i="46"/>
  <c r="DQ191" i="47"/>
  <c r="DF191" i="47"/>
  <c r="DV191" i="47"/>
  <c r="DU191" i="47"/>
  <c r="DT191" i="47"/>
  <c r="DV195" i="47"/>
  <c r="DF195" i="47"/>
  <c r="DU195" i="47"/>
  <c r="DT195" i="47"/>
  <c r="DQ195" i="47"/>
  <c r="DQ199" i="47"/>
  <c r="DV199" i="47"/>
  <c r="DF199" i="47"/>
  <c r="DT199" i="47"/>
  <c r="DU199" i="47"/>
  <c r="DT203" i="47"/>
  <c r="DQ203" i="47"/>
  <c r="DV203" i="47"/>
  <c r="DU203" i="47"/>
  <c r="DF203" i="47"/>
  <c r="DU207" i="47"/>
  <c r="DV207" i="47"/>
  <c r="DT207" i="47"/>
  <c r="DQ207" i="47"/>
  <c r="DF207" i="47"/>
  <c r="CM201" i="48"/>
  <c r="CM194" i="48"/>
  <c r="CM124" i="48"/>
  <c r="CM76" i="48"/>
  <c r="CN76" i="48"/>
  <c r="CR24" i="45"/>
  <c r="CP171" i="46"/>
  <c r="DT200" i="47"/>
  <c r="DQ200" i="47"/>
  <c r="DV200" i="47"/>
  <c r="DU200" i="47"/>
  <c r="DF200" i="47"/>
  <c r="CQ16" i="45"/>
  <c r="CO171" i="46"/>
  <c r="CR21" i="45"/>
  <c r="CP176" i="46"/>
  <c r="DQ193" i="47"/>
  <c r="DF193" i="47"/>
  <c r="DV193" i="47"/>
  <c r="DU193" i="47"/>
  <c r="DT193" i="47"/>
  <c r="CM68" i="48"/>
  <c r="CN68" i="48"/>
  <c r="CQ25" i="45"/>
  <c r="CQ164" i="45"/>
  <c r="CR26" i="45"/>
  <c r="CQ168" i="45"/>
  <c r="CQ15" i="45"/>
  <c r="CQ19" i="45"/>
  <c r="CQ23" i="45"/>
  <c r="CP162" i="45"/>
  <c r="C166" i="45"/>
  <c r="CQ166" i="45"/>
  <c r="CO170" i="46"/>
  <c r="CO174" i="46"/>
  <c r="DS188" i="47"/>
  <c r="DR188" i="47"/>
  <c r="DP188" i="47"/>
  <c r="DS192" i="47"/>
  <c r="DR192" i="47"/>
  <c r="DP192" i="47"/>
  <c r="DS196" i="47"/>
  <c r="DR196" i="47"/>
  <c r="DP196" i="47"/>
  <c r="DS200" i="47"/>
  <c r="DR200" i="47"/>
  <c r="DP200" i="47"/>
  <c r="DS204" i="47"/>
  <c r="DR204" i="47"/>
  <c r="DP204" i="47"/>
  <c r="DP208" i="47"/>
  <c r="DS208" i="47"/>
  <c r="DR208" i="47"/>
  <c r="CM193" i="48"/>
  <c r="CM123" i="48"/>
  <c r="CM75" i="48"/>
  <c r="CN75" i="48"/>
  <c r="CP160" i="45"/>
  <c r="CQ160" i="45"/>
  <c r="CM211" i="48"/>
  <c r="CM200" i="48"/>
  <c r="CM188" i="48"/>
  <c r="CN73" i="48"/>
  <c r="CM73" i="48"/>
  <c r="B23" i="48"/>
  <c r="C70" i="45"/>
  <c r="DQ177" i="47"/>
  <c r="B272" i="47"/>
  <c r="DF13" i="47"/>
  <c r="C61" i="45"/>
  <c r="C73" i="45"/>
  <c r="DS168" i="47"/>
  <c r="DR168" i="47"/>
  <c r="DS171" i="47"/>
  <c r="DR171" i="47"/>
  <c r="DS180" i="47"/>
  <c r="DR180" i="47"/>
  <c r="CN13" i="46"/>
  <c r="CN17" i="46"/>
  <c r="CM21" i="46"/>
  <c r="CN21" i="46"/>
  <c r="CN25" i="46"/>
  <c r="CN31" i="46"/>
  <c r="CN36" i="46"/>
  <c r="CM42" i="46"/>
  <c r="CN42" i="46"/>
  <c r="CN48" i="46"/>
  <c r="CN54" i="46"/>
  <c r="CN60" i="46"/>
  <c r="CO130" i="46"/>
  <c r="CO142" i="46"/>
  <c r="DR163" i="47"/>
  <c r="DS163" i="47"/>
  <c r="DS165" i="47"/>
  <c r="DR165" i="47"/>
  <c r="DR166" i="47"/>
  <c r="DS166" i="47"/>
  <c r="DQ167" i="47"/>
  <c r="DV167" i="47"/>
  <c r="DU167" i="47"/>
  <c r="DQ170" i="47"/>
  <c r="DV170" i="47"/>
  <c r="DU170" i="47"/>
  <c r="DV173" i="47"/>
  <c r="DU173" i="47"/>
  <c r="DF178" i="47"/>
  <c r="DV178" i="47"/>
  <c r="DU178" i="47"/>
  <c r="DF182" i="47"/>
  <c r="DV182" i="47"/>
  <c r="DU182" i="47"/>
  <c r="CM14" i="46"/>
  <c r="CN14" i="46"/>
  <c r="CN16" i="46"/>
  <c r="CM18" i="46"/>
  <c r="CN18" i="46"/>
  <c r="CN20" i="46"/>
  <c r="CN22" i="46"/>
  <c r="CM24" i="46"/>
  <c r="CN24" i="46"/>
  <c r="CN26" i="46"/>
  <c r="CN28" i="46"/>
  <c r="CM30" i="46"/>
  <c r="CN30" i="46"/>
  <c r="CN32" i="46"/>
  <c r="CM35" i="46"/>
  <c r="CN35" i="46"/>
  <c r="CN37" i="46"/>
  <c r="CN39" i="46"/>
  <c r="CM41" i="46"/>
  <c r="CN41" i="46"/>
  <c r="CN43" i="46"/>
  <c r="CN45" i="46"/>
  <c r="CN47" i="46"/>
  <c r="CN49" i="46"/>
  <c r="CN51" i="46"/>
  <c r="CN53" i="46"/>
  <c r="CN55" i="46"/>
  <c r="CN57" i="46"/>
  <c r="CN59" i="46"/>
  <c r="CN62" i="46"/>
  <c r="CN63" i="46"/>
  <c r="CN65" i="46"/>
  <c r="CO131" i="46"/>
  <c r="CO137" i="46"/>
  <c r="CO143" i="46"/>
  <c r="DP161" i="47"/>
  <c r="DR161" i="47"/>
  <c r="DS161" i="47"/>
  <c r="DV163" i="47"/>
  <c r="DU163" i="47"/>
  <c r="DU165" i="47"/>
  <c r="DV165" i="47"/>
  <c r="DF166" i="47"/>
  <c r="DU166" i="47"/>
  <c r="DV166" i="47"/>
  <c r="DR169" i="47"/>
  <c r="DS169" i="47"/>
  <c r="DR172" i="47"/>
  <c r="DS172" i="47"/>
  <c r="DR181" i="47"/>
  <c r="DS181" i="47"/>
  <c r="CO139" i="46"/>
  <c r="DF176" i="47"/>
  <c r="DV176" i="47"/>
  <c r="DU176" i="47"/>
  <c r="DQ176" i="47"/>
  <c r="DR179" i="47"/>
  <c r="DS179" i="47"/>
  <c r="CM15" i="46"/>
  <c r="CN15" i="46"/>
  <c r="CN23" i="46"/>
  <c r="CN29" i="46"/>
  <c r="CN34" i="46"/>
  <c r="CM40" i="46"/>
  <c r="CN40" i="46"/>
  <c r="CN46" i="46"/>
  <c r="CN50" i="46"/>
  <c r="CN56" i="46"/>
  <c r="CN61" i="46"/>
  <c r="CN64" i="46"/>
  <c r="CN66" i="46"/>
  <c r="CO140" i="46"/>
  <c r="CA37" i="47"/>
  <c r="CO136" i="46"/>
  <c r="B116" i="45"/>
  <c r="C162" i="45"/>
  <c r="CO132" i="46"/>
  <c r="CO138" i="46"/>
  <c r="CA16" i="47"/>
  <c r="DF37" i="47"/>
  <c r="CA64" i="47"/>
  <c r="AX64" i="47" s="1"/>
  <c r="DV161" i="47"/>
  <c r="DU161" i="47"/>
  <c r="DR164" i="47"/>
  <c r="DS164" i="47"/>
  <c r="DF169" i="47"/>
  <c r="DV169" i="47"/>
  <c r="DU169" i="47"/>
  <c r="DU172" i="47"/>
  <c r="DV172" i="47"/>
  <c r="DP176" i="47"/>
  <c r="DR176" i="47"/>
  <c r="DS176" i="47"/>
  <c r="DV181" i="47"/>
  <c r="DU181" i="47"/>
  <c r="CK64" i="45"/>
  <c r="CO133" i="46"/>
  <c r="DS162" i="47"/>
  <c r="DR162" i="47"/>
  <c r="DQ164" i="47"/>
  <c r="DV164" i="47"/>
  <c r="DU164" i="47"/>
  <c r="CN19" i="46"/>
  <c r="CM27" i="46"/>
  <c r="CN27" i="46"/>
  <c r="CM33" i="46"/>
  <c r="CN33" i="46"/>
  <c r="CM38" i="46"/>
  <c r="CN38" i="46"/>
  <c r="CN44" i="46"/>
  <c r="CN52" i="46"/>
  <c r="CN58" i="46"/>
  <c r="CO134" i="46"/>
  <c r="DU162" i="47"/>
  <c r="DV162" i="47"/>
  <c r="DU168" i="47"/>
  <c r="DV168" i="47"/>
  <c r="DV171" i="47"/>
  <c r="DU171" i="47"/>
  <c r="DS174" i="47"/>
  <c r="DR174" i="47"/>
  <c r="DR175" i="47"/>
  <c r="DS175" i="47"/>
  <c r="DS177" i="47"/>
  <c r="DR177" i="47"/>
  <c r="DQ179" i="47"/>
  <c r="DV179" i="47"/>
  <c r="DU179" i="47"/>
  <c r="DV180" i="47"/>
  <c r="DU180" i="47"/>
  <c r="DS183" i="47"/>
  <c r="DR183" i="47"/>
  <c r="B174" i="48"/>
  <c r="C62" i="45"/>
  <c r="C65" i="45"/>
  <c r="C68" i="45"/>
  <c r="C71" i="45"/>
  <c r="CO135" i="46"/>
  <c r="CO141" i="46"/>
  <c r="DP162" i="47"/>
  <c r="DR167" i="47"/>
  <c r="DS167" i="47"/>
  <c r="DR170" i="47"/>
  <c r="DS170" i="47"/>
  <c r="DR173" i="47"/>
  <c r="DS173" i="47"/>
  <c r="DQ174" i="47"/>
  <c r="DU174" i="47"/>
  <c r="DV174" i="47"/>
  <c r="DV175" i="47"/>
  <c r="DU175" i="47"/>
  <c r="DV177" i="47"/>
  <c r="DU177" i="47"/>
  <c r="DP178" i="47"/>
  <c r="DR178" i="47"/>
  <c r="DS178" i="47"/>
  <c r="DP182" i="47"/>
  <c r="DR182" i="47"/>
  <c r="DS182" i="47"/>
  <c r="DU183" i="47"/>
  <c r="DV183" i="47"/>
  <c r="B149" i="48"/>
  <c r="C49" i="45"/>
  <c r="CO129" i="46"/>
  <c r="C169" i="46"/>
  <c r="C172" i="46"/>
  <c r="C175" i="46"/>
  <c r="C182" i="46"/>
  <c r="CB182" i="46" s="1"/>
  <c r="C185" i="46"/>
  <c r="C188" i="46"/>
  <c r="C191" i="46"/>
  <c r="CO153" i="46"/>
  <c r="CP153" i="46"/>
  <c r="CQ153" i="46"/>
  <c r="CO44" i="46"/>
  <c r="CN153" i="46"/>
  <c r="C160" i="46"/>
  <c r="C76" i="45"/>
  <c r="B114" i="45"/>
  <c r="E31" i="45"/>
  <c r="C165" i="45"/>
  <c r="D167" i="45"/>
  <c r="DF44" i="47"/>
  <c r="DI44" i="47"/>
  <c r="DH44" i="47"/>
  <c r="DI46" i="47"/>
  <c r="DH46" i="47"/>
  <c r="DI47" i="47"/>
  <c r="DH47" i="47"/>
  <c r="DH52" i="47"/>
  <c r="DI52" i="47"/>
  <c r="DI65" i="47"/>
  <c r="DH65" i="47"/>
  <c r="DI67" i="47"/>
  <c r="DH67" i="47"/>
  <c r="DI71" i="47"/>
  <c r="DH71" i="47"/>
  <c r="DI73" i="47"/>
  <c r="DH73" i="47"/>
  <c r="DQ161" i="47"/>
  <c r="DQ166" i="47"/>
  <c r="DQ171" i="47"/>
  <c r="DQ182" i="47"/>
  <c r="C136" i="45"/>
  <c r="CO18" i="46"/>
  <c r="DI17" i="47"/>
  <c r="DH17" i="47"/>
  <c r="DI22" i="47"/>
  <c r="DH22" i="47"/>
  <c r="DH24" i="47"/>
  <c r="DI24" i="47"/>
  <c r="DI25" i="47"/>
  <c r="DH25" i="47"/>
  <c r="DI30" i="47"/>
  <c r="DH30" i="47"/>
  <c r="DI38" i="47"/>
  <c r="DH38" i="47"/>
  <c r="DI39" i="47"/>
  <c r="DH39" i="47"/>
  <c r="DH40" i="47"/>
  <c r="DI40" i="47"/>
  <c r="DI41" i="47"/>
  <c r="DH41" i="47"/>
  <c r="DH42" i="47"/>
  <c r="DI42" i="47"/>
  <c r="DI88" i="47"/>
  <c r="DH88" i="47"/>
  <c r="DI90" i="47"/>
  <c r="DH90" i="47"/>
  <c r="DF91" i="47"/>
  <c r="DI91" i="47"/>
  <c r="DH91" i="47"/>
  <c r="DI96" i="47"/>
  <c r="DH96" i="47"/>
  <c r="DI104" i="47"/>
  <c r="DH104" i="47"/>
  <c r="DI110" i="47"/>
  <c r="DH110" i="47"/>
  <c r="DI112" i="47"/>
  <c r="DH112" i="47"/>
  <c r="DI113" i="47"/>
  <c r="DH113" i="47"/>
  <c r="DI118" i="47"/>
  <c r="DH118" i="47"/>
  <c r="DI136" i="47"/>
  <c r="DH136" i="47"/>
  <c r="DI138" i="47"/>
  <c r="DH138" i="47"/>
  <c r="DF172" i="47"/>
  <c r="B264" i="47"/>
  <c r="A311" i="47" s="1"/>
  <c r="B271" i="47"/>
  <c r="DH18" i="47"/>
  <c r="DI18" i="47"/>
  <c r="DI43" i="47"/>
  <c r="DH43" i="47"/>
  <c r="DI45" i="47"/>
  <c r="DH45" i="47"/>
  <c r="DI49" i="47"/>
  <c r="DH49" i="47"/>
  <c r="DI51" i="47"/>
  <c r="DH51" i="47"/>
  <c r="DI70" i="47"/>
  <c r="DH70" i="47"/>
  <c r="DI72" i="47"/>
  <c r="DH72" i="47"/>
  <c r="DI79" i="47"/>
  <c r="DH79" i="47"/>
  <c r="DI80" i="47"/>
  <c r="DH80" i="47"/>
  <c r="DI81" i="47"/>
  <c r="DH81" i="47"/>
  <c r="DI105" i="47"/>
  <c r="DH105" i="47"/>
  <c r="DI106" i="47"/>
  <c r="DH106" i="47"/>
  <c r="CO21" i="46"/>
  <c r="DI19" i="47"/>
  <c r="DH19" i="47"/>
  <c r="DI20" i="47"/>
  <c r="DH20" i="47"/>
  <c r="DI21" i="47"/>
  <c r="DH21" i="47"/>
  <c r="DI23" i="47"/>
  <c r="DH23" i="47"/>
  <c r="DI27" i="47"/>
  <c r="DH27" i="47"/>
  <c r="DI29" i="47"/>
  <c r="DH29" i="47"/>
  <c r="DI82" i="47"/>
  <c r="DH82" i="47"/>
  <c r="DI83" i="47"/>
  <c r="DH83" i="47"/>
  <c r="DI84" i="47"/>
  <c r="DH84" i="47"/>
  <c r="DI85" i="47"/>
  <c r="DH85" i="47"/>
  <c r="DI86" i="47"/>
  <c r="DH86" i="47"/>
  <c r="DI87" i="47"/>
  <c r="DH87" i="47"/>
  <c r="DI89" i="47"/>
  <c r="DH89" i="47"/>
  <c r="DI93" i="47"/>
  <c r="DH93" i="47"/>
  <c r="DI95" i="47"/>
  <c r="DH95" i="47"/>
  <c r="DI107" i="47"/>
  <c r="DH107" i="47"/>
  <c r="DI108" i="47"/>
  <c r="DH108" i="47"/>
  <c r="DI109" i="47"/>
  <c r="DH109" i="47"/>
  <c r="DI111" i="47"/>
  <c r="DH111" i="47"/>
  <c r="DF115" i="47"/>
  <c r="DI115" i="47"/>
  <c r="DH115" i="47"/>
  <c r="DI117" i="47"/>
  <c r="DH117" i="47"/>
  <c r="DI132" i="47"/>
  <c r="DH132" i="47"/>
  <c r="DI134" i="47"/>
  <c r="DH134" i="47"/>
  <c r="DI135" i="47"/>
  <c r="DH135" i="47"/>
  <c r="DI140" i="47"/>
  <c r="DH140" i="47"/>
  <c r="DQ178" i="47"/>
  <c r="DQ183" i="47"/>
  <c r="B22" i="48"/>
  <c r="CO41" i="46"/>
  <c r="DI48" i="47"/>
  <c r="DH48" i="47"/>
  <c r="DI50" i="47"/>
  <c r="DH50" i="47"/>
  <c r="DI57" i="47"/>
  <c r="DH57" i="47"/>
  <c r="DI58" i="47"/>
  <c r="DH58" i="47"/>
  <c r="DI59" i="47"/>
  <c r="DH59" i="47"/>
  <c r="DI60" i="47"/>
  <c r="DH60" i="47"/>
  <c r="DI61" i="47"/>
  <c r="DH61" i="47"/>
  <c r="DH62" i="47"/>
  <c r="DI62" i="47"/>
  <c r="DF66" i="47"/>
  <c r="DI66" i="47"/>
  <c r="DH66" i="47"/>
  <c r="DH68" i="47"/>
  <c r="DI68" i="47"/>
  <c r="DI69" i="47"/>
  <c r="DH69" i="47"/>
  <c r="DH74" i="47"/>
  <c r="DI74" i="47"/>
  <c r="DQ172" i="47"/>
  <c r="C178" i="48"/>
  <c r="DI13" i="47"/>
  <c r="DH13" i="47"/>
  <c r="DH14" i="47"/>
  <c r="DI14" i="47"/>
  <c r="DI15" i="47"/>
  <c r="DH15" i="47"/>
  <c r="DI16" i="47"/>
  <c r="DH16" i="47"/>
  <c r="DH26" i="47"/>
  <c r="DI26" i="47"/>
  <c r="DI28" i="47"/>
  <c r="DH28" i="47"/>
  <c r="DI35" i="47"/>
  <c r="DH35" i="47"/>
  <c r="DI36" i="47"/>
  <c r="DH36" i="47"/>
  <c r="DI37" i="47"/>
  <c r="DH37" i="47"/>
  <c r="DI63" i="47"/>
  <c r="DH63" i="47"/>
  <c r="DI64" i="47"/>
  <c r="DH64" i="47"/>
  <c r="DI92" i="47"/>
  <c r="DH92" i="47"/>
  <c r="DI94" i="47"/>
  <c r="DH94" i="47"/>
  <c r="DF101" i="47"/>
  <c r="DI101" i="47"/>
  <c r="DH101" i="47"/>
  <c r="DI102" i="47"/>
  <c r="DH102" i="47"/>
  <c r="DI103" i="47"/>
  <c r="DH103" i="47"/>
  <c r="DI114" i="47"/>
  <c r="DH114" i="47"/>
  <c r="DI116" i="47"/>
  <c r="DH116" i="47"/>
  <c r="DI123" i="47"/>
  <c r="DH123" i="47"/>
  <c r="DI124" i="47"/>
  <c r="DH124" i="47"/>
  <c r="DI125" i="47"/>
  <c r="DH125" i="47"/>
  <c r="DI126" i="47"/>
  <c r="DH126" i="47"/>
  <c r="DI127" i="47"/>
  <c r="DH127" i="47"/>
  <c r="DI128" i="47"/>
  <c r="DH128" i="47"/>
  <c r="DI129" i="47"/>
  <c r="DH129" i="47"/>
  <c r="DI130" i="47"/>
  <c r="DH130" i="47"/>
  <c r="DI131" i="47"/>
  <c r="DH131" i="47"/>
  <c r="DI133" i="47"/>
  <c r="DH133" i="47"/>
  <c r="DI137" i="47"/>
  <c r="DH137" i="47"/>
  <c r="DF139" i="47"/>
  <c r="DI139" i="47"/>
  <c r="DH139" i="47"/>
  <c r="Q156" i="47"/>
  <c r="DQ173" i="47"/>
  <c r="B172" i="48"/>
  <c r="B160" i="48"/>
  <c r="B154" i="48"/>
  <c r="CA115" i="47"/>
  <c r="DF106" i="47"/>
  <c r="CA106" i="47"/>
  <c r="CA117" i="47"/>
  <c r="AX117" i="47" s="1"/>
  <c r="CA36" i="47"/>
  <c r="AX36" i="47" s="1"/>
  <c r="DF16" i="47"/>
  <c r="B265" i="47"/>
  <c r="Q154" i="47"/>
  <c r="Q155" i="47"/>
  <c r="Q145" i="47"/>
  <c r="Q148" i="47"/>
  <c r="DF133" i="47"/>
  <c r="DF127" i="47"/>
  <c r="CA127" i="47"/>
  <c r="AX127" i="47" s="1"/>
  <c r="CA111" i="47"/>
  <c r="AX111" i="47" s="1"/>
  <c r="CA84" i="47"/>
  <c r="CA124" i="47"/>
  <c r="CA129" i="47"/>
  <c r="AX129" i="47" s="1"/>
  <c r="DP163" i="47"/>
  <c r="DP180" i="47"/>
  <c r="DF114" i="47"/>
  <c r="CA114" i="47"/>
  <c r="AX114" i="47" s="1"/>
  <c r="CA133" i="47"/>
  <c r="AX133" i="47" s="1"/>
  <c r="DQ168" i="47"/>
  <c r="DQ169" i="47"/>
  <c r="DQ180" i="47"/>
  <c r="DQ181" i="47"/>
  <c r="DF134" i="47"/>
  <c r="DQ175" i="47"/>
  <c r="CA22" i="47"/>
  <c r="DF58" i="47"/>
  <c r="CA123" i="47"/>
  <c r="DF124" i="47"/>
  <c r="CA134" i="47"/>
  <c r="CA139" i="47"/>
  <c r="Q147" i="47"/>
  <c r="DF168" i="47"/>
  <c r="DF180" i="47"/>
  <c r="DF128" i="47"/>
  <c r="DQ165" i="47"/>
  <c r="DF174" i="47"/>
  <c r="DF138" i="47"/>
  <c r="CA130" i="47"/>
  <c r="DF130" i="47"/>
  <c r="CA138" i="47"/>
  <c r="AX138" i="47" s="1"/>
  <c r="Q153" i="47"/>
  <c r="DF111" i="47"/>
  <c r="DF104" i="47"/>
  <c r="CA103" i="47"/>
  <c r="DF103" i="47"/>
  <c r="CA105" i="47"/>
  <c r="DF117" i="47"/>
  <c r="DF113" i="47"/>
  <c r="CA113" i="47"/>
  <c r="AX113" i="47" s="1"/>
  <c r="DF109" i="47"/>
  <c r="CA110" i="47"/>
  <c r="CA109" i="47"/>
  <c r="CA91" i="47"/>
  <c r="CA82" i="47"/>
  <c r="DF83" i="47"/>
  <c r="CA79" i="47"/>
  <c r="AX79" i="47" s="1"/>
  <c r="DF79" i="47"/>
  <c r="CA85" i="47"/>
  <c r="AX85" i="47" s="1"/>
  <c r="DF85" i="47"/>
  <c r="DF82" i="47"/>
  <c r="CA68" i="47"/>
  <c r="CA67" i="47"/>
  <c r="DF67" i="47"/>
  <c r="CA74" i="47"/>
  <c r="AX74" i="47" s="1"/>
  <c r="DF68" i="47"/>
  <c r="DF59" i="47"/>
  <c r="DF64" i="47"/>
  <c r="CA60" i="47"/>
  <c r="CA58" i="47"/>
  <c r="CA61" i="47"/>
  <c r="DF61" i="47"/>
  <c r="CA72" i="47"/>
  <c r="AX72" i="47" s="1"/>
  <c r="DF74" i="47"/>
  <c r="DF73" i="47"/>
  <c r="DF72" i="47"/>
  <c r="CA73" i="47"/>
  <c r="DF48" i="47"/>
  <c r="CA49" i="47"/>
  <c r="CA48" i="47"/>
  <c r="CA46" i="47"/>
  <c r="AX46" i="47" s="1"/>
  <c r="CA50" i="47"/>
  <c r="AX50" i="47" s="1"/>
  <c r="DF35" i="47"/>
  <c r="DF41" i="47"/>
  <c r="DF52" i="47"/>
  <c r="DF50" i="47"/>
  <c r="CA52" i="47"/>
  <c r="CA47" i="47"/>
  <c r="DF47" i="47"/>
  <c r="CA44" i="47"/>
  <c r="DF43" i="47"/>
  <c r="CA43" i="47"/>
  <c r="DF26" i="47"/>
  <c r="CA26" i="47"/>
  <c r="CA19" i="47"/>
  <c r="DF19" i="47"/>
  <c r="DF17" i="47"/>
  <c r="B24" i="48"/>
  <c r="B182" i="48"/>
  <c r="B177" i="48"/>
  <c r="B20" i="48"/>
  <c r="B164" i="48"/>
  <c r="B165" i="48"/>
  <c r="B156" i="48"/>
  <c r="B153" i="48"/>
  <c r="B150" i="48"/>
  <c r="B161" i="48"/>
  <c r="B181" i="48"/>
  <c r="B170" i="48"/>
  <c r="B167" i="48"/>
  <c r="B175" i="48"/>
  <c r="B183" i="48"/>
  <c r="B180" i="48"/>
  <c r="B176" i="48"/>
  <c r="B166" i="48"/>
  <c r="B21" i="48"/>
  <c r="B168" i="48"/>
  <c r="B171" i="48"/>
  <c r="B163" i="48"/>
  <c r="B155" i="48"/>
  <c r="B152" i="48"/>
  <c r="B179" i="48"/>
  <c r="B195" i="48"/>
  <c r="B169" i="48"/>
  <c r="B162" i="48"/>
  <c r="D19" i="48"/>
  <c r="B173" i="48"/>
  <c r="D178" i="48"/>
  <c r="B151" i="48"/>
  <c r="C157" i="46"/>
  <c r="C170" i="46"/>
  <c r="C173" i="46"/>
  <c r="C183" i="46"/>
  <c r="C186" i="46"/>
  <c r="CM23" i="46"/>
  <c r="CO33" i="46"/>
  <c r="CO64" i="46"/>
  <c r="CO56" i="46"/>
  <c r="CO28" i="46"/>
  <c r="CO37" i="46"/>
  <c r="CO38" i="46"/>
  <c r="CO62" i="46"/>
  <c r="C154" i="46"/>
  <c r="CM20" i="46"/>
  <c r="CM39" i="46"/>
  <c r="C151" i="46"/>
  <c r="C158" i="46"/>
  <c r="CO50" i="46"/>
  <c r="CO35" i="46"/>
  <c r="CM37" i="46"/>
  <c r="CM45" i="46"/>
  <c r="CO47" i="46"/>
  <c r="CO43" i="46"/>
  <c r="CO15" i="46"/>
  <c r="N126" i="46"/>
  <c r="F126" i="46"/>
  <c r="C156" i="46"/>
  <c r="C159" i="46"/>
  <c r="CO45" i="46"/>
  <c r="CO25" i="46"/>
  <c r="CM26" i="46"/>
  <c r="CM51" i="46"/>
  <c r="CM52" i="46"/>
  <c r="CM58" i="46"/>
  <c r="CM65" i="46"/>
  <c r="CM66" i="46"/>
  <c r="CO29" i="46"/>
  <c r="E162" i="46"/>
  <c r="X67" i="46"/>
  <c r="CO22" i="46"/>
  <c r="CM48" i="46"/>
  <c r="CM55" i="46"/>
  <c r="CM57" i="46"/>
  <c r="CM46" i="46"/>
  <c r="CM49" i="46"/>
  <c r="CM63" i="46"/>
  <c r="J126" i="46"/>
  <c r="C25" i="45"/>
  <c r="E38" i="45"/>
  <c r="B32" i="45"/>
  <c r="C74" i="45"/>
  <c r="B115" i="45"/>
  <c r="E30" i="45"/>
  <c r="B126" i="45"/>
  <c r="C137" i="45"/>
  <c r="C168" i="45"/>
  <c r="C17" i="45"/>
  <c r="C19" i="45"/>
  <c r="B124" i="45"/>
  <c r="D163" i="45"/>
  <c r="C161" i="45"/>
  <c r="G32" i="45"/>
  <c r="C24" i="45"/>
  <c r="C57" i="45"/>
  <c r="C135" i="45"/>
  <c r="D138" i="45"/>
  <c r="C164" i="45"/>
  <c r="C20" i="45"/>
  <c r="E163" i="45"/>
  <c r="C59" i="45"/>
  <c r="B125" i="45"/>
  <c r="C15" i="45"/>
  <c r="C14" i="45"/>
  <c r="C16" i="45"/>
  <c r="C18" i="45"/>
  <c r="E138" i="45"/>
  <c r="F32" i="45"/>
  <c r="C58" i="45"/>
  <c r="E167" i="45"/>
  <c r="C13" i="45"/>
  <c r="C21" i="45"/>
  <c r="B38" i="45"/>
  <c r="C50" i="45"/>
  <c r="C56" i="45"/>
  <c r="C60" i="45"/>
  <c r="C63" i="45"/>
  <c r="C66" i="45"/>
  <c r="C69" i="45"/>
  <c r="C72" i="45"/>
  <c r="C75" i="45"/>
  <c r="C160" i="45"/>
  <c r="B158" i="48"/>
  <c r="B206" i="48"/>
  <c r="B157" i="48"/>
  <c r="C19" i="48"/>
  <c r="B159" i="48"/>
  <c r="B18" i="48"/>
  <c r="B17" i="48"/>
  <c r="B16" i="48"/>
  <c r="B15" i="48"/>
  <c r="B14" i="48"/>
  <c r="B13" i="48"/>
  <c r="DF70" i="47"/>
  <c r="CA70" i="47"/>
  <c r="CA80" i="47"/>
  <c r="AX80" i="47" s="1"/>
  <c r="CA86" i="47"/>
  <c r="AX86" i="47" s="1"/>
  <c r="DF108" i="47"/>
  <c r="CA108" i="47"/>
  <c r="AX108" i="47" s="1"/>
  <c r="CA14" i="47"/>
  <c r="DF14" i="47"/>
  <c r="CA20" i="47"/>
  <c r="DF20" i="47"/>
  <c r="DF25" i="47"/>
  <c r="CA25" i="47"/>
  <c r="DF39" i="47"/>
  <c r="CA39" i="47"/>
  <c r="DF57" i="47"/>
  <c r="CA57" i="47"/>
  <c r="DF63" i="47"/>
  <c r="CA63" i="47"/>
  <c r="CA27" i="47"/>
  <c r="DF92" i="47"/>
  <c r="CA92" i="47"/>
  <c r="AX92" i="47" s="1"/>
  <c r="CA90" i="47"/>
  <c r="AX90" i="47" s="1"/>
  <c r="DF90" i="47"/>
  <c r="CA137" i="47"/>
  <c r="DF137" i="47"/>
  <c r="DP164" i="47"/>
  <c r="DF164" i="47"/>
  <c r="DF28" i="47"/>
  <c r="CA28" i="47"/>
  <c r="DF80" i="47"/>
  <c r="CA24" i="47"/>
  <c r="DF24" i="47"/>
  <c r="CA38" i="47"/>
  <c r="AX38" i="47" s="1"/>
  <c r="DF38" i="47"/>
  <c r="DF45" i="47"/>
  <c r="CA45" i="47"/>
  <c r="AX45" i="47" s="1"/>
  <c r="DF51" i="47"/>
  <c r="CA51" i="47"/>
  <c r="AX51" i="47" s="1"/>
  <c r="CA62" i="47"/>
  <c r="DF62" i="47"/>
  <c r="CA66" i="47"/>
  <c r="CA88" i="47"/>
  <c r="CA89" i="47"/>
  <c r="AX89" i="47" s="1"/>
  <c r="DF89" i="47"/>
  <c r="DF15" i="47"/>
  <c r="CA15" i="47"/>
  <c r="DF21" i="47"/>
  <c r="CA21" i="47"/>
  <c r="DF27" i="47"/>
  <c r="DF86" i="47"/>
  <c r="DF30" i="47"/>
  <c r="DF81" i="47"/>
  <c r="CA81" i="47"/>
  <c r="AX81" i="47" s="1"/>
  <c r="CA87" i="47"/>
  <c r="AX87" i="47" s="1"/>
  <c r="DF87" i="47"/>
  <c r="DF88" i="47"/>
  <c r="CA93" i="47"/>
  <c r="AX93" i="47" s="1"/>
  <c r="DF93" i="47"/>
  <c r="DF116" i="47"/>
  <c r="CA116" i="47"/>
  <c r="AX116" i="47" s="1"/>
  <c r="CA17" i="47"/>
  <c r="CA23" i="47"/>
  <c r="DF23" i="47"/>
  <c r="CA29" i="47"/>
  <c r="DF29" i="47"/>
  <c r="CA35" i="47"/>
  <c r="DF36" i="47"/>
  <c r="CA41" i="47"/>
  <c r="AX41" i="47" s="1"/>
  <c r="DF42" i="47"/>
  <c r="DF46" i="47"/>
  <c r="DF49" i="47"/>
  <c r="CA59" i="47"/>
  <c r="DF60" i="47"/>
  <c r="CA65" i="47"/>
  <c r="DF65" i="47"/>
  <c r="CA69" i="47"/>
  <c r="AX69" i="47" s="1"/>
  <c r="DF69" i="47"/>
  <c r="CA71" i="47"/>
  <c r="AX71" i="47" s="1"/>
  <c r="CA83" i="47"/>
  <c r="DF84" i="47"/>
  <c r="DF112" i="47"/>
  <c r="CA112" i="47"/>
  <c r="DF126" i="47"/>
  <c r="CA126" i="47"/>
  <c r="AX126" i="47" s="1"/>
  <c r="DF135" i="47"/>
  <c r="CA135" i="47"/>
  <c r="AX135" i="47" s="1"/>
  <c r="DP165" i="47"/>
  <c r="DF165" i="47"/>
  <c r="DF22" i="47"/>
  <c r="CA107" i="47"/>
  <c r="DF107" i="47"/>
  <c r="DQ162" i="47"/>
  <c r="DP170" i="47"/>
  <c r="DF170" i="47"/>
  <c r="DF71" i="47"/>
  <c r="DF118" i="47"/>
  <c r="CA118" i="47"/>
  <c r="AX118" i="47" s="1"/>
  <c r="CA125" i="47"/>
  <c r="DF125" i="47"/>
  <c r="DF131" i="47"/>
  <c r="CA131" i="47"/>
  <c r="AX131" i="47" s="1"/>
  <c r="DF95" i="47"/>
  <c r="CA95" i="47"/>
  <c r="CA101" i="47"/>
  <c r="DF102" i="47"/>
  <c r="CA102" i="47"/>
  <c r="CA140" i="47"/>
  <c r="AX140" i="47" s="1"/>
  <c r="DF140" i="47"/>
  <c r="DF162" i="47"/>
  <c r="DP171" i="47"/>
  <c r="DF171" i="47"/>
  <c r="CA94" i="47"/>
  <c r="DF94" i="47"/>
  <c r="CA96" i="47"/>
  <c r="DF96" i="47"/>
  <c r="CA104" i="47"/>
  <c r="AX104" i="47" s="1"/>
  <c r="DF105" i="47"/>
  <c r="DF110" i="47"/>
  <c r="DF123" i="47"/>
  <c r="CA128" i="47"/>
  <c r="DF129" i="47"/>
  <c r="CA132" i="47"/>
  <c r="CA136" i="47"/>
  <c r="AX136" i="47" s="1"/>
  <c r="DF136" i="47"/>
  <c r="DP166" i="47"/>
  <c r="DP172" i="47"/>
  <c r="Q146" i="47"/>
  <c r="DP167" i="47"/>
  <c r="DP173" i="47"/>
  <c r="DF132" i="47"/>
  <c r="DF163" i="47"/>
  <c r="DP168" i="47"/>
  <c r="DP174" i="47"/>
  <c r="Q152" i="47"/>
  <c r="DQ163" i="47"/>
  <c r="DF167" i="47"/>
  <c r="DP169" i="47"/>
  <c r="DF173" i="47"/>
  <c r="DF175" i="47"/>
  <c r="DP175" i="47"/>
  <c r="DF177" i="47"/>
  <c r="DP177" i="47"/>
  <c r="DF179" i="47"/>
  <c r="DP179" i="47"/>
  <c r="DF181" i="47"/>
  <c r="DP181" i="47"/>
  <c r="DF183" i="47"/>
  <c r="DP183" i="47"/>
  <c r="B270" i="47"/>
  <c r="CM13" i="46"/>
  <c r="CO32" i="46"/>
  <c r="CO13" i="46"/>
  <c r="CO17" i="46"/>
  <c r="CM19" i="46"/>
  <c r="CO31" i="46"/>
  <c r="CO34" i="46"/>
  <c r="CM36" i="46"/>
  <c r="CO54" i="46"/>
  <c r="B146" i="46"/>
  <c r="CO16" i="46"/>
  <c r="CO20" i="46"/>
  <c r="CM22" i="46"/>
  <c r="CO24" i="46"/>
  <c r="CM29" i="46"/>
  <c r="CM44" i="46"/>
  <c r="D162" i="46"/>
  <c r="CM31" i="46"/>
  <c r="AB67" i="46"/>
  <c r="CM16" i="46"/>
  <c r="CM54" i="46"/>
  <c r="CO57" i="46"/>
  <c r="CO19" i="46"/>
  <c r="CO23" i="46"/>
  <c r="CM25" i="46"/>
  <c r="CO27" i="46"/>
  <c r="CM32" i="46"/>
  <c r="CO36" i="46"/>
  <c r="CO39" i="46"/>
  <c r="CO40" i="46"/>
  <c r="CM47" i="46"/>
  <c r="CM61" i="46"/>
  <c r="CO61" i="46"/>
  <c r="CM62" i="46"/>
  <c r="C167" i="46"/>
  <c r="C176" i="46"/>
  <c r="C189" i="46"/>
  <c r="CO14" i="46"/>
  <c r="CO12" i="46"/>
  <c r="CM17" i="46"/>
  <c r="CO26" i="46"/>
  <c r="CM28" i="46"/>
  <c r="CO30" i="46"/>
  <c r="CM34" i="46"/>
  <c r="CO58" i="46"/>
  <c r="C152" i="46"/>
  <c r="C155" i="46"/>
  <c r="C161" i="46"/>
  <c r="CO51" i="46"/>
  <c r="CM59" i="46"/>
  <c r="CO42" i="46"/>
  <c r="CO48" i="46"/>
  <c r="CO52" i="46"/>
  <c r="CM56" i="46"/>
  <c r="CO59" i="46"/>
  <c r="CM60" i="46"/>
  <c r="CO66" i="46"/>
  <c r="CO55" i="46"/>
  <c r="CM43" i="46"/>
  <c r="CO49" i="46"/>
  <c r="CM53" i="46"/>
  <c r="CO63" i="46"/>
  <c r="C168" i="46"/>
  <c r="C171" i="46"/>
  <c r="C174" i="46"/>
  <c r="C184" i="46"/>
  <c r="C187" i="46"/>
  <c r="C190" i="46"/>
  <c r="CO65" i="46"/>
  <c r="CM12" i="46"/>
  <c r="CO46" i="46"/>
  <c r="CM50" i="46"/>
  <c r="CO53" i="46"/>
  <c r="CO60" i="46"/>
  <c r="CM64" i="46"/>
  <c r="D22" i="45"/>
  <c r="C23" i="45"/>
  <c r="C26" i="45"/>
  <c r="AH28" i="46" l="1"/>
  <c r="AH24" i="46"/>
  <c r="CR151" i="46"/>
  <c r="CB151" i="46"/>
  <c r="A239" i="46"/>
  <c r="CF157" i="46"/>
  <c r="AX27" i="47"/>
  <c r="AX47" i="47"/>
  <c r="AX132" i="47"/>
  <c r="AX96" i="47"/>
  <c r="AX102" i="47"/>
  <c r="AX125" i="47"/>
  <c r="AX107" i="47"/>
  <c r="AX112" i="47"/>
  <c r="AX65" i="47"/>
  <c r="AX35" i="47"/>
  <c r="AX88" i="47"/>
  <c r="AX63" i="47"/>
  <c r="AX70" i="47"/>
  <c r="AX49" i="47"/>
  <c r="AX61" i="47"/>
  <c r="AX67" i="47"/>
  <c r="AX82" i="47"/>
  <c r="AX105" i="47"/>
  <c r="AX130" i="47"/>
  <c r="AX139" i="47"/>
  <c r="AX106" i="47"/>
  <c r="AX134" i="47"/>
  <c r="AX68" i="47"/>
  <c r="AX128" i="47"/>
  <c r="AX94" i="47"/>
  <c r="AX101" i="47"/>
  <c r="AX59" i="47"/>
  <c r="AX137" i="47"/>
  <c r="AX57" i="47"/>
  <c r="AX73" i="47"/>
  <c r="AX60" i="47"/>
  <c r="AX109" i="47"/>
  <c r="AX103" i="47"/>
  <c r="AX124" i="47"/>
  <c r="AX115" i="47"/>
  <c r="CB264" i="47"/>
  <c r="CA264" i="47"/>
  <c r="DF264" i="47"/>
  <c r="AX66" i="47"/>
  <c r="AX58" i="47"/>
  <c r="AX91" i="47"/>
  <c r="CA271" i="47"/>
  <c r="CB271" i="47"/>
  <c r="AX95" i="47"/>
  <c r="AX83" i="47"/>
  <c r="AX62" i="47"/>
  <c r="AX43" i="47"/>
  <c r="AX110" i="47"/>
  <c r="AX123" i="47"/>
  <c r="AX84" i="47"/>
  <c r="AX13" i="47"/>
  <c r="CA265" i="47"/>
  <c r="CB265" i="47"/>
  <c r="AX37" i="47"/>
  <c r="DF272" i="47"/>
  <c r="CA272" i="47"/>
  <c r="CB272" i="47"/>
  <c r="AX39" i="47"/>
  <c r="AX44" i="47"/>
  <c r="AX42" i="47"/>
  <c r="AX48" i="47"/>
  <c r="AX40" i="47"/>
  <c r="AX52" i="47"/>
  <c r="CL67" i="45"/>
  <c r="CK114" i="45"/>
  <c r="CL114" i="45"/>
  <c r="CB114" i="45"/>
  <c r="CA114" i="45"/>
  <c r="CC162" i="45"/>
  <c r="CB162" i="45"/>
  <c r="CA162" i="45"/>
  <c r="CE162" i="45"/>
  <c r="CD162" i="45"/>
  <c r="CB161" i="45"/>
  <c r="CA161" i="45"/>
  <c r="CE161" i="45"/>
  <c r="CD161" i="45"/>
  <c r="CC161" i="45"/>
  <c r="CA116" i="45"/>
  <c r="CB116" i="45"/>
  <c r="CE166" i="45"/>
  <c r="CD166" i="45"/>
  <c r="CA166" i="45"/>
  <c r="CC166" i="45"/>
  <c r="CB166" i="45"/>
  <c r="CA137" i="45"/>
  <c r="CB137" i="45"/>
  <c r="CE137" i="45"/>
  <c r="CC137" i="45"/>
  <c r="CD137" i="45"/>
  <c r="CB115" i="45"/>
  <c r="CA115" i="45"/>
  <c r="CE136" i="45"/>
  <c r="CA136" i="45"/>
  <c r="CB136" i="45"/>
  <c r="CC136" i="45"/>
  <c r="CD136" i="45"/>
  <c r="CO160" i="45"/>
  <c r="CA160" i="45"/>
  <c r="CD160" i="45"/>
  <c r="CE160" i="45"/>
  <c r="CL160" i="45"/>
  <c r="CC160" i="45"/>
  <c r="CK160" i="45"/>
  <c r="CB160" i="45"/>
  <c r="CD164" i="45"/>
  <c r="CC164" i="45"/>
  <c r="CB164" i="45"/>
  <c r="CA164" i="45"/>
  <c r="CE164" i="45"/>
  <c r="CC135" i="45"/>
  <c r="CB135" i="45"/>
  <c r="CA135" i="45"/>
  <c r="CK135" i="45"/>
  <c r="CE135" i="45"/>
  <c r="CD135" i="45"/>
  <c r="CE168" i="45"/>
  <c r="CB168" i="45"/>
  <c r="CD168" i="45"/>
  <c r="CC168" i="45"/>
  <c r="CA168" i="45"/>
  <c r="CE165" i="45"/>
  <c r="CD165" i="45"/>
  <c r="CC165" i="45"/>
  <c r="CB165" i="45"/>
  <c r="CA165" i="45"/>
  <c r="CF23" i="45"/>
  <c r="CE23" i="45"/>
  <c r="CD23" i="45"/>
  <c r="CC23" i="45"/>
  <c r="CB23" i="45"/>
  <c r="CI23" i="45"/>
  <c r="CA23" i="45"/>
  <c r="CS23" i="45"/>
  <c r="CE31" i="45"/>
  <c r="CC31" i="45"/>
  <c r="CF31" i="45"/>
  <c r="CA31" i="45"/>
  <c r="CD31" i="45"/>
  <c r="CB31" i="45"/>
  <c r="CK55" i="45"/>
  <c r="CB55" i="45"/>
  <c r="CA55" i="45"/>
  <c r="CB63" i="45"/>
  <c r="CA63" i="45"/>
  <c r="CA58" i="45"/>
  <c r="CB58" i="45"/>
  <c r="CB59" i="45"/>
  <c r="CA59" i="45"/>
  <c r="CC49" i="45"/>
  <c r="CB49" i="45"/>
  <c r="CA49" i="45"/>
  <c r="CB67" i="45"/>
  <c r="CA67" i="45"/>
  <c r="CA70" i="45"/>
  <c r="CB70" i="45"/>
  <c r="CA76" i="45"/>
  <c r="CB76" i="45"/>
  <c r="CA56" i="45"/>
  <c r="CB56" i="45"/>
  <c r="CB66" i="45"/>
  <c r="CA66" i="45"/>
  <c r="CD20" i="45"/>
  <c r="CB20" i="45"/>
  <c r="CE20" i="45"/>
  <c r="CS20" i="45"/>
  <c r="CC20" i="45"/>
  <c r="CF20" i="45"/>
  <c r="CA20" i="45"/>
  <c r="CI20" i="45"/>
  <c r="CF18" i="45"/>
  <c r="CD18" i="45"/>
  <c r="CA18" i="45"/>
  <c r="CI18" i="45"/>
  <c r="CE18" i="45"/>
  <c r="CB18" i="45"/>
  <c r="CS18" i="45"/>
  <c r="CC18" i="45"/>
  <c r="CB74" i="45"/>
  <c r="CA74" i="45"/>
  <c r="CA68" i="45"/>
  <c r="CB68" i="45"/>
  <c r="CA60" i="45"/>
  <c r="CB60" i="45"/>
  <c r="CA30" i="45"/>
  <c r="CF30" i="45"/>
  <c r="CE30" i="45"/>
  <c r="CD30" i="45"/>
  <c r="CC30" i="45"/>
  <c r="CB30" i="45"/>
  <c r="CB71" i="45"/>
  <c r="CA71" i="45"/>
  <c r="CC50" i="45"/>
  <c r="CB50" i="45"/>
  <c r="CA50" i="45"/>
  <c r="CB75" i="45"/>
  <c r="CA75" i="45"/>
  <c r="CA16" i="45"/>
  <c r="CI16" i="45"/>
  <c r="CB16" i="45"/>
  <c r="CS16" i="45"/>
  <c r="CC16" i="45"/>
  <c r="CD16" i="45"/>
  <c r="CE16" i="45"/>
  <c r="CF16" i="45"/>
  <c r="CE19" i="45"/>
  <c r="CF19" i="45"/>
  <c r="CC19" i="45"/>
  <c r="CA19" i="45"/>
  <c r="CI19" i="45"/>
  <c r="CB19" i="45"/>
  <c r="CS19" i="45"/>
  <c r="CD19" i="45"/>
  <c r="CA65" i="45"/>
  <c r="CB65" i="45"/>
  <c r="CL55" i="45"/>
  <c r="CA73" i="45"/>
  <c r="CB73" i="45"/>
  <c r="CE24" i="45"/>
  <c r="CS24" i="45"/>
  <c r="CF24" i="45"/>
  <c r="CD24" i="45"/>
  <c r="CC24" i="45"/>
  <c r="CB24" i="45"/>
  <c r="CI24" i="45"/>
  <c r="CA24" i="45"/>
  <c r="CS21" i="45"/>
  <c r="CC21" i="45"/>
  <c r="CD21" i="45"/>
  <c r="CI21" i="45"/>
  <c r="CE21" i="45"/>
  <c r="CB21" i="45"/>
  <c r="CF21" i="45"/>
  <c r="CA21" i="45"/>
  <c r="CF17" i="45"/>
  <c r="CE17" i="45"/>
  <c r="CA17" i="45"/>
  <c r="CI17" i="45"/>
  <c r="CB17" i="45"/>
  <c r="CS17" i="45"/>
  <c r="CC17" i="45"/>
  <c r="CD17" i="45"/>
  <c r="CB62" i="45"/>
  <c r="CA62" i="45"/>
  <c r="CA61" i="45"/>
  <c r="CB61" i="45"/>
  <c r="CA72" i="45"/>
  <c r="CB72" i="45"/>
  <c r="CB14" i="45"/>
  <c r="CS14" i="45"/>
  <c r="CC14" i="45"/>
  <c r="CD14" i="45"/>
  <c r="CE14" i="45"/>
  <c r="CA14" i="45"/>
  <c r="CF14" i="45"/>
  <c r="CI14" i="45"/>
  <c r="CC26" i="45"/>
  <c r="CB26" i="45"/>
  <c r="CI26" i="45"/>
  <c r="CA26" i="45"/>
  <c r="CD26" i="45"/>
  <c r="CS26" i="45"/>
  <c r="CF26" i="45"/>
  <c r="CE26" i="45"/>
  <c r="CA69" i="45"/>
  <c r="CB69" i="45"/>
  <c r="CS13" i="45"/>
  <c r="CC13" i="45"/>
  <c r="CD13" i="45"/>
  <c r="CA13" i="45"/>
  <c r="CB13" i="45"/>
  <c r="CE13" i="45"/>
  <c r="CF13" i="45"/>
  <c r="CI13" i="45"/>
  <c r="CA15" i="45"/>
  <c r="CI15" i="45"/>
  <c r="CB15" i="45"/>
  <c r="CS15" i="45"/>
  <c r="CC15" i="45"/>
  <c r="CD15" i="45"/>
  <c r="CE15" i="45"/>
  <c r="CF15" i="45"/>
  <c r="CA57" i="45"/>
  <c r="CB57" i="45"/>
  <c r="CD25" i="45"/>
  <c r="CC25" i="45"/>
  <c r="CB25" i="45"/>
  <c r="CI25" i="45"/>
  <c r="CA25" i="45"/>
  <c r="CS25" i="45"/>
  <c r="CF25" i="45"/>
  <c r="CE25" i="45"/>
  <c r="CA64" i="45"/>
  <c r="CB64" i="45"/>
  <c r="CB24" i="48"/>
  <c r="CC24" i="48"/>
  <c r="CD24" i="48"/>
  <c r="CA24" i="48"/>
  <c r="CC18" i="48"/>
  <c r="CD18" i="48"/>
  <c r="CA18" i="48"/>
  <c r="CB18" i="48"/>
  <c r="CA16" i="48"/>
  <c r="CC16" i="48"/>
  <c r="CB16" i="48"/>
  <c r="CD16" i="48"/>
  <c r="CB22" i="48"/>
  <c r="CC22" i="48"/>
  <c r="CD22" i="48"/>
  <c r="CA22" i="48"/>
  <c r="CA17" i="48"/>
  <c r="CB17" i="48"/>
  <c r="CC17" i="48"/>
  <c r="CD17" i="48"/>
  <c r="CD23" i="48"/>
  <c r="CA23" i="48"/>
  <c r="CB23" i="48"/>
  <c r="CC23" i="48"/>
  <c r="CB20" i="48"/>
  <c r="CC20" i="48"/>
  <c r="CD20" i="48"/>
  <c r="CA20" i="48"/>
  <c r="CD14" i="48"/>
  <c r="CA14" i="48"/>
  <c r="CB14" i="48"/>
  <c r="CC14" i="48"/>
  <c r="CA15" i="48"/>
  <c r="CB15" i="48"/>
  <c r="CC15" i="48"/>
  <c r="CD15" i="48"/>
  <c r="CA21" i="48"/>
  <c r="CD21" i="48"/>
  <c r="CB21" i="48"/>
  <c r="CC21" i="48"/>
  <c r="B178" i="48"/>
  <c r="CE171" i="46"/>
  <c r="CF171" i="46"/>
  <c r="CG171" i="46"/>
  <c r="CH171" i="46"/>
  <c r="CB171" i="46"/>
  <c r="CR159" i="46"/>
  <c r="CD159" i="46"/>
  <c r="CB159" i="46"/>
  <c r="CC159" i="46"/>
  <c r="CE159" i="46"/>
  <c r="CF159" i="46"/>
  <c r="CB168" i="46"/>
  <c r="CE168" i="46"/>
  <c r="CF168" i="46"/>
  <c r="CG168" i="46"/>
  <c r="CH168" i="46"/>
  <c r="CC161" i="46"/>
  <c r="CD161" i="46"/>
  <c r="CE161" i="46"/>
  <c r="CB161" i="46"/>
  <c r="CF161" i="46"/>
  <c r="CR161" i="46"/>
  <c r="CD158" i="46"/>
  <c r="CR158" i="46"/>
  <c r="CE158" i="46"/>
  <c r="CF158" i="46"/>
  <c r="CB158" i="46"/>
  <c r="CC158" i="46"/>
  <c r="CF173" i="46"/>
  <c r="CG173" i="46"/>
  <c r="CH173" i="46"/>
  <c r="CB173" i="46"/>
  <c r="CE173" i="46"/>
  <c r="CC182" i="46"/>
  <c r="CB160" i="46"/>
  <c r="CF160" i="46"/>
  <c r="CC160" i="46"/>
  <c r="CR160" i="46"/>
  <c r="CD160" i="46"/>
  <c r="CE160" i="46"/>
  <c r="CH170" i="46"/>
  <c r="CE170" i="46"/>
  <c r="CF170" i="46"/>
  <c r="CG170" i="46"/>
  <c r="CB170" i="46"/>
  <c r="CH175" i="46"/>
  <c r="CB175" i="46"/>
  <c r="CE175" i="46"/>
  <c r="CF175" i="46"/>
  <c r="CG175" i="46"/>
  <c r="AX153" i="46"/>
  <c r="CR156" i="46"/>
  <c r="CB156" i="46"/>
  <c r="CC156" i="46"/>
  <c r="CD156" i="46"/>
  <c r="CF156" i="46"/>
  <c r="CE156" i="46"/>
  <c r="CF155" i="46"/>
  <c r="CB155" i="46"/>
  <c r="CC155" i="46"/>
  <c r="CD155" i="46"/>
  <c r="CR155" i="46"/>
  <c r="CE155" i="46"/>
  <c r="CE172" i="46"/>
  <c r="CF172" i="46"/>
  <c r="CG172" i="46"/>
  <c r="CH172" i="46"/>
  <c r="CB172" i="46"/>
  <c r="CE152" i="46"/>
  <c r="CF152" i="46"/>
  <c r="CB152" i="46"/>
  <c r="CR152" i="46"/>
  <c r="CC152" i="46"/>
  <c r="CD152" i="46"/>
  <c r="CB177" i="46"/>
  <c r="CE177" i="46"/>
  <c r="CG177" i="46"/>
  <c r="CF177" i="46"/>
  <c r="CH177" i="46"/>
  <c r="CB169" i="46"/>
  <c r="CG169" i="46"/>
  <c r="CE169" i="46"/>
  <c r="CF169" i="46"/>
  <c r="CH169" i="46"/>
  <c r="CN167" i="46"/>
  <c r="CG167" i="46"/>
  <c r="CF167" i="46"/>
  <c r="CB167" i="46"/>
  <c r="CT167" i="46"/>
  <c r="CE167" i="46"/>
  <c r="CQ167" i="46"/>
  <c r="CS167" i="46"/>
  <c r="CR167" i="46"/>
  <c r="CH167" i="46"/>
  <c r="CG174" i="46"/>
  <c r="CH174" i="46"/>
  <c r="CB174" i="46"/>
  <c r="CE174" i="46"/>
  <c r="CF174" i="46"/>
  <c r="CB176" i="46"/>
  <c r="CE176" i="46"/>
  <c r="CF176" i="46"/>
  <c r="CG176" i="46"/>
  <c r="CH176" i="46"/>
  <c r="CC154" i="46"/>
  <c r="CD154" i="46"/>
  <c r="CE154" i="46"/>
  <c r="CF154" i="46"/>
  <c r="CR154" i="46"/>
  <c r="CB154" i="46"/>
  <c r="CE157" i="46"/>
  <c r="CC157" i="46"/>
  <c r="CB157" i="46"/>
  <c r="CD157" i="46"/>
  <c r="CR157" i="46"/>
  <c r="CF151" i="46"/>
  <c r="CQ151" i="46"/>
  <c r="CE151" i="46"/>
  <c r="CD151" i="46"/>
  <c r="CC151" i="46"/>
  <c r="W133" i="46"/>
  <c r="W131" i="46"/>
  <c r="W129" i="46"/>
  <c r="W130" i="46"/>
  <c r="W143" i="46"/>
  <c r="W136" i="46"/>
  <c r="W142" i="46"/>
  <c r="W140" i="46"/>
  <c r="W141" i="46"/>
  <c r="W132" i="46"/>
  <c r="W139" i="46"/>
  <c r="W138" i="46"/>
  <c r="W137" i="46"/>
  <c r="W134" i="46"/>
  <c r="W135" i="46"/>
  <c r="AX18" i="47"/>
  <c r="AX20" i="47"/>
  <c r="AX15" i="47"/>
  <c r="AX21" i="47"/>
  <c r="AX28" i="47"/>
  <c r="AX26" i="47"/>
  <c r="AX30" i="47"/>
  <c r="AX23" i="47"/>
  <c r="AX25" i="47"/>
  <c r="AX29" i="47"/>
  <c r="AX24" i="47"/>
  <c r="AX16" i="47"/>
  <c r="AX14" i="47"/>
  <c r="AX22" i="47"/>
  <c r="AX17" i="47"/>
  <c r="AX19" i="47"/>
  <c r="AY183" i="47"/>
  <c r="AY256" i="47"/>
  <c r="AY244" i="47"/>
  <c r="AY259" i="47"/>
  <c r="AY171" i="47"/>
  <c r="AY163" i="47"/>
  <c r="AY178" i="47"/>
  <c r="AY175" i="47"/>
  <c r="AY179" i="47"/>
  <c r="AY180" i="47"/>
  <c r="AY174" i="47"/>
  <c r="AY240" i="47"/>
  <c r="AY239" i="47"/>
  <c r="AY166" i="47"/>
  <c r="AY169" i="47"/>
  <c r="AY252" i="47"/>
  <c r="AY255" i="47"/>
  <c r="AY242" i="47"/>
  <c r="AY241" i="47"/>
  <c r="AY165" i="47"/>
  <c r="AY173" i="47"/>
  <c r="AY167" i="47"/>
  <c r="AY176" i="47"/>
  <c r="CL73" i="45"/>
  <c r="AY254" i="47"/>
  <c r="AY257" i="47"/>
  <c r="AY161" i="47"/>
  <c r="AY162" i="47"/>
  <c r="CK70" i="45"/>
  <c r="AY248" i="47"/>
  <c r="AY258" i="47"/>
  <c r="AY238" i="47"/>
  <c r="AY172" i="47"/>
  <c r="AY164" i="47"/>
  <c r="AY182" i="47"/>
  <c r="AY251" i="47"/>
  <c r="AY247" i="47"/>
  <c r="AY249" i="47"/>
  <c r="AY181" i="47"/>
  <c r="AY177" i="47"/>
  <c r="AY168" i="47"/>
  <c r="AY250" i="47"/>
  <c r="AY253" i="47"/>
  <c r="AY245" i="47"/>
  <c r="AY170" i="47"/>
  <c r="AY243" i="47"/>
  <c r="CB187" i="46"/>
  <c r="CC187" i="46"/>
  <c r="CB191" i="46"/>
  <c r="CC191" i="46"/>
  <c r="CB184" i="46"/>
  <c r="CC184" i="46"/>
  <c r="CB186" i="46"/>
  <c r="CC186" i="46"/>
  <c r="CB189" i="46"/>
  <c r="CC189" i="46"/>
  <c r="CB183" i="46"/>
  <c r="CC183" i="46"/>
  <c r="CC188" i="46"/>
  <c r="CB188" i="46"/>
  <c r="CB190" i="46"/>
  <c r="CC190" i="46"/>
  <c r="CB185" i="46"/>
  <c r="CC185" i="46"/>
  <c r="AH66" i="46"/>
  <c r="CK61" i="45"/>
  <c r="AY246" i="47"/>
  <c r="AY237" i="47"/>
  <c r="AY206" i="47"/>
  <c r="AY198" i="47"/>
  <c r="CM159" i="48"/>
  <c r="CN172" i="46"/>
  <c r="CT172" i="46"/>
  <c r="CS172" i="46"/>
  <c r="CR172" i="46"/>
  <c r="CQ172" i="46"/>
  <c r="AY203" i="47"/>
  <c r="AY199" i="47"/>
  <c r="AY204" i="47"/>
  <c r="CM155" i="48"/>
  <c r="CM158" i="48"/>
  <c r="CN20" i="45"/>
  <c r="CO20" i="45"/>
  <c r="CP20" i="45"/>
  <c r="CM20" i="45"/>
  <c r="CK20" i="45"/>
  <c r="CL20" i="45"/>
  <c r="CM169" i="48"/>
  <c r="CM179" i="48"/>
  <c r="CM171" i="48"/>
  <c r="CM183" i="48"/>
  <c r="CM153" i="48"/>
  <c r="CM177" i="48"/>
  <c r="CN169" i="46"/>
  <c r="CT169" i="46"/>
  <c r="CR169" i="46"/>
  <c r="CQ169" i="46"/>
  <c r="CS169" i="46"/>
  <c r="AY193" i="47"/>
  <c r="AY188" i="47"/>
  <c r="CM176" i="48"/>
  <c r="CN18" i="45"/>
  <c r="CO18" i="45"/>
  <c r="CP18" i="45"/>
  <c r="CL18" i="45"/>
  <c r="CK18" i="45"/>
  <c r="CM18" i="45"/>
  <c r="CL164" i="45"/>
  <c r="CK164" i="45"/>
  <c r="CO164" i="45"/>
  <c r="CN164" i="45"/>
  <c r="CM164" i="45"/>
  <c r="AQ52" i="48"/>
  <c r="CM156" i="48"/>
  <c r="CM182" i="48"/>
  <c r="CO166" i="45"/>
  <c r="CN166" i="45"/>
  <c r="CM166" i="45"/>
  <c r="CL166" i="45"/>
  <c r="CK166" i="45"/>
  <c r="AY207" i="47"/>
  <c r="AY201" i="47"/>
  <c r="AY202" i="47"/>
  <c r="AY194" i="47"/>
  <c r="AY197" i="47"/>
  <c r="CT175" i="46"/>
  <c r="CS175" i="46"/>
  <c r="CR175" i="46"/>
  <c r="CQ175" i="46"/>
  <c r="CN175" i="46"/>
  <c r="CK161" i="45"/>
  <c r="CL161" i="45"/>
  <c r="CM161" i="45"/>
  <c r="CN161" i="45"/>
  <c r="CO161" i="45"/>
  <c r="CM181" i="48"/>
  <c r="CT171" i="46"/>
  <c r="CS171" i="46"/>
  <c r="CR171" i="46"/>
  <c r="CQ171" i="46"/>
  <c r="CN171" i="46"/>
  <c r="CN168" i="46"/>
  <c r="CT168" i="46"/>
  <c r="CS168" i="46"/>
  <c r="CR168" i="46"/>
  <c r="CQ168" i="46"/>
  <c r="CM157" i="48"/>
  <c r="CN16" i="45"/>
  <c r="CO16" i="45"/>
  <c r="CP16" i="45"/>
  <c r="CM16" i="45"/>
  <c r="CK16" i="45"/>
  <c r="CL16" i="45"/>
  <c r="CM151" i="48"/>
  <c r="CM161" i="48"/>
  <c r="CM165" i="48"/>
  <c r="CM154" i="48"/>
  <c r="AY191" i="47"/>
  <c r="AY190" i="47"/>
  <c r="AY209" i="47"/>
  <c r="AY208" i="47"/>
  <c r="CM150" i="48"/>
  <c r="CR174" i="46"/>
  <c r="CQ174" i="46"/>
  <c r="CN174" i="46"/>
  <c r="CS174" i="46"/>
  <c r="CT174" i="46"/>
  <c r="CN21" i="45"/>
  <c r="CO21" i="45"/>
  <c r="CP21" i="45"/>
  <c r="CK21" i="45"/>
  <c r="CL21" i="45"/>
  <c r="CM21" i="45"/>
  <c r="CN14" i="45"/>
  <c r="CO14" i="45"/>
  <c r="CP14" i="45"/>
  <c r="CK14" i="45"/>
  <c r="CL14" i="45"/>
  <c r="CM14" i="45"/>
  <c r="CN19" i="45"/>
  <c r="CO19" i="45"/>
  <c r="CP19" i="45"/>
  <c r="CK19" i="45"/>
  <c r="CL19" i="45"/>
  <c r="CM19" i="45"/>
  <c r="CM168" i="48"/>
  <c r="CM175" i="48"/>
  <c r="CM164" i="48"/>
  <c r="CM160" i="48"/>
  <c r="CN165" i="45"/>
  <c r="CM165" i="45"/>
  <c r="CL165" i="45"/>
  <c r="CK165" i="45"/>
  <c r="CO165" i="45"/>
  <c r="CM162" i="45"/>
  <c r="CN162" i="45"/>
  <c r="CO162" i="45"/>
  <c r="CL162" i="45"/>
  <c r="CK162" i="45"/>
  <c r="AY195" i="47"/>
  <c r="AY205" i="47"/>
  <c r="AY189" i="47"/>
  <c r="CM170" i="48"/>
  <c r="CM162" i="48"/>
  <c r="CM163" i="48"/>
  <c r="CO23" i="45"/>
  <c r="CN23" i="45"/>
  <c r="CM23" i="45"/>
  <c r="CL23" i="45"/>
  <c r="CK23" i="45"/>
  <c r="CP23" i="45"/>
  <c r="CN17" i="45"/>
  <c r="CO17" i="45"/>
  <c r="CP17" i="45"/>
  <c r="CK17" i="45"/>
  <c r="CM17" i="45"/>
  <c r="CL17" i="45"/>
  <c r="CN173" i="46"/>
  <c r="CT173" i="46"/>
  <c r="CR173" i="46"/>
  <c r="CS173" i="46"/>
  <c r="CQ173" i="46"/>
  <c r="CM173" i="48"/>
  <c r="CM172" i="48"/>
  <c r="CM174" i="48"/>
  <c r="AY196" i="47"/>
  <c r="AY192" i="47"/>
  <c r="CN177" i="46"/>
  <c r="CT177" i="46"/>
  <c r="CR177" i="46"/>
  <c r="CQ177" i="46"/>
  <c r="CS177" i="46"/>
  <c r="CM180" i="48"/>
  <c r="CO26" i="45"/>
  <c r="CN26" i="45"/>
  <c r="CM26" i="45"/>
  <c r="CL26" i="45"/>
  <c r="CK26" i="45"/>
  <c r="CP26" i="45"/>
  <c r="CN176" i="46"/>
  <c r="CT176" i="46"/>
  <c r="CS176" i="46"/>
  <c r="CR176" i="46"/>
  <c r="CQ176" i="46"/>
  <c r="CN13" i="45"/>
  <c r="CO13" i="45"/>
  <c r="CP13" i="45"/>
  <c r="CM13" i="45"/>
  <c r="CK13" i="45"/>
  <c r="CL13" i="45"/>
  <c r="CN15" i="45"/>
  <c r="CO15" i="45"/>
  <c r="CP15" i="45"/>
  <c r="CK15" i="45"/>
  <c r="CL15" i="45"/>
  <c r="CM15" i="45"/>
  <c r="CO24" i="45"/>
  <c r="CN24" i="45"/>
  <c r="CM24" i="45"/>
  <c r="CL24" i="45"/>
  <c r="CK24" i="45"/>
  <c r="CP24" i="45"/>
  <c r="CO168" i="45"/>
  <c r="CN168" i="45"/>
  <c r="CM168" i="45"/>
  <c r="CL168" i="45"/>
  <c r="CK168" i="45"/>
  <c r="CO25" i="45"/>
  <c r="CN25" i="45"/>
  <c r="CM25" i="45"/>
  <c r="CL25" i="45"/>
  <c r="CK25" i="45"/>
  <c r="CP25" i="45"/>
  <c r="CR170" i="46"/>
  <c r="CQ170" i="46"/>
  <c r="CN170" i="46"/>
  <c r="CS170" i="46"/>
  <c r="CT170" i="46"/>
  <c r="CM152" i="48"/>
  <c r="CM166" i="48"/>
  <c r="CM167" i="48"/>
  <c r="AY200" i="47"/>
  <c r="AY210" i="47"/>
  <c r="CO31" i="45"/>
  <c r="CP31" i="45"/>
  <c r="CP30" i="45"/>
  <c r="CO30" i="45"/>
  <c r="CL70" i="45"/>
  <c r="AN55" i="45"/>
  <c r="CL61" i="45"/>
  <c r="AN67" i="45"/>
  <c r="CK73" i="45"/>
  <c r="AQ43" i="48"/>
  <c r="DG272" i="47"/>
  <c r="AH55" i="46"/>
  <c r="CN187" i="46"/>
  <c r="CO187" i="46"/>
  <c r="CK75" i="45"/>
  <c r="CL75" i="45"/>
  <c r="CK58" i="45"/>
  <c r="CL58" i="45"/>
  <c r="CL72" i="45"/>
  <c r="CK72" i="45"/>
  <c r="CM135" i="45"/>
  <c r="CO135" i="45"/>
  <c r="CL135" i="45"/>
  <c r="CN135" i="45"/>
  <c r="CN186" i="46"/>
  <c r="CO186" i="46"/>
  <c r="CO136" i="45"/>
  <c r="CM136" i="45"/>
  <c r="CK136" i="45"/>
  <c r="CN136" i="45"/>
  <c r="CL136" i="45"/>
  <c r="CO185" i="46"/>
  <c r="CN185" i="46"/>
  <c r="CK71" i="45"/>
  <c r="CL71" i="45"/>
  <c r="CL66" i="45"/>
  <c r="CK66" i="45"/>
  <c r="CK115" i="45"/>
  <c r="CL115" i="45"/>
  <c r="CO137" i="45"/>
  <c r="CM137" i="45"/>
  <c r="CK137" i="45"/>
  <c r="CN137" i="45"/>
  <c r="CL137" i="45"/>
  <c r="CM31" i="45"/>
  <c r="CL31" i="45"/>
  <c r="CK31" i="45"/>
  <c r="CN31" i="45"/>
  <c r="CO188" i="46"/>
  <c r="CN188" i="46"/>
  <c r="CN190" i="46"/>
  <c r="CO190" i="46"/>
  <c r="CN189" i="46"/>
  <c r="CO189" i="46"/>
  <c r="AQ33" i="48"/>
  <c r="CK69" i="45"/>
  <c r="CL69" i="45"/>
  <c r="CK59" i="45"/>
  <c r="CL59" i="45"/>
  <c r="CK57" i="45"/>
  <c r="CL57" i="45"/>
  <c r="CN183" i="46"/>
  <c r="CO183" i="46"/>
  <c r="CK76" i="45"/>
  <c r="CL76" i="45"/>
  <c r="CN182" i="46"/>
  <c r="CO182" i="46"/>
  <c r="CL68" i="45"/>
  <c r="CK68" i="45"/>
  <c r="CK65" i="45"/>
  <c r="CL65" i="45"/>
  <c r="CL74" i="45"/>
  <c r="CK74" i="45"/>
  <c r="DG264" i="47"/>
  <c r="CL62" i="45"/>
  <c r="CK62" i="45"/>
  <c r="CK63" i="45"/>
  <c r="CL63" i="45"/>
  <c r="DF265" i="47"/>
  <c r="B311" i="47" s="1"/>
  <c r="DG265" i="47"/>
  <c r="AQ41" i="48"/>
  <c r="CL60" i="45"/>
  <c r="CK60" i="45"/>
  <c r="C167" i="45"/>
  <c r="CO191" i="46"/>
  <c r="CN191" i="46"/>
  <c r="CK116" i="45"/>
  <c r="CL116" i="45"/>
  <c r="DG271" i="47"/>
  <c r="DF271" i="47"/>
  <c r="AR231" i="47"/>
  <c r="AR227" i="47"/>
  <c r="AR226" i="47"/>
  <c r="AR228" i="47"/>
  <c r="AR216" i="47"/>
  <c r="AR219" i="47"/>
  <c r="AR215" i="47"/>
  <c r="AR232" i="47"/>
  <c r="AR221" i="47"/>
  <c r="AR218" i="47"/>
  <c r="AR229" i="47"/>
  <c r="AR220" i="47"/>
  <c r="AR217" i="47"/>
  <c r="AR230" i="47"/>
  <c r="CN184" i="46"/>
  <c r="CO184" i="46"/>
  <c r="CK56" i="45"/>
  <c r="CL56" i="45"/>
  <c r="CL50" i="45"/>
  <c r="CK50" i="45"/>
  <c r="CM50" i="45"/>
  <c r="CM49" i="45"/>
  <c r="CL49" i="45"/>
  <c r="CN30" i="45"/>
  <c r="CK30" i="45"/>
  <c r="CL30" i="45"/>
  <c r="CM30" i="45"/>
  <c r="CN160" i="45"/>
  <c r="CM160" i="45"/>
  <c r="AH64" i="46"/>
  <c r="AH60" i="46"/>
  <c r="AH22" i="46"/>
  <c r="AH43" i="46"/>
  <c r="AH42" i="46"/>
  <c r="CO155" i="46"/>
  <c r="CP155" i="46"/>
  <c r="CQ155" i="46"/>
  <c r="CO158" i="46"/>
  <c r="CP158" i="46"/>
  <c r="CQ158" i="46"/>
  <c r="AH33" i="46"/>
  <c r="CQ152" i="46"/>
  <c r="CO152" i="46"/>
  <c r="CP152" i="46"/>
  <c r="CO151" i="46"/>
  <c r="CP151" i="46"/>
  <c r="CO154" i="46"/>
  <c r="CP154" i="46"/>
  <c r="CQ154" i="46"/>
  <c r="CO161" i="46"/>
  <c r="CQ161" i="46"/>
  <c r="CP161" i="46"/>
  <c r="AH35" i="46"/>
  <c r="CP157" i="46"/>
  <c r="CQ157" i="46"/>
  <c r="CO157" i="46"/>
  <c r="AH56" i="46"/>
  <c r="AH30" i="46"/>
  <c r="CO159" i="46"/>
  <c r="CP159" i="46"/>
  <c r="CQ159" i="46"/>
  <c r="AH61" i="46"/>
  <c r="AH45" i="46"/>
  <c r="CQ156" i="46"/>
  <c r="CP156" i="46"/>
  <c r="CO156" i="46"/>
  <c r="AH57" i="46"/>
  <c r="CO160" i="46"/>
  <c r="CP160" i="46"/>
  <c r="CQ160" i="46"/>
  <c r="AH36" i="46"/>
  <c r="CN156" i="46"/>
  <c r="CN158" i="46"/>
  <c r="CN157" i="46"/>
  <c r="CN155" i="46"/>
  <c r="CN159" i="46"/>
  <c r="CN160" i="46"/>
  <c r="CN152" i="46"/>
  <c r="AH58" i="46"/>
  <c r="AH52" i="46"/>
  <c r="CN161" i="46"/>
  <c r="CN151" i="46"/>
  <c r="CN154" i="46"/>
  <c r="C22" i="45"/>
  <c r="AQ48" i="48"/>
  <c r="AH19" i="46"/>
  <c r="AH53" i="46"/>
  <c r="E14" i="18"/>
  <c r="AH25" i="46"/>
  <c r="L122" i="48"/>
  <c r="AH27" i="46"/>
  <c r="E32" i="45"/>
  <c r="AQ37" i="48"/>
  <c r="B19" i="48"/>
  <c r="AQ42" i="48"/>
  <c r="AQ46" i="48"/>
  <c r="AH44" i="46"/>
  <c r="AH38" i="46"/>
  <c r="AH40" i="46"/>
  <c r="AH47" i="46"/>
  <c r="AH41" i="46"/>
  <c r="AH62" i="46"/>
  <c r="AH50" i="46"/>
  <c r="C162" i="46"/>
  <c r="AH59" i="46"/>
  <c r="AH21" i="46"/>
  <c r="AH49" i="46"/>
  <c r="AH18" i="46"/>
  <c r="AH15" i="46"/>
  <c r="AH46" i="46"/>
  <c r="AH48" i="46"/>
  <c r="AH14" i="46"/>
  <c r="AH23" i="46"/>
  <c r="AH20" i="46"/>
  <c r="AH31" i="46"/>
  <c r="AH63" i="46"/>
  <c r="C138" i="45"/>
  <c r="C163" i="45"/>
  <c r="AQ44" i="48"/>
  <c r="AQ34" i="48"/>
  <c r="L124" i="48"/>
  <c r="AQ47" i="48"/>
  <c r="L123" i="48"/>
  <c r="AH51" i="46"/>
  <c r="AH29" i="46"/>
  <c r="AH17" i="46"/>
  <c r="AH26" i="46"/>
  <c r="AH16" i="46"/>
  <c r="AH54" i="46"/>
  <c r="AH39" i="46"/>
  <c r="AH32" i="46"/>
  <c r="AH13" i="46"/>
  <c r="AH34" i="46"/>
  <c r="AH65" i="46"/>
  <c r="AH37" i="46"/>
  <c r="B239" i="46" l="1"/>
  <c r="D11" i="18" s="1"/>
  <c r="AX161" i="46"/>
  <c r="AX159" i="46"/>
  <c r="AX160" i="46"/>
  <c r="AX157" i="46"/>
  <c r="AN64" i="45"/>
  <c r="AW17" i="45"/>
  <c r="AW18" i="45"/>
  <c r="AW13" i="45"/>
  <c r="AW26" i="45"/>
  <c r="AW23" i="45"/>
  <c r="AW16" i="45"/>
  <c r="AW15" i="45"/>
  <c r="AW21" i="45"/>
  <c r="AW24" i="45"/>
  <c r="AW25" i="45"/>
  <c r="AW19" i="45"/>
  <c r="AW20" i="45"/>
  <c r="AW14" i="45"/>
  <c r="AQ30" i="48"/>
  <c r="AW167" i="46"/>
  <c r="AW169" i="46"/>
  <c r="AW172" i="46"/>
  <c r="AS182" i="46"/>
  <c r="AX158" i="46"/>
  <c r="AW174" i="46"/>
  <c r="AX152" i="46"/>
  <c r="AW168" i="46"/>
  <c r="AX154" i="46"/>
  <c r="AW175" i="46"/>
  <c r="AW171" i="46"/>
  <c r="AX156" i="46"/>
  <c r="AW170" i="46"/>
  <c r="AW176" i="46"/>
  <c r="AW177" i="46"/>
  <c r="AX155" i="46"/>
  <c r="AW173" i="46"/>
  <c r="AX151" i="46"/>
  <c r="D14" i="18"/>
  <c r="AT23" i="48"/>
  <c r="E11" i="18"/>
  <c r="E10" i="18"/>
  <c r="AS191" i="46"/>
  <c r="AN73" i="45"/>
  <c r="AN70" i="45"/>
  <c r="AS186" i="46"/>
  <c r="AT15" i="48"/>
  <c r="AN61" i="45"/>
  <c r="AV31" i="45"/>
  <c r="AV30" i="45"/>
  <c r="D10" i="18"/>
  <c r="AN69" i="45"/>
  <c r="AT20" i="48"/>
  <c r="AT21" i="48"/>
  <c r="AQ38" i="48"/>
  <c r="AS188" i="46"/>
  <c r="Q114" i="45"/>
  <c r="AM272" i="47"/>
  <c r="AE264" i="47"/>
  <c r="Q116" i="45"/>
  <c r="AN58" i="45"/>
  <c r="AT24" i="48"/>
  <c r="AQ32" i="48"/>
  <c r="AN63" i="45"/>
  <c r="AN62" i="45"/>
  <c r="AS137" i="45"/>
  <c r="AN65" i="45"/>
  <c r="AN76" i="45"/>
  <c r="AN59" i="45"/>
  <c r="AS136" i="45"/>
  <c r="AN60" i="45"/>
  <c r="AN68" i="45"/>
  <c r="AN57" i="45"/>
  <c r="AN71" i="45"/>
  <c r="AQ40" i="48"/>
  <c r="AQ39" i="48"/>
  <c r="AN74" i="45"/>
  <c r="AN75" i="45"/>
  <c r="AM271" i="47"/>
  <c r="AN66" i="45"/>
  <c r="AS135" i="45"/>
  <c r="AN72" i="45"/>
  <c r="AN56" i="45"/>
  <c r="AO50" i="45"/>
  <c r="AO49" i="45"/>
  <c r="AT22" i="48"/>
  <c r="AS183" i="46"/>
  <c r="AS185" i="46"/>
  <c r="AS187" i="46"/>
  <c r="AS184" i="46"/>
  <c r="AS190" i="46"/>
  <c r="AS189" i="46"/>
  <c r="AQ31" i="48"/>
  <c r="Q115" i="45"/>
  <c r="AE265" i="47"/>
  <c r="AQ36" i="48"/>
  <c r="E24" i="18"/>
  <c r="AQ35" i="48"/>
  <c r="AQ45" i="48"/>
  <c r="AT14" i="48"/>
  <c r="AT18" i="48"/>
  <c r="AT17" i="48"/>
  <c r="AT16" i="48"/>
  <c r="D24" i="18" l="1"/>
  <c r="D26" i="18"/>
  <c r="D21" i="18"/>
  <c r="W6" i="17"/>
  <c r="W3" i="17"/>
  <c r="W2" i="17"/>
  <c r="I2" i="17"/>
  <c r="I3" i="17"/>
  <c r="I6" i="17"/>
  <c r="C2" i="18" l="1"/>
  <c r="A3" i="44"/>
  <c r="A32" i="17"/>
  <c r="D4" i="18" s="1"/>
  <c r="E203" i="29" l="1"/>
  <c r="E202" i="29"/>
  <c r="D203" i="29"/>
  <c r="CG203" i="29" s="1"/>
  <c r="D202" i="29"/>
  <c r="CG202" i="29" s="1"/>
  <c r="E255" i="29"/>
  <c r="E254" i="29"/>
  <c r="D255" i="29"/>
  <c r="D254" i="29"/>
  <c r="CJ202" i="29" l="1"/>
  <c r="CC202" i="29"/>
  <c r="CX202" i="29"/>
  <c r="CI202" i="29"/>
  <c r="CH202" i="29"/>
  <c r="CW202" i="29"/>
  <c r="CD202" i="29"/>
  <c r="CB202" i="29"/>
  <c r="CA202" i="29"/>
  <c r="CJ203" i="29"/>
  <c r="CC203" i="29"/>
  <c r="CX203" i="29"/>
  <c r="CB203" i="29"/>
  <c r="CA203" i="29"/>
  <c r="CI203" i="29"/>
  <c r="CH203" i="29"/>
  <c r="CW203" i="29"/>
  <c r="CD203" i="29"/>
  <c r="CR254" i="29"/>
  <c r="CD254" i="29"/>
  <c r="CS254" i="29"/>
  <c r="CP254" i="29"/>
  <c r="CE254" i="29"/>
  <c r="CQ254" i="29"/>
  <c r="CC254" i="29"/>
  <c r="CB254" i="29"/>
  <c r="CR255" i="29"/>
  <c r="CD255" i="29"/>
  <c r="CS255" i="29"/>
  <c r="CE255" i="29"/>
  <c r="CQ255" i="29"/>
  <c r="CP255" i="29"/>
  <c r="CC255" i="29"/>
  <c r="CB255" i="29"/>
  <c r="CQ203" i="29"/>
  <c r="CU203" i="29"/>
  <c r="CP202" i="29"/>
  <c r="CO202" i="29"/>
  <c r="CR202" i="29"/>
  <c r="CV202" i="29"/>
  <c r="CQ202" i="29"/>
  <c r="CU202" i="29"/>
  <c r="CR203" i="29"/>
  <c r="CP203" i="29"/>
  <c r="CO203" i="29"/>
  <c r="CV203" i="29"/>
  <c r="B154" i="41" l="1"/>
  <c r="B153" i="41"/>
  <c r="B129" i="41"/>
  <c r="B109" i="41"/>
  <c r="B108" i="41"/>
  <c r="CF63" i="41"/>
  <c r="CE63" i="41"/>
  <c r="C62" i="41"/>
  <c r="C61" i="41"/>
  <c r="L60" i="41"/>
  <c r="K60" i="41"/>
  <c r="J60" i="41"/>
  <c r="I60" i="41"/>
  <c r="H60" i="41"/>
  <c r="G60" i="41"/>
  <c r="F60" i="41"/>
  <c r="E60" i="41"/>
  <c r="CF59" i="41"/>
  <c r="CE59" i="41"/>
  <c r="C58" i="41"/>
  <c r="C57" i="41"/>
  <c r="C56" i="41"/>
  <c r="C55" i="41"/>
  <c r="C54" i="41"/>
  <c r="C53" i="41"/>
  <c r="C52" i="41"/>
  <c r="C51" i="41"/>
  <c r="C50" i="41"/>
  <c r="C49" i="41"/>
  <c r="C48" i="41"/>
  <c r="C47" i="41"/>
  <c r="C46" i="41"/>
  <c r="C45" i="41"/>
  <c r="C44" i="41"/>
  <c r="C43" i="41"/>
  <c r="C42" i="41"/>
  <c r="C41" i="41"/>
  <c r="C40" i="41"/>
  <c r="C39" i="41"/>
  <c r="C38" i="41"/>
  <c r="C37" i="41"/>
  <c r="C36" i="41"/>
  <c r="C35" i="41"/>
  <c r="C34" i="41"/>
  <c r="L33" i="41"/>
  <c r="K33" i="41"/>
  <c r="J33" i="41"/>
  <c r="I33" i="41"/>
  <c r="H33" i="41"/>
  <c r="G33" i="41"/>
  <c r="F33" i="41"/>
  <c r="E33" i="41"/>
  <c r="D33" i="41"/>
  <c r="C32" i="41"/>
  <c r="D22" i="41"/>
  <c r="C22" i="41"/>
  <c r="D21" i="41"/>
  <c r="C21" i="41"/>
  <c r="D20" i="41"/>
  <c r="C20" i="41"/>
  <c r="D19" i="41"/>
  <c r="C19" i="41"/>
  <c r="D18" i="41"/>
  <c r="C18" i="41"/>
  <c r="D17" i="41"/>
  <c r="C17" i="41"/>
  <c r="D15" i="41"/>
  <c r="C15" i="41"/>
  <c r="D14" i="41"/>
  <c r="C14" i="41"/>
  <c r="D13" i="41"/>
  <c r="C13" i="41"/>
  <c r="D12" i="41"/>
  <c r="C12" i="41"/>
  <c r="E26" i="18" l="1"/>
  <c r="CE34" i="41"/>
  <c r="CE40" i="41"/>
  <c r="CE46" i="41"/>
  <c r="CE52" i="41"/>
  <c r="CE58" i="41"/>
  <c r="CE38" i="41"/>
  <c r="CE44" i="41"/>
  <c r="CE50" i="41"/>
  <c r="CE56" i="41"/>
  <c r="CE42" i="41"/>
  <c r="CE48" i="41"/>
  <c r="CE54" i="41"/>
  <c r="CF62" i="41"/>
  <c r="CE36" i="41"/>
  <c r="CF32" i="41"/>
  <c r="B14" i="41"/>
  <c r="CF14" i="41" s="1"/>
  <c r="R56" i="41"/>
  <c r="CF56" i="41"/>
  <c r="R59" i="41"/>
  <c r="CF50" i="41"/>
  <c r="R38" i="41"/>
  <c r="B17" i="41"/>
  <c r="CF44" i="41"/>
  <c r="R64" i="41"/>
  <c r="CF38" i="41"/>
  <c r="C33" i="41"/>
  <c r="R63" i="41"/>
  <c r="B12" i="41"/>
  <c r="CF12" i="41" s="1"/>
  <c r="B20" i="41"/>
  <c r="B13" i="41"/>
  <c r="CF13" i="41" s="1"/>
  <c r="B15" i="41"/>
  <c r="CF15" i="41" s="1"/>
  <c r="B18" i="41"/>
  <c r="B21" i="41"/>
  <c r="CF36" i="41"/>
  <c r="CF42" i="41"/>
  <c r="CF48" i="41"/>
  <c r="CF54" i="41"/>
  <c r="B19" i="41"/>
  <c r="B22" i="41"/>
  <c r="CF34" i="41"/>
  <c r="CF40" i="41"/>
  <c r="CF46" i="41"/>
  <c r="CF52" i="41"/>
  <c r="CF58" i="41"/>
  <c r="C60" i="41"/>
  <c r="CE43" i="41"/>
  <c r="CE47" i="41"/>
  <c r="CE51" i="41"/>
  <c r="CE57" i="41"/>
  <c r="CE32" i="41"/>
  <c r="CF35" i="41"/>
  <c r="CF37" i="41"/>
  <c r="CF39" i="41"/>
  <c r="CF41" i="41"/>
  <c r="CF43" i="41"/>
  <c r="CF45" i="41"/>
  <c r="CF47" i="41"/>
  <c r="CF49" i="41"/>
  <c r="CF51" i="41"/>
  <c r="CF53" i="41"/>
  <c r="CF55" i="41"/>
  <c r="CF57" i="41"/>
  <c r="CF61" i="41"/>
  <c r="CE35" i="41"/>
  <c r="CE45" i="41"/>
  <c r="CE49" i="41"/>
  <c r="CE55" i="41"/>
  <c r="CE61" i="41"/>
  <c r="R35" i="41"/>
  <c r="R37" i="41"/>
  <c r="R39" i="41"/>
  <c r="R41" i="41"/>
  <c r="R43" i="41"/>
  <c r="R45" i="41"/>
  <c r="R47" i="41"/>
  <c r="R49" i="41"/>
  <c r="R51" i="41"/>
  <c r="R53" i="41"/>
  <c r="R55" i="41"/>
  <c r="R57" i="41"/>
  <c r="R61" i="41"/>
  <c r="CE62" i="41"/>
  <c r="CE37" i="41"/>
  <c r="CE39" i="41"/>
  <c r="CE41" i="41"/>
  <c r="CE53" i="41"/>
  <c r="CE27" i="41" l="1"/>
  <c r="CA27" i="41"/>
  <c r="CB27" i="41"/>
  <c r="CE28" i="41"/>
  <c r="CB28" i="41"/>
  <c r="CA28" i="41"/>
  <c r="CF24" i="41"/>
  <c r="CA24" i="41"/>
  <c r="CB24" i="41"/>
  <c r="CE25" i="41"/>
  <c r="CB25" i="41"/>
  <c r="CA25" i="41"/>
  <c r="CB21" i="41"/>
  <c r="CA21" i="41"/>
  <c r="U21" i="41" s="1"/>
  <c r="CE22" i="41"/>
  <c r="CB22" i="41"/>
  <c r="CA22" i="41"/>
  <c r="CE19" i="41"/>
  <c r="CA19" i="41"/>
  <c r="CB19" i="41"/>
  <c r="CF17" i="41"/>
  <c r="CB17" i="41"/>
  <c r="CA17" i="41"/>
  <c r="U17" i="41" s="1"/>
  <c r="CB20" i="41"/>
  <c r="U20" i="41" s="1"/>
  <c r="CA20" i="41"/>
  <c r="A202" i="41"/>
  <c r="E25" i="18" s="1"/>
  <c r="CF18" i="41"/>
  <c r="CB18" i="41"/>
  <c r="CA18" i="41"/>
  <c r="R44" i="41"/>
  <c r="CE21" i="41"/>
  <c r="R42" i="41"/>
  <c r="CE14" i="41"/>
  <c r="R40" i="41"/>
  <c r="R36" i="41"/>
  <c r="CF25" i="41"/>
  <c r="R62" i="41"/>
  <c r="R54" i="41"/>
  <c r="R48" i="41"/>
  <c r="R58" i="41"/>
  <c r="R52" i="41"/>
  <c r="CF21" i="41"/>
  <c r="CE17" i="41"/>
  <c r="R46" i="41"/>
  <c r="R34" i="41"/>
  <c r="CF28" i="41"/>
  <c r="CF27" i="41"/>
  <c r="R32" i="41"/>
  <c r="R50" i="41"/>
  <c r="CE24" i="41"/>
  <c r="CF19" i="41"/>
  <c r="CF20" i="41"/>
  <c r="CE20" i="41"/>
  <c r="CE18" i="41"/>
  <c r="CF22" i="41"/>
  <c r="CE15" i="41"/>
  <c r="CE13" i="41"/>
  <c r="D25" i="18" l="1"/>
  <c r="U14" i="41"/>
  <c r="U13" i="41"/>
  <c r="U27" i="41"/>
  <c r="U24" i="41"/>
  <c r="U22" i="41"/>
  <c r="R60" i="41"/>
  <c r="R33" i="41"/>
  <c r="U25" i="41"/>
  <c r="U15" i="41"/>
  <c r="U28" i="41"/>
  <c r="U19" i="41"/>
  <c r="U18" i="41"/>
  <c r="B88" i="36" l="1"/>
  <c r="CA88" i="36" s="1"/>
  <c r="B87" i="36"/>
  <c r="CA87" i="36" s="1"/>
  <c r="B86" i="36"/>
  <c r="CA86" i="36" s="1"/>
  <c r="B84" i="36"/>
  <c r="CA84" i="36" s="1"/>
  <c r="B83" i="36"/>
  <c r="CA83" i="36" s="1"/>
  <c r="B82" i="36"/>
  <c r="CA82" i="36" s="1"/>
  <c r="B80" i="36"/>
  <c r="CA80" i="36" s="1"/>
  <c r="B79" i="36"/>
  <c r="CA79" i="36" s="1"/>
  <c r="B78" i="36"/>
  <c r="CA78" i="36" s="1"/>
  <c r="B73" i="36"/>
  <c r="CA73" i="36" s="1"/>
  <c r="B71" i="36"/>
  <c r="CA71" i="36" s="1"/>
  <c r="B70" i="36"/>
  <c r="CA70" i="36" s="1"/>
  <c r="B68" i="36"/>
  <c r="CA68" i="36" s="1"/>
  <c r="B67" i="36"/>
  <c r="CA67" i="36" s="1"/>
  <c r="B65" i="36"/>
  <c r="CA65" i="36" s="1"/>
  <c r="B64" i="36"/>
  <c r="CA64" i="36" s="1"/>
  <c r="B47" i="36"/>
  <c r="CA47" i="36" s="1"/>
  <c r="B46" i="36"/>
  <c r="CA46" i="36" s="1"/>
  <c r="B45" i="36"/>
  <c r="CA45" i="36" s="1"/>
  <c r="B44" i="36"/>
  <c r="CA44" i="36" s="1"/>
  <c r="B43" i="36"/>
  <c r="CA43" i="36" s="1"/>
  <c r="B42" i="36"/>
  <c r="CA42" i="36" s="1"/>
  <c r="B41" i="36"/>
  <c r="CA41" i="36" s="1"/>
  <c r="B40" i="36"/>
  <c r="CA40" i="36" s="1"/>
  <c r="B32" i="36"/>
  <c r="CA32" i="36" s="1"/>
  <c r="B31" i="36"/>
  <c r="CA31" i="36" s="1"/>
  <c r="B30" i="36"/>
  <c r="CA30" i="36" s="1"/>
  <c r="B29" i="36"/>
  <c r="CA29" i="36" s="1"/>
  <c r="B28" i="36"/>
  <c r="CA28" i="36" s="1"/>
  <c r="B27" i="36"/>
  <c r="CA27" i="36" s="1"/>
  <c r="B19" i="36"/>
  <c r="CA19" i="36" s="1"/>
  <c r="B18" i="36"/>
  <c r="CA18" i="36" s="1"/>
  <c r="B16" i="36"/>
  <c r="CA16" i="36" s="1"/>
  <c r="B15" i="36"/>
  <c r="CA15" i="36" s="1"/>
  <c r="B13" i="36"/>
  <c r="CA13" i="36" s="1"/>
  <c r="B12" i="36"/>
  <c r="AI208" i="34"/>
  <c r="AH208" i="34"/>
  <c r="AG208" i="34"/>
  <c r="AF208" i="34"/>
  <c r="AE208" i="34"/>
  <c r="AD208" i="34"/>
  <c r="AC208" i="34"/>
  <c r="AB208" i="34"/>
  <c r="AA208" i="34"/>
  <c r="Z208" i="34"/>
  <c r="Y208" i="34"/>
  <c r="X208" i="34"/>
  <c r="W208" i="34"/>
  <c r="V208" i="34"/>
  <c r="U208" i="34"/>
  <c r="T208" i="34"/>
  <c r="S208" i="34"/>
  <c r="R208" i="34"/>
  <c r="Q208" i="34"/>
  <c r="P208" i="34"/>
  <c r="O208" i="34"/>
  <c r="N208" i="34"/>
  <c r="M208" i="34"/>
  <c r="L208" i="34"/>
  <c r="K208" i="34"/>
  <c r="J208" i="34"/>
  <c r="I208" i="34"/>
  <c r="H208" i="34"/>
  <c r="G208" i="34"/>
  <c r="F208" i="34"/>
  <c r="E207" i="34"/>
  <c r="E206" i="34"/>
  <c r="CD206" i="34" s="1"/>
  <c r="D206" i="34"/>
  <c r="CC206" i="34" s="1"/>
  <c r="U194" i="34"/>
  <c r="T194" i="34"/>
  <c r="S194" i="34"/>
  <c r="R194" i="34"/>
  <c r="Q194" i="34"/>
  <c r="P194" i="34"/>
  <c r="O194" i="34"/>
  <c r="N194" i="34"/>
  <c r="M194" i="34"/>
  <c r="L194" i="34"/>
  <c r="K194" i="34"/>
  <c r="J194" i="34"/>
  <c r="I194" i="34"/>
  <c r="H194" i="34"/>
  <c r="G194" i="34"/>
  <c r="F194" i="34"/>
  <c r="E193" i="34"/>
  <c r="D193" i="34"/>
  <c r="E192" i="34"/>
  <c r="Q186" i="34"/>
  <c r="P186" i="34"/>
  <c r="O186" i="34"/>
  <c r="N186" i="34"/>
  <c r="M186" i="34"/>
  <c r="L186" i="34"/>
  <c r="K186" i="34"/>
  <c r="J186" i="34"/>
  <c r="I186" i="34"/>
  <c r="H186" i="34"/>
  <c r="G186" i="34"/>
  <c r="F186" i="34"/>
  <c r="E185" i="34"/>
  <c r="D185" i="34"/>
  <c r="E184" i="34"/>
  <c r="D184" i="34"/>
  <c r="E178" i="34"/>
  <c r="D178" i="34"/>
  <c r="E177" i="34"/>
  <c r="D177" i="34"/>
  <c r="E176" i="34"/>
  <c r="D176" i="34"/>
  <c r="E175" i="34"/>
  <c r="D175" i="34"/>
  <c r="E174" i="34"/>
  <c r="D174" i="34"/>
  <c r="E173" i="34"/>
  <c r="D173" i="34"/>
  <c r="E168" i="34"/>
  <c r="D168" i="34"/>
  <c r="E167" i="34"/>
  <c r="D167" i="34"/>
  <c r="E166" i="34"/>
  <c r="D166" i="34"/>
  <c r="E165" i="34"/>
  <c r="D165" i="34"/>
  <c r="E164" i="34"/>
  <c r="D164" i="34"/>
  <c r="E163" i="34"/>
  <c r="D163" i="34"/>
  <c r="AA152" i="34"/>
  <c r="Z152" i="34"/>
  <c r="Y152" i="34"/>
  <c r="X152" i="34"/>
  <c r="W152" i="34"/>
  <c r="V152" i="34"/>
  <c r="U152" i="34"/>
  <c r="T152" i="34"/>
  <c r="S152" i="34"/>
  <c r="R152" i="34"/>
  <c r="Q152" i="34"/>
  <c r="P152" i="34"/>
  <c r="O152" i="34"/>
  <c r="N152" i="34"/>
  <c r="M152" i="34"/>
  <c r="L152" i="34"/>
  <c r="K152" i="34"/>
  <c r="J152" i="34"/>
  <c r="I152" i="34"/>
  <c r="H152" i="34"/>
  <c r="G152" i="34"/>
  <c r="F152" i="34"/>
  <c r="E151" i="34"/>
  <c r="D151" i="34"/>
  <c r="E150" i="34"/>
  <c r="D150" i="34"/>
  <c r="E149" i="34"/>
  <c r="D149" i="34"/>
  <c r="E148" i="34"/>
  <c r="D148" i="34"/>
  <c r="E147" i="34"/>
  <c r="D147" i="34"/>
  <c r="E146" i="34"/>
  <c r="D146" i="34"/>
  <c r="E145" i="34"/>
  <c r="D145" i="34"/>
  <c r="E144" i="34"/>
  <c r="D144" i="34"/>
  <c r="E143" i="34"/>
  <c r="D143" i="34"/>
  <c r="E142" i="34"/>
  <c r="D142" i="34"/>
  <c r="E141" i="34"/>
  <c r="D141" i="34"/>
  <c r="E140" i="34"/>
  <c r="D140" i="34"/>
  <c r="E139" i="34"/>
  <c r="D139" i="34"/>
  <c r="E138" i="34"/>
  <c r="D138" i="34"/>
  <c r="E137" i="34"/>
  <c r="D137" i="34"/>
  <c r="E136" i="34"/>
  <c r="D136" i="34"/>
  <c r="E135" i="34"/>
  <c r="D135" i="34"/>
  <c r="E134" i="34"/>
  <c r="D134" i="34"/>
  <c r="E133" i="34"/>
  <c r="D133" i="34"/>
  <c r="E132" i="34"/>
  <c r="D132" i="34"/>
  <c r="E131" i="34"/>
  <c r="D131" i="34"/>
  <c r="E130" i="34"/>
  <c r="D130" i="34"/>
  <c r="E129" i="34"/>
  <c r="D129" i="34"/>
  <c r="E128" i="34"/>
  <c r="D128" i="34"/>
  <c r="E127" i="34"/>
  <c r="D127" i="34"/>
  <c r="E126" i="34"/>
  <c r="D126" i="34"/>
  <c r="E125" i="34"/>
  <c r="D125" i="34"/>
  <c r="E124" i="34"/>
  <c r="D124" i="34"/>
  <c r="E123" i="34"/>
  <c r="D123" i="34"/>
  <c r="E102" i="34"/>
  <c r="D102" i="34"/>
  <c r="E100" i="34"/>
  <c r="D100" i="34"/>
  <c r="E99" i="34"/>
  <c r="D99" i="34"/>
  <c r="I97" i="34"/>
  <c r="H97" i="34"/>
  <c r="G97" i="34"/>
  <c r="B79" i="34"/>
  <c r="D74" i="34"/>
  <c r="C74" i="34"/>
  <c r="D73" i="34"/>
  <c r="C73" i="34"/>
  <c r="D72" i="34"/>
  <c r="C72" i="34"/>
  <c r="CK66" i="34"/>
  <c r="CL65" i="34"/>
  <c r="CK64" i="34"/>
  <c r="CL63" i="34"/>
  <c r="D57" i="34"/>
  <c r="C57" i="34"/>
  <c r="D56" i="34"/>
  <c r="C56" i="34"/>
  <c r="J54" i="34"/>
  <c r="H54" i="34"/>
  <c r="G54" i="34"/>
  <c r="F54" i="34"/>
  <c r="D49" i="34"/>
  <c r="C49" i="34"/>
  <c r="D48" i="34"/>
  <c r="C48" i="34"/>
  <c r="D47" i="34"/>
  <c r="C47" i="34"/>
  <c r="E41" i="34"/>
  <c r="D41" i="34"/>
  <c r="E40" i="34"/>
  <c r="D40" i="34"/>
  <c r="E39" i="34"/>
  <c r="D39" i="34"/>
  <c r="E38" i="34"/>
  <c r="D38" i="34"/>
  <c r="E37" i="34"/>
  <c r="D37" i="34"/>
  <c r="E36" i="34"/>
  <c r="D36" i="34"/>
  <c r="E35" i="34"/>
  <c r="D35" i="34"/>
  <c r="E34" i="34"/>
  <c r="D34" i="34"/>
  <c r="E33" i="34"/>
  <c r="D33" i="34"/>
  <c r="E32" i="34"/>
  <c r="D32" i="34"/>
  <c r="E31" i="34"/>
  <c r="D31" i="34"/>
  <c r="E30" i="34"/>
  <c r="D30" i="34"/>
  <c r="E29" i="34"/>
  <c r="D29" i="34"/>
  <c r="E28" i="34"/>
  <c r="D28" i="34"/>
  <c r="E27" i="34"/>
  <c r="D27" i="34"/>
  <c r="E26" i="34"/>
  <c r="D26" i="34"/>
  <c r="E25" i="34"/>
  <c r="D25" i="34"/>
  <c r="E24" i="34"/>
  <c r="D24" i="34"/>
  <c r="E23" i="34"/>
  <c r="D23" i="34"/>
  <c r="E22" i="34"/>
  <c r="D22" i="34"/>
  <c r="E21" i="34"/>
  <c r="D21" i="34"/>
  <c r="E20" i="34"/>
  <c r="D20" i="34"/>
  <c r="E15" i="34"/>
  <c r="D15" i="34"/>
  <c r="E14" i="34"/>
  <c r="D14" i="34"/>
  <c r="E13" i="34"/>
  <c r="D13" i="34"/>
  <c r="D35" i="33"/>
  <c r="C35" i="33"/>
  <c r="D34" i="33"/>
  <c r="C34" i="33"/>
  <c r="D30" i="33"/>
  <c r="C30" i="33"/>
  <c r="D29" i="33"/>
  <c r="C29" i="33"/>
  <c r="D25" i="33"/>
  <c r="C25" i="33"/>
  <c r="D24" i="33"/>
  <c r="C24" i="33"/>
  <c r="D23" i="33"/>
  <c r="C23" i="33"/>
  <c r="AH21" i="33"/>
  <c r="AG21" i="33"/>
  <c r="AF21" i="33"/>
  <c r="AE21" i="33"/>
  <c r="AD21" i="33"/>
  <c r="AC21" i="33"/>
  <c r="AB21" i="33"/>
  <c r="AA21" i="33"/>
  <c r="Z21" i="33"/>
  <c r="Y21" i="33"/>
  <c r="X21" i="33"/>
  <c r="W21" i="33"/>
  <c r="V21" i="33"/>
  <c r="U21" i="33"/>
  <c r="T21" i="33"/>
  <c r="S21" i="33"/>
  <c r="R21" i="33"/>
  <c r="Q21" i="33"/>
  <c r="P21" i="33"/>
  <c r="O21" i="33"/>
  <c r="N21" i="33"/>
  <c r="M21" i="33"/>
  <c r="L21" i="33"/>
  <c r="K21" i="33"/>
  <c r="J21" i="33"/>
  <c r="I21" i="33"/>
  <c r="H21" i="33"/>
  <c r="G21" i="33"/>
  <c r="F21" i="33"/>
  <c r="E21" i="33"/>
  <c r="D93" i="32"/>
  <c r="C93" i="32"/>
  <c r="D92" i="32"/>
  <c r="C92" i="32"/>
  <c r="D91" i="32"/>
  <c r="C91" i="32"/>
  <c r="D90" i="32"/>
  <c r="C90" i="32"/>
  <c r="D89" i="32"/>
  <c r="C89" i="32"/>
  <c r="D88" i="32"/>
  <c r="C88" i="32"/>
  <c r="B82" i="32"/>
  <c r="B81" i="32"/>
  <c r="B80" i="32"/>
  <c r="B79" i="32"/>
  <c r="L74" i="32"/>
  <c r="K74" i="32"/>
  <c r="J74" i="32"/>
  <c r="I74" i="32"/>
  <c r="H74" i="32"/>
  <c r="G74" i="32"/>
  <c r="E74" i="32"/>
  <c r="D74" i="32"/>
  <c r="F73" i="32"/>
  <c r="C73" i="32"/>
  <c r="F71" i="32"/>
  <c r="C71" i="32"/>
  <c r="F70" i="32"/>
  <c r="CX39" i="32"/>
  <c r="CX80" i="32" l="1"/>
  <c r="CC80" i="32"/>
  <c r="CV80" i="32"/>
  <c r="CA80" i="32"/>
  <c r="CD80" i="32"/>
  <c r="CU80" i="32"/>
  <c r="CB80" i="32"/>
  <c r="CW80" i="32"/>
  <c r="CA81" i="32"/>
  <c r="CU81" i="32"/>
  <c r="CB81" i="32"/>
  <c r="CV81" i="32"/>
  <c r="CC81" i="32"/>
  <c r="CW81" i="32"/>
  <c r="CD81" i="32"/>
  <c r="CX81" i="32"/>
  <c r="CU79" i="32"/>
  <c r="CB79" i="32"/>
  <c r="CA79" i="32"/>
  <c r="CV79" i="32"/>
  <c r="CC79" i="32"/>
  <c r="CW79" i="32"/>
  <c r="CD79" i="32"/>
  <c r="CX79" i="32"/>
  <c r="CU70" i="32"/>
  <c r="CA70" i="32"/>
  <c r="M70" i="32" s="1"/>
  <c r="CX70" i="32"/>
  <c r="CB70" i="32"/>
  <c r="CV70" i="32"/>
  <c r="CW70" i="32"/>
  <c r="CC70" i="32"/>
  <c r="CD70" i="32"/>
  <c r="CV82" i="32"/>
  <c r="CW82" i="32"/>
  <c r="CU82" i="32"/>
  <c r="CC71" i="32"/>
  <c r="CA71" i="32"/>
  <c r="CD71" i="32"/>
  <c r="CB71" i="32"/>
  <c r="CC73" i="32"/>
  <c r="CD73" i="32"/>
  <c r="CA73" i="32"/>
  <c r="CB73" i="32"/>
  <c r="CX73" i="32"/>
  <c r="D152" i="34"/>
  <c r="D54" i="34"/>
  <c r="CA206" i="34"/>
  <c r="CK206" i="34"/>
  <c r="CB206" i="34"/>
  <c r="CL206" i="34"/>
  <c r="CN206" i="34"/>
  <c r="CC207" i="34"/>
  <c r="CD207" i="34"/>
  <c r="CB207" i="34"/>
  <c r="CZ37" i="32"/>
  <c r="CX37" i="32"/>
  <c r="DA37" i="32"/>
  <c r="CY37" i="32"/>
  <c r="DA39" i="32"/>
  <c r="CY39" i="32"/>
  <c r="CZ39" i="32"/>
  <c r="CY38" i="32"/>
  <c r="CX38" i="32"/>
  <c r="DA38" i="32"/>
  <c r="CZ38" i="32"/>
  <c r="C36" i="34"/>
  <c r="C40" i="34"/>
  <c r="CM207" i="34"/>
  <c r="CK207" i="34"/>
  <c r="CN207" i="34"/>
  <c r="CL207" i="34"/>
  <c r="C174" i="34"/>
  <c r="C30" i="34"/>
  <c r="C192" i="34"/>
  <c r="C167" i="34"/>
  <c r="B92" i="32"/>
  <c r="B34" i="33"/>
  <c r="C27" i="34"/>
  <c r="B89" i="32"/>
  <c r="C20" i="34"/>
  <c r="B25" i="33"/>
  <c r="B22" i="33"/>
  <c r="CH13" i="36"/>
  <c r="CG13" i="36"/>
  <c r="CB13" i="36"/>
  <c r="CH28" i="36"/>
  <c r="CG28" i="36"/>
  <c r="CB28" i="36"/>
  <c r="CG47" i="36"/>
  <c r="CB47" i="36"/>
  <c r="CH47" i="36"/>
  <c r="CH71" i="36"/>
  <c r="CB71" i="36"/>
  <c r="N71" i="36" s="1"/>
  <c r="CG71" i="36"/>
  <c r="D194" i="34"/>
  <c r="CG15" i="36"/>
  <c r="CB15" i="36"/>
  <c r="N15" i="36" s="1"/>
  <c r="CH15" i="36"/>
  <c r="CH29" i="36"/>
  <c r="CG29" i="36"/>
  <c r="CB29" i="36"/>
  <c r="CH42" i="36"/>
  <c r="CG42" i="36"/>
  <c r="CB42" i="36"/>
  <c r="CG64" i="36"/>
  <c r="CB64" i="36"/>
  <c r="CH64" i="36"/>
  <c r="CG73" i="36"/>
  <c r="CB73" i="36"/>
  <c r="N73" i="36" s="1"/>
  <c r="CH73" i="36"/>
  <c r="CG84" i="36"/>
  <c r="CB84" i="36"/>
  <c r="CH84" i="36"/>
  <c r="CG41" i="36"/>
  <c r="CB41" i="36"/>
  <c r="N41" i="36" s="1"/>
  <c r="CH41" i="36"/>
  <c r="CH83" i="36"/>
  <c r="CB83" i="36"/>
  <c r="CG83" i="36"/>
  <c r="B48" i="34"/>
  <c r="C99" i="34"/>
  <c r="C102" i="34"/>
  <c r="C136" i="34"/>
  <c r="C145" i="34"/>
  <c r="C163" i="34"/>
  <c r="C166" i="34"/>
  <c r="C183" i="34"/>
  <c r="CB16" i="36"/>
  <c r="N16" i="36" s="1"/>
  <c r="CH16" i="36"/>
  <c r="CG16" i="36"/>
  <c r="CH30" i="36"/>
  <c r="CG30" i="36"/>
  <c r="CB30" i="36"/>
  <c r="CH43" i="36"/>
  <c r="CG43" i="36"/>
  <c r="CB43" i="36"/>
  <c r="CB65" i="36"/>
  <c r="CH65" i="36"/>
  <c r="CG65" i="36"/>
  <c r="CH78" i="36"/>
  <c r="CB78" i="36"/>
  <c r="CG78" i="36"/>
  <c r="CH86" i="36"/>
  <c r="CB86" i="36"/>
  <c r="CG86" i="36"/>
  <c r="CG19" i="36"/>
  <c r="CH19" i="36"/>
  <c r="CB19" i="36"/>
  <c r="CH32" i="36"/>
  <c r="CG32" i="36"/>
  <c r="CB32" i="36"/>
  <c r="CB45" i="36"/>
  <c r="CH45" i="36"/>
  <c r="CG45" i="36"/>
  <c r="CG68" i="36"/>
  <c r="CB68" i="36"/>
  <c r="N68" i="36" s="1"/>
  <c r="CH68" i="36"/>
  <c r="CG80" i="36"/>
  <c r="CH80" i="36"/>
  <c r="CB80" i="36"/>
  <c r="N80" i="36" s="1"/>
  <c r="CG88" i="36"/>
  <c r="CH88" i="36"/>
  <c r="CB88" i="36"/>
  <c r="CB18" i="36"/>
  <c r="CH18" i="36"/>
  <c r="CG18" i="36"/>
  <c r="CH31" i="36"/>
  <c r="CG31" i="36"/>
  <c r="CB31" i="36"/>
  <c r="CB44" i="36"/>
  <c r="CH44" i="36"/>
  <c r="CG44" i="36"/>
  <c r="CH67" i="36"/>
  <c r="CB67" i="36"/>
  <c r="N67" i="36" s="1"/>
  <c r="CG67" i="36"/>
  <c r="CH79" i="36"/>
  <c r="CB79" i="36"/>
  <c r="CG79" i="36"/>
  <c r="CH87" i="36"/>
  <c r="CB87" i="36"/>
  <c r="N87" i="36" s="1"/>
  <c r="CG87" i="36"/>
  <c r="C25" i="34"/>
  <c r="CK25" i="34" s="1"/>
  <c r="CH12" i="36"/>
  <c r="CG12" i="36"/>
  <c r="CB12" i="36"/>
  <c r="CG27" i="36"/>
  <c r="CH27" i="36"/>
  <c r="CB27" i="36"/>
  <c r="CH40" i="36"/>
  <c r="CG40" i="36"/>
  <c r="CB40" i="36"/>
  <c r="CG46" i="36"/>
  <c r="CB46" i="36"/>
  <c r="N46" i="36" s="1"/>
  <c r="CH46" i="36"/>
  <c r="CB70" i="36"/>
  <c r="CH70" i="36"/>
  <c r="CG70" i="36"/>
  <c r="CH82" i="36"/>
  <c r="CB82" i="36"/>
  <c r="N82" i="36" s="1"/>
  <c r="CG82" i="36"/>
  <c r="D21" i="33"/>
  <c r="CC21" i="33" s="1"/>
  <c r="C31" i="34"/>
  <c r="B74" i="34"/>
  <c r="C32" i="34"/>
  <c r="CW72" i="32"/>
  <c r="CX72" i="32"/>
  <c r="CW71" i="32"/>
  <c r="CX71" i="32"/>
  <c r="CW73" i="32"/>
  <c r="CV72" i="32"/>
  <c r="CU72" i="32"/>
  <c r="CU71" i="32"/>
  <c r="CV71" i="32"/>
  <c r="CU73" i="32"/>
  <c r="CV73" i="32"/>
  <c r="C22" i="34"/>
  <c r="C28" i="34"/>
  <c r="C193" i="34"/>
  <c r="C29" i="34"/>
  <c r="C34" i="34"/>
  <c r="B49" i="34"/>
  <c r="D97" i="34"/>
  <c r="C123" i="34"/>
  <c r="C129" i="34"/>
  <c r="C144" i="34"/>
  <c r="C147" i="34"/>
  <c r="C168" i="34"/>
  <c r="C175" i="34"/>
  <c r="E194" i="34"/>
  <c r="E208" i="34"/>
  <c r="C21" i="34"/>
  <c r="C24" i="34"/>
  <c r="C207" i="34"/>
  <c r="CK215" i="34"/>
  <c r="C37" i="34"/>
  <c r="B47" i="34"/>
  <c r="C14" i="34"/>
  <c r="C23" i="34"/>
  <c r="C33" i="34"/>
  <c r="C38" i="34"/>
  <c r="C177" i="34"/>
  <c r="C184" i="34"/>
  <c r="C39" i="34"/>
  <c r="CL39" i="34" s="1"/>
  <c r="C98" i="34"/>
  <c r="B72" i="34"/>
  <c r="C128" i="34"/>
  <c r="C131" i="34"/>
  <c r="C137" i="34"/>
  <c r="C146" i="34"/>
  <c r="C149" i="34"/>
  <c r="C178" i="34"/>
  <c r="CL64" i="34"/>
  <c r="C132" i="34"/>
  <c r="C141" i="34"/>
  <c r="C13" i="34"/>
  <c r="B57" i="34"/>
  <c r="CL66" i="34"/>
  <c r="C124" i="34"/>
  <c r="C130" i="34"/>
  <c r="C133" i="34"/>
  <c r="C148" i="34"/>
  <c r="E97" i="34"/>
  <c r="C140" i="34"/>
  <c r="B23" i="33"/>
  <c r="B29" i="33"/>
  <c r="B35" i="33"/>
  <c r="C15" i="34"/>
  <c r="C26" i="34"/>
  <c r="C35" i="34"/>
  <c r="C125" i="34"/>
  <c r="C139" i="34"/>
  <c r="C164" i="34"/>
  <c r="C176" i="34"/>
  <c r="E186" i="34"/>
  <c r="D208" i="34"/>
  <c r="B90" i="32"/>
  <c r="B88" i="32"/>
  <c r="C41" i="34"/>
  <c r="C54" i="34"/>
  <c r="CL55" i="34"/>
  <c r="B73" i="34"/>
  <c r="F74" i="32"/>
  <c r="B91" i="32"/>
  <c r="B24" i="33"/>
  <c r="B30" i="33"/>
  <c r="CL67" i="34"/>
  <c r="B56" i="34"/>
  <c r="CK62" i="34"/>
  <c r="CL62" i="34"/>
  <c r="C127" i="34"/>
  <c r="C135" i="34"/>
  <c r="C143" i="34"/>
  <c r="C151" i="34"/>
  <c r="C173" i="34"/>
  <c r="E15" i="18"/>
  <c r="CK34" i="34"/>
  <c r="CK63" i="34"/>
  <c r="CK65" i="34"/>
  <c r="CK67" i="34"/>
  <c r="C134" i="34"/>
  <c r="C150" i="34"/>
  <c r="C138" i="34"/>
  <c r="D186" i="34"/>
  <c r="C185" i="34"/>
  <c r="C100" i="34"/>
  <c r="E152" i="34"/>
  <c r="C126" i="34"/>
  <c r="C142" i="34"/>
  <c r="C165" i="34"/>
  <c r="C206" i="34"/>
  <c r="CG25" i="33"/>
  <c r="CF25" i="33"/>
  <c r="C21" i="33"/>
  <c r="CU89" i="32"/>
  <c r="B93" i="32"/>
  <c r="C74" i="32"/>
  <c r="B258" i="32" l="1"/>
  <c r="CB154" i="34"/>
  <c r="CA154" i="34"/>
  <c r="CA128" i="34"/>
  <c r="AD128" i="34" s="1"/>
  <c r="CB128" i="34"/>
  <c r="CA127" i="34"/>
  <c r="CB127" i="34"/>
  <c r="CA126" i="34"/>
  <c r="AD126" i="34" s="1"/>
  <c r="CB126" i="34"/>
  <c r="CA130" i="34"/>
  <c r="CB130" i="34"/>
  <c r="CA129" i="34"/>
  <c r="AD129" i="34" s="1"/>
  <c r="CB129" i="34"/>
  <c r="CA124" i="34"/>
  <c r="CB124" i="34"/>
  <c r="CA131" i="34"/>
  <c r="AD131" i="34" s="1"/>
  <c r="CB131" i="34"/>
  <c r="CA125" i="34"/>
  <c r="CB125" i="34"/>
  <c r="CB35" i="33"/>
  <c r="CA35" i="33"/>
  <c r="CG24" i="33"/>
  <c r="CA24" i="33"/>
  <c r="CB24" i="33"/>
  <c r="M73" i="32"/>
  <c r="CV88" i="32"/>
  <c r="CB88" i="32"/>
  <c r="CA88" i="32"/>
  <c r="CA90" i="32"/>
  <c r="AI90" i="32" s="1"/>
  <c r="CB90" i="32"/>
  <c r="E5" i="18"/>
  <c r="CA93" i="32"/>
  <c r="AI93" i="32" s="1"/>
  <c r="CB93" i="32"/>
  <c r="CB92" i="32"/>
  <c r="CA92" i="32"/>
  <c r="CA89" i="32"/>
  <c r="AI89" i="32" s="1"/>
  <c r="CB89" i="32"/>
  <c r="CB91" i="32"/>
  <c r="CA91" i="32"/>
  <c r="M71" i="32"/>
  <c r="CB157" i="34"/>
  <c r="CA157" i="34"/>
  <c r="CA25" i="33"/>
  <c r="CB25" i="33"/>
  <c r="CF22" i="33"/>
  <c r="CB22" i="33"/>
  <c r="CA22" i="33"/>
  <c r="AI22" i="33" s="1"/>
  <c r="CB34" i="33"/>
  <c r="CA34" i="33"/>
  <c r="AI34" i="33" s="1"/>
  <c r="CB21" i="33"/>
  <c r="CG21" i="33"/>
  <c r="CF23" i="33"/>
  <c r="A51" i="33"/>
  <c r="E6" i="18" s="1"/>
  <c r="CA23" i="33"/>
  <c r="CB23" i="33"/>
  <c r="AI23" i="33" s="1"/>
  <c r="CA47" i="34"/>
  <c r="CB47" i="34"/>
  <c r="CA34" i="34"/>
  <c r="CB34" i="34"/>
  <c r="CA36" i="34"/>
  <c r="T36" i="34" s="1"/>
  <c r="CB36" i="34"/>
  <c r="CA73" i="34"/>
  <c r="CB73" i="34"/>
  <c r="CA39" i="34"/>
  <c r="CB39" i="34"/>
  <c r="CB37" i="34"/>
  <c r="CA37" i="34"/>
  <c r="CA29" i="34"/>
  <c r="CB29" i="34"/>
  <c r="CA40" i="34"/>
  <c r="CB40" i="34"/>
  <c r="CL57" i="34"/>
  <c r="CA57" i="34"/>
  <c r="CB57" i="34"/>
  <c r="CE207" i="34"/>
  <c r="CF207" i="34"/>
  <c r="CA28" i="34"/>
  <c r="T28" i="34" s="1"/>
  <c r="CB28" i="34"/>
  <c r="CA32" i="34"/>
  <c r="CB32" i="34"/>
  <c r="CB25" i="34"/>
  <c r="CA25" i="34"/>
  <c r="CA20" i="34"/>
  <c r="CB20" i="34"/>
  <c r="CA30" i="34"/>
  <c r="CB30" i="34"/>
  <c r="CA48" i="34"/>
  <c r="CB48" i="34"/>
  <c r="CA41" i="34"/>
  <c r="T41" i="34" s="1"/>
  <c r="CB41" i="34"/>
  <c r="CA38" i="34"/>
  <c r="CB38" i="34"/>
  <c r="T38" i="34" s="1"/>
  <c r="CA24" i="34"/>
  <c r="CB24" i="34"/>
  <c r="CA22" i="34"/>
  <c r="T22" i="34" s="1"/>
  <c r="CB22" i="34"/>
  <c r="CA74" i="34"/>
  <c r="CB74" i="34"/>
  <c r="CB33" i="34"/>
  <c r="CA33" i="34"/>
  <c r="T33" i="34" s="1"/>
  <c r="CB21" i="34"/>
  <c r="T21" i="34" s="1"/>
  <c r="CA21" i="34"/>
  <c r="C152" i="34"/>
  <c r="CA31" i="34"/>
  <c r="T31" i="34" s="1"/>
  <c r="CB31" i="34"/>
  <c r="CA35" i="34"/>
  <c r="CB35" i="34"/>
  <c r="T35" i="34" s="1"/>
  <c r="CB72" i="34"/>
  <c r="CA72" i="34"/>
  <c r="CA23" i="34"/>
  <c r="T23" i="34" s="1"/>
  <c r="CB23" i="34"/>
  <c r="CA27" i="34"/>
  <c r="CB27" i="34"/>
  <c r="T27" i="34" s="1"/>
  <c r="CL56" i="34"/>
  <c r="CB56" i="34"/>
  <c r="CA56" i="34"/>
  <c r="CP206" i="34"/>
  <c r="CO206" i="34"/>
  <c r="CF206" i="34"/>
  <c r="CE206" i="34"/>
  <c r="CA26" i="34"/>
  <c r="CB26" i="34"/>
  <c r="CA49" i="34"/>
  <c r="CB49" i="34"/>
  <c r="CK36" i="34"/>
  <c r="CL20" i="34"/>
  <c r="CK40" i="34"/>
  <c r="CL40" i="34"/>
  <c r="CL36" i="34"/>
  <c r="CK38" i="34"/>
  <c r="CK29" i="34"/>
  <c r="CL38" i="34"/>
  <c r="CL25" i="34"/>
  <c r="T34" i="34"/>
  <c r="CF34" i="33"/>
  <c r="CG34" i="33"/>
  <c r="CF29" i="33"/>
  <c r="CG29" i="33"/>
  <c r="N13" i="36"/>
  <c r="CG23" i="33"/>
  <c r="N79" i="36"/>
  <c r="N40" i="36"/>
  <c r="D15" i="18"/>
  <c r="CU92" i="32"/>
  <c r="CV89" i="32"/>
  <c r="CU90" i="32"/>
  <c r="CP207" i="34"/>
  <c r="CO207" i="34"/>
  <c r="CV92" i="32"/>
  <c r="CU88" i="32"/>
  <c r="CK30" i="34"/>
  <c r="CL30" i="34"/>
  <c r="CL34" i="34"/>
  <c r="CL27" i="34"/>
  <c r="CK74" i="34"/>
  <c r="CL74" i="34"/>
  <c r="S48" i="34"/>
  <c r="C186" i="34"/>
  <c r="CK28" i="34"/>
  <c r="B278" i="34" s="1"/>
  <c r="CK33" i="34"/>
  <c r="CK27" i="34"/>
  <c r="N70" i="36"/>
  <c r="N88" i="36"/>
  <c r="N86" i="36"/>
  <c r="N65" i="36"/>
  <c r="M63" i="34"/>
  <c r="CG22" i="33"/>
  <c r="CL28" i="34"/>
  <c r="AI29" i="33"/>
  <c r="CK32" i="34"/>
  <c r="CK24" i="34"/>
  <c r="CL32" i="34"/>
  <c r="CL24" i="34"/>
  <c r="M65" i="34"/>
  <c r="C194" i="34"/>
  <c r="N18" i="36"/>
  <c r="T24" i="34"/>
  <c r="CK22" i="34"/>
  <c r="CL22" i="34"/>
  <c r="N42" i="36"/>
  <c r="CG35" i="33"/>
  <c r="N47" i="36"/>
  <c r="CF24" i="33"/>
  <c r="CH21" i="33"/>
  <c r="AI25" i="33"/>
  <c r="CK49" i="34"/>
  <c r="CL49" i="34"/>
  <c r="CK48" i="34"/>
  <c r="CL48" i="34"/>
  <c r="CK31" i="34"/>
  <c r="T39" i="34"/>
  <c r="CL31" i="34"/>
  <c r="CK46" i="34"/>
  <c r="CL46" i="34"/>
  <c r="CK47" i="34"/>
  <c r="CL47" i="34"/>
  <c r="CL215" i="34"/>
  <c r="CK39" i="34"/>
  <c r="C208" i="34"/>
  <c r="N43" i="36"/>
  <c r="N31" i="36"/>
  <c r="N78" i="36"/>
  <c r="N84" i="36"/>
  <c r="N83" i="36"/>
  <c r="N45" i="36"/>
  <c r="N44" i="36"/>
  <c r="N32" i="36"/>
  <c r="N64" i="36"/>
  <c r="N27" i="36"/>
  <c r="N12" i="36"/>
  <c r="N19" i="36"/>
  <c r="N28" i="36"/>
  <c r="N29" i="36"/>
  <c r="N30" i="36"/>
  <c r="CL29" i="34"/>
  <c r="T37" i="34"/>
  <c r="CL26" i="34"/>
  <c r="M67" i="34"/>
  <c r="CK41" i="34"/>
  <c r="CK37" i="34"/>
  <c r="CL33" i="34"/>
  <c r="C97" i="34"/>
  <c r="CL41" i="34"/>
  <c r="CL37" i="34"/>
  <c r="CK23" i="34"/>
  <c r="CK21" i="34"/>
  <c r="CL23" i="34"/>
  <c r="CL21" i="34"/>
  <c r="CK56" i="34"/>
  <c r="CK73" i="34"/>
  <c r="CL73" i="34"/>
  <c r="CF30" i="33"/>
  <c r="CG30" i="33"/>
  <c r="CL35" i="34"/>
  <c r="CF35" i="33"/>
  <c r="CK26" i="34"/>
  <c r="B21" i="33"/>
  <c r="CK35" i="34"/>
  <c r="CV90" i="32"/>
  <c r="CV91" i="32"/>
  <c r="CU91" i="32"/>
  <c r="AI30" i="33"/>
  <c r="B54" i="34"/>
  <c r="M66" i="34"/>
  <c r="M62" i="34"/>
  <c r="CL213" i="34"/>
  <c r="CK213" i="34"/>
  <c r="CL214" i="34"/>
  <c r="CK214" i="34"/>
  <c r="M64" i="34"/>
  <c r="CV93" i="32"/>
  <c r="CU93" i="32"/>
  <c r="AD154" i="34" l="1"/>
  <c r="AD124" i="34"/>
  <c r="AD130" i="34"/>
  <c r="AD127" i="34"/>
  <c r="AD125" i="34"/>
  <c r="AI35" i="33"/>
  <c r="AI92" i="32"/>
  <c r="AI88" i="32"/>
  <c r="AI91" i="32"/>
  <c r="AI21" i="33"/>
  <c r="AJ206" i="34"/>
  <c r="AD157" i="34"/>
  <c r="B51" i="33"/>
  <c r="AJ207" i="34"/>
  <c r="T26" i="34"/>
  <c r="K72" i="34"/>
  <c r="T30" i="34"/>
  <c r="T32" i="34"/>
  <c r="T29" i="34"/>
  <c r="K74" i="34"/>
  <c r="K73" i="34"/>
  <c r="T40" i="34"/>
  <c r="T20" i="34"/>
  <c r="T25" i="34"/>
  <c r="D5" i="18"/>
  <c r="K56" i="34"/>
  <c r="S49" i="34"/>
  <c r="AI24" i="33"/>
  <c r="S47" i="34"/>
  <c r="K57" i="34"/>
  <c r="D7" i="18" l="1"/>
  <c r="E7" i="18"/>
  <c r="D6" i="18"/>
  <c r="I203" i="31"/>
  <c r="H203" i="31"/>
  <c r="G203" i="31"/>
  <c r="F203" i="31"/>
  <c r="E203" i="31"/>
  <c r="D202" i="31"/>
  <c r="D201" i="31"/>
  <c r="D200" i="31"/>
  <c r="D199" i="31"/>
  <c r="D198" i="31"/>
  <c r="D197" i="31"/>
  <c r="D196" i="31"/>
  <c r="D195" i="31"/>
  <c r="D194" i="31"/>
  <c r="D193" i="31"/>
  <c r="D192" i="31"/>
  <c r="D191" i="31"/>
  <c r="D190" i="31"/>
  <c r="D189" i="31"/>
  <c r="D188" i="31"/>
  <c r="D187" i="31"/>
  <c r="D186" i="31"/>
  <c r="D185" i="31"/>
  <c r="D184" i="31"/>
  <c r="D183" i="31"/>
  <c r="D182" i="31"/>
  <c r="D181" i="31"/>
  <c r="D180" i="31"/>
  <c r="D179" i="31"/>
  <c r="D178" i="31"/>
  <c r="D177" i="31"/>
  <c r="D176" i="31"/>
  <c r="D175" i="31"/>
  <c r="D174" i="31"/>
  <c r="D173" i="31"/>
  <c r="D172" i="31"/>
  <c r="D171" i="31"/>
  <c r="CN149" i="31"/>
  <c r="CM149" i="31"/>
  <c r="CL149" i="31"/>
  <c r="CK149" i="31"/>
  <c r="CN148" i="31"/>
  <c r="CM148" i="31"/>
  <c r="CL148" i="31"/>
  <c r="CK148" i="31"/>
  <c r="B144" i="31"/>
  <c r="B143" i="31"/>
  <c r="D130" i="31"/>
  <c r="D129" i="31"/>
  <c r="D128" i="31"/>
  <c r="D127" i="31"/>
  <c r="D126" i="31"/>
  <c r="D125" i="31"/>
  <c r="D124" i="31"/>
  <c r="D123" i="31"/>
  <c r="D122" i="31"/>
  <c r="CA122" i="31" s="1"/>
  <c r="E118" i="31"/>
  <c r="E117" i="31"/>
  <c r="CC117" i="31" s="1"/>
  <c r="E116" i="31"/>
  <c r="A249" i="31" s="1"/>
  <c r="CN23" i="31"/>
  <c r="CA172" i="31" l="1"/>
  <c r="J172" i="31" s="1"/>
  <c r="CK172" i="31"/>
  <c r="CA180" i="31"/>
  <c r="J180" i="31" s="1"/>
  <c r="CK180" i="31"/>
  <c r="CA188" i="31"/>
  <c r="J188" i="31" s="1"/>
  <c r="CK188" i="31"/>
  <c r="CA196" i="31"/>
  <c r="J196" i="31" s="1"/>
  <c r="CK196" i="31"/>
  <c r="CK173" i="31"/>
  <c r="CA173" i="31"/>
  <c r="J173" i="31" s="1"/>
  <c r="CK174" i="31"/>
  <c r="CA174" i="31"/>
  <c r="J174" i="31" s="1"/>
  <c r="CK182" i="31"/>
  <c r="CA182" i="31"/>
  <c r="J182" i="31" s="1"/>
  <c r="CK190" i="31"/>
  <c r="CA190" i="31"/>
  <c r="J190" i="31" s="1"/>
  <c r="CA198" i="31"/>
  <c r="J198" i="31" s="1"/>
  <c r="CK198" i="31"/>
  <c r="CA195" i="31"/>
  <c r="J195" i="31" s="1"/>
  <c r="CK195" i="31"/>
  <c r="CK181" i="31"/>
  <c r="CA181" i="31"/>
  <c r="J181" i="31" s="1"/>
  <c r="CK189" i="31"/>
  <c r="CA189" i="31"/>
  <c r="J189" i="31" s="1"/>
  <c r="CK197" i="31"/>
  <c r="CA197" i="31"/>
  <c r="J197" i="31" s="1"/>
  <c r="CA175" i="31"/>
  <c r="J175" i="31" s="1"/>
  <c r="CK175" i="31"/>
  <c r="CA183" i="31"/>
  <c r="J183" i="31" s="1"/>
  <c r="CK183" i="31"/>
  <c r="CA191" i="31"/>
  <c r="J191" i="31" s="1"/>
  <c r="CK191" i="31"/>
  <c r="CA199" i="31"/>
  <c r="J199" i="31" s="1"/>
  <c r="CK199" i="31"/>
  <c r="CA187" i="31"/>
  <c r="J187" i="31" s="1"/>
  <c r="CK187" i="31"/>
  <c r="CA176" i="31"/>
  <c r="J176" i="31" s="1"/>
  <c r="CK176" i="31"/>
  <c r="CA184" i="31"/>
  <c r="J184" i="31" s="1"/>
  <c r="CK184" i="31"/>
  <c r="CA192" i="31"/>
  <c r="J192" i="31" s="1"/>
  <c r="CK192" i="31"/>
  <c r="CA200" i="31"/>
  <c r="J200" i="31" s="1"/>
  <c r="CK200" i="31"/>
  <c r="CA179" i="31"/>
  <c r="J179" i="31" s="1"/>
  <c r="CK179" i="31"/>
  <c r="CA177" i="31"/>
  <c r="J177" i="31" s="1"/>
  <c r="CK177" i="31"/>
  <c r="CK185" i="31"/>
  <c r="CA185" i="31"/>
  <c r="J185" i="31" s="1"/>
  <c r="CA193" i="31"/>
  <c r="J193" i="31" s="1"/>
  <c r="CK193" i="31"/>
  <c r="CK201" i="31"/>
  <c r="CA201" i="31"/>
  <c r="J201" i="31" s="1"/>
  <c r="CA178" i="31"/>
  <c r="J178" i="31" s="1"/>
  <c r="CK178" i="31"/>
  <c r="CK186" i="31"/>
  <c r="CA186" i="31"/>
  <c r="J186" i="31" s="1"/>
  <c r="CK194" i="31"/>
  <c r="CA194" i="31"/>
  <c r="J194" i="31" s="1"/>
  <c r="CK202" i="31"/>
  <c r="CA202" i="31"/>
  <c r="J202" i="31" s="1"/>
  <c r="CA171" i="31"/>
  <c r="J171" i="31" s="1"/>
  <c r="CK171" i="31"/>
  <c r="CA123" i="31"/>
  <c r="M123" i="31" s="1"/>
  <c r="CA124" i="31"/>
  <c r="M124" i="31" s="1"/>
  <c r="CA125" i="31"/>
  <c r="M125" i="31" s="1"/>
  <c r="CA127" i="31"/>
  <c r="M127" i="31" s="1"/>
  <c r="CA128" i="31"/>
  <c r="M128" i="31" s="1"/>
  <c r="CA129" i="31"/>
  <c r="M129" i="31" s="1"/>
  <c r="CA126" i="31"/>
  <c r="M126" i="31" s="1"/>
  <c r="CA130" i="31"/>
  <c r="M130" i="31" s="1"/>
  <c r="CC116" i="31"/>
  <c r="CL118" i="31"/>
  <c r="CC118" i="31"/>
  <c r="CK122" i="31"/>
  <c r="M122" i="31"/>
  <c r="CB116" i="31"/>
  <c r="CA116" i="31"/>
  <c r="CM116" i="31"/>
  <c r="CB20" i="31"/>
  <c r="CC20" i="31"/>
  <c r="CO11" i="31"/>
  <c r="CN11" i="31"/>
  <c r="CD11" i="31"/>
  <c r="AJ11" i="31" s="1"/>
  <c r="CM11" i="31"/>
  <c r="B249" i="31" s="1"/>
  <c r="CM30" i="31"/>
  <c r="CN30" i="31"/>
  <c r="CO30" i="31"/>
  <c r="CC30" i="31"/>
  <c r="CP30" i="31"/>
  <c r="CD30" i="31"/>
  <c r="CE30" i="31"/>
  <c r="CF30" i="31"/>
  <c r="CE31" i="31"/>
  <c r="CF31" i="31"/>
  <c r="CM31" i="31"/>
  <c r="CD31" i="31"/>
  <c r="CN31" i="31"/>
  <c r="CO31" i="31"/>
  <c r="CP31" i="31"/>
  <c r="CC31" i="31"/>
  <c r="CM26" i="31"/>
  <c r="CN26" i="31"/>
  <c r="CP26" i="31"/>
  <c r="CC26" i="31"/>
  <c r="CD26" i="31"/>
  <c r="CF26" i="31"/>
  <c r="CN28" i="31"/>
  <c r="CM28" i="31"/>
  <c r="CO28" i="31"/>
  <c r="CP28" i="31"/>
  <c r="CC28" i="31"/>
  <c r="CD28" i="31"/>
  <c r="CF28" i="31"/>
  <c r="CE29" i="31"/>
  <c r="CF29" i="31"/>
  <c r="CC29" i="31"/>
  <c r="CD29" i="31"/>
  <c r="CM29" i="31"/>
  <c r="CN29" i="31"/>
  <c r="CP29" i="31"/>
  <c r="CO29" i="31"/>
  <c r="CF27" i="31"/>
  <c r="CC27" i="31"/>
  <c r="CM27" i="31"/>
  <c r="CN27" i="31"/>
  <c r="CP27" i="31"/>
  <c r="CD27" i="31"/>
  <c r="CN43" i="31"/>
  <c r="CE43" i="31"/>
  <c r="CF43" i="31"/>
  <c r="CO43" i="31"/>
  <c r="CP43" i="31"/>
  <c r="CM43" i="31"/>
  <c r="CD43" i="31"/>
  <c r="CC43" i="31"/>
  <c r="CN45" i="31"/>
  <c r="CE45" i="31"/>
  <c r="CO45" i="31"/>
  <c r="CF45" i="31"/>
  <c r="CP45" i="31"/>
  <c r="CM45" i="31"/>
  <c r="CC45" i="31"/>
  <c r="CD45" i="31"/>
  <c r="CM44" i="31"/>
  <c r="CD44" i="31"/>
  <c r="CN44" i="31"/>
  <c r="CE44" i="31"/>
  <c r="CC44" i="31"/>
  <c r="CO44" i="31"/>
  <c r="CF44" i="31"/>
  <c r="CP44" i="31"/>
  <c r="CN38" i="31"/>
  <c r="CO38" i="31"/>
  <c r="CP38" i="31"/>
  <c r="CC38" i="31"/>
  <c r="CD38" i="31"/>
  <c r="CE38" i="31"/>
  <c r="CM38" i="31"/>
  <c r="CF38" i="31"/>
  <c r="CE39" i="31"/>
  <c r="CF39" i="31"/>
  <c r="CM39" i="31"/>
  <c r="CN39" i="31"/>
  <c r="CO39" i="31"/>
  <c r="CP39" i="31"/>
  <c r="CC39" i="31"/>
  <c r="CD39" i="31"/>
  <c r="CN42" i="31"/>
  <c r="CO42" i="31"/>
  <c r="CP42" i="31"/>
  <c r="CC42" i="31"/>
  <c r="CD42" i="31"/>
  <c r="CM42" i="31"/>
  <c r="CE42" i="31"/>
  <c r="CF42" i="31"/>
  <c r="CN40" i="31"/>
  <c r="CO40" i="31"/>
  <c r="CP40" i="31"/>
  <c r="CC40" i="31"/>
  <c r="CM40" i="31"/>
  <c r="CD40" i="31"/>
  <c r="CE40" i="31"/>
  <c r="CF40" i="31"/>
  <c r="CE41" i="31"/>
  <c r="CF41" i="31"/>
  <c r="CD41" i="31"/>
  <c r="CM41" i="31"/>
  <c r="CN41" i="31"/>
  <c r="CO41" i="31"/>
  <c r="CP41" i="31"/>
  <c r="CC41" i="31"/>
  <c r="CN37" i="31"/>
  <c r="CE37" i="31"/>
  <c r="CF37" i="31"/>
  <c r="CD37" i="31"/>
  <c r="CM37" i="31"/>
  <c r="CP37" i="31"/>
  <c r="CC37" i="31"/>
  <c r="CO37" i="31"/>
  <c r="CN32" i="31"/>
  <c r="CO32" i="31"/>
  <c r="CP32" i="31"/>
  <c r="CC32" i="31"/>
  <c r="CD32" i="31"/>
  <c r="CE32" i="31"/>
  <c r="CF32" i="31"/>
  <c r="CM32" i="31"/>
  <c r="CE35" i="31"/>
  <c r="CF35" i="31"/>
  <c r="CM35" i="31"/>
  <c r="CD35" i="31"/>
  <c r="CN35" i="31"/>
  <c r="CO35" i="31"/>
  <c r="CP35" i="31"/>
  <c r="CC35" i="31"/>
  <c r="CN36" i="31"/>
  <c r="CO36" i="31"/>
  <c r="CM36" i="31"/>
  <c r="CP36" i="31"/>
  <c r="CC36" i="31"/>
  <c r="CD36" i="31"/>
  <c r="CE36" i="31"/>
  <c r="CF36" i="31"/>
  <c r="CN34" i="31"/>
  <c r="CO34" i="31"/>
  <c r="CP34" i="31"/>
  <c r="CC34" i="31"/>
  <c r="CD34" i="31"/>
  <c r="CE34" i="31"/>
  <c r="CM34" i="31"/>
  <c r="CF34" i="31"/>
  <c r="CE33" i="31"/>
  <c r="CF33" i="31"/>
  <c r="CD33" i="31"/>
  <c r="CM33" i="31"/>
  <c r="CN33" i="31"/>
  <c r="CO33" i="31"/>
  <c r="CP33" i="31"/>
  <c r="CC33" i="31"/>
  <c r="CM25" i="31"/>
  <c r="CD25" i="31"/>
  <c r="CN25" i="31"/>
  <c r="CF25" i="31"/>
  <c r="CP25" i="31"/>
  <c r="CC25" i="31"/>
  <c r="CM22" i="31"/>
  <c r="CN22" i="31"/>
  <c r="CC22" i="31"/>
  <c r="CO22" i="31"/>
  <c r="CD22" i="31"/>
  <c r="CP22" i="31"/>
  <c r="CE22" i="31"/>
  <c r="CN24" i="31"/>
  <c r="CC24" i="31"/>
  <c r="CP24" i="31"/>
  <c r="CD24" i="31"/>
  <c r="CF24" i="31"/>
  <c r="CM24" i="31"/>
  <c r="CC23" i="31"/>
  <c r="CM23" i="31"/>
  <c r="CP23" i="31"/>
  <c r="CD23" i="31"/>
  <c r="CF23" i="31"/>
  <c r="CM14" i="31"/>
  <c r="CN14" i="31"/>
  <c r="CO14" i="31"/>
  <c r="CC14" i="31"/>
  <c r="CP14" i="31"/>
  <c r="CD14" i="31"/>
  <c r="CE14" i="31"/>
  <c r="CF14" i="31"/>
  <c r="CM12" i="31"/>
  <c r="CN12" i="31"/>
  <c r="CB12" i="31"/>
  <c r="CO12" i="31"/>
  <c r="CC12" i="31"/>
  <c r="CP12" i="31"/>
  <c r="CD12" i="31"/>
  <c r="CE12" i="31"/>
  <c r="CF12" i="31"/>
  <c r="CE13" i="31"/>
  <c r="CF13" i="31"/>
  <c r="CD13" i="31"/>
  <c r="CM13" i="31"/>
  <c r="CN13" i="31"/>
  <c r="CO13" i="31"/>
  <c r="CC13" i="31"/>
  <c r="CP13" i="31"/>
  <c r="CE15" i="31"/>
  <c r="CF15" i="31"/>
  <c r="CM15" i="31"/>
  <c r="CN15" i="31"/>
  <c r="CP15" i="31"/>
  <c r="CD15" i="31"/>
  <c r="CO15" i="31"/>
  <c r="CC15" i="31"/>
  <c r="CM18" i="31"/>
  <c r="CN18" i="31"/>
  <c r="CO18" i="31"/>
  <c r="CC18" i="31"/>
  <c r="CP18" i="31"/>
  <c r="CD18" i="31"/>
  <c r="CE18" i="31"/>
  <c r="CF18" i="31"/>
  <c r="CM20" i="31"/>
  <c r="CN20" i="31"/>
  <c r="CO20" i="31"/>
  <c r="CP20" i="31"/>
  <c r="CD20" i="31"/>
  <c r="CE20" i="31"/>
  <c r="CE21" i="31"/>
  <c r="CF21" i="31"/>
  <c r="CP21" i="31"/>
  <c r="CM21" i="31"/>
  <c r="CN21" i="31"/>
  <c r="CO21" i="31"/>
  <c r="CC21" i="31"/>
  <c r="CD21" i="31"/>
  <c r="CM16" i="31"/>
  <c r="CN16" i="31"/>
  <c r="CO16" i="31"/>
  <c r="CC16" i="31"/>
  <c r="CP16" i="31"/>
  <c r="CD16" i="31"/>
  <c r="CE16" i="31"/>
  <c r="CF16" i="31"/>
  <c r="CE19" i="31"/>
  <c r="CF19" i="31"/>
  <c r="CP19" i="31"/>
  <c r="CM19" i="31"/>
  <c r="CD19" i="31"/>
  <c r="CN19" i="31"/>
  <c r="CO19" i="31"/>
  <c r="CC19" i="31"/>
  <c r="CE17" i="31"/>
  <c r="CD17" i="31"/>
  <c r="CF17" i="31"/>
  <c r="CM17" i="31"/>
  <c r="CP17" i="31"/>
  <c r="CN17" i="31"/>
  <c r="CO17" i="31"/>
  <c r="CC17" i="31"/>
  <c r="CL116" i="31"/>
  <c r="CK116" i="31"/>
  <c r="CB117" i="31"/>
  <c r="CA117" i="31"/>
  <c r="CK117" i="31"/>
  <c r="CL117" i="31"/>
  <c r="CM117" i="31"/>
  <c r="CA118" i="31"/>
  <c r="CM118" i="31"/>
  <c r="CB118" i="31"/>
  <c r="CK118" i="31"/>
  <c r="CL19" i="31"/>
  <c r="CL26" i="31"/>
  <c r="CL32" i="31"/>
  <c r="CL44" i="31"/>
  <c r="CL45" i="31"/>
  <c r="CL17" i="31"/>
  <c r="CL35" i="31"/>
  <c r="CL34" i="31"/>
  <c r="CB44" i="31"/>
  <c r="CL25" i="31"/>
  <c r="CL38" i="31"/>
  <c r="CL22" i="31"/>
  <c r="CL16" i="31"/>
  <c r="CL33" i="31"/>
  <c r="CL20" i="31"/>
  <c r="CB32" i="31"/>
  <c r="CB34" i="31"/>
  <c r="CB38" i="31"/>
  <c r="CB29" i="31"/>
  <c r="CL41" i="31"/>
  <c r="CL40" i="31"/>
  <c r="CB40" i="31"/>
  <c r="CL39" i="31"/>
  <c r="CL29" i="31"/>
  <c r="CK130" i="31"/>
  <c r="CL18" i="31"/>
  <c r="CL21" i="31"/>
  <c r="CB27" i="31"/>
  <c r="CL28" i="31"/>
  <c r="CL31" i="31"/>
  <c r="CB36" i="31"/>
  <c r="CL37" i="31"/>
  <c r="CB42" i="31"/>
  <c r="CL43" i="31"/>
  <c r="CK127" i="31"/>
  <c r="CB28" i="31"/>
  <c r="CB31" i="31"/>
  <c r="CB37" i="31"/>
  <c r="CB43" i="31"/>
  <c r="CL13" i="31"/>
  <c r="CL14" i="31"/>
  <c r="CB26" i="31"/>
  <c r="CL27" i="31"/>
  <c r="CB35" i="31"/>
  <c r="CL36" i="31"/>
  <c r="CB41" i="31"/>
  <c r="CL42" i="31"/>
  <c r="CK123" i="31"/>
  <c r="CK128" i="31"/>
  <c r="CK129" i="31"/>
  <c r="I149" i="31"/>
  <c r="CK125" i="31"/>
  <c r="CB14" i="31"/>
  <c r="CK126" i="31"/>
  <c r="CB13" i="31"/>
  <c r="CB30" i="31"/>
  <c r="CB33" i="31"/>
  <c r="CB39" i="31"/>
  <c r="CB45" i="31"/>
  <c r="CK124" i="31"/>
  <c r="CB24" i="31"/>
  <c r="CL24" i="31"/>
  <c r="CB23" i="31"/>
  <c r="CL23" i="31"/>
  <c r="CL12" i="31"/>
  <c r="CL30" i="31"/>
  <c r="CB16" i="31"/>
  <c r="CB17" i="31"/>
  <c r="CB18" i="31"/>
  <c r="CB19" i="31"/>
  <c r="CB21" i="31"/>
  <c r="CB15" i="31"/>
  <c r="CL15" i="31"/>
  <c r="D203" i="31"/>
  <c r="CK212" i="31" l="1"/>
  <c r="CA212" i="31"/>
  <c r="AI212" i="31" s="1"/>
  <c r="CK209" i="31"/>
  <c r="CA209" i="31"/>
  <c r="AI209" i="31" s="1"/>
  <c r="CK214" i="31"/>
  <c r="CA214" i="31"/>
  <c r="AI214" i="31" s="1"/>
  <c r="CK211" i="31"/>
  <c r="CA211" i="31"/>
  <c r="AI211" i="31" s="1"/>
  <c r="AI208" i="31"/>
  <c r="CA213" i="31"/>
  <c r="AI213" i="31" s="1"/>
  <c r="CK210" i="31"/>
  <c r="CA210" i="31"/>
  <c r="AI210" i="31" s="1"/>
  <c r="X116" i="31"/>
  <c r="X117" i="31"/>
  <c r="X118" i="31"/>
  <c r="CK213" i="31"/>
  <c r="C105" i="29" l="1"/>
  <c r="C104" i="29"/>
  <c r="C106" i="29"/>
  <c r="CG106" i="29" l="1"/>
  <c r="CH106" i="29"/>
  <c r="AM106" i="29" s="1"/>
  <c r="CI106" i="29"/>
  <c r="CW106" i="29"/>
  <c r="CV106" i="29"/>
  <c r="CU106" i="29"/>
  <c r="CI104" i="29"/>
  <c r="CU104" i="29"/>
  <c r="CV104" i="29"/>
  <c r="CW104" i="29"/>
  <c r="CH104" i="29"/>
  <c r="CG104" i="29"/>
  <c r="CI105" i="29"/>
  <c r="CG105" i="29"/>
  <c r="CH105" i="29"/>
  <c r="CU105" i="29"/>
  <c r="CV105" i="29"/>
  <c r="CW105" i="29"/>
  <c r="AZ97" i="29"/>
  <c r="AZ96" i="29"/>
  <c r="AZ95" i="29"/>
  <c r="AM104" i="29" l="1"/>
  <c r="AM105" i="29"/>
  <c r="E366" i="29"/>
  <c r="D366" i="29"/>
  <c r="E365" i="29"/>
  <c r="D365" i="29"/>
  <c r="E364" i="29"/>
  <c r="D364" i="29"/>
  <c r="E363" i="29"/>
  <c r="D363" i="29"/>
  <c r="E362" i="29"/>
  <c r="D362" i="29"/>
  <c r="E361" i="29"/>
  <c r="D361" i="29"/>
  <c r="E360" i="29"/>
  <c r="D360" i="29"/>
  <c r="E359" i="29"/>
  <c r="D359" i="29"/>
  <c r="E358" i="29"/>
  <c r="D358" i="29"/>
  <c r="E357" i="29"/>
  <c r="D357" i="29"/>
  <c r="D352" i="29"/>
  <c r="CF352" i="29" s="1"/>
  <c r="C352" i="29"/>
  <c r="D351" i="29"/>
  <c r="CF351" i="29" s="1"/>
  <c r="C351" i="29"/>
  <c r="CG351" i="29" s="1"/>
  <c r="E346" i="29"/>
  <c r="CA346" i="29" s="1"/>
  <c r="D346" i="29"/>
  <c r="E345" i="29"/>
  <c r="D345" i="29"/>
  <c r="E344" i="29"/>
  <c r="D344" i="29"/>
  <c r="E339" i="29"/>
  <c r="CA339" i="29" s="1"/>
  <c r="D339" i="29"/>
  <c r="E338" i="29"/>
  <c r="CA338" i="29" s="1"/>
  <c r="D338" i="29"/>
  <c r="E337" i="29"/>
  <c r="CA337" i="29" s="1"/>
  <c r="D337" i="29"/>
  <c r="E336" i="29"/>
  <c r="CA336" i="29" s="1"/>
  <c r="D336" i="29"/>
  <c r="E335" i="29"/>
  <c r="CA335" i="29" s="1"/>
  <c r="D335" i="29"/>
  <c r="E334" i="29"/>
  <c r="D334" i="29"/>
  <c r="E333" i="29"/>
  <c r="D333" i="29"/>
  <c r="E332" i="29"/>
  <c r="CA332" i="29" s="1"/>
  <c r="D332" i="29"/>
  <c r="E331" i="29"/>
  <c r="CA331" i="29" s="1"/>
  <c r="D331" i="29"/>
  <c r="E330" i="29"/>
  <c r="CA330" i="29" s="1"/>
  <c r="D330" i="29"/>
  <c r="CB330" i="29" s="1"/>
  <c r="E329" i="29"/>
  <c r="CA329" i="29" s="1"/>
  <c r="E324" i="29"/>
  <c r="D324" i="29"/>
  <c r="E323" i="29"/>
  <c r="D323" i="29"/>
  <c r="E322" i="29"/>
  <c r="D322" i="29"/>
  <c r="E321" i="29"/>
  <c r="D321" i="29"/>
  <c r="E320" i="29"/>
  <c r="D320" i="29"/>
  <c r="E319" i="29"/>
  <c r="D319" i="29"/>
  <c r="E318" i="29"/>
  <c r="D318" i="29"/>
  <c r="E317" i="29"/>
  <c r="D317" i="29"/>
  <c r="E316" i="29"/>
  <c r="D316" i="29"/>
  <c r="E315" i="29"/>
  <c r="CP315" i="29" s="1"/>
  <c r="E314" i="29"/>
  <c r="CP314" i="29" s="1"/>
  <c r="E313" i="29"/>
  <c r="CP313" i="29" s="1"/>
  <c r="E312" i="29"/>
  <c r="CP312" i="29" s="1"/>
  <c r="E311" i="29"/>
  <c r="CP311" i="29" s="1"/>
  <c r="E310" i="29"/>
  <c r="CP310" i="29" s="1"/>
  <c r="E309" i="29"/>
  <c r="CP309" i="29" s="1"/>
  <c r="E308" i="29"/>
  <c r="CP308" i="29" s="1"/>
  <c r="E307" i="29"/>
  <c r="CB307" i="29" s="1"/>
  <c r="AV306" i="29"/>
  <c r="AU306" i="29"/>
  <c r="AT306" i="29"/>
  <c r="AS306" i="29"/>
  <c r="AR306" i="29"/>
  <c r="AQ306" i="29"/>
  <c r="AP306" i="29"/>
  <c r="AO306" i="29"/>
  <c r="AN306" i="29"/>
  <c r="AM306" i="29"/>
  <c r="AL306" i="29"/>
  <c r="AK306" i="29"/>
  <c r="AJ306" i="29"/>
  <c r="AI306" i="29"/>
  <c r="AH306" i="29"/>
  <c r="AG306" i="29"/>
  <c r="AF306" i="29"/>
  <c r="AE306" i="29"/>
  <c r="AD306" i="29"/>
  <c r="AC306" i="29"/>
  <c r="AB306" i="29"/>
  <c r="AA306" i="29"/>
  <c r="Z306" i="29"/>
  <c r="Y306" i="29"/>
  <c r="X306" i="29"/>
  <c r="W306" i="29"/>
  <c r="V306" i="29"/>
  <c r="U306" i="29"/>
  <c r="T306" i="29"/>
  <c r="S306" i="29"/>
  <c r="R306" i="29"/>
  <c r="Q306" i="29"/>
  <c r="P306" i="29"/>
  <c r="O306" i="29"/>
  <c r="N306" i="29"/>
  <c r="M306" i="29"/>
  <c r="L306" i="29"/>
  <c r="K306" i="29"/>
  <c r="J306" i="29"/>
  <c r="I306" i="29"/>
  <c r="H306" i="29"/>
  <c r="G306" i="29"/>
  <c r="F306" i="29"/>
  <c r="E301" i="29"/>
  <c r="D301" i="29"/>
  <c r="E300" i="29"/>
  <c r="D300" i="29"/>
  <c r="E299" i="29"/>
  <c r="D299" i="29"/>
  <c r="E298" i="29"/>
  <c r="D298" i="29"/>
  <c r="E293" i="29"/>
  <c r="D293" i="29"/>
  <c r="CD293" i="29" s="1"/>
  <c r="E292" i="29"/>
  <c r="D292" i="29"/>
  <c r="CD292" i="29" s="1"/>
  <c r="E291" i="29"/>
  <c r="D291" i="29"/>
  <c r="CD291" i="29" s="1"/>
  <c r="E290" i="29"/>
  <c r="D290" i="29"/>
  <c r="CD290" i="29" s="1"/>
  <c r="E289" i="29"/>
  <c r="D289" i="29"/>
  <c r="CD289" i="29" s="1"/>
  <c r="E288" i="29"/>
  <c r="D288" i="29"/>
  <c r="CD288" i="29" s="1"/>
  <c r="E287" i="29"/>
  <c r="D287" i="29"/>
  <c r="CD287" i="29" s="1"/>
  <c r="E286" i="29"/>
  <c r="D286" i="29"/>
  <c r="CD286" i="29" s="1"/>
  <c r="E285" i="29"/>
  <c r="D285" i="29"/>
  <c r="CD285" i="29" s="1"/>
  <c r="E284" i="29"/>
  <c r="D284" i="29"/>
  <c r="CD284" i="29" s="1"/>
  <c r="E283" i="29"/>
  <c r="D283" i="29"/>
  <c r="CD283" i="29" s="1"/>
  <c r="E282" i="29"/>
  <c r="D282" i="29"/>
  <c r="CD282" i="29" s="1"/>
  <c r="E281" i="29"/>
  <c r="D281" i="29"/>
  <c r="CD281" i="29" s="1"/>
  <c r="E280" i="29"/>
  <c r="D280" i="29"/>
  <c r="CD280" i="29" s="1"/>
  <c r="E279" i="29"/>
  <c r="D279" i="29"/>
  <c r="CD279" i="29" s="1"/>
  <c r="E278" i="29"/>
  <c r="D278" i="29"/>
  <c r="CD278" i="29" s="1"/>
  <c r="E277" i="29"/>
  <c r="D277" i="29"/>
  <c r="CD277" i="29" s="1"/>
  <c r="E276" i="29"/>
  <c r="D276" i="29"/>
  <c r="CD276" i="29" s="1"/>
  <c r="E275" i="29"/>
  <c r="D275" i="29"/>
  <c r="CD275" i="29" s="1"/>
  <c r="E274" i="29"/>
  <c r="CC274" i="29" s="1"/>
  <c r="D274" i="29"/>
  <c r="CD274" i="29" s="1"/>
  <c r="E273" i="29"/>
  <c r="CB273" i="29" s="1"/>
  <c r="D273" i="29"/>
  <c r="CD273" i="29" s="1"/>
  <c r="E272" i="29"/>
  <c r="CB272" i="29" s="1"/>
  <c r="D272" i="29"/>
  <c r="CD272" i="29" s="1"/>
  <c r="E271" i="29"/>
  <c r="CB271" i="29" s="1"/>
  <c r="D271" i="29"/>
  <c r="CD271" i="29" s="1"/>
  <c r="E270" i="29"/>
  <c r="CB270" i="29" s="1"/>
  <c r="D270" i="29"/>
  <c r="CD270" i="29" s="1"/>
  <c r="E269" i="29"/>
  <c r="CB269" i="29" s="1"/>
  <c r="D269" i="29"/>
  <c r="CD269" i="29" s="1"/>
  <c r="E268" i="29"/>
  <c r="D268" i="29"/>
  <c r="CD268" i="29" s="1"/>
  <c r="E267" i="29"/>
  <c r="D267" i="29"/>
  <c r="CD267" i="29" s="1"/>
  <c r="E266" i="29"/>
  <c r="D266" i="29"/>
  <c r="CD266" i="29" s="1"/>
  <c r="E265" i="29"/>
  <c r="D265" i="29"/>
  <c r="CD265" i="29" s="1"/>
  <c r="CD264" i="29"/>
  <c r="E263" i="29"/>
  <c r="D263" i="29"/>
  <c r="CD263" i="29" s="1"/>
  <c r="E262" i="29"/>
  <c r="D262" i="29"/>
  <c r="CD262" i="29" s="1"/>
  <c r="E261" i="29"/>
  <c r="D261" i="29"/>
  <c r="CD261" i="29" s="1"/>
  <c r="E260" i="29"/>
  <c r="CC260" i="29" s="1"/>
  <c r="E259" i="29"/>
  <c r="D259" i="29"/>
  <c r="E258" i="29"/>
  <c r="D258" i="29"/>
  <c r="E257" i="29"/>
  <c r="D257" i="29"/>
  <c r="E256" i="29"/>
  <c r="D256" i="29"/>
  <c r="E253" i="29"/>
  <c r="D253" i="29"/>
  <c r="E252" i="29"/>
  <c r="D252" i="29"/>
  <c r="E251" i="29"/>
  <c r="D251" i="29"/>
  <c r="E245" i="29"/>
  <c r="CD245" i="29"/>
  <c r="E241" i="29"/>
  <c r="D241" i="29"/>
  <c r="CG241" i="29" s="1"/>
  <c r="E240" i="29"/>
  <c r="D240" i="29"/>
  <c r="CG240" i="29" s="1"/>
  <c r="E239" i="29"/>
  <c r="D239" i="29"/>
  <c r="CG239" i="29" s="1"/>
  <c r="E238" i="29"/>
  <c r="D238" i="29"/>
  <c r="CG238" i="29" s="1"/>
  <c r="E237" i="29"/>
  <c r="D237" i="29"/>
  <c r="CG237" i="29" s="1"/>
  <c r="E236" i="29"/>
  <c r="D236" i="29"/>
  <c r="CG236" i="29" s="1"/>
  <c r="E235" i="29"/>
  <c r="D235" i="29"/>
  <c r="CG235" i="29" s="1"/>
  <c r="E234" i="29"/>
  <c r="D234" i="29"/>
  <c r="CG234" i="29" s="1"/>
  <c r="E233" i="29"/>
  <c r="D233" i="29"/>
  <c r="CG233" i="29" s="1"/>
  <c r="E232" i="29"/>
  <c r="D232" i="29"/>
  <c r="CG232" i="29" s="1"/>
  <c r="E231" i="29"/>
  <c r="D231" i="29"/>
  <c r="CG231" i="29" s="1"/>
  <c r="E230" i="29"/>
  <c r="D230" i="29"/>
  <c r="CG230" i="29" s="1"/>
  <c r="E229" i="29"/>
  <c r="CR229" i="29" s="1"/>
  <c r="D229" i="29"/>
  <c r="E228" i="29"/>
  <c r="D228" i="29"/>
  <c r="E227" i="29"/>
  <c r="D227" i="29"/>
  <c r="CU227" i="29" s="1"/>
  <c r="E226" i="29"/>
  <c r="D226" i="29"/>
  <c r="CG226" i="29" s="1"/>
  <c r="E225" i="29"/>
  <c r="D225" i="29"/>
  <c r="CG225" i="29" s="1"/>
  <c r="E224" i="29"/>
  <c r="D224" i="29"/>
  <c r="CG224" i="29" s="1"/>
  <c r="E223" i="29"/>
  <c r="D223" i="29"/>
  <c r="CG223" i="29" s="1"/>
  <c r="E222" i="29"/>
  <c r="D222" i="29"/>
  <c r="CG222" i="29" s="1"/>
  <c r="E221" i="29"/>
  <c r="D221" i="29"/>
  <c r="CG221" i="29" s="1"/>
  <c r="E220" i="29"/>
  <c r="D220" i="29"/>
  <c r="CG220" i="29" s="1"/>
  <c r="E219" i="29"/>
  <c r="D219" i="29"/>
  <c r="CG219" i="29" s="1"/>
  <c r="E218" i="29"/>
  <c r="D218" i="29"/>
  <c r="CG218" i="29" s="1"/>
  <c r="E217" i="29"/>
  <c r="D217" i="29"/>
  <c r="CG217" i="29" s="1"/>
  <c r="E216" i="29"/>
  <c r="D216" i="29"/>
  <c r="CG216" i="29" s="1"/>
  <c r="E215" i="29"/>
  <c r="D215" i="29"/>
  <c r="CG215" i="29" s="1"/>
  <c r="E214" i="29"/>
  <c r="D214" i="29"/>
  <c r="CG214" i="29" s="1"/>
  <c r="E213" i="29"/>
  <c r="D213" i="29"/>
  <c r="CG213" i="29" s="1"/>
  <c r="E211" i="29"/>
  <c r="D211" i="29"/>
  <c r="CG211" i="29" s="1"/>
  <c r="E210" i="29"/>
  <c r="D210" i="29"/>
  <c r="CG210" i="29" s="1"/>
  <c r="E209" i="29"/>
  <c r="D209" i="29"/>
  <c r="CG209" i="29" s="1"/>
  <c r="E208" i="29"/>
  <c r="E207" i="29"/>
  <c r="D207" i="29"/>
  <c r="CG207" i="29" s="1"/>
  <c r="E206" i="29"/>
  <c r="D206" i="29"/>
  <c r="CG206" i="29" s="1"/>
  <c r="E205" i="29"/>
  <c r="D205" i="29"/>
  <c r="CG205" i="29" s="1"/>
  <c r="E204" i="29"/>
  <c r="D204" i="29"/>
  <c r="CG204" i="29" s="1"/>
  <c r="E201" i="29"/>
  <c r="D201" i="29"/>
  <c r="CG201" i="29" s="1"/>
  <c r="E200" i="29"/>
  <c r="D200" i="29"/>
  <c r="CG200" i="29" s="1"/>
  <c r="E199" i="29"/>
  <c r="D199" i="29"/>
  <c r="CG199" i="29" s="1"/>
  <c r="E193" i="29"/>
  <c r="CA193" i="29" s="1"/>
  <c r="D193" i="29"/>
  <c r="CG193" i="29" s="1"/>
  <c r="E187" i="29"/>
  <c r="D187" i="29"/>
  <c r="E186" i="29"/>
  <c r="D186" i="29"/>
  <c r="E185" i="29"/>
  <c r="D185" i="29"/>
  <c r="E184" i="29"/>
  <c r="Q183" i="29"/>
  <c r="P183" i="29"/>
  <c r="O183" i="29"/>
  <c r="N183" i="29"/>
  <c r="M183" i="29"/>
  <c r="L183" i="29"/>
  <c r="K183" i="29"/>
  <c r="J183" i="29"/>
  <c r="I183" i="29"/>
  <c r="H183" i="29"/>
  <c r="G183" i="29"/>
  <c r="F183" i="29"/>
  <c r="E182" i="29"/>
  <c r="D182" i="29"/>
  <c r="E181" i="29"/>
  <c r="D181" i="29"/>
  <c r="E180" i="29"/>
  <c r="D180" i="29"/>
  <c r="R175" i="29"/>
  <c r="Q175" i="29"/>
  <c r="P175" i="29"/>
  <c r="O175" i="29"/>
  <c r="N175" i="29"/>
  <c r="M175" i="29"/>
  <c r="L175" i="29"/>
  <c r="K175" i="29"/>
  <c r="J175" i="29"/>
  <c r="I175" i="29"/>
  <c r="H175" i="29"/>
  <c r="G175" i="29"/>
  <c r="F175" i="29"/>
  <c r="E174" i="29"/>
  <c r="D174" i="29"/>
  <c r="E173" i="29"/>
  <c r="D173" i="29"/>
  <c r="E172" i="29"/>
  <c r="D172" i="29"/>
  <c r="E171" i="29"/>
  <c r="D171" i="29"/>
  <c r="R170" i="29"/>
  <c r="Q170" i="29"/>
  <c r="P170" i="29"/>
  <c r="O170" i="29"/>
  <c r="N170" i="29"/>
  <c r="M170" i="29"/>
  <c r="L170" i="29"/>
  <c r="K170" i="29"/>
  <c r="J170" i="29"/>
  <c r="I170" i="29"/>
  <c r="H170" i="29"/>
  <c r="G170" i="29"/>
  <c r="F170" i="29"/>
  <c r="E169" i="29"/>
  <c r="D169" i="29"/>
  <c r="E168" i="29"/>
  <c r="D168" i="29"/>
  <c r="E167" i="29"/>
  <c r="D167" i="29"/>
  <c r="O162" i="29"/>
  <c r="N162" i="29"/>
  <c r="M162" i="29"/>
  <c r="L162" i="29"/>
  <c r="K162" i="29"/>
  <c r="J162" i="29"/>
  <c r="I162" i="29"/>
  <c r="H162" i="29"/>
  <c r="G162" i="29"/>
  <c r="E161" i="29"/>
  <c r="D161" i="29"/>
  <c r="E160" i="29"/>
  <c r="D160" i="29"/>
  <c r="E159" i="29"/>
  <c r="D159" i="29"/>
  <c r="E158" i="29"/>
  <c r="D158" i="29"/>
  <c r="O157" i="29"/>
  <c r="N157" i="29"/>
  <c r="M157" i="29"/>
  <c r="L157" i="29"/>
  <c r="K157" i="29"/>
  <c r="J157" i="29"/>
  <c r="I157" i="29"/>
  <c r="H157" i="29"/>
  <c r="G157" i="29"/>
  <c r="F157" i="29"/>
  <c r="E156" i="29"/>
  <c r="D156" i="29"/>
  <c r="E155" i="29"/>
  <c r="D155" i="29"/>
  <c r="E150" i="29"/>
  <c r="D150" i="29"/>
  <c r="E149" i="29"/>
  <c r="D149" i="29"/>
  <c r="E148" i="29"/>
  <c r="D148" i="29"/>
  <c r="E147" i="29"/>
  <c r="D147" i="29"/>
  <c r="E140" i="29"/>
  <c r="D140" i="29"/>
  <c r="E139" i="29"/>
  <c r="D139" i="29"/>
  <c r="E137" i="29"/>
  <c r="D137" i="29"/>
  <c r="E136" i="29"/>
  <c r="D136" i="29"/>
  <c r="E135" i="29"/>
  <c r="D135" i="29"/>
  <c r="E134" i="29"/>
  <c r="D134" i="29"/>
  <c r="E128" i="29"/>
  <c r="D128" i="29"/>
  <c r="E126" i="29"/>
  <c r="D126" i="29"/>
  <c r="E125" i="29"/>
  <c r="D125" i="29"/>
  <c r="E123" i="29"/>
  <c r="D123" i="29"/>
  <c r="E122" i="29"/>
  <c r="D122" i="29"/>
  <c r="E121" i="29"/>
  <c r="D121" i="29"/>
  <c r="D120" i="29"/>
  <c r="E119" i="29"/>
  <c r="E114" i="29"/>
  <c r="D114" i="29"/>
  <c r="E113" i="29"/>
  <c r="D113" i="29"/>
  <c r="M111" i="29"/>
  <c r="L111" i="29"/>
  <c r="K111" i="29"/>
  <c r="J111" i="29"/>
  <c r="I111" i="29"/>
  <c r="H111" i="29"/>
  <c r="G111" i="29"/>
  <c r="C59" i="29"/>
  <c r="C58" i="29"/>
  <c r="C57" i="29"/>
  <c r="C56" i="29"/>
  <c r="C51" i="29"/>
  <c r="CB51" i="29" s="1"/>
  <c r="C50" i="29"/>
  <c r="CB50" i="29" s="1"/>
  <c r="C48" i="29"/>
  <c r="CB48" i="29" s="1"/>
  <c r="C47" i="29"/>
  <c r="CB47" i="29" s="1"/>
  <c r="C44" i="29"/>
  <c r="CB44" i="29" s="1"/>
  <c r="C43" i="29"/>
  <c r="CB43" i="29" s="1"/>
  <c r="C42" i="29"/>
  <c r="CB42" i="29" s="1"/>
  <c r="C41" i="29"/>
  <c r="CB41" i="29" s="1"/>
  <c r="C40" i="29"/>
  <c r="CB40" i="29" s="1"/>
  <c r="C39" i="29"/>
  <c r="CB39" i="29" s="1"/>
  <c r="C38" i="29"/>
  <c r="CB38" i="29" s="1"/>
  <c r="C37" i="29"/>
  <c r="CB37" i="29" s="1"/>
  <c r="B171" i="28"/>
  <c r="E167" i="28"/>
  <c r="D167" i="28"/>
  <c r="E166" i="28"/>
  <c r="D166" i="28"/>
  <c r="E165" i="28"/>
  <c r="D165" i="28"/>
  <c r="E164" i="28"/>
  <c r="D164" i="28"/>
  <c r="E163" i="28"/>
  <c r="D163" i="28"/>
  <c r="E162" i="28"/>
  <c r="D162" i="28"/>
  <c r="E161" i="28"/>
  <c r="D161" i="28"/>
  <c r="E160" i="28"/>
  <c r="D160" i="28"/>
  <c r="E159" i="28"/>
  <c r="D159" i="28"/>
  <c r="E158" i="28"/>
  <c r="D158" i="28"/>
  <c r="E157" i="28"/>
  <c r="D157" i="28"/>
  <c r="E156" i="28"/>
  <c r="D156" i="28"/>
  <c r="E155" i="28"/>
  <c r="D155" i="28"/>
  <c r="E154" i="28"/>
  <c r="D154" i="28"/>
  <c r="C149" i="28"/>
  <c r="BO149" i="28" s="1"/>
  <c r="C148" i="28"/>
  <c r="BO148" i="28" s="1"/>
  <c r="C147" i="28"/>
  <c r="C145" i="28"/>
  <c r="C144" i="28"/>
  <c r="BO144" i="28" s="1"/>
  <c r="C143" i="28"/>
  <c r="C142" i="28"/>
  <c r="C141" i="28"/>
  <c r="D137" i="28"/>
  <c r="BP137" i="28" s="1"/>
  <c r="C137" i="28"/>
  <c r="D136" i="28"/>
  <c r="BP136" i="28" s="1"/>
  <c r="C136" i="28"/>
  <c r="D135" i="28"/>
  <c r="BP135" i="28" s="1"/>
  <c r="C135" i="28"/>
  <c r="R117" i="28"/>
  <c r="L117" i="28"/>
  <c r="K117" i="28"/>
  <c r="J117" i="28"/>
  <c r="I117" i="28"/>
  <c r="H117" i="28"/>
  <c r="G117" i="28"/>
  <c r="F117" i="28"/>
  <c r="E117" i="28"/>
  <c r="D117" i="28"/>
  <c r="C117" i="28"/>
  <c r="B116" i="28"/>
  <c r="B115" i="28"/>
  <c r="E83" i="28"/>
  <c r="BO83" i="28" s="1"/>
  <c r="D83" i="28"/>
  <c r="E82" i="28"/>
  <c r="D82" i="28"/>
  <c r="E81" i="28"/>
  <c r="D81" i="28"/>
  <c r="E80" i="28"/>
  <c r="D80" i="28"/>
  <c r="B64" i="28"/>
  <c r="B63" i="28"/>
  <c r="X62" i="28"/>
  <c r="W62" i="28"/>
  <c r="V62" i="28"/>
  <c r="U62" i="28"/>
  <c r="T62" i="28"/>
  <c r="S62" i="28"/>
  <c r="R62" i="28"/>
  <c r="Q62" i="28"/>
  <c r="P62" i="28"/>
  <c r="O62" i="28"/>
  <c r="N62" i="28"/>
  <c r="M62" i="28"/>
  <c r="L62" i="28"/>
  <c r="K62" i="28"/>
  <c r="J62" i="28"/>
  <c r="I62" i="28"/>
  <c r="H62" i="28"/>
  <c r="G62" i="28"/>
  <c r="F62" i="28"/>
  <c r="E62" i="28"/>
  <c r="D62" i="28"/>
  <c r="C62" i="28"/>
  <c r="B61" i="28"/>
  <c r="X59" i="28"/>
  <c r="W59" i="28"/>
  <c r="V59" i="28"/>
  <c r="U59" i="28"/>
  <c r="T59" i="28"/>
  <c r="S59" i="28"/>
  <c r="R59" i="28"/>
  <c r="Q59" i="28"/>
  <c r="P59" i="28"/>
  <c r="O59" i="28"/>
  <c r="N59" i="28"/>
  <c r="M59" i="28"/>
  <c r="L59" i="28"/>
  <c r="K59" i="28"/>
  <c r="J59" i="28"/>
  <c r="I59" i="28"/>
  <c r="H59" i="28"/>
  <c r="G59" i="28"/>
  <c r="F59" i="28"/>
  <c r="E59" i="28"/>
  <c r="D59" i="28"/>
  <c r="D46" i="28"/>
  <c r="C46" i="28"/>
  <c r="D45" i="28"/>
  <c r="C45" i="28"/>
  <c r="D44" i="28"/>
  <c r="C44" i="28"/>
  <c r="D43" i="28"/>
  <c r="C43" i="28"/>
  <c r="D42" i="28"/>
  <c r="C42" i="28"/>
  <c r="D41" i="28"/>
  <c r="C41" i="28"/>
  <c r="D40" i="28"/>
  <c r="C40" i="28"/>
  <c r="D39" i="28"/>
  <c r="C39" i="28"/>
  <c r="D37" i="28"/>
  <c r="C37" i="28"/>
  <c r="D36" i="28"/>
  <c r="C36" i="28"/>
  <c r="D35" i="28"/>
  <c r="C35" i="28"/>
  <c r="D34" i="28"/>
  <c r="C34" i="28"/>
  <c r="D31" i="28"/>
  <c r="C31" i="28"/>
  <c r="D26" i="28"/>
  <c r="C26" i="28"/>
  <c r="D25" i="28"/>
  <c r="C25" i="28"/>
  <c r="D24" i="28"/>
  <c r="C24" i="28"/>
  <c r="D23" i="28"/>
  <c r="C23" i="28"/>
  <c r="D22" i="28"/>
  <c r="C22" i="28"/>
  <c r="D21" i="28"/>
  <c r="C21" i="28"/>
  <c r="D20" i="28"/>
  <c r="B20" i="28" s="1"/>
  <c r="D19" i="28"/>
  <c r="B19" i="28" s="1"/>
  <c r="D18" i="28"/>
  <c r="C18" i="28"/>
  <c r="D17" i="28"/>
  <c r="C17" i="28"/>
  <c r="D16" i="28"/>
  <c r="C16" i="28"/>
  <c r="D15" i="28"/>
  <c r="C15" i="28"/>
  <c r="D14" i="28"/>
  <c r="C14" i="28"/>
  <c r="D13" i="28"/>
  <c r="C13" i="28"/>
  <c r="AS12" i="28"/>
  <c r="AR12" i="28"/>
  <c r="AQ12" i="28"/>
  <c r="AP12" i="28"/>
  <c r="AO12" i="28"/>
  <c r="AN12" i="28"/>
  <c r="AM12" i="28"/>
  <c r="AL12" i="28"/>
  <c r="AK12" i="28"/>
  <c r="AJ12" i="28"/>
  <c r="AI12" i="28"/>
  <c r="AH12" i="28"/>
  <c r="AG12" i="28"/>
  <c r="AF12" i="28"/>
  <c r="AE12" i="28"/>
  <c r="AD12" i="28"/>
  <c r="AC12" i="28"/>
  <c r="AB12" i="28"/>
  <c r="AA12" i="28"/>
  <c r="Z12" i="28"/>
  <c r="Y12" i="28"/>
  <c r="X12" i="28"/>
  <c r="W12" i="28"/>
  <c r="V12" i="28"/>
  <c r="U12" i="28"/>
  <c r="T12" i="28"/>
  <c r="S12" i="28"/>
  <c r="R12" i="28"/>
  <c r="Q12" i="28"/>
  <c r="P12" i="28"/>
  <c r="O12" i="28"/>
  <c r="N12" i="28"/>
  <c r="M12" i="28"/>
  <c r="L12" i="28"/>
  <c r="K12" i="28"/>
  <c r="J12" i="28"/>
  <c r="I12" i="28"/>
  <c r="H12" i="28"/>
  <c r="G12" i="28"/>
  <c r="F12" i="28"/>
  <c r="E12" i="28"/>
  <c r="CF44" i="29" l="1"/>
  <c r="CT44" i="29"/>
  <c r="CF47" i="29"/>
  <c r="CT47" i="29"/>
  <c r="CF38" i="29"/>
  <c r="CT38" i="29"/>
  <c r="CF39" i="29"/>
  <c r="CT39" i="29"/>
  <c r="CF41" i="29"/>
  <c r="CT41" i="29"/>
  <c r="CF42" i="29"/>
  <c r="CT42" i="29"/>
  <c r="CF43" i="29"/>
  <c r="CT43" i="29"/>
  <c r="CF40" i="29"/>
  <c r="CT40" i="29"/>
  <c r="CF48" i="29"/>
  <c r="CT48" i="29"/>
  <c r="CF50" i="29"/>
  <c r="CT50" i="29"/>
  <c r="CF51" i="29"/>
  <c r="CT51" i="29"/>
  <c r="CF37" i="29"/>
  <c r="CT37" i="29"/>
  <c r="CR227" i="29"/>
  <c r="CH227" i="29"/>
  <c r="CJ240" i="29"/>
  <c r="CX240" i="29"/>
  <c r="CI204" i="29"/>
  <c r="CH204" i="29"/>
  <c r="CB204" i="29"/>
  <c r="CD204" i="29"/>
  <c r="CA204" i="29"/>
  <c r="CW204" i="29"/>
  <c r="CC217" i="29"/>
  <c r="CX217" i="29"/>
  <c r="CJ217" i="29"/>
  <c r="CJ229" i="29"/>
  <c r="CX229" i="29"/>
  <c r="CX241" i="29"/>
  <c r="CJ241" i="29"/>
  <c r="CC205" i="29"/>
  <c r="CJ205" i="29"/>
  <c r="CX205" i="29"/>
  <c r="CB217" i="29"/>
  <c r="CA217" i="29"/>
  <c r="CH217" i="29"/>
  <c r="CW217" i="29"/>
  <c r="CI217" i="29"/>
  <c r="CD217" i="29"/>
  <c r="CI229" i="29"/>
  <c r="CW229" i="29"/>
  <c r="CW241" i="29"/>
  <c r="CI241" i="29"/>
  <c r="CJ204" i="29"/>
  <c r="CC204" i="29"/>
  <c r="CX204" i="29"/>
  <c r="CH205" i="29"/>
  <c r="CI205" i="29"/>
  <c r="CD205" i="29"/>
  <c r="CB205" i="29"/>
  <c r="CA205" i="29"/>
  <c r="CW205" i="29"/>
  <c r="CX218" i="29"/>
  <c r="CJ218" i="29"/>
  <c r="CX230" i="29"/>
  <c r="CJ230" i="29"/>
  <c r="CJ206" i="29"/>
  <c r="CX206" i="29"/>
  <c r="CC206" i="29"/>
  <c r="CA218" i="29"/>
  <c r="CW218" i="29"/>
  <c r="CI218" i="29"/>
  <c r="CW230" i="29"/>
  <c r="CI230" i="29"/>
  <c r="CW240" i="29"/>
  <c r="CI240" i="29"/>
  <c r="CI206" i="29"/>
  <c r="CH206" i="29"/>
  <c r="CW206" i="29"/>
  <c r="CD206" i="29"/>
  <c r="CB206" i="29"/>
  <c r="CA206" i="29"/>
  <c r="CX219" i="29"/>
  <c r="CJ219" i="29"/>
  <c r="CX231" i="29"/>
  <c r="CJ231" i="29"/>
  <c r="CJ207" i="29"/>
  <c r="CC207" i="29"/>
  <c r="CX207" i="29"/>
  <c r="CA219" i="29"/>
  <c r="CW219" i="29"/>
  <c r="CI219" i="29"/>
  <c r="CW231" i="29"/>
  <c r="CI231" i="29"/>
  <c r="CH207" i="29"/>
  <c r="CI207" i="29"/>
  <c r="CD207" i="29"/>
  <c r="CB207" i="29"/>
  <c r="CW207" i="29"/>
  <c r="CA207" i="29"/>
  <c r="CX220" i="29"/>
  <c r="CJ220" i="29"/>
  <c r="CX232" i="29"/>
  <c r="CJ232" i="29"/>
  <c r="CC216" i="29"/>
  <c r="CX216" i="29"/>
  <c r="CJ216" i="29"/>
  <c r="CH208" i="29"/>
  <c r="CW208" i="29"/>
  <c r="CI208" i="29"/>
  <c r="CB208" i="29"/>
  <c r="CA220" i="29"/>
  <c r="CW220" i="29"/>
  <c r="CI220" i="29"/>
  <c r="CW232" i="29"/>
  <c r="CI232" i="29"/>
  <c r="CH216" i="29"/>
  <c r="CD216" i="29"/>
  <c r="CB216" i="29"/>
  <c r="CA216" i="29"/>
  <c r="CW216" i="29"/>
  <c r="CI216" i="29"/>
  <c r="CX209" i="29"/>
  <c r="CJ209" i="29"/>
  <c r="CC209" i="29"/>
  <c r="CX221" i="29"/>
  <c r="CJ221" i="29"/>
  <c r="CX233" i="29"/>
  <c r="CJ233" i="29"/>
  <c r="CB209" i="29"/>
  <c r="CA209" i="29"/>
  <c r="CW209" i="29"/>
  <c r="CI209" i="29"/>
  <c r="CH209" i="29"/>
  <c r="CD209" i="29"/>
  <c r="CA221" i="29"/>
  <c r="CW221" i="29"/>
  <c r="CI221" i="29"/>
  <c r="CW233" i="29"/>
  <c r="CI233" i="29"/>
  <c r="CX210" i="29"/>
  <c r="CJ210" i="29"/>
  <c r="CC210" i="29"/>
  <c r="CX222" i="29"/>
  <c r="CJ222" i="29"/>
  <c r="CX234" i="29"/>
  <c r="CJ234" i="29"/>
  <c r="CW210" i="29"/>
  <c r="CI210" i="29"/>
  <c r="CH210" i="29"/>
  <c r="CD210" i="29"/>
  <c r="CB210" i="29"/>
  <c r="CA210" i="29"/>
  <c r="CW222" i="29"/>
  <c r="CI222" i="29"/>
  <c r="CW234" i="29"/>
  <c r="CI234" i="29"/>
  <c r="CX211" i="29"/>
  <c r="CC211" i="29"/>
  <c r="CJ211" i="29"/>
  <c r="CX223" i="29"/>
  <c r="CJ223" i="29"/>
  <c r="CX235" i="29"/>
  <c r="CJ235" i="29"/>
  <c r="CH211" i="29"/>
  <c r="CB211" i="29"/>
  <c r="CD211" i="29"/>
  <c r="CW211" i="29"/>
  <c r="CI211" i="29"/>
  <c r="CA211" i="29"/>
  <c r="CW223" i="29"/>
  <c r="CI223" i="29"/>
  <c r="CW235" i="29"/>
  <c r="CI235" i="29"/>
  <c r="CX212" i="29"/>
  <c r="CJ212" i="29"/>
  <c r="CC212" i="29"/>
  <c r="CX224" i="29"/>
  <c r="CJ224" i="29"/>
  <c r="CJ236" i="29"/>
  <c r="CX236" i="29"/>
  <c r="CJ193" i="29"/>
  <c r="CX193" i="29"/>
  <c r="CW212" i="29"/>
  <c r="CI212" i="29"/>
  <c r="CH212" i="29"/>
  <c r="CD212" i="29"/>
  <c r="CB212" i="29"/>
  <c r="CA212" i="29"/>
  <c r="CW224" i="29"/>
  <c r="CI224" i="29"/>
  <c r="CW236" i="29"/>
  <c r="CI236" i="29"/>
  <c r="CB193" i="29"/>
  <c r="CH193" i="29"/>
  <c r="CD193" i="29"/>
  <c r="CI193" i="29"/>
  <c r="CW193" i="29"/>
  <c r="CX213" i="29"/>
  <c r="CJ213" i="29"/>
  <c r="CC213" i="29"/>
  <c r="CX225" i="29"/>
  <c r="CJ225" i="29"/>
  <c r="CX237" i="29"/>
  <c r="CJ237" i="29"/>
  <c r="CX228" i="29"/>
  <c r="CJ228" i="29"/>
  <c r="CX199" i="29"/>
  <c r="CC199" i="29"/>
  <c r="CJ199" i="29"/>
  <c r="CW213" i="29"/>
  <c r="CI213" i="29"/>
  <c r="CH213" i="29"/>
  <c r="CD213" i="29"/>
  <c r="CB213" i="29"/>
  <c r="CA213" i="29"/>
  <c r="CW225" i="29"/>
  <c r="CI225" i="29"/>
  <c r="CW237" i="29"/>
  <c r="CI237" i="29"/>
  <c r="CW199" i="29"/>
  <c r="CH199" i="29"/>
  <c r="CD199" i="29"/>
  <c r="CI199" i="29"/>
  <c r="CB199" i="29"/>
  <c r="CA199" i="29"/>
  <c r="CC214" i="29"/>
  <c r="CJ214" i="29"/>
  <c r="CX214" i="29"/>
  <c r="CX226" i="29"/>
  <c r="CJ226" i="29"/>
  <c r="CX238" i="29"/>
  <c r="CJ238" i="29"/>
  <c r="CC200" i="29"/>
  <c r="CX200" i="29"/>
  <c r="CJ200" i="29"/>
  <c r="CW214" i="29"/>
  <c r="CI214" i="29"/>
  <c r="CB214" i="29"/>
  <c r="CD214" i="29"/>
  <c r="CA214" i="29"/>
  <c r="CH214" i="29"/>
  <c r="CW226" i="29"/>
  <c r="CI226" i="29"/>
  <c r="CW238" i="29"/>
  <c r="CI238" i="29"/>
  <c r="CW201" i="29"/>
  <c r="CH201" i="29"/>
  <c r="CB201" i="29"/>
  <c r="CA201" i="29"/>
  <c r="CD201" i="29"/>
  <c r="CI201" i="29"/>
  <c r="CD200" i="29"/>
  <c r="CW200" i="29"/>
  <c r="CB200" i="29"/>
  <c r="CA200" i="29"/>
  <c r="CI200" i="29"/>
  <c r="CH200" i="29"/>
  <c r="CC215" i="29"/>
  <c r="CX215" i="29"/>
  <c r="CJ215" i="29"/>
  <c r="CX227" i="29"/>
  <c r="CJ227" i="29"/>
  <c r="CX239" i="29"/>
  <c r="CJ239" i="29"/>
  <c r="CW228" i="29"/>
  <c r="CI228" i="29"/>
  <c r="CX201" i="29"/>
  <c r="CJ201" i="29"/>
  <c r="CC201" i="29"/>
  <c r="CH215" i="29"/>
  <c r="CB215" i="29"/>
  <c r="CD215" i="29"/>
  <c r="CA215" i="29"/>
  <c r="CW215" i="29"/>
  <c r="CI215" i="29"/>
  <c r="CW227" i="29"/>
  <c r="CI227" i="29"/>
  <c r="CW239" i="29"/>
  <c r="CI239" i="29"/>
  <c r="C245" i="29"/>
  <c r="CB245" i="29"/>
  <c r="CP245" i="29"/>
  <c r="CC193" i="29"/>
  <c r="CJ40" i="29"/>
  <c r="CC40" i="29"/>
  <c r="CI40" i="29"/>
  <c r="CG40" i="29"/>
  <c r="CH40" i="29"/>
  <c r="CK40" i="29"/>
  <c r="CA40" i="29"/>
  <c r="CA41" i="29"/>
  <c r="CI41" i="29"/>
  <c r="CC41" i="29"/>
  <c r="CH41" i="29"/>
  <c r="CG41" i="29"/>
  <c r="CJ41" i="29"/>
  <c r="CK41" i="29"/>
  <c r="CG39" i="29"/>
  <c r="CA39" i="29"/>
  <c r="CC39" i="29"/>
  <c r="CH39" i="29"/>
  <c r="CI39" i="29"/>
  <c r="CJ39" i="29"/>
  <c r="CK39" i="29"/>
  <c r="CG42" i="29"/>
  <c r="CK42" i="29"/>
  <c r="CH42" i="29"/>
  <c r="CI42" i="29"/>
  <c r="CJ42" i="29"/>
  <c r="CA42" i="29"/>
  <c r="CC42" i="29"/>
  <c r="CC43" i="29"/>
  <c r="CJ43" i="29"/>
  <c r="CG43" i="29"/>
  <c r="CH43" i="29"/>
  <c r="CI43" i="29"/>
  <c r="CK43" i="29"/>
  <c r="CA43" i="29"/>
  <c r="CC45" i="29"/>
  <c r="CA45" i="29"/>
  <c r="CG45" i="29"/>
  <c r="CH45" i="29"/>
  <c r="CI45" i="29"/>
  <c r="CJ45" i="29"/>
  <c r="CK45" i="29"/>
  <c r="CH46" i="29"/>
  <c r="CI46" i="29"/>
  <c r="CJ46" i="29"/>
  <c r="CK46" i="29"/>
  <c r="CA46" i="29"/>
  <c r="CC46" i="29"/>
  <c r="CG46" i="29"/>
  <c r="CA47" i="29"/>
  <c r="CC47" i="29"/>
  <c r="CG47" i="29"/>
  <c r="CH47" i="29"/>
  <c r="CI47" i="29"/>
  <c r="CJ47" i="29"/>
  <c r="CK47" i="29"/>
  <c r="CJ48" i="29"/>
  <c r="CK48" i="29"/>
  <c r="CC48" i="29"/>
  <c r="CA48" i="29"/>
  <c r="CH48" i="29"/>
  <c r="CG48" i="29"/>
  <c r="CI48" i="29"/>
  <c r="CA50" i="29"/>
  <c r="CC50" i="29"/>
  <c r="CG50" i="29"/>
  <c r="CH50" i="29"/>
  <c r="CI50" i="29"/>
  <c r="CJ50" i="29"/>
  <c r="CK50" i="29"/>
  <c r="CA51" i="29"/>
  <c r="CH51" i="29"/>
  <c r="CC51" i="29"/>
  <c r="CG51" i="29"/>
  <c r="CI51" i="29"/>
  <c r="CJ51" i="29"/>
  <c r="CK51" i="29"/>
  <c r="CG44" i="29"/>
  <c r="CH44" i="29"/>
  <c r="CI44" i="29"/>
  <c r="CJ44" i="29"/>
  <c r="CK44" i="29"/>
  <c r="CA44" i="29"/>
  <c r="CC44" i="29"/>
  <c r="CK37" i="29"/>
  <c r="CA37" i="29"/>
  <c r="CC37" i="29"/>
  <c r="CG37" i="29"/>
  <c r="CH37" i="29"/>
  <c r="CI37" i="29"/>
  <c r="CJ37" i="29"/>
  <c r="CA38" i="29"/>
  <c r="CC38" i="29"/>
  <c r="CG38" i="29"/>
  <c r="CH38" i="29"/>
  <c r="CI38" i="29"/>
  <c r="CJ38" i="29"/>
  <c r="CK38" i="29"/>
  <c r="B62" i="28"/>
  <c r="CC290" i="29"/>
  <c r="CE290" i="29"/>
  <c r="CB290" i="29"/>
  <c r="CD252" i="29"/>
  <c r="CR252" i="29"/>
  <c r="CC282" i="29"/>
  <c r="CE282" i="29"/>
  <c r="CB282" i="29"/>
  <c r="CS252" i="29"/>
  <c r="CQ252" i="29"/>
  <c r="CP252" i="29"/>
  <c r="CC252" i="29"/>
  <c r="CB252" i="29"/>
  <c r="CE252" i="29"/>
  <c r="CS258" i="29"/>
  <c r="CE258" i="29"/>
  <c r="CQ258" i="29"/>
  <c r="CP258" i="29"/>
  <c r="CC258" i="29"/>
  <c r="CB258" i="29"/>
  <c r="CR258" i="29"/>
  <c r="CD258" i="29"/>
  <c r="CC286" i="29"/>
  <c r="CE286" i="29"/>
  <c r="CB286" i="29"/>
  <c r="CD253" i="29"/>
  <c r="CR253" i="29"/>
  <c r="CR259" i="29"/>
  <c r="CD259" i="29"/>
  <c r="CC263" i="29"/>
  <c r="CB263" i="29"/>
  <c r="CE263" i="29"/>
  <c r="CB267" i="29"/>
  <c r="CE267" i="29"/>
  <c r="CC267" i="29"/>
  <c r="CE271" i="29"/>
  <c r="CB275" i="29"/>
  <c r="CE275" i="29"/>
  <c r="CC275" i="29"/>
  <c r="CS279" i="29"/>
  <c r="CE279" i="29"/>
  <c r="CC283" i="29"/>
  <c r="CE283" i="29"/>
  <c r="CB283" i="29"/>
  <c r="CE287" i="29"/>
  <c r="CB287" i="29"/>
  <c r="CC287" i="29"/>
  <c r="CC291" i="29"/>
  <c r="CE291" i="29"/>
  <c r="CB291" i="29"/>
  <c r="CP344" i="29"/>
  <c r="CB344" i="29"/>
  <c r="CB262" i="29"/>
  <c r="CC262" i="29"/>
  <c r="CE262" i="29"/>
  <c r="CQ253" i="29"/>
  <c r="CB253" i="29"/>
  <c r="CP253" i="29"/>
  <c r="CS253" i="29"/>
  <c r="CE253" i="29"/>
  <c r="CC253" i="29"/>
  <c r="CS259" i="29"/>
  <c r="CE259" i="29"/>
  <c r="CQ259" i="29"/>
  <c r="CP259" i="29"/>
  <c r="CC259" i="29"/>
  <c r="CB259" i="29"/>
  <c r="CO344" i="29"/>
  <c r="CA344" i="29"/>
  <c r="CB266" i="29"/>
  <c r="CE266" i="29"/>
  <c r="CC266" i="29"/>
  <c r="CR256" i="29"/>
  <c r="CD256" i="29"/>
  <c r="CE260" i="29"/>
  <c r="CP260" i="29"/>
  <c r="CB260" i="29"/>
  <c r="CC264" i="29"/>
  <c r="CE264" i="29"/>
  <c r="CB264" i="29"/>
  <c r="CE268" i="29"/>
  <c r="CC268" i="29"/>
  <c r="CB268" i="29"/>
  <c r="CE272" i="29"/>
  <c r="CE276" i="29"/>
  <c r="CB276" i="29"/>
  <c r="CC276" i="29"/>
  <c r="CS280" i="29"/>
  <c r="CE280" i="29"/>
  <c r="CC284" i="29"/>
  <c r="CE284" i="29"/>
  <c r="CB284" i="29"/>
  <c r="CE288" i="29"/>
  <c r="CB288" i="29"/>
  <c r="CC288" i="29"/>
  <c r="CC292" i="29"/>
  <c r="CE292" i="29"/>
  <c r="CB292" i="29"/>
  <c r="CB274" i="29"/>
  <c r="CE274" i="29"/>
  <c r="CE256" i="29"/>
  <c r="CQ256" i="29"/>
  <c r="CP256" i="29"/>
  <c r="CC256" i="29"/>
  <c r="CB256" i="29"/>
  <c r="CS256" i="29"/>
  <c r="CO329" i="29"/>
  <c r="CA333" i="29"/>
  <c r="CO333" i="29"/>
  <c r="CB278" i="29"/>
  <c r="CC278" i="29"/>
  <c r="CE278" i="29"/>
  <c r="CR251" i="29"/>
  <c r="CD251" i="29"/>
  <c r="CR257" i="29"/>
  <c r="CD257" i="29"/>
  <c r="CB261" i="29"/>
  <c r="CE261" i="29"/>
  <c r="CC261" i="29"/>
  <c r="CC265" i="29"/>
  <c r="CB265" i="29"/>
  <c r="CE265" i="29"/>
  <c r="CE269" i="29"/>
  <c r="CC269" i="29"/>
  <c r="CE273" i="29"/>
  <c r="CE277" i="29"/>
  <c r="CB277" i="29"/>
  <c r="CC277" i="29"/>
  <c r="CS281" i="29"/>
  <c r="CE281" i="29"/>
  <c r="CE285" i="29"/>
  <c r="CB285" i="29"/>
  <c r="CC285" i="29"/>
  <c r="CE289" i="29"/>
  <c r="CB289" i="29"/>
  <c r="CC289" i="29"/>
  <c r="CE293" i="29"/>
  <c r="CB293" i="29"/>
  <c r="CC293" i="29"/>
  <c r="CE270" i="29"/>
  <c r="CS251" i="29"/>
  <c r="CE251" i="29"/>
  <c r="CQ251" i="29"/>
  <c r="CP251" i="29"/>
  <c r="CC251" i="29"/>
  <c r="CB251" i="29"/>
  <c r="CP257" i="29"/>
  <c r="CC257" i="29"/>
  <c r="CB257" i="29"/>
  <c r="CS257" i="29"/>
  <c r="CE257" i="29"/>
  <c r="CQ257" i="29"/>
  <c r="CO201" i="29"/>
  <c r="CV201" i="29"/>
  <c r="CR201" i="29"/>
  <c r="CP201" i="29"/>
  <c r="CR207" i="29"/>
  <c r="CP207" i="29"/>
  <c r="CO207" i="29"/>
  <c r="CV207" i="29"/>
  <c r="CQ193" i="29"/>
  <c r="CU193" i="29"/>
  <c r="CU204" i="29"/>
  <c r="CQ204" i="29"/>
  <c r="CP208" i="29"/>
  <c r="CP193" i="29"/>
  <c r="CO193" i="29"/>
  <c r="CV193" i="29"/>
  <c r="CR193" i="29"/>
  <c r="CR204" i="29"/>
  <c r="CO204" i="29"/>
  <c r="CP204" i="29"/>
  <c r="CV204" i="29"/>
  <c r="CQ199" i="29"/>
  <c r="CU199" i="29"/>
  <c r="CU205" i="29"/>
  <c r="CQ205" i="29"/>
  <c r="CR199" i="29"/>
  <c r="CP199" i="29"/>
  <c r="CO199" i="29"/>
  <c r="CV199" i="29"/>
  <c r="CO205" i="29"/>
  <c r="CV205" i="29"/>
  <c r="CR205" i="29"/>
  <c r="CP205" i="29"/>
  <c r="CU200" i="29"/>
  <c r="CQ200" i="29"/>
  <c r="CQ206" i="29"/>
  <c r="CU206" i="29"/>
  <c r="CC245" i="29"/>
  <c r="CE245" i="29"/>
  <c r="CR200" i="29"/>
  <c r="CO200" i="29"/>
  <c r="CP200" i="29"/>
  <c r="CV200" i="29"/>
  <c r="CV206" i="29"/>
  <c r="CP206" i="29"/>
  <c r="CO206" i="29"/>
  <c r="CR206" i="29"/>
  <c r="CU201" i="29"/>
  <c r="CQ201" i="29"/>
  <c r="CQ207" i="29"/>
  <c r="CU207" i="29"/>
  <c r="E111" i="29"/>
  <c r="E162" i="29"/>
  <c r="CQ40" i="29"/>
  <c r="CY40" i="29"/>
  <c r="CU40" i="29"/>
  <c r="CW40" i="29"/>
  <c r="CX40" i="29"/>
  <c r="CO40" i="29"/>
  <c r="CV40" i="29"/>
  <c r="CQ48" i="29"/>
  <c r="CY48" i="29"/>
  <c r="CU48" i="29"/>
  <c r="CV48" i="29"/>
  <c r="CW48" i="29"/>
  <c r="CX48" i="29"/>
  <c r="CO48" i="29"/>
  <c r="CV41" i="29"/>
  <c r="CO41" i="29"/>
  <c r="CW41" i="29"/>
  <c r="CX41" i="29"/>
  <c r="CQ41" i="29"/>
  <c r="CY41" i="29"/>
  <c r="CU41" i="29"/>
  <c r="CU50" i="29"/>
  <c r="CV50" i="29"/>
  <c r="CO50" i="29"/>
  <c r="CW50" i="29"/>
  <c r="CX50" i="29"/>
  <c r="CQ50" i="29"/>
  <c r="CY50" i="29"/>
  <c r="CU39" i="29"/>
  <c r="CV39" i="29"/>
  <c r="CO39" i="29"/>
  <c r="CW39" i="29"/>
  <c r="CX39" i="29"/>
  <c r="CQ39" i="29"/>
  <c r="CY39" i="29"/>
  <c r="CU47" i="29"/>
  <c r="CV47" i="29"/>
  <c r="CO47" i="29"/>
  <c r="CW47" i="29"/>
  <c r="CX47" i="29"/>
  <c r="CQ47" i="29"/>
  <c r="CY47" i="29"/>
  <c r="CX43" i="29"/>
  <c r="CQ43" i="29"/>
  <c r="CY43" i="29"/>
  <c r="CO43" i="29"/>
  <c r="CW43" i="29"/>
  <c r="CU43" i="29"/>
  <c r="CV43" i="29"/>
  <c r="CS56" i="29"/>
  <c r="CP56" i="29"/>
  <c r="CT56" i="29"/>
  <c r="CE56" i="29"/>
  <c r="CU56" i="29"/>
  <c r="CF56" i="29"/>
  <c r="CV56" i="29"/>
  <c r="CG56" i="29"/>
  <c r="CO56" i="29"/>
  <c r="CH56" i="29"/>
  <c r="CA56" i="29"/>
  <c r="CB56" i="29"/>
  <c r="CX51" i="29"/>
  <c r="CQ51" i="29"/>
  <c r="CY51" i="29"/>
  <c r="CV51" i="29"/>
  <c r="CO51" i="29"/>
  <c r="CU51" i="29"/>
  <c r="CW51" i="29"/>
  <c r="CU44" i="29"/>
  <c r="CV44" i="29"/>
  <c r="CO44" i="29"/>
  <c r="CW44" i="29"/>
  <c r="CX44" i="29"/>
  <c r="CQ44" i="29"/>
  <c r="CY44" i="29"/>
  <c r="CS57" i="29"/>
  <c r="CT57" i="29"/>
  <c r="CE57" i="29"/>
  <c r="CU57" i="29"/>
  <c r="CF57" i="29"/>
  <c r="CV57" i="29"/>
  <c r="CG57" i="29"/>
  <c r="CO57" i="29"/>
  <c r="CH57" i="29"/>
  <c r="CP57" i="29"/>
  <c r="CA57" i="29"/>
  <c r="CB57" i="29"/>
  <c r="CU37" i="29"/>
  <c r="CV37" i="29"/>
  <c r="CO37" i="29"/>
  <c r="CQ37" i="29"/>
  <c r="CW37" i="29"/>
  <c r="CX37" i="29"/>
  <c r="CY37" i="29"/>
  <c r="CU45" i="29"/>
  <c r="CV45" i="29"/>
  <c r="CO45" i="29"/>
  <c r="CQ45" i="29"/>
  <c r="CW45" i="29"/>
  <c r="CX45" i="29"/>
  <c r="CY45" i="29"/>
  <c r="CS58" i="29"/>
  <c r="CT58" i="29"/>
  <c r="CE58" i="29"/>
  <c r="CU58" i="29"/>
  <c r="CF58" i="29"/>
  <c r="CV58" i="29"/>
  <c r="CG58" i="29"/>
  <c r="CO58" i="29"/>
  <c r="CH58" i="29"/>
  <c r="CP58" i="29"/>
  <c r="CB58" i="29"/>
  <c r="CA58" i="29"/>
  <c r="CU42" i="29"/>
  <c r="CV42" i="29"/>
  <c r="CO42" i="29"/>
  <c r="CW42" i="29"/>
  <c r="CX42" i="29"/>
  <c r="CY42" i="29"/>
  <c r="CQ42" i="29"/>
  <c r="CO38" i="29"/>
  <c r="CW38" i="29"/>
  <c r="CX38" i="29"/>
  <c r="CQ38" i="29"/>
  <c r="CY38" i="29"/>
  <c r="CV38" i="29"/>
  <c r="CU38" i="29"/>
  <c r="CO46" i="29"/>
  <c r="CW46" i="29"/>
  <c r="CX46" i="29"/>
  <c r="CQ46" i="29"/>
  <c r="CY46" i="29"/>
  <c r="CU46" i="29"/>
  <c r="CV46" i="29"/>
  <c r="CS59" i="29"/>
  <c r="CT59" i="29"/>
  <c r="CE59" i="29"/>
  <c r="CU59" i="29"/>
  <c r="CF59" i="29"/>
  <c r="CV59" i="29"/>
  <c r="CG59" i="29"/>
  <c r="CO59" i="29"/>
  <c r="CH59" i="29"/>
  <c r="CA59" i="29"/>
  <c r="CP59" i="29"/>
  <c r="CB59" i="29"/>
  <c r="C123" i="29"/>
  <c r="CA123" i="29" s="1"/>
  <c r="D111" i="29"/>
  <c r="D162" i="29"/>
  <c r="B45" i="28"/>
  <c r="BU45" i="28" s="1"/>
  <c r="BW20" i="28"/>
  <c r="BX20" i="28"/>
  <c r="BQ20" i="28"/>
  <c r="BR20" i="28"/>
  <c r="BW19" i="28"/>
  <c r="BR19" i="28"/>
  <c r="BX19" i="28"/>
  <c r="BQ19" i="28"/>
  <c r="BU171" i="28"/>
  <c r="BV171" i="28"/>
  <c r="BU147" i="28"/>
  <c r="BO147" i="28"/>
  <c r="BU149" i="28"/>
  <c r="BU148" i="28"/>
  <c r="BU81" i="28"/>
  <c r="BV81" i="28"/>
  <c r="BP81" i="28"/>
  <c r="BO81" i="28"/>
  <c r="B22" i="28"/>
  <c r="BO82" i="28"/>
  <c r="BU82" i="28"/>
  <c r="BV82" i="28"/>
  <c r="BP82" i="28"/>
  <c r="BU83" i="28"/>
  <c r="BV83" i="28"/>
  <c r="BP83" i="28"/>
  <c r="BV137" i="28"/>
  <c r="BV80" i="28"/>
  <c r="BP80" i="28"/>
  <c r="BU80" i="28"/>
  <c r="BO80" i="28"/>
  <c r="BV136" i="28"/>
  <c r="BV135" i="28"/>
  <c r="CA222" i="29"/>
  <c r="CB222" i="29"/>
  <c r="CB226" i="29"/>
  <c r="CA226" i="29"/>
  <c r="CB230" i="29"/>
  <c r="CA230" i="29"/>
  <c r="CA234" i="29"/>
  <c r="CB234" i="29"/>
  <c r="CB238" i="29"/>
  <c r="CA238" i="29"/>
  <c r="CB233" i="29"/>
  <c r="CA233" i="29"/>
  <c r="CB241" i="29"/>
  <c r="CA241" i="29"/>
  <c r="CB223" i="29"/>
  <c r="CA223" i="29"/>
  <c r="CB231" i="29"/>
  <c r="CA231" i="29"/>
  <c r="CB235" i="29"/>
  <c r="CA235" i="29"/>
  <c r="CB239" i="29"/>
  <c r="CA239" i="29"/>
  <c r="CA225" i="29"/>
  <c r="CB225" i="29"/>
  <c r="CA208" i="29"/>
  <c r="CA224" i="29"/>
  <c r="CB224" i="29"/>
  <c r="CB232" i="29"/>
  <c r="CA232" i="29"/>
  <c r="CB236" i="29"/>
  <c r="CA236" i="29"/>
  <c r="CB240" i="29"/>
  <c r="CA240" i="29"/>
  <c r="CB237" i="29"/>
  <c r="CA237" i="29"/>
  <c r="CB346" i="29"/>
  <c r="CP346" i="29"/>
  <c r="CO346" i="29"/>
  <c r="CO345" i="29"/>
  <c r="CA345" i="29"/>
  <c r="CU352" i="29"/>
  <c r="CG352" i="29"/>
  <c r="CT352" i="29"/>
  <c r="CB345" i="29"/>
  <c r="CP345" i="29"/>
  <c r="CU351" i="29"/>
  <c r="CT351" i="29"/>
  <c r="CO337" i="29"/>
  <c r="CB338" i="29"/>
  <c r="CP338" i="29"/>
  <c r="CB331" i="29"/>
  <c r="CP331" i="29"/>
  <c r="CB335" i="29"/>
  <c r="CP335" i="29"/>
  <c r="CB339" i="29"/>
  <c r="CP339" i="29"/>
  <c r="CO331" i="29"/>
  <c r="CO335" i="29"/>
  <c r="CO339" i="29"/>
  <c r="CB332" i="29"/>
  <c r="CP332" i="29"/>
  <c r="CB336" i="29"/>
  <c r="CP336" i="29"/>
  <c r="CO338" i="29"/>
  <c r="CO332" i="29"/>
  <c r="CO336" i="29"/>
  <c r="CB333" i="29"/>
  <c r="CP333" i="29"/>
  <c r="CB337" i="29"/>
  <c r="CP337" i="29"/>
  <c r="CO330" i="29"/>
  <c r="CP330" i="29"/>
  <c r="C329" i="29"/>
  <c r="CT329" i="29" s="1"/>
  <c r="CC317" i="29"/>
  <c r="CQ317" i="29"/>
  <c r="CC321" i="29"/>
  <c r="CQ321" i="29"/>
  <c r="CB317" i="29"/>
  <c r="CP317" i="29"/>
  <c r="CB321" i="29"/>
  <c r="CP321" i="29"/>
  <c r="CB318" i="29"/>
  <c r="CP318" i="29"/>
  <c r="CB322" i="29"/>
  <c r="CP322" i="29"/>
  <c r="CC318" i="29"/>
  <c r="CQ318" i="29"/>
  <c r="CC319" i="29"/>
  <c r="CQ319" i="29"/>
  <c r="CC323" i="29"/>
  <c r="CQ323" i="29"/>
  <c r="CB319" i="29"/>
  <c r="CP319" i="29"/>
  <c r="CB323" i="29"/>
  <c r="CP323" i="29"/>
  <c r="CC322" i="29"/>
  <c r="CQ322" i="29"/>
  <c r="CC316" i="29"/>
  <c r="CQ316" i="29"/>
  <c r="CC320" i="29"/>
  <c r="CQ320" i="29"/>
  <c r="CC324" i="29"/>
  <c r="CQ324" i="29"/>
  <c r="CB316" i="29"/>
  <c r="CP316" i="29"/>
  <c r="CB320" i="29"/>
  <c r="CP320" i="29"/>
  <c r="CB324" i="29"/>
  <c r="CP324" i="29"/>
  <c r="C310" i="29"/>
  <c r="CB310" i="29"/>
  <c r="C311" i="29"/>
  <c r="CB311" i="29"/>
  <c r="C314" i="29"/>
  <c r="CB314" i="29"/>
  <c r="C313" i="29"/>
  <c r="CB313" i="29"/>
  <c r="C307" i="29"/>
  <c r="CP307" i="29"/>
  <c r="C315" i="29"/>
  <c r="CB315" i="29"/>
  <c r="C308" i="29"/>
  <c r="CB308" i="29"/>
  <c r="C312" i="29"/>
  <c r="CB312" i="29"/>
  <c r="C309" i="29"/>
  <c r="CB309" i="29"/>
  <c r="CS245" i="29"/>
  <c r="CR261" i="29"/>
  <c r="CR265" i="29"/>
  <c r="CR269" i="29"/>
  <c r="CR273" i="29"/>
  <c r="CR277" i="29"/>
  <c r="CR281" i="29"/>
  <c r="CR285" i="29"/>
  <c r="CR289" i="29"/>
  <c r="CR293" i="29"/>
  <c r="CQ261" i="29"/>
  <c r="CP261" i="29"/>
  <c r="CS261" i="29"/>
  <c r="CQ265" i="29"/>
  <c r="CP265" i="29"/>
  <c r="CS265" i="29"/>
  <c r="CQ269" i="29"/>
  <c r="CP269" i="29"/>
  <c r="CS269" i="29"/>
  <c r="CP273" i="29"/>
  <c r="CS273" i="29"/>
  <c r="CS277" i="29"/>
  <c r="CQ277" i="29"/>
  <c r="CP277" i="29"/>
  <c r="CS285" i="29"/>
  <c r="CQ285" i="29"/>
  <c r="CP285" i="29"/>
  <c r="CS289" i="29"/>
  <c r="CQ289" i="29"/>
  <c r="CP289" i="29"/>
  <c r="CS293" i="29"/>
  <c r="CQ293" i="29"/>
  <c r="CP293" i="29"/>
  <c r="CR266" i="29"/>
  <c r="CR286" i="29"/>
  <c r="CQ262" i="29"/>
  <c r="CS262" i="29"/>
  <c r="CP262" i="29"/>
  <c r="CQ266" i="29"/>
  <c r="CP266" i="29"/>
  <c r="CS266" i="29"/>
  <c r="CS270" i="29"/>
  <c r="CP270" i="29"/>
  <c r="CS274" i="29"/>
  <c r="CQ274" i="29"/>
  <c r="CP274" i="29"/>
  <c r="CS278" i="29"/>
  <c r="CQ278" i="29"/>
  <c r="CP278" i="29"/>
  <c r="CS282" i="29"/>
  <c r="CQ282" i="29"/>
  <c r="CP282" i="29"/>
  <c r="CS286" i="29"/>
  <c r="CQ286" i="29"/>
  <c r="CP286" i="29"/>
  <c r="CS290" i="29"/>
  <c r="CQ290" i="29"/>
  <c r="CP290" i="29"/>
  <c r="CR278" i="29"/>
  <c r="CR267" i="29"/>
  <c r="CR271" i="29"/>
  <c r="CR275" i="29"/>
  <c r="CR279" i="29"/>
  <c r="CR283" i="29"/>
  <c r="CR287" i="29"/>
  <c r="CR291" i="29"/>
  <c r="CR270" i="29"/>
  <c r="CR290" i="29"/>
  <c r="CR263" i="29"/>
  <c r="CQ263" i="29"/>
  <c r="CP263" i="29"/>
  <c r="CS263" i="29"/>
  <c r="CQ267" i="29"/>
  <c r="CS267" i="29"/>
  <c r="CP267" i="29"/>
  <c r="CS271" i="29"/>
  <c r="CP271" i="29"/>
  <c r="CS275" i="29"/>
  <c r="CQ275" i="29"/>
  <c r="CP275" i="29"/>
  <c r="CS283" i="29"/>
  <c r="CQ283" i="29"/>
  <c r="CP283" i="29"/>
  <c r="CS287" i="29"/>
  <c r="CQ287" i="29"/>
  <c r="CP287" i="29"/>
  <c r="CS291" i="29"/>
  <c r="CQ291" i="29"/>
  <c r="CP291" i="29"/>
  <c r="CR274" i="29"/>
  <c r="CR264" i="29"/>
  <c r="CR268" i="29"/>
  <c r="CR272" i="29"/>
  <c r="CR276" i="29"/>
  <c r="CR280" i="29"/>
  <c r="CR284" i="29"/>
  <c r="CR288" i="29"/>
  <c r="CR292" i="29"/>
  <c r="CR262" i="29"/>
  <c r="CR282" i="29"/>
  <c r="CQ260" i="29"/>
  <c r="CS260" i="29"/>
  <c r="CS264" i="29"/>
  <c r="CQ264" i="29"/>
  <c r="CP264" i="29"/>
  <c r="CS268" i="29"/>
  <c r="CQ268" i="29"/>
  <c r="CP268" i="29"/>
  <c r="CS272" i="29"/>
  <c r="CP272" i="29"/>
  <c r="CQ276" i="29"/>
  <c r="CS276" i="29"/>
  <c r="CP276" i="29"/>
  <c r="CS284" i="29"/>
  <c r="CQ284" i="29"/>
  <c r="CP284" i="29"/>
  <c r="CS288" i="29"/>
  <c r="CQ288" i="29"/>
  <c r="CP288" i="29"/>
  <c r="CS292" i="29"/>
  <c r="CQ292" i="29"/>
  <c r="CP292" i="29"/>
  <c r="CR245" i="29"/>
  <c r="CV222" i="29"/>
  <c r="CD222" i="29"/>
  <c r="CO222" i="29"/>
  <c r="CH222" i="29"/>
  <c r="CP222" i="29"/>
  <c r="CR222" i="29"/>
  <c r="CR238" i="29"/>
  <c r="CH238" i="29"/>
  <c r="CV238" i="29"/>
  <c r="CD238" i="29"/>
  <c r="CP238" i="29"/>
  <c r="CO238" i="29"/>
  <c r="CQ211" i="29"/>
  <c r="CU211" i="29"/>
  <c r="CQ219" i="29"/>
  <c r="CU219" i="29"/>
  <c r="CC219" i="29"/>
  <c r="CC227" i="29"/>
  <c r="CQ227" i="29"/>
  <c r="CQ235" i="29"/>
  <c r="CC235" i="29"/>
  <c r="CU235" i="29"/>
  <c r="CP211" i="29"/>
  <c r="CO211" i="29"/>
  <c r="CR211" i="29"/>
  <c r="CV211" i="29"/>
  <c r="CP215" i="29"/>
  <c r="CO215" i="29"/>
  <c r="CV215" i="29"/>
  <c r="CR215" i="29"/>
  <c r="CR219" i="29"/>
  <c r="CH219" i="29"/>
  <c r="CV219" i="29"/>
  <c r="CD219" i="29"/>
  <c r="CO219" i="29"/>
  <c r="CP223" i="29"/>
  <c r="CO223" i="29"/>
  <c r="CH223" i="29"/>
  <c r="CD223" i="29"/>
  <c r="CR223" i="29"/>
  <c r="CV223" i="29"/>
  <c r="CV227" i="29"/>
  <c r="CD227" i="29"/>
  <c r="CR231" i="29"/>
  <c r="CH231" i="29"/>
  <c r="CD231" i="29"/>
  <c r="CP231" i="29"/>
  <c r="CO231" i="29"/>
  <c r="CV231" i="29"/>
  <c r="CR235" i="29"/>
  <c r="CH235" i="29"/>
  <c r="CP235" i="29"/>
  <c r="CV235" i="29"/>
  <c r="CO235" i="29"/>
  <c r="CD235" i="29"/>
  <c r="CR239" i="29"/>
  <c r="CH239" i="29"/>
  <c r="CO239" i="29"/>
  <c r="CV239" i="29"/>
  <c r="CD239" i="29"/>
  <c r="CP239" i="29"/>
  <c r="CR218" i="29"/>
  <c r="CV218" i="29"/>
  <c r="CH218" i="29"/>
  <c r="CD218" i="29"/>
  <c r="CO218" i="29"/>
  <c r="CQ215" i="29"/>
  <c r="CU215" i="29"/>
  <c r="CU223" i="29"/>
  <c r="CC223" i="29"/>
  <c r="CQ223" i="29"/>
  <c r="CQ231" i="29"/>
  <c r="CC231" i="29"/>
  <c r="CU231" i="29"/>
  <c r="CQ239" i="29"/>
  <c r="CC239" i="29"/>
  <c r="CU239" i="29"/>
  <c r="CU212" i="29"/>
  <c r="CQ212" i="29"/>
  <c r="CU216" i="29"/>
  <c r="CQ216" i="29"/>
  <c r="CQ220" i="29"/>
  <c r="CC220" i="29"/>
  <c r="CU220" i="29"/>
  <c r="CQ224" i="29"/>
  <c r="CU224" i="29"/>
  <c r="CC224" i="29"/>
  <c r="CU228" i="29"/>
  <c r="CC228" i="29"/>
  <c r="AY228" i="29" s="1"/>
  <c r="CQ228" i="29"/>
  <c r="CQ232" i="29"/>
  <c r="CU232" i="29"/>
  <c r="CC232" i="29"/>
  <c r="CQ236" i="29"/>
  <c r="CC236" i="29"/>
  <c r="CU236" i="29"/>
  <c r="CQ240" i="29"/>
  <c r="CC240" i="29"/>
  <c r="CU240" i="29"/>
  <c r="CV226" i="29"/>
  <c r="CD226" i="29"/>
  <c r="CO226" i="29"/>
  <c r="CR226" i="29"/>
  <c r="CH226" i="29"/>
  <c r="CP226" i="29"/>
  <c r="CV216" i="29"/>
  <c r="CO216" i="29"/>
  <c r="CR216" i="29"/>
  <c r="CP216" i="29"/>
  <c r="CV228" i="29"/>
  <c r="CH228" i="29"/>
  <c r="CD228" i="29"/>
  <c r="CR228" i="29"/>
  <c r="CP240" i="29"/>
  <c r="CO240" i="29"/>
  <c r="CD240" i="29"/>
  <c r="CR240" i="29"/>
  <c r="CV240" i="29"/>
  <c r="CH240" i="29"/>
  <c r="CU209" i="29"/>
  <c r="CQ209" i="29"/>
  <c r="CU213" i="29"/>
  <c r="CQ213" i="29"/>
  <c r="CU217" i="29"/>
  <c r="CQ217" i="29"/>
  <c r="CC221" i="29"/>
  <c r="CQ221" i="29"/>
  <c r="CU221" i="29"/>
  <c r="CQ225" i="29"/>
  <c r="CU225" i="29"/>
  <c r="CC225" i="29"/>
  <c r="CU229" i="29"/>
  <c r="CQ229" i="29"/>
  <c r="CC229" i="29"/>
  <c r="CU233" i="29"/>
  <c r="CC233" i="29"/>
  <c r="CQ233" i="29"/>
  <c r="CU237" i="29"/>
  <c r="CC237" i="29"/>
  <c r="CQ237" i="29"/>
  <c r="CU241" i="29"/>
  <c r="CC241" i="29"/>
  <c r="CQ241" i="29"/>
  <c r="CR210" i="29"/>
  <c r="CV210" i="29"/>
  <c r="CP210" i="29"/>
  <c r="CO210" i="29"/>
  <c r="CP230" i="29"/>
  <c r="CD230" i="29"/>
  <c r="CH230" i="29"/>
  <c r="CO230" i="29"/>
  <c r="CV230" i="29"/>
  <c r="CR230" i="29"/>
  <c r="C208" i="29"/>
  <c r="CV208" i="29"/>
  <c r="CD208" i="29"/>
  <c r="CO208" i="29"/>
  <c r="CR208" i="29"/>
  <c r="CO220" i="29"/>
  <c r="CR220" i="29"/>
  <c r="CD220" i="29"/>
  <c r="CH220" i="29"/>
  <c r="CV220" i="29"/>
  <c r="CP232" i="29"/>
  <c r="CO232" i="29"/>
  <c r="CD232" i="29"/>
  <c r="CR232" i="29"/>
  <c r="CV232" i="29"/>
  <c r="CH232" i="29"/>
  <c r="CV209" i="29"/>
  <c r="CR209" i="29"/>
  <c r="CP209" i="29"/>
  <c r="CO209" i="29"/>
  <c r="CP213" i="29"/>
  <c r="CV213" i="29"/>
  <c r="CR213" i="29"/>
  <c r="CO213" i="29"/>
  <c r="CV217" i="29"/>
  <c r="CO217" i="29"/>
  <c r="CR217" i="29"/>
  <c r="CP217" i="29"/>
  <c r="CO221" i="29"/>
  <c r="CD221" i="29"/>
  <c r="CV221" i="29"/>
  <c r="CR221" i="29"/>
  <c r="CH221" i="29"/>
  <c r="CP225" i="29"/>
  <c r="CO225" i="29"/>
  <c r="CH225" i="29"/>
  <c r="CR225" i="29"/>
  <c r="CV225" i="29"/>
  <c r="CD225" i="29"/>
  <c r="CV229" i="29"/>
  <c r="CH229" i="29"/>
  <c r="CD229" i="29"/>
  <c r="CV233" i="29"/>
  <c r="CD233" i="29"/>
  <c r="CO233" i="29"/>
  <c r="CR233" i="29"/>
  <c r="CH233" i="29"/>
  <c r="CP233" i="29"/>
  <c r="CV237" i="29"/>
  <c r="CD237" i="29"/>
  <c r="CO237" i="29"/>
  <c r="CP237" i="29"/>
  <c r="CH237" i="29"/>
  <c r="CR237" i="29"/>
  <c r="CV241" i="29"/>
  <c r="CD241" i="29"/>
  <c r="CO241" i="29"/>
  <c r="CH241" i="29"/>
  <c r="CP241" i="29"/>
  <c r="CR241" i="29"/>
  <c r="CR214" i="29"/>
  <c r="CV214" i="29"/>
  <c r="CP214" i="29"/>
  <c r="CO214" i="29"/>
  <c r="CO234" i="29"/>
  <c r="CV234" i="29"/>
  <c r="CD234" i="29"/>
  <c r="CH234" i="29"/>
  <c r="CP234" i="29"/>
  <c r="CR234" i="29"/>
  <c r="CV212" i="29"/>
  <c r="CO212" i="29"/>
  <c r="CR212" i="29"/>
  <c r="CP212" i="29"/>
  <c r="CR224" i="29"/>
  <c r="CH224" i="29"/>
  <c r="CP224" i="29"/>
  <c r="CO224" i="29"/>
  <c r="CV224" i="29"/>
  <c r="CD224" i="29"/>
  <c r="CP236" i="29"/>
  <c r="CO236" i="29"/>
  <c r="CH236" i="29"/>
  <c r="CR236" i="29"/>
  <c r="CD236" i="29"/>
  <c r="CV236" i="29"/>
  <c r="CQ210" i="29"/>
  <c r="CU210" i="29"/>
  <c r="CQ214" i="29"/>
  <c r="CU214" i="29"/>
  <c r="CC218" i="29"/>
  <c r="CQ218" i="29"/>
  <c r="CU218" i="29"/>
  <c r="CU222" i="29"/>
  <c r="CC222" i="29"/>
  <c r="CQ222" i="29"/>
  <c r="CU226" i="29"/>
  <c r="CC226" i="29"/>
  <c r="CQ226" i="29"/>
  <c r="CU230" i="29"/>
  <c r="CC230" i="29"/>
  <c r="CQ230" i="29"/>
  <c r="CU234" i="29"/>
  <c r="CC234" i="29"/>
  <c r="CQ234" i="29"/>
  <c r="CU238" i="29"/>
  <c r="CC238" i="29"/>
  <c r="CQ238" i="29"/>
  <c r="K163" i="29"/>
  <c r="CQ245" i="29"/>
  <c r="C209" i="29"/>
  <c r="C215" i="29"/>
  <c r="C260" i="29"/>
  <c r="C165" i="28"/>
  <c r="BV165" i="28" s="1"/>
  <c r="B25" i="28"/>
  <c r="BO25" i="28" s="1"/>
  <c r="B42" i="28"/>
  <c r="BS42" i="28" s="1"/>
  <c r="C212" i="29"/>
  <c r="B18" i="28"/>
  <c r="G163" i="29"/>
  <c r="M163" i="29"/>
  <c r="B39" i="28"/>
  <c r="BU39" i="28" s="1"/>
  <c r="B36" i="28"/>
  <c r="BQ36" i="28" s="1"/>
  <c r="B32" i="28"/>
  <c r="BV32" i="28" s="1"/>
  <c r="BP63" i="28"/>
  <c r="BO63" i="28"/>
  <c r="BU63" i="28"/>
  <c r="BV63" i="28"/>
  <c r="BQ145" i="28"/>
  <c r="BW145" i="28"/>
  <c r="BV145" i="28"/>
  <c r="BP145" i="28"/>
  <c r="BV64" i="28"/>
  <c r="BU64" i="28"/>
  <c r="BP64" i="28"/>
  <c r="BO64" i="28"/>
  <c r="BQ146" i="28"/>
  <c r="BP146" i="28"/>
  <c r="BP141" i="28"/>
  <c r="BV141" i="28"/>
  <c r="BW141" i="28"/>
  <c r="BQ141" i="28"/>
  <c r="BQ147" i="28"/>
  <c r="BP147" i="28"/>
  <c r="BW147" i="28"/>
  <c r="BV147" i="28"/>
  <c r="BW142" i="28"/>
  <c r="BV142" i="28"/>
  <c r="BP142" i="28"/>
  <c r="BQ142" i="28"/>
  <c r="BW148" i="28"/>
  <c r="BV148" i="28"/>
  <c r="BQ148" i="28"/>
  <c r="BP148" i="28"/>
  <c r="BP171" i="28"/>
  <c r="BO171" i="28"/>
  <c r="BP144" i="28"/>
  <c r="BW144" i="28"/>
  <c r="BV144" i="28"/>
  <c r="BQ144" i="28"/>
  <c r="BU144" i="28"/>
  <c r="BW143" i="28"/>
  <c r="BV143" i="28"/>
  <c r="BQ143" i="28"/>
  <c r="BP143" i="28"/>
  <c r="BW149" i="28"/>
  <c r="BV149" i="28"/>
  <c r="BQ149" i="28"/>
  <c r="BP149" i="28"/>
  <c r="C172" i="29"/>
  <c r="CO172" i="29" s="1"/>
  <c r="BR22" i="28"/>
  <c r="BX22" i="28"/>
  <c r="BP60" i="28"/>
  <c r="BV60" i="28"/>
  <c r="BU60" i="28"/>
  <c r="BO60" i="28"/>
  <c r="BP61" i="28"/>
  <c r="BU61" i="28"/>
  <c r="BO61" i="28"/>
  <c r="BV61" i="28"/>
  <c r="BQ22" i="28"/>
  <c r="BU22" i="28"/>
  <c r="BV22" i="28"/>
  <c r="BO22" i="28"/>
  <c r="BP22" i="28"/>
  <c r="BW22" i="28"/>
  <c r="BP19" i="28"/>
  <c r="BU19" i="28"/>
  <c r="BV19" i="28"/>
  <c r="BO19" i="28"/>
  <c r="BV20" i="28"/>
  <c r="BO20" i="28"/>
  <c r="BP20" i="28"/>
  <c r="BU20" i="28"/>
  <c r="C114" i="29"/>
  <c r="C121" i="29"/>
  <c r="C125" i="29"/>
  <c r="C128" i="29"/>
  <c r="CA128" i="29" s="1"/>
  <c r="C364" i="29"/>
  <c r="C366" i="29"/>
  <c r="CA366" i="29" s="1"/>
  <c r="C219" i="29"/>
  <c r="C231" i="29"/>
  <c r="C234" i="29"/>
  <c r="C237" i="29"/>
  <c r="C251" i="29"/>
  <c r="C332" i="29"/>
  <c r="C335" i="29"/>
  <c r="C338" i="29"/>
  <c r="B352" i="29"/>
  <c r="C158" i="29"/>
  <c r="C185" i="29"/>
  <c r="C285" i="29"/>
  <c r="C288" i="29"/>
  <c r="C291" i="29"/>
  <c r="C316" i="29"/>
  <c r="C166" i="28"/>
  <c r="C167" i="28"/>
  <c r="C301" i="29"/>
  <c r="C149" i="29"/>
  <c r="C272" i="29"/>
  <c r="C275" i="29"/>
  <c r="C281" i="29"/>
  <c r="CH281" i="29" s="1"/>
  <c r="C318" i="29"/>
  <c r="C321" i="29"/>
  <c r="C201" i="29"/>
  <c r="C207" i="29"/>
  <c r="C261" i="29"/>
  <c r="C113" i="29"/>
  <c r="C120" i="29"/>
  <c r="C211" i="29"/>
  <c r="C217" i="29"/>
  <c r="C229" i="29"/>
  <c r="C241" i="29"/>
  <c r="CK241" i="29" s="1"/>
  <c r="C252" i="29"/>
  <c r="C255" i="29"/>
  <c r="C222" i="29"/>
  <c r="C134" i="29"/>
  <c r="CA134" i="29" s="1"/>
  <c r="C141" i="29"/>
  <c r="CA141" i="29" s="1"/>
  <c r="C168" i="29"/>
  <c r="C199" i="29"/>
  <c r="C205" i="29"/>
  <c r="C262" i="29"/>
  <c r="C268" i="29"/>
  <c r="C271" i="29"/>
  <c r="C136" i="29"/>
  <c r="CA136" i="29" s="1"/>
  <c r="C140" i="29"/>
  <c r="CA140" i="29" s="1"/>
  <c r="C156" i="29"/>
  <c r="J163" i="29"/>
  <c r="C173" i="29"/>
  <c r="C324" i="29"/>
  <c r="I176" i="29"/>
  <c r="O176" i="29"/>
  <c r="C182" i="29"/>
  <c r="CB182" i="29" s="1"/>
  <c r="C265" i="29"/>
  <c r="C154" i="29"/>
  <c r="J176" i="29"/>
  <c r="P176" i="29"/>
  <c r="C180" i="29"/>
  <c r="C184" i="29"/>
  <c r="C187" i="29"/>
  <c r="C203" i="29"/>
  <c r="C206" i="29"/>
  <c r="C230" i="29"/>
  <c r="C233" i="29"/>
  <c r="C236" i="29"/>
  <c r="C239" i="29"/>
  <c r="C253" i="29"/>
  <c r="C256" i="29"/>
  <c r="C259" i="29"/>
  <c r="C283" i="29"/>
  <c r="C289" i="29"/>
  <c r="C292" i="29"/>
  <c r="C346" i="29"/>
  <c r="C150" i="29"/>
  <c r="C160" i="29"/>
  <c r="H163" i="29"/>
  <c r="N163" i="29"/>
  <c r="C169" i="29"/>
  <c r="G176" i="29"/>
  <c r="C204" i="29"/>
  <c r="C273" i="29"/>
  <c r="C276" i="29"/>
  <c r="C279" i="29"/>
  <c r="CH279" i="29" s="1"/>
  <c r="C284" i="29"/>
  <c r="C287" i="29"/>
  <c r="C293" i="29"/>
  <c r="C300" i="29"/>
  <c r="C330" i="29"/>
  <c r="C333" i="29"/>
  <c r="C336" i="29"/>
  <c r="C339" i="29"/>
  <c r="C359" i="29"/>
  <c r="C362" i="29"/>
  <c r="E183" i="29"/>
  <c r="C214" i="29"/>
  <c r="C225" i="29"/>
  <c r="C119" i="29"/>
  <c r="C122" i="29"/>
  <c r="C126" i="29"/>
  <c r="C135" i="29"/>
  <c r="CA135" i="29" s="1"/>
  <c r="C139" i="29"/>
  <c r="CA139" i="29" s="1"/>
  <c r="C174" i="29"/>
  <c r="C181" i="29"/>
  <c r="CB181" i="29" s="1"/>
  <c r="C200" i="29"/>
  <c r="H176" i="29"/>
  <c r="N176" i="29"/>
  <c r="C193" i="29"/>
  <c r="C220" i="29"/>
  <c r="C223" i="29"/>
  <c r="C226" i="29"/>
  <c r="C278" i="29"/>
  <c r="C299" i="29"/>
  <c r="C147" i="29"/>
  <c r="C155" i="29"/>
  <c r="C258" i="29"/>
  <c r="C264" i="29"/>
  <c r="C267" i="29"/>
  <c r="C322" i="29"/>
  <c r="C357" i="29"/>
  <c r="C344" i="29"/>
  <c r="C167" i="29"/>
  <c r="M176" i="29"/>
  <c r="C146" i="29"/>
  <c r="C133" i="29"/>
  <c r="CA133" i="29" s="1"/>
  <c r="B117" i="28"/>
  <c r="B136" i="28"/>
  <c r="C163" i="28"/>
  <c r="B16" i="28"/>
  <c r="BQ16" i="28" s="1"/>
  <c r="B23" i="28"/>
  <c r="B26" i="28"/>
  <c r="B34" i="28"/>
  <c r="B37" i="28"/>
  <c r="B40" i="28"/>
  <c r="B43" i="28"/>
  <c r="B46" i="28"/>
  <c r="C154" i="28"/>
  <c r="C157" i="28"/>
  <c r="C155" i="28"/>
  <c r="C158" i="28"/>
  <c r="C161" i="28"/>
  <c r="B21" i="28"/>
  <c r="B24" i="28"/>
  <c r="B35" i="28"/>
  <c r="B38" i="28"/>
  <c r="B41" i="28"/>
  <c r="B44" i="28"/>
  <c r="C83" i="28"/>
  <c r="BW83" i="28" s="1"/>
  <c r="C156" i="28"/>
  <c r="C159" i="28"/>
  <c r="C162" i="28"/>
  <c r="B59" i="28"/>
  <c r="B31" i="28"/>
  <c r="C160" i="28"/>
  <c r="C137" i="29"/>
  <c r="CA137" i="29" s="1"/>
  <c r="D183" i="29"/>
  <c r="C186" i="29"/>
  <c r="C334" i="29"/>
  <c r="C337" i="29"/>
  <c r="C360" i="29"/>
  <c r="C363" i="29"/>
  <c r="C112" i="29"/>
  <c r="C218" i="29"/>
  <c r="C290" i="29"/>
  <c r="C317" i="29"/>
  <c r="C127" i="29"/>
  <c r="CA127" i="29" s="1"/>
  <c r="C148" i="29"/>
  <c r="I163" i="29"/>
  <c r="O163" i="29"/>
  <c r="C202" i="29"/>
  <c r="C210" i="29"/>
  <c r="C213" i="29"/>
  <c r="C221" i="29"/>
  <c r="C224" i="29"/>
  <c r="C227" i="29"/>
  <c r="C232" i="29"/>
  <c r="C235" i="29"/>
  <c r="C238" i="29"/>
  <c r="C254" i="29"/>
  <c r="C257" i="29"/>
  <c r="C263" i="29"/>
  <c r="C266" i="29"/>
  <c r="C269" i="29"/>
  <c r="C274" i="29"/>
  <c r="C277" i="29"/>
  <c r="C280" i="29"/>
  <c r="CH280" i="29" s="1"/>
  <c r="C320" i="29"/>
  <c r="C323" i="29"/>
  <c r="C358" i="29"/>
  <c r="C361" i="29"/>
  <c r="C81" i="28"/>
  <c r="BW81" i="28" s="1"/>
  <c r="F176" i="29"/>
  <c r="L176" i="29"/>
  <c r="R176" i="29"/>
  <c r="E306" i="29"/>
  <c r="B15" i="28"/>
  <c r="B13" i="28"/>
  <c r="C82" i="28"/>
  <c r="BW82" i="28" s="1"/>
  <c r="B137" i="28"/>
  <c r="F163" i="29"/>
  <c r="L163" i="29"/>
  <c r="C161" i="29"/>
  <c r="D170" i="29"/>
  <c r="D175" i="29"/>
  <c r="C286" i="29"/>
  <c r="D306" i="29"/>
  <c r="C319" i="29"/>
  <c r="Q176" i="29"/>
  <c r="B14" i="28"/>
  <c r="C35" i="29"/>
  <c r="D157" i="29"/>
  <c r="C159" i="29"/>
  <c r="E170" i="29"/>
  <c r="E175" i="29"/>
  <c r="C331" i="29"/>
  <c r="B351" i="29"/>
  <c r="K176" i="29"/>
  <c r="B17" i="28"/>
  <c r="C80" i="28"/>
  <c r="B135" i="28"/>
  <c r="C164" i="28"/>
  <c r="E157" i="29"/>
  <c r="C216" i="29"/>
  <c r="C228" i="29"/>
  <c r="C240" i="29"/>
  <c r="C270" i="29"/>
  <c r="C282" i="29"/>
  <c r="C298" i="29"/>
  <c r="C345" i="29"/>
  <c r="C365" i="29"/>
  <c r="C171" i="29"/>
  <c r="CP171" i="29" s="1"/>
  <c r="C12" i="28"/>
  <c r="D12" i="28"/>
  <c r="A437" i="29" l="1"/>
  <c r="BS26" i="28"/>
  <c r="BU26" i="28"/>
  <c r="AY229" i="29"/>
  <c r="AY227" i="29"/>
  <c r="CK193" i="29"/>
  <c r="CK210" i="29"/>
  <c r="CF210" i="29"/>
  <c r="CE210" i="29"/>
  <c r="CK207" i="29"/>
  <c r="CF207" i="29"/>
  <c r="CE207" i="29"/>
  <c r="CB119" i="29"/>
  <c r="CA119" i="29"/>
  <c r="CG307" i="29"/>
  <c r="CF307" i="29"/>
  <c r="CE307" i="29"/>
  <c r="CD307" i="29"/>
  <c r="CA301" i="29"/>
  <c r="CD301" i="29"/>
  <c r="CF212" i="29"/>
  <c r="CK212" i="29"/>
  <c r="CE212" i="29"/>
  <c r="CE205" i="29"/>
  <c r="CF205" i="29"/>
  <c r="CK205" i="29"/>
  <c r="CK201" i="29"/>
  <c r="CF201" i="29"/>
  <c r="CE201" i="29"/>
  <c r="CA300" i="29"/>
  <c r="CD300" i="29"/>
  <c r="CK208" i="29"/>
  <c r="CF208" i="29"/>
  <c r="CK206" i="29"/>
  <c r="CE206" i="29"/>
  <c r="CF206" i="29"/>
  <c r="CK203" i="29"/>
  <c r="CF203" i="29"/>
  <c r="CE203" i="29"/>
  <c r="CK215" i="29"/>
  <c r="CE215" i="29"/>
  <c r="CF215" i="29"/>
  <c r="CA298" i="29"/>
  <c r="CD298" i="29"/>
  <c r="CC298" i="29"/>
  <c r="CB298" i="29"/>
  <c r="CK209" i="29"/>
  <c r="CF209" i="29"/>
  <c r="CE209" i="29"/>
  <c r="CE202" i="29"/>
  <c r="CK202" i="29"/>
  <c r="CF202" i="29"/>
  <c r="CA299" i="29"/>
  <c r="CD299" i="29"/>
  <c r="CE200" i="29"/>
  <c r="CF200" i="29"/>
  <c r="CK200" i="29"/>
  <c r="CK204" i="29"/>
  <c r="CF204" i="29"/>
  <c r="CE204" i="29"/>
  <c r="CK216" i="29"/>
  <c r="CF216" i="29"/>
  <c r="CE216" i="29"/>
  <c r="CK217" i="29"/>
  <c r="CF217" i="29"/>
  <c r="CE217" i="29"/>
  <c r="CE214" i="29"/>
  <c r="CK214" i="29"/>
  <c r="CF214" i="29"/>
  <c r="CK199" i="29"/>
  <c r="CF199" i="29"/>
  <c r="CE199" i="29"/>
  <c r="CE211" i="29"/>
  <c r="CF211" i="29"/>
  <c r="CK211" i="29"/>
  <c r="CK213" i="29"/>
  <c r="CF213" i="29"/>
  <c r="CE213" i="29"/>
  <c r="CQ352" i="29"/>
  <c r="CP352" i="29"/>
  <c r="CO352" i="29"/>
  <c r="CC352" i="29"/>
  <c r="CB352" i="29"/>
  <c r="CA352" i="29"/>
  <c r="CF193" i="29"/>
  <c r="CE193" i="29"/>
  <c r="E163" i="29"/>
  <c r="D163" i="29"/>
  <c r="CG270" i="29"/>
  <c r="CH270" i="29"/>
  <c r="CI270" i="29"/>
  <c r="CF270" i="29"/>
  <c r="CE351" i="29"/>
  <c r="CD351" i="29"/>
  <c r="CG274" i="29"/>
  <c r="CH274" i="29"/>
  <c r="CI274" i="29"/>
  <c r="CF274" i="29"/>
  <c r="CC333" i="29"/>
  <c r="CD333" i="29"/>
  <c r="CE333" i="29"/>
  <c r="CF333" i="29"/>
  <c r="CF273" i="29"/>
  <c r="CG273" i="29"/>
  <c r="CH273" i="29"/>
  <c r="CI273" i="29"/>
  <c r="CD344" i="29"/>
  <c r="CC344" i="29"/>
  <c r="CR344" i="29"/>
  <c r="CQ344" i="29"/>
  <c r="CF292" i="29"/>
  <c r="CG292" i="29"/>
  <c r="CH292" i="29"/>
  <c r="CI292" i="29"/>
  <c r="CE338" i="29"/>
  <c r="CF338" i="29"/>
  <c r="CC338" i="29"/>
  <c r="CD338" i="29"/>
  <c r="CF269" i="29"/>
  <c r="CG269" i="29"/>
  <c r="CH269" i="29"/>
  <c r="CI269" i="29"/>
  <c r="CE330" i="29"/>
  <c r="CF330" i="29"/>
  <c r="CC330" i="29"/>
  <c r="CD330" i="29"/>
  <c r="CF289" i="29"/>
  <c r="CG289" i="29"/>
  <c r="CH289" i="29"/>
  <c r="CI289" i="29"/>
  <c r="CC335" i="29"/>
  <c r="CD335" i="29"/>
  <c r="CE335" i="29"/>
  <c r="CF335" i="29"/>
  <c r="CC331" i="29"/>
  <c r="CD331" i="29"/>
  <c r="CE331" i="29"/>
  <c r="CF331" i="29"/>
  <c r="CC337" i="29"/>
  <c r="CD337" i="29"/>
  <c r="CE337" i="29"/>
  <c r="CF337" i="29"/>
  <c r="CG266" i="29"/>
  <c r="CH266" i="29"/>
  <c r="CI266" i="29"/>
  <c r="CF266" i="29"/>
  <c r="CE334" i="29"/>
  <c r="CF334" i="29"/>
  <c r="CC334" i="29"/>
  <c r="CD334" i="29"/>
  <c r="CP357" i="29"/>
  <c r="CA357" i="29"/>
  <c r="CG278" i="29"/>
  <c r="CH278" i="29"/>
  <c r="CI278" i="29"/>
  <c r="CF278" i="29"/>
  <c r="CG286" i="29"/>
  <c r="CH286" i="29"/>
  <c r="CI286" i="29"/>
  <c r="CF286" i="29"/>
  <c r="CI263" i="29"/>
  <c r="CF263" i="29"/>
  <c r="CG263" i="29"/>
  <c r="CH263" i="29"/>
  <c r="CW245" i="29"/>
  <c r="CF293" i="29"/>
  <c r="CG293" i="29"/>
  <c r="CH293" i="29"/>
  <c r="CI293" i="29"/>
  <c r="CI283" i="29"/>
  <c r="CF283" i="29"/>
  <c r="CG283" i="29"/>
  <c r="CH283" i="29"/>
  <c r="CF265" i="29"/>
  <c r="CG265" i="29"/>
  <c r="CH265" i="29"/>
  <c r="CI265" i="29"/>
  <c r="CI281" i="29"/>
  <c r="CI291" i="29"/>
  <c r="CF291" i="29"/>
  <c r="CG291" i="29"/>
  <c r="CH291" i="29"/>
  <c r="CE332" i="29"/>
  <c r="CF332" i="29"/>
  <c r="CC332" i="29"/>
  <c r="CD332" i="29"/>
  <c r="CF260" i="29"/>
  <c r="CG260" i="29"/>
  <c r="CH260" i="29"/>
  <c r="CI260" i="29"/>
  <c r="CF329" i="29"/>
  <c r="CE329" i="29"/>
  <c r="CD329" i="29"/>
  <c r="CC329" i="29"/>
  <c r="CO298" i="29"/>
  <c r="CW257" i="29"/>
  <c r="CV257" i="29"/>
  <c r="CI257" i="29"/>
  <c r="CU257" i="29"/>
  <c r="CH257" i="29"/>
  <c r="CT257" i="29"/>
  <c r="CG257" i="29"/>
  <c r="CF257" i="29"/>
  <c r="CG290" i="29"/>
  <c r="CH290" i="29"/>
  <c r="CI290" i="29"/>
  <c r="CF290" i="29"/>
  <c r="CI267" i="29"/>
  <c r="CF267" i="29"/>
  <c r="CG267" i="29"/>
  <c r="CH267" i="29"/>
  <c r="CI287" i="29"/>
  <c r="CF287" i="29"/>
  <c r="CG287" i="29"/>
  <c r="CH287" i="29"/>
  <c r="CT259" i="29"/>
  <c r="CG259" i="29"/>
  <c r="CF259" i="29"/>
  <c r="CW259" i="29"/>
  <c r="CV259" i="29"/>
  <c r="CI259" i="29"/>
  <c r="CU259" i="29"/>
  <c r="CH259" i="29"/>
  <c r="CI275" i="29"/>
  <c r="CF275" i="29"/>
  <c r="CG275" i="29"/>
  <c r="CH275" i="29"/>
  <c r="CF288" i="29"/>
  <c r="CG288" i="29"/>
  <c r="CH288" i="29"/>
  <c r="CI288" i="29"/>
  <c r="CT251" i="29"/>
  <c r="CF251" i="29"/>
  <c r="CH251" i="29"/>
  <c r="CG251" i="29"/>
  <c r="CU251" i="29"/>
  <c r="CW251" i="29"/>
  <c r="CV251" i="29"/>
  <c r="CI251" i="29"/>
  <c r="CG282" i="29"/>
  <c r="CH282" i="29"/>
  <c r="CI282" i="29"/>
  <c r="CF282" i="29"/>
  <c r="CV254" i="29"/>
  <c r="CT254" i="29"/>
  <c r="CH254" i="29"/>
  <c r="CG254" i="29"/>
  <c r="CI254" i="29"/>
  <c r="CF254" i="29"/>
  <c r="CW254" i="29"/>
  <c r="CU254" i="29"/>
  <c r="CF264" i="29"/>
  <c r="CG264" i="29"/>
  <c r="CH264" i="29"/>
  <c r="CI264" i="29"/>
  <c r="CF284" i="29"/>
  <c r="CG284" i="29"/>
  <c r="CH284" i="29"/>
  <c r="CI284" i="29"/>
  <c r="CW256" i="29"/>
  <c r="CV256" i="29"/>
  <c r="CI256" i="29"/>
  <c r="CU256" i="29"/>
  <c r="CH256" i="29"/>
  <c r="CT256" i="29"/>
  <c r="CG256" i="29"/>
  <c r="CF256" i="29"/>
  <c r="CI271" i="29"/>
  <c r="CF271" i="29"/>
  <c r="CG271" i="29"/>
  <c r="CH271" i="29"/>
  <c r="CF272" i="29"/>
  <c r="CG272" i="29"/>
  <c r="CH272" i="29"/>
  <c r="CI272" i="29"/>
  <c r="CF285" i="29"/>
  <c r="CG285" i="29"/>
  <c r="CH285" i="29"/>
  <c r="CI285" i="29"/>
  <c r="CI280" i="29"/>
  <c r="CV258" i="29"/>
  <c r="CI258" i="29"/>
  <c r="CU258" i="29"/>
  <c r="CH258" i="29"/>
  <c r="CT258" i="29"/>
  <c r="CG258" i="29"/>
  <c r="CF258" i="29"/>
  <c r="CW258" i="29"/>
  <c r="CC339" i="29"/>
  <c r="CD339" i="29"/>
  <c r="CE339" i="29"/>
  <c r="CF339" i="29"/>
  <c r="CI279" i="29"/>
  <c r="CW253" i="29"/>
  <c r="CV253" i="29"/>
  <c r="CI253" i="29"/>
  <c r="CU253" i="29"/>
  <c r="CH253" i="29"/>
  <c r="CT253" i="29"/>
  <c r="CG253" i="29"/>
  <c r="CF253" i="29"/>
  <c r="CF268" i="29"/>
  <c r="CG268" i="29"/>
  <c r="CH268" i="29"/>
  <c r="CI268" i="29"/>
  <c r="CT255" i="29"/>
  <c r="CG255" i="29"/>
  <c r="CF255" i="29"/>
  <c r="CW255" i="29"/>
  <c r="CV255" i="29"/>
  <c r="CI255" i="29"/>
  <c r="CU255" i="29"/>
  <c r="CH255" i="29"/>
  <c r="CF261" i="29"/>
  <c r="CG261" i="29"/>
  <c r="CH261" i="29"/>
  <c r="CI261" i="29"/>
  <c r="CF277" i="29"/>
  <c r="CG277" i="29"/>
  <c r="CH277" i="29"/>
  <c r="CI277" i="29"/>
  <c r="CE336" i="29"/>
  <c r="CF336" i="29"/>
  <c r="CC336" i="29"/>
  <c r="CD336" i="29"/>
  <c r="CF276" i="29"/>
  <c r="CG276" i="29"/>
  <c r="CH276" i="29"/>
  <c r="CI276" i="29"/>
  <c r="CG262" i="29"/>
  <c r="CH262" i="29"/>
  <c r="CI262" i="29"/>
  <c r="CF262" i="29"/>
  <c r="CW252" i="29"/>
  <c r="CV252" i="29"/>
  <c r="CI252" i="29"/>
  <c r="CU252" i="29"/>
  <c r="CH252" i="29"/>
  <c r="CT252" i="29"/>
  <c r="CG252" i="29"/>
  <c r="CF252" i="29"/>
  <c r="CC137" i="29"/>
  <c r="CQ137" i="29"/>
  <c r="CP137" i="29"/>
  <c r="CB137" i="29"/>
  <c r="CO137" i="29"/>
  <c r="CY193" i="29"/>
  <c r="CT193" i="29"/>
  <c r="CS193" i="29"/>
  <c r="CK232" i="29"/>
  <c r="CY232" i="29"/>
  <c r="CO167" i="29"/>
  <c r="CA167" i="29"/>
  <c r="CY216" i="29"/>
  <c r="CP148" i="29"/>
  <c r="CC148" i="29"/>
  <c r="CQ148" i="29"/>
  <c r="CB148" i="29"/>
  <c r="CT200" i="29"/>
  <c r="CS200" i="29"/>
  <c r="CY200" i="29"/>
  <c r="CK225" i="29"/>
  <c r="CY225" i="29"/>
  <c r="CT204" i="29"/>
  <c r="CS204" i="29"/>
  <c r="CY204" i="29"/>
  <c r="CY233" i="29"/>
  <c r="CK233" i="29"/>
  <c r="CS199" i="29"/>
  <c r="CY199" i="29"/>
  <c r="CT199" i="29"/>
  <c r="CY214" i="29"/>
  <c r="CK230" i="29"/>
  <c r="CY230" i="29"/>
  <c r="CP154" i="29"/>
  <c r="CB154" i="29"/>
  <c r="CO154" i="29"/>
  <c r="CA154" i="29"/>
  <c r="CB156" i="29"/>
  <c r="CO156" i="29"/>
  <c r="CP156" i="29"/>
  <c r="CA156" i="29"/>
  <c r="CY217" i="29"/>
  <c r="CK224" i="29"/>
  <c r="CY224" i="29"/>
  <c r="CK221" i="29"/>
  <c r="CY221" i="29"/>
  <c r="CI245" i="29"/>
  <c r="CH245" i="29"/>
  <c r="CG245" i="29"/>
  <c r="CF245" i="29"/>
  <c r="CY226" i="29"/>
  <c r="CK226" i="29"/>
  <c r="CY206" i="29"/>
  <c r="CS206" i="29"/>
  <c r="CT206" i="29"/>
  <c r="CQ140" i="29"/>
  <c r="CB140" i="29"/>
  <c r="CO140" i="29"/>
  <c r="CC140" i="29"/>
  <c r="CP140" i="29"/>
  <c r="CP141" i="29"/>
  <c r="CO141" i="29"/>
  <c r="CQ141" i="29"/>
  <c r="CC141" i="29"/>
  <c r="CB141" i="29"/>
  <c r="CY211" i="29"/>
  <c r="CY208" i="29"/>
  <c r="CA186" i="29"/>
  <c r="CB186" i="29"/>
  <c r="CY223" i="29"/>
  <c r="CK223" i="29"/>
  <c r="CO139" i="29"/>
  <c r="CP139" i="29"/>
  <c r="CB139" i="29"/>
  <c r="CC139" i="29"/>
  <c r="CQ139" i="29"/>
  <c r="CP136" i="29"/>
  <c r="CQ136" i="29"/>
  <c r="CB136" i="29"/>
  <c r="CO136" i="29"/>
  <c r="CC136" i="29"/>
  <c r="CO134" i="29"/>
  <c r="CP134" i="29"/>
  <c r="CQ134" i="29"/>
  <c r="CC134" i="29"/>
  <c r="CB134" i="29"/>
  <c r="CY215" i="29"/>
  <c r="CY213" i="29"/>
  <c r="CS203" i="29"/>
  <c r="CY203" i="29"/>
  <c r="CT203" i="29"/>
  <c r="CY210" i="29"/>
  <c r="CY218" i="29"/>
  <c r="CK218" i="29"/>
  <c r="CQ133" i="29"/>
  <c r="CP133" i="29"/>
  <c r="CB133" i="29"/>
  <c r="CO133" i="29"/>
  <c r="CY220" i="29"/>
  <c r="CK220" i="29"/>
  <c r="CB135" i="29"/>
  <c r="CC135" i="29"/>
  <c r="CO135" i="29"/>
  <c r="CQ135" i="29"/>
  <c r="CP135" i="29"/>
  <c r="CB187" i="29"/>
  <c r="CA187" i="29"/>
  <c r="CY222" i="29"/>
  <c r="CK222" i="29"/>
  <c r="CY237" i="29"/>
  <c r="CK237" i="29"/>
  <c r="CY209" i="29"/>
  <c r="CY202" i="29"/>
  <c r="CT202" i="29"/>
  <c r="CS202" i="29"/>
  <c r="CP160" i="29"/>
  <c r="CO160" i="29"/>
  <c r="CB184" i="29"/>
  <c r="CA184" i="29"/>
  <c r="CP184" i="29"/>
  <c r="CC149" i="29"/>
  <c r="CP149" i="29"/>
  <c r="CB149" i="29"/>
  <c r="CQ149" i="29"/>
  <c r="CO185" i="29"/>
  <c r="CB185" i="29"/>
  <c r="CA185" i="29"/>
  <c r="CY234" i="29"/>
  <c r="CK234" i="29"/>
  <c r="CP159" i="29"/>
  <c r="CO159" i="29"/>
  <c r="CQ146" i="29"/>
  <c r="CC146" i="29"/>
  <c r="CP146" i="29"/>
  <c r="CB146" i="29"/>
  <c r="CK240" i="29"/>
  <c r="CY240" i="29"/>
  <c r="CY235" i="29"/>
  <c r="CK235" i="29"/>
  <c r="CP155" i="29"/>
  <c r="CA155" i="29"/>
  <c r="CO155" i="29"/>
  <c r="CB155" i="29"/>
  <c r="CB150" i="29"/>
  <c r="CQ150" i="29"/>
  <c r="CC150" i="29"/>
  <c r="CP150" i="29"/>
  <c r="CY239" i="29"/>
  <c r="CK239" i="29"/>
  <c r="CA180" i="29"/>
  <c r="CB180" i="29"/>
  <c r="CO180" i="29"/>
  <c r="CS207" i="29"/>
  <c r="CY207" i="29"/>
  <c r="CT207" i="29"/>
  <c r="CA158" i="29"/>
  <c r="CP158" i="29"/>
  <c r="CO158" i="29"/>
  <c r="CY231" i="29"/>
  <c r="CK231" i="29"/>
  <c r="CY212" i="29"/>
  <c r="CO161" i="29"/>
  <c r="CP161" i="29"/>
  <c r="CY238" i="29"/>
  <c r="CK238" i="29"/>
  <c r="CB147" i="29"/>
  <c r="CP147" i="29"/>
  <c r="CC147" i="29"/>
  <c r="CQ147" i="29"/>
  <c r="CY236" i="29"/>
  <c r="CK236" i="29"/>
  <c r="CT205" i="29"/>
  <c r="CS205" i="29"/>
  <c r="CY205" i="29"/>
  <c r="CY241" i="29"/>
  <c r="CT201" i="29"/>
  <c r="CS201" i="29"/>
  <c r="CY201" i="29"/>
  <c r="CY219" i="29"/>
  <c r="CK219" i="29"/>
  <c r="CO119" i="29"/>
  <c r="CP119" i="29"/>
  <c r="AB44" i="29"/>
  <c r="Y59" i="29"/>
  <c r="AB51" i="29"/>
  <c r="Y56" i="29"/>
  <c r="CO127" i="29"/>
  <c r="CP127" i="29"/>
  <c r="CB127" i="29"/>
  <c r="AJ127" i="29" s="1"/>
  <c r="CO123" i="29"/>
  <c r="CP123" i="29"/>
  <c r="CB123" i="29"/>
  <c r="AJ123" i="29" s="1"/>
  <c r="AB42" i="29"/>
  <c r="AB45" i="29"/>
  <c r="AB37" i="29"/>
  <c r="AB47" i="29"/>
  <c r="CA120" i="29"/>
  <c r="CO120" i="29"/>
  <c r="CP120" i="29"/>
  <c r="CB120" i="29"/>
  <c r="CB125" i="29"/>
  <c r="CO125" i="29"/>
  <c r="CP125" i="29"/>
  <c r="CA125" i="29"/>
  <c r="AB38" i="29"/>
  <c r="Y57" i="29"/>
  <c r="AB40" i="29"/>
  <c r="CC133" i="29"/>
  <c r="CB121" i="29"/>
  <c r="CO121" i="29"/>
  <c r="CP121" i="29"/>
  <c r="CA121" i="29"/>
  <c r="Y58" i="29"/>
  <c r="AB50" i="29"/>
  <c r="CP122" i="29"/>
  <c r="CA122" i="29"/>
  <c r="CB122" i="29"/>
  <c r="CO122" i="29"/>
  <c r="CP126" i="29"/>
  <c r="CA126" i="29"/>
  <c r="CB126" i="29"/>
  <c r="CO126" i="29"/>
  <c r="AB46" i="29"/>
  <c r="AB43" i="29"/>
  <c r="AB39" i="29"/>
  <c r="AB41" i="29"/>
  <c r="AB48" i="29"/>
  <c r="CO128" i="29"/>
  <c r="CP128" i="29"/>
  <c r="CB128" i="29"/>
  <c r="AJ128" i="29" s="1"/>
  <c r="BV42" i="28"/>
  <c r="BU25" i="28"/>
  <c r="BU32" i="28"/>
  <c r="C157" i="29"/>
  <c r="BQ45" i="28"/>
  <c r="BO45" i="28"/>
  <c r="BV45" i="28"/>
  <c r="BR45" i="28"/>
  <c r="BX45" i="28"/>
  <c r="BP45" i="28"/>
  <c r="BS45" i="28"/>
  <c r="BY45" i="28"/>
  <c r="BW45" i="28"/>
  <c r="L148" i="28"/>
  <c r="BP165" i="28"/>
  <c r="BO165" i="28"/>
  <c r="L146" i="28"/>
  <c r="BW35" i="28"/>
  <c r="BR35" i="28"/>
  <c r="BX35" i="28"/>
  <c r="BS35" i="28"/>
  <c r="BQ35" i="28"/>
  <c r="BY35" i="28"/>
  <c r="BW17" i="28"/>
  <c r="BR17" i="28"/>
  <c r="BX17" i="28"/>
  <c r="BQ17" i="28"/>
  <c r="BO18" i="28"/>
  <c r="BW18" i="28"/>
  <c r="BQ18" i="28"/>
  <c r="BX18" i="28"/>
  <c r="BR18" i="28"/>
  <c r="BW21" i="28"/>
  <c r="BX21" i="28"/>
  <c r="BQ21" i="28"/>
  <c r="BR21" i="28"/>
  <c r="BV18" i="28"/>
  <c r="V171" i="28"/>
  <c r="L149" i="28"/>
  <c r="L147" i="28"/>
  <c r="L145" i="28"/>
  <c r="BW39" i="28"/>
  <c r="BQ39" i="28"/>
  <c r="BX39" i="28"/>
  <c r="BR39" i="28"/>
  <c r="BU18" i="28"/>
  <c r="BR32" i="28"/>
  <c r="BY32" i="28"/>
  <c r="BS18" i="28"/>
  <c r="BR25" i="28"/>
  <c r="BP18" i="28"/>
  <c r="BW25" i="28"/>
  <c r="BY18" i="28"/>
  <c r="BU165" i="28"/>
  <c r="BX25" i="28"/>
  <c r="BV25" i="28"/>
  <c r="BW32" i="28"/>
  <c r="CT245" i="29"/>
  <c r="CR345" i="29"/>
  <c r="CQ345" i="29"/>
  <c r="CC345" i="29"/>
  <c r="CD345" i="29"/>
  <c r="CR346" i="29"/>
  <c r="CC346" i="29"/>
  <c r="CD346" i="29"/>
  <c r="CQ346" i="29"/>
  <c r="CD352" i="29"/>
  <c r="CS352" i="29"/>
  <c r="CE352" i="29"/>
  <c r="CR352" i="29"/>
  <c r="CS351" i="29"/>
  <c r="CR351" i="29"/>
  <c r="CT307" i="29"/>
  <c r="CU307" i="29"/>
  <c r="CS329" i="29"/>
  <c r="CQ335" i="29"/>
  <c r="CR335" i="29"/>
  <c r="CS335" i="29"/>
  <c r="CT335" i="29"/>
  <c r="CS338" i="29"/>
  <c r="CT338" i="29"/>
  <c r="CQ338" i="29"/>
  <c r="CR338" i="29"/>
  <c r="CQ329" i="29"/>
  <c r="CQ331" i="29"/>
  <c r="CR331" i="29"/>
  <c r="CS331" i="29"/>
  <c r="CT331" i="29"/>
  <c r="CQ339" i="29"/>
  <c r="CR339" i="29"/>
  <c r="CS339" i="29"/>
  <c r="CT339" i="29"/>
  <c r="CQ337" i="29"/>
  <c r="CR337" i="29"/>
  <c r="CS337" i="29"/>
  <c r="CT337" i="29"/>
  <c r="CS336" i="29"/>
  <c r="CT336" i="29"/>
  <c r="CQ336" i="29"/>
  <c r="CR336" i="29"/>
  <c r="CS334" i="29"/>
  <c r="CT334" i="29"/>
  <c r="CQ334" i="29"/>
  <c r="CR334" i="29"/>
  <c r="CQ333" i="29"/>
  <c r="CR333" i="29"/>
  <c r="CS333" i="29"/>
  <c r="CT333" i="29"/>
  <c r="CR329" i="29"/>
  <c r="CS332" i="29"/>
  <c r="CT332" i="29"/>
  <c r="CR332" i="29"/>
  <c r="CQ332" i="29"/>
  <c r="CQ330" i="29"/>
  <c r="CT330" i="29"/>
  <c r="CR330" i="29"/>
  <c r="CS330" i="29"/>
  <c r="CR307" i="29"/>
  <c r="CS307" i="29"/>
  <c r="CT311" i="29"/>
  <c r="CS311" i="29"/>
  <c r="CU311" i="29"/>
  <c r="CR311" i="29"/>
  <c r="CU309" i="29"/>
  <c r="CT309" i="29"/>
  <c r="CS309" i="29"/>
  <c r="CR309" i="29"/>
  <c r="CR310" i="29"/>
  <c r="CU310" i="29"/>
  <c r="CT310" i="29"/>
  <c r="CS310" i="29"/>
  <c r="CU324" i="29"/>
  <c r="CT324" i="29"/>
  <c r="CS324" i="29"/>
  <c r="CR324" i="29"/>
  <c r="CU312" i="29"/>
  <c r="CT312" i="29"/>
  <c r="CS312" i="29"/>
  <c r="CR312" i="29"/>
  <c r="CT315" i="29"/>
  <c r="CS315" i="29"/>
  <c r="CR315" i="29"/>
  <c r="CU315" i="29"/>
  <c r="CT319" i="29"/>
  <c r="CS319" i="29"/>
  <c r="CR319" i="29"/>
  <c r="CU319" i="29"/>
  <c r="CT323" i="29"/>
  <c r="CS323" i="29"/>
  <c r="CR323" i="29"/>
  <c r="CU323" i="29"/>
  <c r="CS317" i="29"/>
  <c r="CU317" i="29"/>
  <c r="CT317" i="29"/>
  <c r="CR317" i="29"/>
  <c r="CS313" i="29"/>
  <c r="CU313" i="29"/>
  <c r="CT313" i="29"/>
  <c r="CR313" i="29"/>
  <c r="CU316" i="29"/>
  <c r="CT316" i="29"/>
  <c r="CS316" i="29"/>
  <c r="CR316" i="29"/>
  <c r="CU320" i="29"/>
  <c r="CT320" i="29"/>
  <c r="CS320" i="29"/>
  <c r="CR320" i="29"/>
  <c r="CU308" i="29"/>
  <c r="CT308" i="29"/>
  <c r="CS308" i="29"/>
  <c r="CR308" i="29"/>
  <c r="CR318" i="29"/>
  <c r="CU318" i="29"/>
  <c r="CT318" i="29"/>
  <c r="CS318" i="29"/>
  <c r="CR322" i="29"/>
  <c r="CU322" i="29"/>
  <c r="CT322" i="29"/>
  <c r="CS322" i="29"/>
  <c r="CS321" i="29"/>
  <c r="CU321" i="29"/>
  <c r="CT321" i="29"/>
  <c r="CR321" i="29"/>
  <c r="CR314" i="29"/>
  <c r="CU314" i="29"/>
  <c r="CT314" i="29"/>
  <c r="CS314" i="29"/>
  <c r="CE324" i="29"/>
  <c r="CD324" i="29"/>
  <c r="CG324" i="29"/>
  <c r="CF324" i="29"/>
  <c r="CF312" i="29"/>
  <c r="CE312" i="29"/>
  <c r="CD312" i="29"/>
  <c r="CG312" i="29"/>
  <c r="CD319" i="29"/>
  <c r="CE319" i="29"/>
  <c r="CG319" i="29"/>
  <c r="CF319" i="29"/>
  <c r="CG323" i="29"/>
  <c r="CF323" i="29"/>
  <c r="CE323" i="29"/>
  <c r="CD323" i="29"/>
  <c r="CF317" i="29"/>
  <c r="CE317" i="29"/>
  <c r="CD317" i="29"/>
  <c r="CG317" i="29"/>
  <c r="CE313" i="29"/>
  <c r="CG313" i="29"/>
  <c r="CF313" i="29"/>
  <c r="CD313" i="29"/>
  <c r="CD308" i="29"/>
  <c r="CF308" i="29"/>
  <c r="CG308" i="29"/>
  <c r="CE308" i="29"/>
  <c r="CD314" i="29"/>
  <c r="CE314" i="29"/>
  <c r="CF314" i="29"/>
  <c r="CG314" i="29"/>
  <c r="CG320" i="29"/>
  <c r="CF320" i="29"/>
  <c r="CE320" i="29"/>
  <c r="CD320" i="29"/>
  <c r="CD316" i="29"/>
  <c r="CG316" i="29"/>
  <c r="CE316" i="29"/>
  <c r="CF316" i="29"/>
  <c r="CG315" i="29"/>
  <c r="CF315" i="29"/>
  <c r="CE315" i="29"/>
  <c r="CD315" i="29"/>
  <c r="CG318" i="29"/>
  <c r="CF318" i="29"/>
  <c r="CE318" i="29"/>
  <c r="CD318" i="29"/>
  <c r="CE311" i="29"/>
  <c r="CD311" i="29"/>
  <c r="CG311" i="29"/>
  <c r="CF311" i="29"/>
  <c r="CD321" i="29"/>
  <c r="CG321" i="29"/>
  <c r="CF321" i="29"/>
  <c r="CE321" i="29"/>
  <c r="CE309" i="29"/>
  <c r="CD309" i="29"/>
  <c r="CG309" i="29"/>
  <c r="CF309" i="29"/>
  <c r="CE322" i="29"/>
  <c r="CD322" i="29"/>
  <c r="CG322" i="29"/>
  <c r="CF322" i="29"/>
  <c r="CG310" i="29"/>
  <c r="CD310" i="29"/>
  <c r="CF310" i="29"/>
  <c r="CE310" i="29"/>
  <c r="CW263" i="29"/>
  <c r="CU263" i="29"/>
  <c r="CV263" i="29"/>
  <c r="CT263" i="29"/>
  <c r="CV276" i="29"/>
  <c r="CU276" i="29"/>
  <c r="CT276" i="29"/>
  <c r="CW276" i="29"/>
  <c r="CT282" i="29"/>
  <c r="CU282" i="29"/>
  <c r="CW282" i="29"/>
  <c r="CV282" i="29"/>
  <c r="CT290" i="29"/>
  <c r="CU290" i="29"/>
  <c r="CW290" i="29"/>
  <c r="CV290" i="29"/>
  <c r="CV278" i="29"/>
  <c r="CU278" i="29"/>
  <c r="CT278" i="29"/>
  <c r="CW278" i="29"/>
  <c r="CT292" i="29"/>
  <c r="CW292" i="29"/>
  <c r="CV292" i="29"/>
  <c r="CU292" i="29"/>
  <c r="CW260" i="29"/>
  <c r="CU260" i="29"/>
  <c r="CV260" i="29"/>
  <c r="CT260" i="29"/>
  <c r="CW270" i="29"/>
  <c r="CV270" i="29"/>
  <c r="CT270" i="29"/>
  <c r="CU270" i="29"/>
  <c r="CT286" i="29"/>
  <c r="CW286" i="29"/>
  <c r="CV286" i="29"/>
  <c r="CU286" i="29"/>
  <c r="CW280" i="29"/>
  <c r="CV280" i="29"/>
  <c r="CT289" i="29"/>
  <c r="CU289" i="29"/>
  <c r="CW289" i="29"/>
  <c r="CV289" i="29"/>
  <c r="CT283" i="29"/>
  <c r="CW283" i="29"/>
  <c r="CU283" i="29"/>
  <c r="CV283" i="29"/>
  <c r="CU261" i="29"/>
  <c r="CW261" i="29"/>
  <c r="CV261" i="29"/>
  <c r="CT261" i="29"/>
  <c r="CW281" i="29"/>
  <c r="CV281" i="29"/>
  <c r="CT291" i="29"/>
  <c r="CW291" i="29"/>
  <c r="CU291" i="29"/>
  <c r="CV291" i="29"/>
  <c r="CV273" i="29"/>
  <c r="CU273" i="29"/>
  <c r="CT273" i="29"/>
  <c r="CW273" i="29"/>
  <c r="CT293" i="29"/>
  <c r="CW293" i="29"/>
  <c r="CV293" i="29"/>
  <c r="CU293" i="29"/>
  <c r="CU265" i="29"/>
  <c r="CW265" i="29"/>
  <c r="CV265" i="29"/>
  <c r="CT265" i="29"/>
  <c r="CW264" i="29"/>
  <c r="CV264" i="29"/>
  <c r="CU264" i="29"/>
  <c r="CT264" i="29"/>
  <c r="CT287" i="29"/>
  <c r="CU287" i="29"/>
  <c r="CW287" i="29"/>
  <c r="CV287" i="29"/>
  <c r="CW269" i="29"/>
  <c r="CU269" i="29"/>
  <c r="CV269" i="29"/>
  <c r="CT269" i="29"/>
  <c r="CT284" i="29"/>
  <c r="CW284" i="29"/>
  <c r="CV284" i="29"/>
  <c r="CU284" i="29"/>
  <c r="CT271" i="29"/>
  <c r="CU271" i="29"/>
  <c r="CW271" i="29"/>
  <c r="CV271" i="29"/>
  <c r="CV275" i="29"/>
  <c r="CU275" i="29"/>
  <c r="CW275" i="29"/>
  <c r="CT275" i="29"/>
  <c r="CT288" i="29"/>
  <c r="CW288" i="29"/>
  <c r="CV288" i="29"/>
  <c r="CU288" i="29"/>
  <c r="CW262" i="29"/>
  <c r="CV262" i="29"/>
  <c r="CU262" i="29"/>
  <c r="CT262" i="29"/>
  <c r="CV277" i="29"/>
  <c r="CU277" i="29"/>
  <c r="CT277" i="29"/>
  <c r="CW277" i="29"/>
  <c r="CW267" i="29"/>
  <c r="CV267" i="29"/>
  <c r="CU267" i="29"/>
  <c r="CT267" i="29"/>
  <c r="CV274" i="29"/>
  <c r="CW274" i="29"/>
  <c r="CU274" i="29"/>
  <c r="CT274" i="29"/>
  <c r="CW266" i="29"/>
  <c r="CU266" i="29"/>
  <c r="CV266" i="29"/>
  <c r="CT266" i="29"/>
  <c r="CW279" i="29"/>
  <c r="CV279" i="29"/>
  <c r="CU268" i="29"/>
  <c r="CW268" i="29"/>
  <c r="CV268" i="29"/>
  <c r="CT268" i="29"/>
  <c r="CU272" i="29"/>
  <c r="CT272" i="29"/>
  <c r="CV272" i="29"/>
  <c r="CW272" i="29"/>
  <c r="CT285" i="29"/>
  <c r="CW285" i="29"/>
  <c r="CV285" i="29"/>
  <c r="CU285" i="29"/>
  <c r="CE221" i="29"/>
  <c r="CF221" i="29"/>
  <c r="CT221" i="29"/>
  <c r="CS221" i="29"/>
  <c r="CS239" i="29"/>
  <c r="CF239" i="29"/>
  <c r="CT239" i="29"/>
  <c r="CE239" i="29"/>
  <c r="CT234" i="29"/>
  <c r="CS234" i="29"/>
  <c r="CF234" i="29"/>
  <c r="CE234" i="29"/>
  <c r="BQ25" i="28"/>
  <c r="BY42" i="28"/>
  <c r="CT215" i="29"/>
  <c r="CS215" i="29"/>
  <c r="CE237" i="29"/>
  <c r="CT237" i="29"/>
  <c r="CS237" i="29"/>
  <c r="CF237" i="29"/>
  <c r="BR42" i="28"/>
  <c r="CE208" i="29"/>
  <c r="AY208" i="29" s="1"/>
  <c r="CT208" i="29"/>
  <c r="CS208" i="29"/>
  <c r="CT213" i="29"/>
  <c r="CS213" i="29"/>
  <c r="CF225" i="29"/>
  <c r="CE225" i="29"/>
  <c r="CT225" i="29"/>
  <c r="CS225" i="29"/>
  <c r="CF236" i="29"/>
  <c r="CE236" i="29"/>
  <c r="CT236" i="29"/>
  <c r="CS236" i="29"/>
  <c r="CE241" i="29"/>
  <c r="CT241" i="29"/>
  <c r="CS241" i="29"/>
  <c r="CF241" i="29"/>
  <c r="CS231" i="29"/>
  <c r="CT231" i="29"/>
  <c r="CF231" i="29"/>
  <c r="CE231" i="29"/>
  <c r="BP25" i="28"/>
  <c r="BU42" i="28"/>
  <c r="CT209" i="29"/>
  <c r="CS209" i="29"/>
  <c r="CT216" i="29"/>
  <c r="CS216" i="29"/>
  <c r="CT230" i="29"/>
  <c r="CS230" i="29"/>
  <c r="CE230" i="29"/>
  <c r="CF230" i="29"/>
  <c r="BP42" i="28"/>
  <c r="CS222" i="29"/>
  <c r="CF222" i="29"/>
  <c r="CT222" i="29"/>
  <c r="CE222" i="29"/>
  <c r="CS224" i="29"/>
  <c r="CT224" i="29"/>
  <c r="CF224" i="29"/>
  <c r="CE224" i="29"/>
  <c r="CS210" i="29"/>
  <c r="CT210" i="29"/>
  <c r="CS214" i="29"/>
  <c r="CT214" i="29"/>
  <c r="CT238" i="29"/>
  <c r="CS238" i="29"/>
  <c r="CF238" i="29"/>
  <c r="CE238" i="29"/>
  <c r="CS218" i="29"/>
  <c r="CF218" i="29"/>
  <c r="CE218" i="29"/>
  <c r="CT218" i="29"/>
  <c r="CT217" i="29"/>
  <c r="CS217" i="29"/>
  <c r="CS235" i="29"/>
  <c r="CF235" i="29"/>
  <c r="CE235" i="29"/>
  <c r="CT235" i="29"/>
  <c r="CT223" i="29"/>
  <c r="CS223" i="29"/>
  <c r="CF223" i="29"/>
  <c r="CE223" i="29"/>
  <c r="CS211" i="29"/>
  <c r="CT211" i="29"/>
  <c r="BQ42" i="28"/>
  <c r="BW42" i="28"/>
  <c r="CF233" i="29"/>
  <c r="CE233" i="29"/>
  <c r="AY233" i="29" s="1"/>
  <c r="CT233" i="29"/>
  <c r="CS233" i="29"/>
  <c r="CS219" i="29"/>
  <c r="CF219" i="29"/>
  <c r="CE219" i="29"/>
  <c r="CT219" i="29"/>
  <c r="BX42" i="28"/>
  <c r="CT226" i="29"/>
  <c r="CS226" i="29"/>
  <c r="CE226" i="29"/>
  <c r="CF226" i="29"/>
  <c r="CF240" i="29"/>
  <c r="CE240" i="29"/>
  <c r="CS240" i="29"/>
  <c r="CT240" i="29"/>
  <c r="CF232" i="29"/>
  <c r="CE232" i="29"/>
  <c r="CT232" i="29"/>
  <c r="CS232" i="29"/>
  <c r="CT220" i="29"/>
  <c r="CE220" i="29"/>
  <c r="CS220" i="29"/>
  <c r="CF220" i="29"/>
  <c r="BO42" i="28"/>
  <c r="CS212" i="29"/>
  <c r="CT212" i="29"/>
  <c r="CP172" i="29"/>
  <c r="CB172" i="29"/>
  <c r="BO39" i="28"/>
  <c r="CA172" i="29"/>
  <c r="BV39" i="28"/>
  <c r="BP39" i="28"/>
  <c r="BY39" i="28"/>
  <c r="AT19" i="28"/>
  <c r="BS39" i="28"/>
  <c r="BY36" i="28"/>
  <c r="L143" i="28"/>
  <c r="BQ32" i="28"/>
  <c r="L141" i="28"/>
  <c r="CB160" i="29"/>
  <c r="CB158" i="29"/>
  <c r="AT22" i="28"/>
  <c r="BX32" i="28"/>
  <c r="CO181" i="29"/>
  <c r="CA181" i="29"/>
  <c r="CP181" i="29"/>
  <c r="BY80" i="28"/>
  <c r="BW80" i="28"/>
  <c r="CP187" i="29"/>
  <c r="CO187" i="29"/>
  <c r="BP32" i="28"/>
  <c r="BO32" i="28"/>
  <c r="L142" i="28"/>
  <c r="CB161" i="29"/>
  <c r="CP180" i="29"/>
  <c r="CP185" i="29"/>
  <c r="CP186" i="29"/>
  <c r="CO186" i="29"/>
  <c r="CO184" i="29"/>
  <c r="CO182" i="29"/>
  <c r="CA182" i="29"/>
  <c r="CP182" i="29"/>
  <c r="BS32" i="28"/>
  <c r="CB159" i="29"/>
  <c r="BP36" i="28"/>
  <c r="BO36" i="28"/>
  <c r="BW36" i="28"/>
  <c r="BX36" i="28"/>
  <c r="BV36" i="28"/>
  <c r="BS36" i="28"/>
  <c r="BR36" i="28"/>
  <c r="BU36" i="28"/>
  <c r="L144" i="28"/>
  <c r="BU161" i="28"/>
  <c r="BP161" i="28"/>
  <c r="BV161" i="28"/>
  <c r="BO161" i="28"/>
  <c r="BW136" i="28"/>
  <c r="BU136" i="28"/>
  <c r="BX136" i="28"/>
  <c r="BR136" i="28"/>
  <c r="BQ136" i="28"/>
  <c r="BO136" i="28"/>
  <c r="BP160" i="28"/>
  <c r="BU160" i="28"/>
  <c r="BV160" i="28"/>
  <c r="BO160" i="28"/>
  <c r="BU158" i="28"/>
  <c r="BV158" i="28"/>
  <c r="BO158" i="28"/>
  <c r="BP158" i="28"/>
  <c r="BU156" i="28"/>
  <c r="BV156" i="28"/>
  <c r="BO156" i="28"/>
  <c r="BP156" i="28"/>
  <c r="BR135" i="28"/>
  <c r="BQ135" i="28"/>
  <c r="BO135" i="28"/>
  <c r="BX135" i="28"/>
  <c r="BW135" i="28"/>
  <c r="BU135" i="28"/>
  <c r="BS83" i="28"/>
  <c r="BY83" i="28"/>
  <c r="BU155" i="28"/>
  <c r="BP155" i="28"/>
  <c r="BV155" i="28"/>
  <c r="BO155" i="28"/>
  <c r="BV164" i="28"/>
  <c r="BO164" i="28"/>
  <c r="BU164" i="28"/>
  <c r="BP164" i="28"/>
  <c r="AT20" i="28"/>
  <c r="BP166" i="28"/>
  <c r="BV166" i="28"/>
  <c r="BO166" i="28"/>
  <c r="BU166" i="28"/>
  <c r="BR137" i="28"/>
  <c r="BQ137" i="28"/>
  <c r="BO137" i="28"/>
  <c r="BX137" i="28"/>
  <c r="BU137" i="28"/>
  <c r="BW137" i="28"/>
  <c r="BU162" i="28"/>
  <c r="BP162" i="28"/>
  <c r="BV162" i="28"/>
  <c r="BO162" i="28"/>
  <c r="BV157" i="28"/>
  <c r="BO157" i="28"/>
  <c r="BU157" i="28"/>
  <c r="BP157" i="28"/>
  <c r="BY82" i="28"/>
  <c r="BS82" i="28"/>
  <c r="BP159" i="28"/>
  <c r="BV159" i="28"/>
  <c r="BO159" i="28"/>
  <c r="BU159" i="28"/>
  <c r="BP154" i="28"/>
  <c r="BU154" i="28"/>
  <c r="BV154" i="28"/>
  <c r="BO154" i="28"/>
  <c r="BV163" i="28"/>
  <c r="BO163" i="28"/>
  <c r="BU163" i="28"/>
  <c r="BP163" i="28"/>
  <c r="BU167" i="28"/>
  <c r="BP167" i="28"/>
  <c r="BV167" i="28"/>
  <c r="BO167" i="28"/>
  <c r="BY81" i="28"/>
  <c r="BS81" i="28"/>
  <c r="Y60" i="28"/>
  <c r="CC299" i="29"/>
  <c r="CR299" i="29"/>
  <c r="CP299" i="29"/>
  <c r="CB299" i="29"/>
  <c r="CQ299" i="29"/>
  <c r="CO299" i="29"/>
  <c r="CB365" i="29"/>
  <c r="CO365" i="29"/>
  <c r="CP365" i="29"/>
  <c r="CA365" i="29"/>
  <c r="CP361" i="29"/>
  <c r="CA361" i="29"/>
  <c r="CB361" i="29"/>
  <c r="CO361" i="29"/>
  <c r="CO363" i="29"/>
  <c r="CP363" i="29"/>
  <c r="CA363" i="29"/>
  <c r="CB363" i="29"/>
  <c r="CO358" i="29"/>
  <c r="CP358" i="29"/>
  <c r="CB358" i="29"/>
  <c r="CA358" i="29"/>
  <c r="CB360" i="29"/>
  <c r="CO360" i="29"/>
  <c r="CP360" i="29"/>
  <c r="CA360" i="29"/>
  <c r="CQ301" i="29"/>
  <c r="CO301" i="29"/>
  <c r="CC301" i="29"/>
  <c r="CR301" i="29"/>
  <c r="CP301" i="29"/>
  <c r="CB301" i="29"/>
  <c r="CB366" i="29"/>
  <c r="CP366" i="29"/>
  <c r="CO366" i="29"/>
  <c r="CR298" i="29"/>
  <c r="CQ298" i="29"/>
  <c r="CP298" i="29"/>
  <c r="CO364" i="29"/>
  <c r="CP364" i="29"/>
  <c r="CB364" i="29"/>
  <c r="CA364" i="29"/>
  <c r="CP362" i="29"/>
  <c r="CA362" i="29"/>
  <c r="CO362" i="29"/>
  <c r="CB362" i="29"/>
  <c r="CP300" i="29"/>
  <c r="CC300" i="29"/>
  <c r="CO300" i="29"/>
  <c r="CR300" i="29"/>
  <c r="CB300" i="29"/>
  <c r="CQ300" i="29"/>
  <c r="CB357" i="29"/>
  <c r="CO357" i="29"/>
  <c r="CB359" i="29"/>
  <c r="CO359" i="29"/>
  <c r="CP359" i="29"/>
  <c r="CA359" i="29"/>
  <c r="CU245" i="29"/>
  <c r="CV245" i="29"/>
  <c r="CB167" i="29"/>
  <c r="CP167" i="29"/>
  <c r="CA168" i="29"/>
  <c r="CO168" i="29"/>
  <c r="CP168" i="29"/>
  <c r="CB168" i="29"/>
  <c r="CB174" i="29"/>
  <c r="CO174" i="29"/>
  <c r="CP174" i="29"/>
  <c r="CA174" i="29"/>
  <c r="CO171" i="29"/>
  <c r="CB171" i="29"/>
  <c r="CA171" i="29"/>
  <c r="CP173" i="29"/>
  <c r="CB173" i="29"/>
  <c r="CO173" i="29"/>
  <c r="CA173" i="29"/>
  <c r="CA159" i="29"/>
  <c r="CA161" i="29"/>
  <c r="CO169" i="29"/>
  <c r="CA169" i="29"/>
  <c r="CP169" i="29"/>
  <c r="CB169" i="29"/>
  <c r="CA160" i="29"/>
  <c r="BQ82" i="28"/>
  <c r="BR82" i="28"/>
  <c r="BX82" i="28"/>
  <c r="BP35" i="28"/>
  <c r="BV35" i="28"/>
  <c r="BO35" i="28"/>
  <c r="BU35" i="28"/>
  <c r="BY34" i="28"/>
  <c r="BR34" i="28"/>
  <c r="BV34" i="28"/>
  <c r="BO34" i="28"/>
  <c r="BS34" i="28"/>
  <c r="BX34" i="28"/>
  <c r="BQ34" i="28"/>
  <c r="BU34" i="28"/>
  <c r="BW34" i="28"/>
  <c r="BP34" i="28"/>
  <c r="BX24" i="28"/>
  <c r="BR24" i="28"/>
  <c r="BR26" i="28"/>
  <c r="BX26" i="28"/>
  <c r="BY26" i="28"/>
  <c r="BW26" i="28"/>
  <c r="BS13" i="28"/>
  <c r="BR13" i="28"/>
  <c r="BY13" i="28"/>
  <c r="BX13" i="28"/>
  <c r="BQ83" i="28"/>
  <c r="BR83" i="28"/>
  <c r="BX83" i="28"/>
  <c r="BS15" i="28"/>
  <c r="BR15" i="28"/>
  <c r="BY15" i="28"/>
  <c r="BX15" i="28"/>
  <c r="BS47" i="28"/>
  <c r="BW47" i="28"/>
  <c r="BP47" i="28"/>
  <c r="BY47" i="28"/>
  <c r="BR47" i="28"/>
  <c r="BV47" i="28"/>
  <c r="BO47" i="28"/>
  <c r="BX47" i="28"/>
  <c r="BQ47" i="28"/>
  <c r="BU47" i="28"/>
  <c r="BY46" i="28"/>
  <c r="BR46" i="28"/>
  <c r="BV46" i="28"/>
  <c r="BO46" i="28"/>
  <c r="BP46" i="28"/>
  <c r="BS46" i="28"/>
  <c r="BX46" i="28"/>
  <c r="BQ46" i="28"/>
  <c r="BU46" i="28"/>
  <c r="BW46" i="28"/>
  <c r="BX23" i="28"/>
  <c r="BR23" i="28"/>
  <c r="BR81" i="28"/>
  <c r="BX81" i="28"/>
  <c r="BQ81" i="28"/>
  <c r="BS31" i="28"/>
  <c r="BW31" i="28"/>
  <c r="BP31" i="28"/>
  <c r="BQ31" i="28"/>
  <c r="BU31" i="28"/>
  <c r="BY31" i="28"/>
  <c r="BR31" i="28"/>
  <c r="BV31" i="28"/>
  <c r="BO31" i="28"/>
  <c r="BX31" i="28"/>
  <c r="BX44" i="28"/>
  <c r="BQ44" i="28"/>
  <c r="BU44" i="28"/>
  <c r="BO44" i="28"/>
  <c r="BR44" i="28"/>
  <c r="BV44" i="28"/>
  <c r="BS44" i="28"/>
  <c r="BW44" i="28"/>
  <c r="BP44" i="28"/>
  <c r="BY44" i="28"/>
  <c r="BX43" i="28"/>
  <c r="BQ43" i="28"/>
  <c r="BU43" i="28"/>
  <c r="BS43" i="28"/>
  <c r="BW43" i="28"/>
  <c r="BP43" i="28"/>
  <c r="BY43" i="28"/>
  <c r="BV43" i="28"/>
  <c r="BR43" i="28"/>
  <c r="BO43" i="28"/>
  <c r="BY16" i="28"/>
  <c r="BS16" i="28"/>
  <c r="BR16" i="28"/>
  <c r="BX16" i="28"/>
  <c r="BS41" i="28"/>
  <c r="BW41" i="28"/>
  <c r="BP41" i="28"/>
  <c r="BY41" i="28"/>
  <c r="BR41" i="28"/>
  <c r="BV41" i="28"/>
  <c r="BO41" i="28"/>
  <c r="BQ41" i="28"/>
  <c r="BU41" i="28"/>
  <c r="BX41" i="28"/>
  <c r="BY40" i="28"/>
  <c r="BR40" i="28"/>
  <c r="BV40" i="28"/>
  <c r="BO40" i="28"/>
  <c r="BW40" i="28"/>
  <c r="BP40" i="28"/>
  <c r="BX40" i="28"/>
  <c r="BQ40" i="28"/>
  <c r="BU40" i="28"/>
  <c r="BS40" i="28"/>
  <c r="BX80" i="28"/>
  <c r="BS80" i="28"/>
  <c r="BQ80" i="28"/>
  <c r="BR80" i="28"/>
  <c r="BS14" i="28"/>
  <c r="BR14" i="28"/>
  <c r="BX14" i="28"/>
  <c r="BY14" i="28"/>
  <c r="BY17" i="28"/>
  <c r="BS17" i="28"/>
  <c r="BX38" i="28"/>
  <c r="BQ38" i="28"/>
  <c r="BU38" i="28"/>
  <c r="BY38" i="28"/>
  <c r="BR38" i="28"/>
  <c r="BS38" i="28"/>
  <c r="BW38" i="28"/>
  <c r="BP38" i="28"/>
  <c r="BV38" i="28"/>
  <c r="BO38" i="28"/>
  <c r="BX37" i="28"/>
  <c r="BQ37" i="28"/>
  <c r="BU37" i="28"/>
  <c r="BS37" i="28"/>
  <c r="BW37" i="28"/>
  <c r="BP37" i="28"/>
  <c r="BY37" i="28"/>
  <c r="BR37" i="28"/>
  <c r="BV37" i="28"/>
  <c r="BO37" i="28"/>
  <c r="Y64" i="28"/>
  <c r="Y61" i="28"/>
  <c r="BV13" i="28"/>
  <c r="BO13" i="28"/>
  <c r="BW13" i="28"/>
  <c r="BP13" i="28"/>
  <c r="BQ13" i="28"/>
  <c r="BU13" i="28"/>
  <c r="BW23" i="28"/>
  <c r="BQ23" i="28"/>
  <c r="BU23" i="28"/>
  <c r="BV23" i="28"/>
  <c r="BO23" i="28"/>
  <c r="BP23" i="28"/>
  <c r="BW15" i="28"/>
  <c r="BV15" i="28"/>
  <c r="BO15" i="28"/>
  <c r="BP15" i="28"/>
  <c r="BQ15" i="28"/>
  <c r="BU15" i="28"/>
  <c r="BP24" i="28"/>
  <c r="BW24" i="28"/>
  <c r="BQ24" i="28"/>
  <c r="BU24" i="28"/>
  <c r="BV24" i="28"/>
  <c r="BO24" i="28"/>
  <c r="BU16" i="28"/>
  <c r="BV16" i="28"/>
  <c r="BO16" i="28"/>
  <c r="BP16" i="28"/>
  <c r="BW16" i="28"/>
  <c r="BV21" i="28"/>
  <c r="BO21" i="28"/>
  <c r="BP21" i="28"/>
  <c r="BU21" i="28"/>
  <c r="BW14" i="28"/>
  <c r="BV14" i="28"/>
  <c r="BO14" i="28"/>
  <c r="BP14" i="28"/>
  <c r="BQ14" i="28"/>
  <c r="BU14" i="28"/>
  <c r="BU17" i="28"/>
  <c r="BV17" i="28"/>
  <c r="BO17" i="28"/>
  <c r="BP17" i="28"/>
  <c r="BV26" i="28"/>
  <c r="BO26" i="28"/>
  <c r="BP26" i="28"/>
  <c r="BQ26" i="28"/>
  <c r="Y63" i="28"/>
  <c r="C170" i="29"/>
  <c r="C183" i="29"/>
  <c r="C175" i="29"/>
  <c r="C162" i="29"/>
  <c r="B12" i="28"/>
  <c r="C306" i="29"/>
  <c r="E176" i="29"/>
  <c r="C111" i="29"/>
  <c r="D176" i="29"/>
  <c r="E12" i="27"/>
  <c r="F12" i="27"/>
  <c r="E13" i="27"/>
  <c r="F13" i="27"/>
  <c r="E14" i="27"/>
  <c r="F14" i="27"/>
  <c r="G15" i="27"/>
  <c r="H15" i="27"/>
  <c r="I15" i="27"/>
  <c r="J15" i="27"/>
  <c r="K15" i="27"/>
  <c r="L15" i="27"/>
  <c r="M15" i="27"/>
  <c r="N15" i="27"/>
  <c r="O15" i="27"/>
  <c r="P15" i="27"/>
  <c r="Q15" i="27"/>
  <c r="R15" i="27"/>
  <c r="S15" i="27"/>
  <c r="T15" i="27"/>
  <c r="U15" i="27"/>
  <c r="V15" i="27"/>
  <c r="W15" i="27"/>
  <c r="X15" i="27"/>
  <c r="Y15" i="27"/>
  <c r="Z15" i="27"/>
  <c r="AA15" i="27"/>
  <c r="AB15" i="27"/>
  <c r="E22" i="27"/>
  <c r="F22" i="27"/>
  <c r="E23" i="27"/>
  <c r="F23" i="27"/>
  <c r="E24" i="27"/>
  <c r="F24" i="27"/>
  <c r="E25" i="27"/>
  <c r="F25" i="27"/>
  <c r="E26" i="27"/>
  <c r="F26" i="27"/>
  <c r="E27" i="27"/>
  <c r="F27" i="27"/>
  <c r="G28" i="27"/>
  <c r="H28" i="27"/>
  <c r="I28" i="27"/>
  <c r="J28" i="27"/>
  <c r="K28" i="27"/>
  <c r="L28" i="27"/>
  <c r="M28" i="27"/>
  <c r="N28" i="27"/>
  <c r="O28" i="27"/>
  <c r="P28" i="27"/>
  <c r="Q28" i="27"/>
  <c r="R28" i="27"/>
  <c r="S28" i="27"/>
  <c r="T28" i="27"/>
  <c r="U28" i="27"/>
  <c r="V28" i="27"/>
  <c r="W28" i="27"/>
  <c r="X28" i="27"/>
  <c r="Y28" i="27"/>
  <c r="Z28" i="27"/>
  <c r="AA28" i="27"/>
  <c r="AB28" i="27"/>
  <c r="AC28" i="27"/>
  <c r="AD28" i="27"/>
  <c r="E31" i="27"/>
  <c r="E32" i="27"/>
  <c r="E33" i="27"/>
  <c r="E34" i="27"/>
  <c r="E35" i="27"/>
  <c r="E36" i="27"/>
  <c r="E37" i="27"/>
  <c r="E38" i="27"/>
  <c r="E39" i="27"/>
  <c r="E40" i="27"/>
  <c r="E41" i="27"/>
  <c r="E42" i="27"/>
  <c r="E43" i="27"/>
  <c r="E44" i="27"/>
  <c r="E45" i="27"/>
  <c r="E46" i="27"/>
  <c r="E47" i="27"/>
  <c r="E48" i="27"/>
  <c r="E49" i="27"/>
  <c r="E50" i="27"/>
  <c r="E51" i="27"/>
  <c r="E52" i="27"/>
  <c r="E53" i="27"/>
  <c r="E54" i="27"/>
  <c r="E55" i="27"/>
  <c r="E56" i="27"/>
  <c r="E57" i="27"/>
  <c r="E58" i="27"/>
  <c r="E59" i="27"/>
  <c r="E60" i="27"/>
  <c r="E61" i="27"/>
  <c r="B66" i="27"/>
  <c r="C90" i="27"/>
  <c r="D90" i="27"/>
  <c r="E90" i="27"/>
  <c r="F90" i="27"/>
  <c r="G90" i="27"/>
  <c r="H90" i="27"/>
  <c r="C100" i="27"/>
  <c r="D100" i="27"/>
  <c r="E100" i="27"/>
  <c r="F100" i="27"/>
  <c r="G100" i="27"/>
  <c r="H100" i="27"/>
  <c r="C104" i="27"/>
  <c r="C105" i="27"/>
  <c r="C106" i="27"/>
  <c r="C107" i="27"/>
  <c r="C108" i="27"/>
  <c r="C109" i="27"/>
  <c r="C113" i="27"/>
  <c r="C114" i="27"/>
  <c r="C115" i="27"/>
  <c r="C116" i="27"/>
  <c r="C117" i="27"/>
  <c r="C118" i="27"/>
  <c r="C136" i="27"/>
  <c r="C137" i="27"/>
  <c r="C138" i="27"/>
  <c r="C139" i="27"/>
  <c r="C140" i="27"/>
  <c r="C141" i="27"/>
  <c r="C153" i="27"/>
  <c r="F153" i="27"/>
  <c r="G153" i="27"/>
  <c r="H153" i="27"/>
  <c r="F160" i="27"/>
  <c r="F161" i="27"/>
  <c r="F162" i="27"/>
  <c r="F163" i="27"/>
  <c r="F164" i="27"/>
  <c r="F165" i="27"/>
  <c r="F166" i="27"/>
  <c r="F167" i="27"/>
  <c r="F168" i="27"/>
  <c r="F169" i="27"/>
  <c r="F170" i="27"/>
  <c r="F171" i="27"/>
  <c r="F172" i="27"/>
  <c r="F173" i="27"/>
  <c r="F174" i="27"/>
  <c r="F175" i="27"/>
  <c r="F176" i="27"/>
  <c r="F177" i="27"/>
  <c r="F178" i="27"/>
  <c r="F179" i="27"/>
  <c r="F180" i="27"/>
  <c r="F181" i="27"/>
  <c r="F182" i="27"/>
  <c r="F183" i="27"/>
  <c r="F184" i="27"/>
  <c r="G185" i="27"/>
  <c r="H185" i="27"/>
  <c r="I185" i="27"/>
  <c r="B190" i="27"/>
  <c r="B191" i="27"/>
  <c r="B192" i="27"/>
  <c r="B193" i="27"/>
  <c r="B194" i="27"/>
  <c r="B195" i="27"/>
  <c r="B196" i="27"/>
  <c r="B197" i="27"/>
  <c r="B198" i="27"/>
  <c r="B199" i="27"/>
  <c r="C200" i="27"/>
  <c r="D200" i="27"/>
  <c r="B206" i="27"/>
  <c r="C206" i="27"/>
  <c r="D206" i="27"/>
  <c r="C234" i="27"/>
  <c r="D234" i="27"/>
  <c r="E234" i="27"/>
  <c r="C237" i="27"/>
  <c r="C238" i="27"/>
  <c r="D239" i="27"/>
  <c r="E239" i="27"/>
  <c r="C255" i="27"/>
  <c r="D255" i="27"/>
  <c r="C259" i="27"/>
  <c r="D259" i="27"/>
  <c r="C264" i="27"/>
  <c r="D264" i="27"/>
  <c r="C268" i="27"/>
  <c r="D268" i="27"/>
  <c r="B275" i="27"/>
  <c r="C275" i="27"/>
  <c r="D275" i="27"/>
  <c r="C288" i="27"/>
  <c r="B297" i="27"/>
  <c r="AY193" i="29" l="1"/>
  <c r="B437" i="29"/>
  <c r="AY236" i="29"/>
  <c r="AY214" i="29"/>
  <c r="AY218" i="29"/>
  <c r="AY210" i="29"/>
  <c r="AY238" i="29"/>
  <c r="AY230" i="29"/>
  <c r="AY241" i="29"/>
  <c r="AY237" i="29"/>
  <c r="AY235" i="29"/>
  <c r="AY232" i="29"/>
  <c r="AY231" i="29"/>
  <c r="AY221" i="29"/>
  <c r="AY219" i="29"/>
  <c r="AY216" i="29"/>
  <c r="AY211" i="29"/>
  <c r="AY205" i="29"/>
  <c r="AY215" i="29"/>
  <c r="AY209" i="29"/>
  <c r="AY201" i="29"/>
  <c r="AY217" i="29"/>
  <c r="AY207" i="29"/>
  <c r="AY206" i="29"/>
  <c r="AY220" i="29"/>
  <c r="AY234" i="29"/>
  <c r="AY199" i="29"/>
  <c r="AY204" i="29"/>
  <c r="AY213" i="29"/>
  <c r="AY239" i="29"/>
  <c r="AY200" i="29"/>
  <c r="AY240" i="29"/>
  <c r="AY223" i="29"/>
  <c r="AY225" i="29"/>
  <c r="AY224" i="29"/>
  <c r="AY226" i="29"/>
  <c r="AY222" i="29"/>
  <c r="A239" i="28"/>
  <c r="E8" i="18" s="1"/>
  <c r="A240" i="28"/>
  <c r="D8" i="18" s="1"/>
  <c r="AY202" i="29"/>
  <c r="AJ126" i="29"/>
  <c r="AJ125" i="29"/>
  <c r="AY203" i="29"/>
  <c r="AY212" i="29"/>
  <c r="AY245" i="29"/>
  <c r="V351" i="29"/>
  <c r="V352" i="29"/>
  <c r="AP165" i="28"/>
  <c r="AY277" i="29"/>
  <c r="AY264" i="29"/>
  <c r="AY266" i="29"/>
  <c r="AY274" i="29"/>
  <c r="AY270" i="29"/>
  <c r="AY268" i="29"/>
  <c r="AY251" i="29"/>
  <c r="AY259" i="29"/>
  <c r="AY281" i="29"/>
  <c r="AY292" i="29"/>
  <c r="AY262" i="29"/>
  <c r="AY253" i="29"/>
  <c r="AY290" i="29"/>
  <c r="AY291" i="29"/>
  <c r="AY287" i="29"/>
  <c r="AY267" i="29"/>
  <c r="AY279" i="29"/>
  <c r="AY272" i="29"/>
  <c r="AY275" i="29"/>
  <c r="AY265" i="29"/>
  <c r="AY283" i="29"/>
  <c r="AY293" i="29"/>
  <c r="AY263" i="29"/>
  <c r="AY286" i="29"/>
  <c r="AY285" i="29"/>
  <c r="AY269" i="29"/>
  <c r="AY276" i="29"/>
  <c r="AY271" i="29"/>
  <c r="AY278" i="29"/>
  <c r="AY289" i="29"/>
  <c r="AY273" i="29"/>
  <c r="AY261" i="29"/>
  <c r="AY255" i="29"/>
  <c r="AY288" i="29"/>
  <c r="AY252" i="29"/>
  <c r="AY258" i="29"/>
  <c r="AY280" i="29"/>
  <c r="AY256" i="29"/>
  <c r="AY284" i="29"/>
  <c r="AY254" i="29"/>
  <c r="AY282" i="29"/>
  <c r="AY257" i="29"/>
  <c r="AY260" i="29"/>
  <c r="AT45" i="28"/>
  <c r="AT25" i="28"/>
  <c r="AT42" i="28"/>
  <c r="AT18" i="28"/>
  <c r="AW315" i="29"/>
  <c r="AW320" i="29"/>
  <c r="AX331" i="29"/>
  <c r="AX336" i="29"/>
  <c r="AX329" i="29"/>
  <c r="AS137" i="28"/>
  <c r="AT39" i="28"/>
  <c r="AL345" i="29"/>
  <c r="AS135" i="28"/>
  <c r="AS136" i="28"/>
  <c r="AW322" i="29"/>
  <c r="AN134" i="29"/>
  <c r="AN133" i="29"/>
  <c r="AL344" i="29"/>
  <c r="AW317" i="29"/>
  <c r="AW310" i="29"/>
  <c r="AW309" i="29"/>
  <c r="AW311" i="29"/>
  <c r="AW324" i="29"/>
  <c r="AX338" i="29"/>
  <c r="AX333" i="29"/>
  <c r="AL346" i="29"/>
  <c r="AW308" i="29"/>
  <c r="AW319" i="29"/>
  <c r="AX335" i="29"/>
  <c r="AW318" i="29"/>
  <c r="AW313" i="29"/>
  <c r="AW323" i="29"/>
  <c r="AX339" i="29"/>
  <c r="AX337" i="29"/>
  <c r="AW312" i="29"/>
  <c r="AX334" i="29"/>
  <c r="AW307" i="29"/>
  <c r="AW321" i="29"/>
  <c r="AW316" i="29"/>
  <c r="AW314" i="29"/>
  <c r="AX330" i="29"/>
  <c r="AX332" i="29"/>
  <c r="AN140" i="29"/>
  <c r="S172" i="29"/>
  <c r="P160" i="29"/>
  <c r="P159" i="29"/>
  <c r="AO83" i="28"/>
  <c r="AN366" i="29"/>
  <c r="AP156" i="28"/>
  <c r="AP301" i="29"/>
  <c r="AT43" i="28"/>
  <c r="AJ122" i="29"/>
  <c r="AP159" i="28"/>
  <c r="AP158" i="28"/>
  <c r="AP154" i="28"/>
  <c r="AP161" i="28"/>
  <c r="AJ119" i="29"/>
  <c r="AT32" i="28"/>
  <c r="AT47" i="28"/>
  <c r="P154" i="29"/>
  <c r="AS148" i="29"/>
  <c r="AO80" i="28"/>
  <c r="AT16" i="28"/>
  <c r="AT44" i="28"/>
  <c r="AT40" i="28"/>
  <c r="AT41" i="28"/>
  <c r="AP300" i="29"/>
  <c r="AT46" i="28"/>
  <c r="AT36" i="28"/>
  <c r="AP299" i="29"/>
  <c r="AP298" i="29"/>
  <c r="AT38" i="28"/>
  <c r="AT37" i="28"/>
  <c r="AT34" i="28"/>
  <c r="AT35" i="28"/>
  <c r="AT31" i="28"/>
  <c r="AO81" i="28"/>
  <c r="AT26" i="28"/>
  <c r="AT21" i="28"/>
  <c r="AT15" i="28"/>
  <c r="AT17" i="28"/>
  <c r="AT13" i="28"/>
  <c r="AT14" i="28"/>
  <c r="AT24" i="28"/>
  <c r="AO82" i="28"/>
  <c r="AT23" i="28"/>
  <c r="AS147" i="29"/>
  <c r="AJ121" i="29"/>
  <c r="AS150" i="29"/>
  <c r="AN363" i="29"/>
  <c r="AN358" i="29"/>
  <c r="AN360" i="29"/>
  <c r="P158" i="29"/>
  <c r="AS146" i="29"/>
  <c r="R184" i="29"/>
  <c r="S168" i="29"/>
  <c r="AN365" i="29"/>
  <c r="AJ120" i="29"/>
  <c r="P155" i="29"/>
  <c r="R181" i="29"/>
  <c r="R187" i="29"/>
  <c r="AN357" i="29"/>
  <c r="S171" i="29"/>
  <c r="S169" i="29"/>
  <c r="P161" i="29"/>
  <c r="AN364" i="29"/>
  <c r="AN359" i="29"/>
  <c r="S167" i="29"/>
  <c r="AP155" i="28"/>
  <c r="AP160" i="28"/>
  <c r="AP163" i="28"/>
  <c r="AP166" i="28"/>
  <c r="AP164" i="28"/>
  <c r="AP162" i="28"/>
  <c r="AP157" i="28"/>
  <c r="AN361" i="29"/>
  <c r="AN362" i="29"/>
  <c r="AP167" i="28"/>
  <c r="R186" i="29"/>
  <c r="R185" i="29"/>
  <c r="R182" i="29"/>
  <c r="AS149" i="29"/>
  <c r="P156" i="29"/>
  <c r="S173" i="29"/>
  <c r="S174" i="29"/>
  <c r="AN136" i="29"/>
  <c r="AN141" i="29"/>
  <c r="AN135" i="29"/>
  <c r="C176" i="29"/>
  <c r="C163" i="29"/>
  <c r="E9" i="18" s="1"/>
  <c r="C239" i="27"/>
  <c r="D26" i="27"/>
  <c r="D23" i="27"/>
  <c r="AN139" i="29"/>
  <c r="D25" i="27"/>
  <c r="AN137" i="29"/>
  <c r="D27" i="27"/>
  <c r="D13" i="27"/>
  <c r="D269" i="27"/>
  <c r="C269" i="27"/>
  <c r="E15" i="27"/>
  <c r="F185" i="27"/>
  <c r="D12" i="27"/>
  <c r="E28" i="27"/>
  <c r="B200" i="27"/>
  <c r="D24" i="27"/>
  <c r="D14" i="27"/>
  <c r="F15" i="27"/>
  <c r="F28" i="27"/>
  <c r="D22" i="27"/>
  <c r="D9" i="18" l="1"/>
  <c r="D15" i="27"/>
  <c r="D28" i="27"/>
  <c r="A320" i="27" l="1"/>
  <c r="E21" i="18" s="1"/>
  <c r="B91" i="23"/>
  <c r="B90" i="23"/>
  <c r="T85" i="23"/>
  <c r="S85" i="23"/>
  <c r="R85" i="23"/>
  <c r="Q85" i="23"/>
  <c r="P85" i="23"/>
  <c r="O85" i="23"/>
  <c r="N85" i="23"/>
  <c r="M85" i="23"/>
  <c r="L85" i="23"/>
  <c r="K85" i="23"/>
  <c r="J85" i="23"/>
  <c r="I85" i="23"/>
  <c r="H85" i="23"/>
  <c r="G85" i="23"/>
  <c r="F85" i="23"/>
  <c r="B85" i="23"/>
  <c r="E84" i="23"/>
  <c r="D84" i="23"/>
  <c r="E83" i="23"/>
  <c r="D83" i="23"/>
  <c r="E82" i="23"/>
  <c r="D82" i="23"/>
  <c r="E81" i="23"/>
  <c r="D81" i="23"/>
  <c r="E80" i="23"/>
  <c r="D80" i="23"/>
  <c r="E79" i="23"/>
  <c r="D79" i="23"/>
  <c r="E78" i="23"/>
  <c r="D78" i="23"/>
  <c r="E77" i="23"/>
  <c r="D77" i="23"/>
  <c r="E76" i="23"/>
  <c r="D76" i="23"/>
  <c r="E75" i="23"/>
  <c r="D75" i="23"/>
  <c r="E74" i="23"/>
  <c r="D74" i="23"/>
  <c r="E73" i="23"/>
  <c r="D73" i="23"/>
  <c r="E72" i="23"/>
  <c r="D72" i="23"/>
  <c r="E71" i="23"/>
  <c r="D71" i="23"/>
  <c r="AF66" i="23"/>
  <c r="AE66" i="23"/>
  <c r="AD66" i="23"/>
  <c r="AC66" i="23"/>
  <c r="AB66" i="23"/>
  <c r="AA66" i="23"/>
  <c r="Z66" i="23"/>
  <c r="Y66" i="23"/>
  <c r="X66" i="23"/>
  <c r="W66" i="23"/>
  <c r="V66" i="23"/>
  <c r="U66" i="23"/>
  <c r="T66" i="23"/>
  <c r="S66" i="23"/>
  <c r="R66" i="23"/>
  <c r="Q66" i="23"/>
  <c r="P66" i="23"/>
  <c r="O66" i="23"/>
  <c r="N66" i="23"/>
  <c r="M66" i="23"/>
  <c r="L66" i="23"/>
  <c r="K66" i="23"/>
  <c r="J66" i="23"/>
  <c r="I66" i="23"/>
  <c r="H66" i="23"/>
  <c r="G66" i="23"/>
  <c r="F66" i="23"/>
  <c r="E66" i="23"/>
  <c r="D66" i="23"/>
  <c r="C66" i="23"/>
  <c r="B65" i="23"/>
  <c r="B64" i="23"/>
  <c r="B63" i="23"/>
  <c r="B62" i="23"/>
  <c r="B61" i="23"/>
  <c r="B60" i="23"/>
  <c r="B59" i="23"/>
  <c r="B58" i="23"/>
  <c r="B57" i="23"/>
  <c r="B56" i="23"/>
  <c r="B55" i="23"/>
  <c r="B54" i="23"/>
  <c r="B53" i="23"/>
  <c r="B52" i="23"/>
  <c r="B51" i="23"/>
  <c r="B50" i="23"/>
  <c r="AF46" i="23"/>
  <c r="AE46" i="23"/>
  <c r="AD46" i="23"/>
  <c r="AC46" i="23"/>
  <c r="AB46" i="23"/>
  <c r="AA46" i="23"/>
  <c r="Z46" i="23"/>
  <c r="Y46" i="23"/>
  <c r="X46" i="23"/>
  <c r="W46" i="23"/>
  <c r="V46" i="23"/>
  <c r="U46" i="23"/>
  <c r="T46" i="23"/>
  <c r="S46" i="23"/>
  <c r="R46" i="23"/>
  <c r="Q46" i="23"/>
  <c r="P46" i="23"/>
  <c r="O46" i="23"/>
  <c r="N46" i="23"/>
  <c r="M46" i="23"/>
  <c r="L46" i="23"/>
  <c r="K46" i="23"/>
  <c r="J46" i="23"/>
  <c r="I46" i="23"/>
  <c r="H46" i="23"/>
  <c r="G46" i="23"/>
  <c r="F46" i="23"/>
  <c r="E46" i="23"/>
  <c r="D46" i="23"/>
  <c r="C46" i="23"/>
  <c r="B45" i="23"/>
  <c r="B44" i="23"/>
  <c r="B43" i="23"/>
  <c r="B42" i="23"/>
  <c r="B41" i="23"/>
  <c r="B40" i="23"/>
  <c r="B39" i="23"/>
  <c r="B38" i="23"/>
  <c r="B37" i="23"/>
  <c r="B36" i="23"/>
  <c r="B35" i="23"/>
  <c r="B34" i="23"/>
  <c r="B33" i="23"/>
  <c r="B32" i="23"/>
  <c r="AW28" i="23"/>
  <c r="AV28" i="23"/>
  <c r="AU28" i="23"/>
  <c r="AT28" i="23"/>
  <c r="AS28" i="23"/>
  <c r="AR28" i="23"/>
  <c r="AQ28" i="23"/>
  <c r="AP28" i="23"/>
  <c r="AO28" i="23"/>
  <c r="AN28" i="23"/>
  <c r="AM28" i="23"/>
  <c r="AL28" i="23"/>
  <c r="AK28" i="23"/>
  <c r="AJ28" i="23"/>
  <c r="AI28" i="23"/>
  <c r="AH28" i="23"/>
  <c r="AG28" i="23"/>
  <c r="AF28" i="23"/>
  <c r="AE28" i="23"/>
  <c r="AD28" i="23"/>
  <c r="AC28" i="23"/>
  <c r="AB28" i="23"/>
  <c r="AA28" i="23"/>
  <c r="Z28" i="23"/>
  <c r="Y28" i="23"/>
  <c r="X28" i="23"/>
  <c r="W28" i="23"/>
  <c r="V28" i="23"/>
  <c r="U28" i="23"/>
  <c r="T28" i="23"/>
  <c r="S28" i="23"/>
  <c r="R28" i="23"/>
  <c r="Q28" i="23"/>
  <c r="P28" i="23"/>
  <c r="O28" i="23"/>
  <c r="N28" i="23"/>
  <c r="M28" i="23"/>
  <c r="L28" i="23"/>
  <c r="K28" i="23"/>
  <c r="J28" i="23"/>
  <c r="I28" i="23"/>
  <c r="H28" i="23"/>
  <c r="G28" i="23"/>
  <c r="F28" i="23"/>
  <c r="E27" i="23"/>
  <c r="D27" i="23"/>
  <c r="E26" i="23"/>
  <c r="D26" i="23"/>
  <c r="E25" i="23"/>
  <c r="D25" i="23"/>
  <c r="E24" i="23"/>
  <c r="D24" i="23"/>
  <c r="E23" i="23"/>
  <c r="D23" i="23"/>
  <c r="E22" i="23"/>
  <c r="D22" i="23"/>
  <c r="E21" i="23"/>
  <c r="D21" i="23"/>
  <c r="E20" i="23"/>
  <c r="D20" i="23"/>
  <c r="E19" i="23"/>
  <c r="D19" i="23"/>
  <c r="E18" i="23"/>
  <c r="D18" i="23"/>
  <c r="E17" i="23"/>
  <c r="D17" i="23"/>
  <c r="E16" i="23"/>
  <c r="D16" i="23"/>
  <c r="E15" i="23"/>
  <c r="D15" i="23"/>
  <c r="E14" i="23"/>
  <c r="D14" i="23"/>
  <c r="E13" i="23"/>
  <c r="D13" i="23"/>
  <c r="E12" i="23"/>
  <c r="D12" i="23"/>
  <c r="E178" i="19"/>
  <c r="D178" i="19"/>
  <c r="E177" i="19"/>
  <c r="D177" i="19"/>
  <c r="E176" i="19"/>
  <c r="D176" i="19"/>
  <c r="E175" i="19"/>
  <c r="C170" i="19"/>
  <c r="C169" i="19"/>
  <c r="C168" i="19"/>
  <c r="C167" i="19"/>
  <c r="C166" i="19"/>
  <c r="D153" i="19"/>
  <c r="AN142" i="19"/>
  <c r="AM142" i="19"/>
  <c r="AL142" i="19"/>
  <c r="AK142" i="19"/>
  <c r="AJ142" i="19"/>
  <c r="AI142" i="19"/>
  <c r="AH142" i="19"/>
  <c r="AG142" i="19"/>
  <c r="AF142" i="19"/>
  <c r="AE142" i="19"/>
  <c r="AD142" i="19"/>
  <c r="AC142" i="19"/>
  <c r="AB142" i="19"/>
  <c r="AA142" i="19"/>
  <c r="Z142" i="19"/>
  <c r="Y142" i="19"/>
  <c r="X142" i="19"/>
  <c r="W142" i="19"/>
  <c r="R142" i="19"/>
  <c r="Q142" i="19"/>
  <c r="P142" i="19"/>
  <c r="O142" i="19"/>
  <c r="N142" i="19"/>
  <c r="M142" i="19"/>
  <c r="L142" i="19"/>
  <c r="K142" i="19"/>
  <c r="J142" i="19"/>
  <c r="I142" i="19"/>
  <c r="H142" i="19"/>
  <c r="G142" i="19"/>
  <c r="F142" i="19"/>
  <c r="E142" i="19"/>
  <c r="AO130" i="19"/>
  <c r="AN130" i="19"/>
  <c r="AM130" i="19"/>
  <c r="AL130" i="19"/>
  <c r="AK130" i="19"/>
  <c r="AJ130" i="19"/>
  <c r="AI130" i="19"/>
  <c r="AH130" i="19"/>
  <c r="AG130" i="19"/>
  <c r="AF130" i="19"/>
  <c r="AE130" i="19"/>
  <c r="AD130" i="19"/>
  <c r="AC130" i="19"/>
  <c r="AB130" i="19"/>
  <c r="AA130" i="19"/>
  <c r="Z130" i="19"/>
  <c r="Y130" i="19"/>
  <c r="X130" i="19"/>
  <c r="W130" i="19"/>
  <c r="R130" i="19"/>
  <c r="Q130" i="19"/>
  <c r="P130" i="19"/>
  <c r="O130" i="19"/>
  <c r="N130" i="19"/>
  <c r="M130" i="19"/>
  <c r="L130" i="19"/>
  <c r="K130" i="19"/>
  <c r="J130" i="19"/>
  <c r="I130" i="19"/>
  <c r="H130" i="19"/>
  <c r="G130" i="19"/>
  <c r="F130" i="19"/>
  <c r="E130" i="19"/>
  <c r="D128" i="19"/>
  <c r="D125" i="19"/>
  <c r="E90" i="19"/>
  <c r="D90" i="19"/>
  <c r="C89" i="19"/>
  <c r="C88" i="19"/>
  <c r="AN84" i="19"/>
  <c r="AM84" i="19"/>
  <c r="AL84" i="19"/>
  <c r="AK84" i="19"/>
  <c r="AJ84" i="19"/>
  <c r="AI84" i="19"/>
  <c r="AH84" i="19"/>
  <c r="AG84" i="19"/>
  <c r="AF84" i="19"/>
  <c r="AE84" i="19"/>
  <c r="AD84" i="19"/>
  <c r="AC84" i="19"/>
  <c r="AB84" i="19"/>
  <c r="AA84" i="19"/>
  <c r="Z84" i="19"/>
  <c r="Y84" i="19"/>
  <c r="X84" i="19"/>
  <c r="W84" i="19"/>
  <c r="R84" i="19"/>
  <c r="Q84" i="19"/>
  <c r="P84" i="19"/>
  <c r="O84" i="19"/>
  <c r="N84" i="19"/>
  <c r="M84" i="19"/>
  <c r="L84" i="19"/>
  <c r="K84" i="19"/>
  <c r="J84" i="19"/>
  <c r="I84" i="19"/>
  <c r="H84" i="19"/>
  <c r="G84" i="19"/>
  <c r="F84" i="19"/>
  <c r="E84" i="19"/>
  <c r="C82" i="19"/>
  <c r="AP73" i="19"/>
  <c r="AO73" i="19"/>
  <c r="AN73" i="19"/>
  <c r="AM73" i="19"/>
  <c r="AL73" i="19"/>
  <c r="AK73" i="19"/>
  <c r="AJ73" i="19"/>
  <c r="AI73" i="19"/>
  <c r="AH73" i="19"/>
  <c r="AG73" i="19"/>
  <c r="AF73" i="19"/>
  <c r="AE73" i="19"/>
  <c r="AD73" i="19"/>
  <c r="AC73" i="19"/>
  <c r="AB73" i="19"/>
  <c r="AA73" i="19"/>
  <c r="Z73" i="19"/>
  <c r="Y73" i="19"/>
  <c r="X73" i="19"/>
  <c r="W73" i="19"/>
  <c r="R73" i="19"/>
  <c r="Q73" i="19"/>
  <c r="P73" i="19"/>
  <c r="O73" i="19"/>
  <c r="N73" i="19"/>
  <c r="M73" i="19"/>
  <c r="L73" i="19"/>
  <c r="K73" i="19"/>
  <c r="J73" i="19"/>
  <c r="I73" i="19"/>
  <c r="H73" i="19"/>
  <c r="G73" i="19"/>
  <c r="F73" i="19"/>
  <c r="E73" i="19"/>
  <c r="AO66" i="19"/>
  <c r="AN66" i="19"/>
  <c r="AM66" i="19"/>
  <c r="AL66" i="19"/>
  <c r="AK66" i="19"/>
  <c r="AJ66" i="19"/>
  <c r="AI66" i="19"/>
  <c r="AH66" i="19"/>
  <c r="AG66" i="19"/>
  <c r="AF66" i="19"/>
  <c r="AE66" i="19"/>
  <c r="AD66" i="19"/>
  <c r="AC66" i="19"/>
  <c r="AB66" i="19"/>
  <c r="AA66" i="19"/>
  <c r="Z66" i="19"/>
  <c r="Y66" i="19"/>
  <c r="X66" i="19"/>
  <c r="W66" i="19"/>
  <c r="R66" i="19"/>
  <c r="Q66" i="19"/>
  <c r="P66" i="19"/>
  <c r="O66" i="19"/>
  <c r="N66" i="19"/>
  <c r="M66" i="19"/>
  <c r="L66" i="19"/>
  <c r="K66" i="19"/>
  <c r="J66" i="19"/>
  <c r="I66" i="19"/>
  <c r="H66" i="19"/>
  <c r="G66" i="19"/>
  <c r="F66" i="19"/>
  <c r="E66" i="19"/>
  <c r="AR41" i="19"/>
  <c r="AQ41" i="19"/>
  <c r="AP41" i="19"/>
  <c r="AO41" i="19"/>
  <c r="AN41" i="19"/>
  <c r="AM41" i="19"/>
  <c r="AL41" i="19"/>
  <c r="AK41" i="19"/>
  <c r="AJ41" i="19"/>
  <c r="AI41" i="19"/>
  <c r="AH41" i="19"/>
  <c r="AG41" i="19"/>
  <c r="AF41" i="19"/>
  <c r="AE41" i="19"/>
  <c r="AD41" i="19"/>
  <c r="AC41" i="19"/>
  <c r="AB41" i="19"/>
  <c r="AA41" i="19"/>
  <c r="Z41" i="19"/>
  <c r="Y41" i="19"/>
  <c r="X41" i="19"/>
  <c r="S41" i="19"/>
  <c r="R41" i="19"/>
  <c r="Q41" i="19"/>
  <c r="P41" i="19"/>
  <c r="O41" i="19"/>
  <c r="N41" i="19"/>
  <c r="M41" i="19"/>
  <c r="L41" i="19"/>
  <c r="K41" i="19"/>
  <c r="J41" i="19"/>
  <c r="I41" i="19"/>
  <c r="G41" i="19"/>
  <c r="F41" i="19"/>
  <c r="E35" i="19"/>
  <c r="D35" i="19"/>
  <c r="E30" i="19"/>
  <c r="D30" i="19"/>
  <c r="E29" i="19"/>
  <c r="D29" i="19"/>
  <c r="AQ23" i="19"/>
  <c r="AP23" i="19"/>
  <c r="AO23" i="19"/>
  <c r="AN23" i="19"/>
  <c r="AM23" i="19"/>
  <c r="AL23" i="19"/>
  <c r="AK23" i="19"/>
  <c r="AJ23" i="19"/>
  <c r="AI23" i="19"/>
  <c r="AH23" i="19"/>
  <c r="AG23" i="19"/>
  <c r="AF23" i="19"/>
  <c r="AE23" i="19"/>
  <c r="AD23" i="19"/>
  <c r="AC23" i="19"/>
  <c r="AB23" i="19"/>
  <c r="AA23" i="19"/>
  <c r="Z23" i="19"/>
  <c r="Y23" i="19"/>
  <c r="X23" i="19"/>
  <c r="W23" i="19"/>
  <c r="R23" i="19"/>
  <c r="Q23" i="19"/>
  <c r="P23" i="19"/>
  <c r="O23" i="19"/>
  <c r="N23" i="19"/>
  <c r="M23" i="19"/>
  <c r="L23" i="19"/>
  <c r="K23" i="19"/>
  <c r="J23" i="19"/>
  <c r="I23" i="19"/>
  <c r="H23" i="19"/>
  <c r="G23" i="19"/>
  <c r="F23" i="19"/>
  <c r="C19" i="23" l="1"/>
  <c r="CK19" i="23" s="1"/>
  <c r="C22" i="23"/>
  <c r="B101" i="19"/>
  <c r="B98" i="19"/>
  <c r="B95" i="19"/>
  <c r="C25" i="23"/>
  <c r="CE25" i="23" s="1"/>
  <c r="CL19" i="23"/>
  <c r="CK25" i="23"/>
  <c r="CI25" i="23"/>
  <c r="CJ25" i="23"/>
  <c r="CB25" i="23"/>
  <c r="CE22" i="23"/>
  <c r="CD22" i="23"/>
  <c r="CI22" i="23"/>
  <c r="CL22" i="23"/>
  <c r="CJ22" i="23"/>
  <c r="CB22" i="23"/>
  <c r="CK22" i="23"/>
  <c r="CC22" i="23"/>
  <c r="B138" i="19"/>
  <c r="B141" i="19"/>
  <c r="B158" i="19"/>
  <c r="B161" i="19"/>
  <c r="C176" i="19"/>
  <c r="D183" i="19"/>
  <c r="D186" i="19"/>
  <c r="C14" i="23"/>
  <c r="C26" i="23"/>
  <c r="C74" i="23"/>
  <c r="C77" i="23"/>
  <c r="C80" i="23"/>
  <c r="C83" i="23"/>
  <c r="C73" i="23"/>
  <c r="C76" i="23"/>
  <c r="C79" i="23"/>
  <c r="C82" i="23"/>
  <c r="B58" i="19"/>
  <c r="C18" i="23"/>
  <c r="C33" i="19"/>
  <c r="B20" i="19"/>
  <c r="B14" i="19"/>
  <c r="C40" i="19"/>
  <c r="B81" i="19"/>
  <c r="B125" i="19"/>
  <c r="B15" i="19"/>
  <c r="B21" i="19"/>
  <c r="C39" i="19"/>
  <c r="B119" i="19"/>
  <c r="B126" i="19"/>
  <c r="B129" i="19"/>
  <c r="B19" i="19"/>
  <c r="C37" i="19"/>
  <c r="C29" i="19"/>
  <c r="C32" i="19"/>
  <c r="C35" i="19"/>
  <c r="B79" i="19"/>
  <c r="B82" i="19"/>
  <c r="D66" i="19"/>
  <c r="B115" i="19"/>
  <c r="C30" i="19"/>
  <c r="B50" i="19"/>
  <c r="B53" i="19"/>
  <c r="B96" i="19"/>
  <c r="B99" i="19"/>
  <c r="B102" i="19"/>
  <c r="B109" i="19"/>
  <c r="B116" i="19"/>
  <c r="C142" i="19"/>
  <c r="D142" i="19"/>
  <c r="C34" i="19"/>
  <c r="B83" i="19"/>
  <c r="B103" i="19"/>
  <c r="B110" i="19"/>
  <c r="B117" i="19"/>
  <c r="B137" i="19"/>
  <c r="B140" i="19"/>
  <c r="B160" i="19"/>
  <c r="C175" i="19"/>
  <c r="C178" i="19"/>
  <c r="D185" i="19"/>
  <c r="D188" i="19"/>
  <c r="C24" i="23"/>
  <c r="E85" i="23"/>
  <c r="C12" i="23"/>
  <c r="D130" i="19"/>
  <c r="B127" i="19"/>
  <c r="B47" i="19"/>
  <c r="C16" i="23"/>
  <c r="B17" i="19"/>
  <c r="B64" i="19"/>
  <c r="C73" i="19"/>
  <c r="B12" i="19"/>
  <c r="B18" i="19"/>
  <c r="B48" i="19"/>
  <c r="B51" i="19"/>
  <c r="B65" i="19"/>
  <c r="B80" i="19"/>
  <c r="C90" i="19"/>
  <c r="B108" i="19"/>
  <c r="B128" i="19"/>
  <c r="C20" i="23"/>
  <c r="C23" i="23"/>
  <c r="C84" i="19"/>
  <c r="B46" i="23"/>
  <c r="D85" i="23"/>
  <c r="B13" i="19"/>
  <c r="B16" i="19"/>
  <c r="B22" i="19"/>
  <c r="C38" i="19"/>
  <c r="B46" i="19"/>
  <c r="B49" i="19"/>
  <c r="B52" i="19"/>
  <c r="B63" i="19"/>
  <c r="B72" i="19"/>
  <c r="D84" i="19"/>
  <c r="C130" i="19"/>
  <c r="E41" i="19"/>
  <c r="C28" i="19"/>
  <c r="C31" i="19"/>
  <c r="C36" i="19"/>
  <c r="B97" i="19"/>
  <c r="B100" i="19"/>
  <c r="B118" i="19"/>
  <c r="B139" i="19"/>
  <c r="B159" i="19"/>
  <c r="B162" i="19"/>
  <c r="C177" i="19"/>
  <c r="D184" i="19"/>
  <c r="D187" i="19"/>
  <c r="C13" i="23"/>
  <c r="C21" i="23"/>
  <c r="E28" i="23"/>
  <c r="B66" i="23"/>
  <c r="D41" i="19"/>
  <c r="B71" i="19"/>
  <c r="CA71" i="19" s="1"/>
  <c r="B78" i="19"/>
  <c r="C66" i="19"/>
  <c r="D73" i="19"/>
  <c r="B136" i="19"/>
  <c r="C17" i="23"/>
  <c r="B124" i="19"/>
  <c r="C15" i="23"/>
  <c r="C27" i="23"/>
  <c r="C72" i="23"/>
  <c r="C75" i="23"/>
  <c r="C78" i="23"/>
  <c r="C81" i="23"/>
  <c r="C84" i="23"/>
  <c r="D28" i="23"/>
  <c r="C71" i="23"/>
  <c r="CA65" i="19" l="1"/>
  <c r="AP65" i="19" s="1"/>
  <c r="CF65" i="19"/>
  <c r="CA64" i="19"/>
  <c r="AP64" i="19" s="1"/>
  <c r="CF64" i="19"/>
  <c r="CF63" i="19"/>
  <c r="B215" i="19" s="1"/>
  <c r="CA63" i="19"/>
  <c r="AP63" i="19" s="1"/>
  <c r="A215" i="19"/>
  <c r="CA49" i="19"/>
  <c r="CB49" i="19"/>
  <c r="CC49" i="19"/>
  <c r="CC28" i="19"/>
  <c r="CH28" i="19"/>
  <c r="CB28" i="19"/>
  <c r="CG28" i="19"/>
  <c r="CA28" i="19"/>
  <c r="CF28" i="19"/>
  <c r="CC34" i="19"/>
  <c r="CB34" i="19"/>
  <c r="CA34" i="19"/>
  <c r="CB51" i="19"/>
  <c r="CC51" i="19"/>
  <c r="CA51" i="19"/>
  <c r="CA35" i="19"/>
  <c r="CB35" i="19"/>
  <c r="CC35" i="19"/>
  <c r="CC48" i="19"/>
  <c r="CB48" i="19"/>
  <c r="CA48" i="19"/>
  <c r="CC31" i="19"/>
  <c r="CA31" i="19"/>
  <c r="CB31" i="19"/>
  <c r="CF124" i="19"/>
  <c r="CC46" i="19"/>
  <c r="CB46" i="19"/>
  <c r="CA46" i="19"/>
  <c r="CB39" i="19"/>
  <c r="CA39" i="19"/>
  <c r="CC39" i="19"/>
  <c r="CA127" i="19"/>
  <c r="AP127" i="19" s="1"/>
  <c r="CF127" i="19"/>
  <c r="CB29" i="19"/>
  <c r="CC29" i="19"/>
  <c r="CA29" i="19"/>
  <c r="CB72" i="19"/>
  <c r="CA72" i="19"/>
  <c r="CA128" i="19"/>
  <c r="CF128" i="19"/>
  <c r="CC12" i="19"/>
  <c r="CB12" i="19"/>
  <c r="CA12" i="19"/>
  <c r="B23" i="19"/>
  <c r="CF12" i="19"/>
  <c r="CH12" i="19"/>
  <c r="CG12" i="19"/>
  <c r="CB37" i="19"/>
  <c r="CA37" i="19"/>
  <c r="CC37" i="19"/>
  <c r="CA125" i="19"/>
  <c r="CF125" i="19"/>
  <c r="CA126" i="19"/>
  <c r="CF126" i="19"/>
  <c r="CA47" i="19"/>
  <c r="CB47" i="19"/>
  <c r="CC47" i="19"/>
  <c r="CA50" i="19"/>
  <c r="CB50" i="19"/>
  <c r="CC50" i="19"/>
  <c r="CA30" i="19"/>
  <c r="CB30" i="19"/>
  <c r="CC30" i="19"/>
  <c r="CA38" i="19"/>
  <c r="CB38" i="19"/>
  <c r="CC38" i="19"/>
  <c r="CA33" i="19"/>
  <c r="CB33" i="19"/>
  <c r="CC33" i="19"/>
  <c r="CA32" i="19"/>
  <c r="CB32" i="19"/>
  <c r="CC32" i="19"/>
  <c r="CA36" i="19"/>
  <c r="CB36" i="19"/>
  <c r="CC36" i="19"/>
  <c r="CA52" i="19"/>
  <c r="CB52" i="19"/>
  <c r="CC52" i="19"/>
  <c r="CC53" i="19"/>
  <c r="CA53" i="19"/>
  <c r="CB53" i="19"/>
  <c r="CF129" i="19"/>
  <c r="CA129" i="19"/>
  <c r="CB40" i="19"/>
  <c r="CC40" i="19"/>
  <c r="CA40" i="19"/>
  <c r="CC20" i="19"/>
  <c r="CA20" i="19"/>
  <c r="CB20" i="19"/>
  <c r="CB16" i="19"/>
  <c r="CC16" i="19"/>
  <c r="CA16" i="19"/>
  <c r="CC21" i="19"/>
  <c r="CA21" i="19"/>
  <c r="CB21" i="19"/>
  <c r="CA22" i="19"/>
  <c r="CB22" i="19"/>
  <c r="CC22" i="19"/>
  <c r="CB15" i="19"/>
  <c r="CC15" i="19"/>
  <c r="CA15" i="19"/>
  <c r="CC13" i="19"/>
  <c r="CB13" i="19"/>
  <c r="CA14" i="19"/>
  <c r="CB14" i="19"/>
  <c r="CC14" i="19"/>
  <c r="CA17" i="19"/>
  <c r="CB17" i="19"/>
  <c r="CC17" i="19"/>
  <c r="CA18" i="19"/>
  <c r="CB18" i="19"/>
  <c r="CC18" i="19"/>
  <c r="CA19" i="19"/>
  <c r="CB19" i="19"/>
  <c r="CC19" i="19"/>
  <c r="CE19" i="23"/>
  <c r="CI19" i="23"/>
  <c r="CD19" i="23"/>
  <c r="CJ19" i="23"/>
  <c r="CC19" i="23"/>
  <c r="CB19" i="23"/>
  <c r="CL25" i="23"/>
  <c r="CD25" i="23"/>
  <c r="CC25" i="23"/>
  <c r="CE12" i="23"/>
  <c r="CD12" i="23"/>
  <c r="CC12" i="23"/>
  <c r="CB12" i="23"/>
  <c r="AX22" i="23"/>
  <c r="CL71" i="23"/>
  <c r="CD71" i="23"/>
  <c r="CI71" i="23"/>
  <c r="CE71" i="23"/>
  <c r="CJ71" i="23"/>
  <c r="CB71" i="23"/>
  <c r="CC71" i="23"/>
  <c r="CK71" i="23"/>
  <c r="CL27" i="23"/>
  <c r="CJ27" i="23"/>
  <c r="CB27" i="23"/>
  <c r="CK27" i="23"/>
  <c r="CC27" i="23"/>
  <c r="CD27" i="23"/>
  <c r="CE27" i="23"/>
  <c r="CI27" i="23"/>
  <c r="CK80" i="23"/>
  <c r="CC80" i="23"/>
  <c r="CD80" i="23"/>
  <c r="CI80" i="23"/>
  <c r="CE80" i="23"/>
  <c r="CJ80" i="23"/>
  <c r="CB80" i="23"/>
  <c r="CL80" i="23"/>
  <c r="CL84" i="23"/>
  <c r="CD84" i="23"/>
  <c r="CI84" i="23"/>
  <c r="CE84" i="23"/>
  <c r="CJ84" i="23"/>
  <c r="CB84" i="23"/>
  <c r="CK84" i="23"/>
  <c r="CC84" i="23"/>
  <c r="CL15" i="23"/>
  <c r="CJ15" i="23"/>
  <c r="CB15" i="23"/>
  <c r="CK15" i="23"/>
  <c r="CC15" i="23"/>
  <c r="CD15" i="23"/>
  <c r="CE15" i="23"/>
  <c r="CI15" i="23"/>
  <c r="CE17" i="23"/>
  <c r="CD17" i="23"/>
  <c r="CI17" i="23"/>
  <c r="CL17" i="23"/>
  <c r="CJ17" i="23"/>
  <c r="CB17" i="23"/>
  <c r="CK17" i="23"/>
  <c r="CC17" i="23"/>
  <c r="CL20" i="23"/>
  <c r="CJ20" i="23"/>
  <c r="CB20" i="23"/>
  <c r="CK20" i="23"/>
  <c r="CE20" i="23"/>
  <c r="CD20" i="23"/>
  <c r="CI20" i="23"/>
  <c r="CC20" i="23"/>
  <c r="CE82" i="23"/>
  <c r="CJ82" i="23"/>
  <c r="CB82" i="23"/>
  <c r="CK82" i="23"/>
  <c r="CC82" i="23"/>
  <c r="CL82" i="23"/>
  <c r="CD82" i="23"/>
  <c r="CI82" i="23"/>
  <c r="CE77" i="23"/>
  <c r="CJ77" i="23"/>
  <c r="CB77" i="23"/>
  <c r="CK77" i="23"/>
  <c r="CC77" i="23"/>
  <c r="CL77" i="23"/>
  <c r="CD77" i="23"/>
  <c r="CI77" i="23"/>
  <c r="CL21" i="23"/>
  <c r="CJ21" i="23"/>
  <c r="CB21" i="23"/>
  <c r="CK21" i="23"/>
  <c r="CC21" i="23"/>
  <c r="CE21" i="23"/>
  <c r="CI21" i="23"/>
  <c r="CD21" i="23"/>
  <c r="CE23" i="23"/>
  <c r="CD23" i="23"/>
  <c r="CI23" i="23"/>
  <c r="CL23" i="23"/>
  <c r="CJ23" i="23"/>
  <c r="CB23" i="23"/>
  <c r="CC23" i="23"/>
  <c r="CK23" i="23"/>
  <c r="CK81" i="23"/>
  <c r="CC81" i="23"/>
  <c r="CL81" i="23"/>
  <c r="CD81" i="23"/>
  <c r="CI81" i="23"/>
  <c r="CE81" i="23"/>
  <c r="CJ81" i="23"/>
  <c r="CB81" i="23"/>
  <c r="CL79" i="23"/>
  <c r="CD79" i="23"/>
  <c r="CI79" i="23"/>
  <c r="CE79" i="23"/>
  <c r="CJ79" i="23"/>
  <c r="CB79" i="23"/>
  <c r="CK79" i="23"/>
  <c r="CC79" i="23"/>
  <c r="CK74" i="23"/>
  <c r="CC74" i="23"/>
  <c r="CL74" i="23"/>
  <c r="CD74" i="23"/>
  <c r="CI74" i="23"/>
  <c r="CE74" i="23"/>
  <c r="CJ74" i="23"/>
  <c r="CB74" i="23"/>
  <c r="CL78" i="23"/>
  <c r="CD78" i="23"/>
  <c r="CI78" i="23"/>
  <c r="CE78" i="23"/>
  <c r="CJ78" i="23"/>
  <c r="CB78" i="23"/>
  <c r="CK78" i="23"/>
  <c r="CC78" i="23"/>
  <c r="CE76" i="23"/>
  <c r="CJ76" i="23"/>
  <c r="CB76" i="23"/>
  <c r="CK76" i="23"/>
  <c r="CC76" i="23"/>
  <c r="CL76" i="23"/>
  <c r="CD76" i="23"/>
  <c r="CI76" i="23"/>
  <c r="CK75" i="23"/>
  <c r="CC75" i="23"/>
  <c r="CL75" i="23"/>
  <c r="CD75" i="23"/>
  <c r="CI75" i="23"/>
  <c r="CE75" i="23"/>
  <c r="CJ75" i="23"/>
  <c r="CB75" i="23"/>
  <c r="CE16" i="23"/>
  <c r="CD16" i="23"/>
  <c r="CI16" i="23"/>
  <c r="CL16" i="23"/>
  <c r="CJ16" i="23"/>
  <c r="CB16" i="23"/>
  <c r="CK16" i="23"/>
  <c r="CC16" i="23"/>
  <c r="CL73" i="23"/>
  <c r="CD73" i="23"/>
  <c r="CI73" i="23"/>
  <c r="CE73" i="23"/>
  <c r="CJ73" i="23"/>
  <c r="CB73" i="23"/>
  <c r="CK73" i="23"/>
  <c r="CC73" i="23"/>
  <c r="CL14" i="23"/>
  <c r="CJ14" i="23"/>
  <c r="CB14" i="23"/>
  <c r="CK14" i="23"/>
  <c r="CC14" i="23"/>
  <c r="CE14" i="23"/>
  <c r="CD14" i="23"/>
  <c r="CI14" i="23"/>
  <c r="CK24" i="23"/>
  <c r="CC24" i="23"/>
  <c r="CE24" i="23"/>
  <c r="CD24" i="23"/>
  <c r="CI24" i="23"/>
  <c r="CL24" i="23"/>
  <c r="CJ24" i="23"/>
  <c r="CB24" i="23"/>
  <c r="CL26" i="23"/>
  <c r="CJ26" i="23"/>
  <c r="CB26" i="23"/>
  <c r="CK26" i="23"/>
  <c r="CC26" i="23"/>
  <c r="CE26" i="23"/>
  <c r="CD26" i="23"/>
  <c r="CI26" i="23"/>
  <c r="CL72" i="23"/>
  <c r="CD72" i="23"/>
  <c r="CI72" i="23"/>
  <c r="CJ72" i="23"/>
  <c r="CB72" i="23"/>
  <c r="CE72" i="23"/>
  <c r="CK72" i="23"/>
  <c r="CC72" i="23"/>
  <c r="CK18" i="23"/>
  <c r="CC18" i="23"/>
  <c r="CE18" i="23"/>
  <c r="CI18" i="23"/>
  <c r="CD18" i="23"/>
  <c r="CL18" i="23"/>
  <c r="CJ18" i="23"/>
  <c r="CB18" i="23"/>
  <c r="CE83" i="23"/>
  <c r="CJ83" i="23"/>
  <c r="CB83" i="23"/>
  <c r="CK83" i="23"/>
  <c r="CC83" i="23"/>
  <c r="CD83" i="23"/>
  <c r="CI83" i="23"/>
  <c r="CL83" i="23"/>
  <c r="CD13" i="23"/>
  <c r="CB13" i="23"/>
  <c r="CC13" i="23"/>
  <c r="CE13" i="23"/>
  <c r="CI13" i="23"/>
  <c r="CJ13" i="23"/>
  <c r="CK13" i="23"/>
  <c r="CL13" i="23"/>
  <c r="CI12" i="23"/>
  <c r="CK12" i="23"/>
  <c r="CL12" i="23"/>
  <c r="CJ12" i="23"/>
  <c r="D22" i="18"/>
  <c r="CH18" i="19"/>
  <c r="CG18" i="19"/>
  <c r="CF18" i="19"/>
  <c r="CH30" i="19"/>
  <c r="CG30" i="19"/>
  <c r="CF30" i="19"/>
  <c r="CH37" i="19"/>
  <c r="CG37" i="19"/>
  <c r="CF37" i="19"/>
  <c r="CG21" i="19"/>
  <c r="CF21" i="19"/>
  <c r="CH21" i="19"/>
  <c r="CH40" i="19"/>
  <c r="CG40" i="19"/>
  <c r="CF40" i="19"/>
  <c r="CH31" i="19"/>
  <c r="CG31" i="19"/>
  <c r="CF31" i="19"/>
  <c r="CG22" i="19"/>
  <c r="CF22" i="19"/>
  <c r="CH22" i="19"/>
  <c r="CG16" i="19"/>
  <c r="CF16" i="19"/>
  <c r="CH16" i="19"/>
  <c r="CF19" i="19"/>
  <c r="CH19" i="19"/>
  <c r="CG19" i="19"/>
  <c r="CG15" i="19"/>
  <c r="CF15" i="19"/>
  <c r="CH15" i="19"/>
  <c r="CF14" i="19"/>
  <c r="CH14" i="19"/>
  <c r="CG14" i="19"/>
  <c r="CH34" i="19"/>
  <c r="CG34" i="19"/>
  <c r="CF34" i="19"/>
  <c r="CF13" i="19"/>
  <c r="CH13" i="19"/>
  <c r="CG13" i="19"/>
  <c r="CH17" i="19"/>
  <c r="CG17" i="19"/>
  <c r="CF17" i="19"/>
  <c r="CF20" i="19"/>
  <c r="CH20" i="19"/>
  <c r="CG20" i="19"/>
  <c r="CH35" i="19"/>
  <c r="CG35" i="19"/>
  <c r="CF35" i="19"/>
  <c r="CF33" i="19"/>
  <c r="CH33" i="19"/>
  <c r="CG33" i="19"/>
  <c r="CH36" i="19"/>
  <c r="CG36" i="19"/>
  <c r="CF36" i="19"/>
  <c r="CH38" i="19"/>
  <c r="CG38" i="19"/>
  <c r="CF38" i="19"/>
  <c r="CH29" i="19"/>
  <c r="CG29" i="19"/>
  <c r="CF29" i="19"/>
  <c r="CF39" i="19"/>
  <c r="CG39" i="19"/>
  <c r="CH39" i="19"/>
  <c r="CG32" i="19"/>
  <c r="CH32" i="19"/>
  <c r="CF32" i="19"/>
  <c r="E22" i="18"/>
  <c r="B84" i="19"/>
  <c r="B66" i="19"/>
  <c r="C85" i="23"/>
  <c r="C41" i="19"/>
  <c r="B73" i="19"/>
  <c r="B130" i="19"/>
  <c r="B142" i="19"/>
  <c r="C28" i="23"/>
  <c r="E19" i="18" l="1"/>
  <c r="AS37" i="19"/>
  <c r="D19" i="18"/>
  <c r="AX19" i="23"/>
  <c r="AX25" i="23"/>
  <c r="U76" i="23"/>
  <c r="U82" i="23"/>
  <c r="U75" i="23"/>
  <c r="U74" i="23"/>
  <c r="AX20" i="23"/>
  <c r="U84" i="23"/>
  <c r="AX27" i="23"/>
  <c r="U71" i="23"/>
  <c r="AX24" i="23"/>
  <c r="AX16" i="23"/>
  <c r="U78" i="23"/>
  <c r="AX26" i="23"/>
  <c r="U73" i="23"/>
  <c r="AX23" i="23"/>
  <c r="U79" i="23"/>
  <c r="AX15" i="23"/>
  <c r="AX18" i="23"/>
  <c r="U81" i="23"/>
  <c r="AX17" i="23"/>
  <c r="U72" i="23"/>
  <c r="U80" i="23"/>
  <c r="U77" i="23"/>
  <c r="U83" i="23"/>
  <c r="AX14" i="23"/>
  <c r="AX13" i="23"/>
  <c r="AX12" i="23"/>
  <c r="B130" i="23"/>
  <c r="D28" i="18" s="1"/>
  <c r="AX21" i="23"/>
  <c r="A130" i="23"/>
  <c r="E28" i="18" s="1"/>
  <c r="D86" i="13"/>
  <c r="D85" i="13"/>
  <c r="AX67" i="13"/>
  <c r="AW67" i="13"/>
  <c r="AV67" i="13"/>
  <c r="AU67" i="13"/>
  <c r="AT67" i="13"/>
  <c r="AS67" i="13"/>
  <c r="AR67" i="13"/>
  <c r="AQ67" i="13"/>
  <c r="AP67" i="13"/>
  <c r="AO67" i="13"/>
  <c r="AN67" i="13"/>
  <c r="AM67" i="13"/>
  <c r="AL67" i="13"/>
  <c r="AK67" i="13"/>
  <c r="AJ67" i="13"/>
  <c r="AI67" i="13"/>
  <c r="AH67" i="13"/>
  <c r="AG67" i="13"/>
  <c r="AF67" i="13"/>
  <c r="AE67" i="13"/>
  <c r="AD67" i="13"/>
  <c r="AC67" i="13"/>
  <c r="AB67" i="13"/>
  <c r="AA67" i="13"/>
  <c r="AX63" i="13"/>
  <c r="AW63" i="13"/>
  <c r="AV63" i="13"/>
  <c r="AU63" i="13"/>
  <c r="AT63" i="13"/>
  <c r="AS63" i="13"/>
  <c r="AR63" i="13"/>
  <c r="AQ63" i="13"/>
  <c r="AP63" i="13"/>
  <c r="AO63" i="13"/>
  <c r="AN63" i="13"/>
  <c r="AM63" i="13"/>
  <c r="AL63" i="13"/>
  <c r="AK63" i="13"/>
  <c r="AJ63" i="13"/>
  <c r="AI63" i="13"/>
  <c r="AH63" i="13"/>
  <c r="AG63" i="13"/>
  <c r="AF63" i="13"/>
  <c r="AE63" i="13"/>
  <c r="AD63" i="13"/>
  <c r="AC63" i="13"/>
  <c r="AB63" i="13"/>
  <c r="AA63" i="13"/>
  <c r="Z63" i="13"/>
  <c r="Y63" i="13"/>
  <c r="X63" i="13"/>
  <c r="W63" i="13"/>
  <c r="V63" i="13"/>
  <c r="U63" i="13"/>
  <c r="T63" i="13"/>
  <c r="S63" i="13"/>
  <c r="R63" i="13"/>
  <c r="Q63" i="13"/>
  <c r="P63" i="13"/>
  <c r="O63" i="13"/>
  <c r="N63" i="13"/>
  <c r="M63" i="13"/>
  <c r="L63" i="13"/>
  <c r="K63" i="13"/>
  <c r="J63" i="13"/>
  <c r="I63" i="13"/>
  <c r="H63" i="13"/>
  <c r="G63" i="13"/>
  <c r="F62" i="13"/>
  <c r="E62" i="13"/>
  <c r="F61" i="13"/>
  <c r="E61" i="13"/>
  <c r="F59" i="13"/>
  <c r="E59" i="13"/>
  <c r="F58" i="13"/>
  <c r="E58" i="13"/>
  <c r="AX57" i="13"/>
  <c r="AW57" i="13"/>
  <c r="AV57" i="13"/>
  <c r="AU57" i="13"/>
  <c r="AT57" i="13"/>
  <c r="AS57" i="13"/>
  <c r="AR57" i="13"/>
  <c r="AQ57" i="13"/>
  <c r="AP57" i="13"/>
  <c r="AO57" i="13"/>
  <c r="AN57" i="13"/>
  <c r="AM57" i="13"/>
  <c r="AL57" i="13"/>
  <c r="AK57" i="13"/>
  <c r="AJ57" i="13"/>
  <c r="AI57" i="13"/>
  <c r="AH57" i="13"/>
  <c r="AG57" i="13"/>
  <c r="AF57" i="13"/>
  <c r="AE57" i="13"/>
  <c r="AD57" i="13"/>
  <c r="AC57" i="13"/>
  <c r="AB57" i="13"/>
  <c r="AA57" i="13"/>
  <c r="Z57" i="13"/>
  <c r="Y57" i="13"/>
  <c r="X57" i="13"/>
  <c r="W57" i="13"/>
  <c r="V57" i="13"/>
  <c r="U57" i="13"/>
  <c r="T57" i="13"/>
  <c r="S57" i="13"/>
  <c r="R57" i="13"/>
  <c r="Q57" i="13"/>
  <c r="P57" i="13"/>
  <c r="O57" i="13"/>
  <c r="N57" i="13"/>
  <c r="M57" i="13"/>
  <c r="L57" i="13"/>
  <c r="K57" i="13"/>
  <c r="J57" i="13"/>
  <c r="I57" i="13"/>
  <c r="H57" i="13"/>
  <c r="G57" i="13"/>
  <c r="F54" i="13"/>
  <c r="F53" i="13"/>
  <c r="E53" i="13"/>
  <c r="F52" i="13"/>
  <c r="E52" i="13"/>
  <c r="F51" i="13"/>
  <c r="F37" i="13"/>
  <c r="E37" i="13"/>
  <c r="F35" i="13"/>
  <c r="E35" i="13"/>
  <c r="E39" i="13" s="1"/>
  <c r="F33" i="13"/>
  <c r="E33" i="13"/>
  <c r="F32" i="13"/>
  <c r="E32" i="13"/>
  <c r="F31" i="13"/>
  <c r="E31" i="13"/>
  <c r="F30" i="13"/>
  <c r="E30" i="13"/>
  <c r="F29" i="13"/>
  <c r="E29" i="13"/>
  <c r="F28" i="13"/>
  <c r="E28" i="13"/>
  <c r="F27" i="13"/>
  <c r="E27" i="13"/>
  <c r="F26" i="13"/>
  <c r="E26" i="13"/>
  <c r="F25" i="13"/>
  <c r="E25" i="13"/>
  <c r="F24" i="13"/>
  <c r="E24" i="13"/>
  <c r="F23" i="13"/>
  <c r="E23" i="13"/>
  <c r="F21" i="13"/>
  <c r="E21" i="13"/>
  <c r="CB51" i="13" l="1"/>
  <c r="CP51" i="13"/>
  <c r="CB52" i="13"/>
  <c r="CP52" i="13"/>
  <c r="CB56" i="13"/>
  <c r="CP56" i="13"/>
  <c r="CB59" i="13"/>
  <c r="CP59" i="13"/>
  <c r="CB58" i="13"/>
  <c r="CP58" i="13"/>
  <c r="CP55" i="13"/>
  <c r="CB55" i="13"/>
  <c r="CB66" i="13"/>
  <c r="CP66" i="13"/>
  <c r="CB53" i="13"/>
  <c r="CP53" i="13"/>
  <c r="CP60" i="13"/>
  <c r="CB60" i="13"/>
  <c r="CB54" i="13"/>
  <c r="CP54" i="13"/>
  <c r="CB61" i="13"/>
  <c r="CP61" i="13"/>
  <c r="CP65" i="13"/>
  <c r="CB65" i="13"/>
  <c r="CP62" i="13"/>
  <c r="CB62" i="13"/>
  <c r="CP25" i="13"/>
  <c r="CB25" i="13"/>
  <c r="CP32" i="13"/>
  <c r="CB32" i="13"/>
  <c r="CB21" i="13"/>
  <c r="CP21" i="13"/>
  <c r="CP26" i="13"/>
  <c r="CB26" i="13"/>
  <c r="CP30" i="13"/>
  <c r="CB30" i="13"/>
  <c r="CP35" i="13"/>
  <c r="CB35" i="13"/>
  <c r="CP37" i="13"/>
  <c r="CB37" i="13"/>
  <c r="CP29" i="13"/>
  <c r="CB29" i="13"/>
  <c r="CP28" i="13"/>
  <c r="CB28" i="13"/>
  <c r="CP23" i="13"/>
  <c r="CB23" i="13"/>
  <c r="CP27" i="13"/>
  <c r="CB27" i="13"/>
  <c r="CP31" i="13"/>
  <c r="CB31" i="13"/>
  <c r="CP36" i="13"/>
  <c r="CB36" i="13"/>
  <c r="CP24" i="13"/>
  <c r="CB24" i="13"/>
  <c r="CP33" i="13"/>
  <c r="CB33" i="13"/>
  <c r="F57" i="13"/>
  <c r="E57" i="13"/>
  <c r="F39" i="13"/>
  <c r="D24" i="13"/>
  <c r="CE24" i="13" s="1"/>
  <c r="D52" i="13"/>
  <c r="D56" i="13"/>
  <c r="D62" i="13"/>
  <c r="D65" i="13"/>
  <c r="D35" i="13"/>
  <c r="D23" i="13"/>
  <c r="CE23" i="13" s="1"/>
  <c r="D60" i="13"/>
  <c r="D27" i="13"/>
  <c r="CE27" i="13" s="1"/>
  <c r="D30" i="13"/>
  <c r="CE30" i="13" s="1"/>
  <c r="CE36" i="13"/>
  <c r="D31" i="13"/>
  <c r="CE31" i="13" s="1"/>
  <c r="D34" i="13"/>
  <c r="CE34" i="13" s="1"/>
  <c r="D37" i="13"/>
  <c r="CE37" i="13" s="1"/>
  <c r="D61" i="13"/>
  <c r="D26" i="13"/>
  <c r="CE26" i="13" s="1"/>
  <c r="D29" i="13"/>
  <c r="CE29" i="13" s="1"/>
  <c r="D32" i="13"/>
  <c r="CE32" i="13" s="1"/>
  <c r="D22" i="13"/>
  <c r="CE22" i="13" s="1"/>
  <c r="E63" i="13"/>
  <c r="D53" i="13"/>
  <c r="D25" i="13"/>
  <c r="CE25" i="13" s="1"/>
  <c r="D51" i="13"/>
  <c r="D59" i="13"/>
  <c r="D66" i="13"/>
  <c r="D28" i="13"/>
  <c r="CE28" i="13" s="1"/>
  <c r="D33" i="13"/>
  <c r="CE33" i="13" s="1"/>
  <c r="D54" i="13"/>
  <c r="F63" i="13"/>
  <c r="D21" i="13"/>
  <c r="D58" i="13"/>
  <c r="CE35" i="13" l="1"/>
  <c r="D39" i="13"/>
  <c r="CE21" i="13"/>
  <c r="CV59" i="13"/>
  <c r="CH59" i="13"/>
  <c r="CU59" i="13"/>
  <c r="CG59" i="13"/>
  <c r="CT59" i="13"/>
  <c r="CF59" i="13"/>
  <c r="CS59" i="13"/>
  <c r="CE59" i="13"/>
  <c r="AY59" i="13" s="1"/>
  <c r="CR59" i="13"/>
  <c r="CD59" i="13"/>
  <c r="CV58" i="13"/>
  <c r="CH58" i="13"/>
  <c r="CU58" i="13"/>
  <c r="CG58" i="13"/>
  <c r="CT58" i="13"/>
  <c r="CF58" i="13"/>
  <c r="CS58" i="13"/>
  <c r="CE58" i="13"/>
  <c r="CD58" i="13"/>
  <c r="CR58" i="13"/>
  <c r="CR53" i="13"/>
  <c r="CH53" i="13"/>
  <c r="CF53" i="13"/>
  <c r="CV53" i="13"/>
  <c r="CD53" i="13"/>
  <c r="CS53" i="13"/>
  <c r="CG53" i="13"/>
  <c r="CT53" i="13"/>
  <c r="CU53" i="13"/>
  <c r="CE53" i="13"/>
  <c r="CV61" i="13"/>
  <c r="CH61" i="13"/>
  <c r="CU61" i="13"/>
  <c r="CG61" i="13"/>
  <c r="CT61" i="13"/>
  <c r="CF61" i="13"/>
  <c r="CS61" i="13"/>
  <c r="CE61" i="13"/>
  <c r="CR61" i="13"/>
  <c r="CD61" i="13"/>
  <c r="AY61" i="13" s="1"/>
  <c r="CV60" i="13"/>
  <c r="CH60" i="13"/>
  <c r="CU60" i="13"/>
  <c r="CG60" i="13"/>
  <c r="CT60" i="13"/>
  <c r="CF60" i="13"/>
  <c r="CS60" i="13"/>
  <c r="CE60" i="13"/>
  <c r="CR60" i="13"/>
  <c r="CD60" i="13"/>
  <c r="CR54" i="13"/>
  <c r="CT54" i="13"/>
  <c r="CS54" i="13"/>
  <c r="CU54" i="13"/>
  <c r="CH54" i="13"/>
  <c r="CD54" i="13"/>
  <c r="CV54" i="13"/>
  <c r="CG54" i="13"/>
  <c r="CF54" i="13"/>
  <c r="CE54" i="13"/>
  <c r="CF51" i="13"/>
  <c r="CH51" i="13"/>
  <c r="CD51" i="13"/>
  <c r="CS51" i="13"/>
  <c r="CG51" i="13"/>
  <c r="CT51" i="13"/>
  <c r="CR51" i="13"/>
  <c r="CU51" i="13"/>
  <c r="CE51" i="13"/>
  <c r="CV51" i="13"/>
  <c r="CR55" i="13"/>
  <c r="CD55" i="13"/>
  <c r="CH55" i="13"/>
  <c r="CV55" i="13"/>
  <c r="CS55" i="13"/>
  <c r="CG55" i="13"/>
  <c r="CF55" i="13"/>
  <c r="CT55" i="13"/>
  <c r="CU55" i="13"/>
  <c r="CE55" i="13"/>
  <c r="CV62" i="13"/>
  <c r="CH62" i="13"/>
  <c r="CU62" i="13"/>
  <c r="CG62" i="13"/>
  <c r="CT62" i="13"/>
  <c r="CF62" i="13"/>
  <c r="CS62" i="13"/>
  <c r="CE62" i="13"/>
  <c r="CD62" i="13"/>
  <c r="CR62" i="13"/>
  <c r="CT52" i="13"/>
  <c r="CU52" i="13"/>
  <c r="CH52" i="13"/>
  <c r="CV52" i="13"/>
  <c r="CG52" i="13"/>
  <c r="CF52" i="13"/>
  <c r="CD52" i="13"/>
  <c r="CE52" i="13"/>
  <c r="CR52" i="13"/>
  <c r="CS52" i="13"/>
  <c r="CV65" i="13"/>
  <c r="CH65" i="13"/>
  <c r="CU65" i="13"/>
  <c r="CG65" i="13"/>
  <c r="CT65" i="13"/>
  <c r="CF65" i="13"/>
  <c r="CS65" i="13"/>
  <c r="CE65" i="13"/>
  <c r="CR65" i="13"/>
  <c r="CD65" i="13"/>
  <c r="CV66" i="13"/>
  <c r="CH66" i="13"/>
  <c r="CU66" i="13"/>
  <c r="CG66" i="13"/>
  <c r="CT66" i="13"/>
  <c r="CF66" i="13"/>
  <c r="CS66" i="13"/>
  <c r="CE66" i="13"/>
  <c r="CR66" i="13"/>
  <c r="CD66" i="13"/>
  <c r="CT56" i="13"/>
  <c r="CU56" i="13"/>
  <c r="CH56" i="13"/>
  <c r="CR56" i="13"/>
  <c r="CV56" i="13"/>
  <c r="CD56" i="13"/>
  <c r="CG56" i="13"/>
  <c r="CS56" i="13"/>
  <c r="CF56" i="13"/>
  <c r="CE56" i="13"/>
  <c r="CT22" i="13"/>
  <c r="CD22" i="13"/>
  <c r="CS22" i="13"/>
  <c r="CR22" i="13"/>
  <c r="CF22" i="13"/>
  <c r="CG22" i="13"/>
  <c r="CH22" i="13"/>
  <c r="CV22" i="13"/>
  <c r="CU22" i="13"/>
  <c r="CT31" i="13"/>
  <c r="CH31" i="13"/>
  <c r="CD31" i="13"/>
  <c r="CS31" i="13"/>
  <c r="CR31" i="13"/>
  <c r="CF31" i="13"/>
  <c r="CG31" i="13"/>
  <c r="CV31" i="13"/>
  <c r="CU31" i="13"/>
  <c r="CT25" i="13"/>
  <c r="CD25" i="13"/>
  <c r="CS25" i="13"/>
  <c r="CR25" i="13"/>
  <c r="CF25" i="13"/>
  <c r="CG25" i="13"/>
  <c r="CH25" i="13"/>
  <c r="CV25" i="13"/>
  <c r="CU25" i="13"/>
  <c r="CT29" i="13"/>
  <c r="CH29" i="13"/>
  <c r="CD29" i="13"/>
  <c r="CS29" i="13"/>
  <c r="CR29" i="13"/>
  <c r="CF29" i="13"/>
  <c r="CG29" i="13"/>
  <c r="CV29" i="13"/>
  <c r="CU29" i="13"/>
  <c r="CT30" i="13"/>
  <c r="CD30" i="13"/>
  <c r="CS30" i="13"/>
  <c r="CR30" i="13"/>
  <c r="CF30" i="13"/>
  <c r="CG30" i="13"/>
  <c r="CH30" i="13"/>
  <c r="CV30" i="13"/>
  <c r="CU30" i="13"/>
  <c r="CT34" i="13"/>
  <c r="CH34" i="13"/>
  <c r="CD34" i="13"/>
  <c r="CS34" i="13"/>
  <c r="CR34" i="13"/>
  <c r="CF34" i="13"/>
  <c r="CG34" i="13"/>
  <c r="CV34" i="13"/>
  <c r="CU34" i="13"/>
  <c r="CT28" i="13"/>
  <c r="CH28" i="13"/>
  <c r="CD28" i="13"/>
  <c r="CS28" i="13"/>
  <c r="CR28" i="13"/>
  <c r="CF28" i="13"/>
  <c r="CG28" i="13"/>
  <c r="CV28" i="13"/>
  <c r="CU28" i="13"/>
  <c r="CT21" i="13"/>
  <c r="CD21" i="13"/>
  <c r="CS21" i="13"/>
  <c r="CG21" i="13"/>
  <c r="CR21" i="13"/>
  <c r="CH21" i="13"/>
  <c r="CV21" i="13"/>
  <c r="CF21" i="13"/>
  <c r="CU21" i="13"/>
  <c r="CT26" i="13"/>
  <c r="CH26" i="13"/>
  <c r="CD26" i="13"/>
  <c r="CS26" i="13"/>
  <c r="CR26" i="13"/>
  <c r="CF26" i="13"/>
  <c r="CG26" i="13"/>
  <c r="CV26" i="13"/>
  <c r="CU26" i="13"/>
  <c r="CT24" i="13"/>
  <c r="CD24" i="13"/>
  <c r="CS24" i="13"/>
  <c r="CH24" i="13"/>
  <c r="CR24" i="13"/>
  <c r="CF24" i="13"/>
  <c r="CG24" i="13"/>
  <c r="CV24" i="13"/>
  <c r="CU24" i="13"/>
  <c r="CT37" i="13"/>
  <c r="CH37" i="13"/>
  <c r="CD37" i="13"/>
  <c r="CS37" i="13"/>
  <c r="CR37" i="13"/>
  <c r="CF37" i="13"/>
  <c r="CG37" i="13"/>
  <c r="CV37" i="13"/>
  <c r="CU37" i="13"/>
  <c r="CT27" i="13"/>
  <c r="CD27" i="13"/>
  <c r="CS27" i="13"/>
  <c r="CR27" i="13"/>
  <c r="CF27" i="13"/>
  <c r="CG27" i="13"/>
  <c r="CH27" i="13"/>
  <c r="CV27" i="13"/>
  <c r="CU27" i="13"/>
  <c r="CT33" i="13"/>
  <c r="CD33" i="13"/>
  <c r="CS33" i="13"/>
  <c r="CH33" i="13"/>
  <c r="CR33" i="13"/>
  <c r="CF33" i="13"/>
  <c r="CG33" i="13"/>
  <c r="CV33" i="13"/>
  <c r="CU33" i="13"/>
  <c r="CT32" i="13"/>
  <c r="CD32" i="13"/>
  <c r="CS32" i="13"/>
  <c r="CR32" i="13"/>
  <c r="CF32" i="13"/>
  <c r="CG32" i="13"/>
  <c r="CH32" i="13"/>
  <c r="CV32" i="13"/>
  <c r="CU32" i="13"/>
  <c r="CT23" i="13"/>
  <c r="CH23" i="13"/>
  <c r="CD23" i="13"/>
  <c r="CS23" i="13"/>
  <c r="CR23" i="13"/>
  <c r="CF23" i="13"/>
  <c r="CG23" i="13"/>
  <c r="CV23" i="13"/>
  <c r="CU23" i="13"/>
  <c r="CT36" i="13"/>
  <c r="CD36" i="13"/>
  <c r="CS36" i="13"/>
  <c r="CR36" i="13"/>
  <c r="CH36" i="13"/>
  <c r="CF36" i="13"/>
  <c r="CG36" i="13"/>
  <c r="CV36" i="13"/>
  <c r="CU36" i="13"/>
  <c r="CT35" i="13"/>
  <c r="CD35" i="13"/>
  <c r="CS35" i="13"/>
  <c r="CR35" i="13"/>
  <c r="CF35" i="13"/>
  <c r="CG35" i="13"/>
  <c r="CH35" i="13"/>
  <c r="CV35" i="13"/>
  <c r="CU35" i="13"/>
  <c r="D57" i="13"/>
  <c r="A384" i="13" s="1"/>
  <c r="D67" i="13"/>
  <c r="D63" i="13"/>
  <c r="AY66" i="13" l="1"/>
  <c r="B384" i="13"/>
  <c r="D13" i="18" s="1"/>
  <c r="E13" i="18"/>
  <c r="AY56" i="13"/>
  <c r="AY62" i="13"/>
  <c r="AY55" i="13"/>
  <c r="AY58" i="13"/>
  <c r="AY54" i="13"/>
  <c r="AY60" i="13"/>
  <c r="AY65" i="13"/>
  <c r="AY52" i="13"/>
  <c r="AY51" i="13"/>
  <c r="AY53" i="13"/>
  <c r="AY36" i="13"/>
  <c r="AY37" i="13"/>
  <c r="AY33" i="13"/>
  <c r="AY27" i="13"/>
  <c r="AY31" i="13"/>
  <c r="AY32" i="13"/>
  <c r="AY25" i="13"/>
  <c r="AY35" i="13"/>
  <c r="AY26" i="13"/>
  <c r="AY28" i="13"/>
  <c r="AY29" i="13"/>
  <c r="AY24" i="13"/>
  <c r="AY30" i="13"/>
  <c r="AY23" i="13"/>
  <c r="AY34" i="13"/>
  <c r="AY22" i="13"/>
  <c r="AY227" i="13"/>
  <c r="AY246" i="13"/>
  <c r="D18" i="18" l="1"/>
  <c r="D12" i="18" l="1"/>
  <c r="E12" i="18"/>
  <c r="R180" i="29" l="1"/>
  <c r="AQ29" i="48"/>
  <c r="Y160" i="45"/>
  <c r="Y162" i="45"/>
  <c r="Y161" i="45"/>
  <c r="Y165" i="45"/>
  <c r="Y164" i="45"/>
  <c r="Y166" i="45"/>
  <c r="Y168" i="45"/>
  <c r="B69" i="5"/>
  <c r="E18" i="18" l="1"/>
  <c r="CK159" i="31"/>
  <c r="D23" i="18" s="1"/>
  <c r="D32" i="18" s="1"/>
  <c r="B7" i="44" s="1"/>
  <c r="E23" i="18"/>
  <c r="CA159" i="31"/>
  <c r="S159" i="31" s="1"/>
  <c r="AS12" i="1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<sst xmlns="http://schemas.openxmlformats.org/spreadsheetml/2006/main" count="15241" uniqueCount="4430">
  <si>
    <t>DATOS DEL ESTABLECIMIENTO</t>
  </si>
  <si>
    <t>CÓDIGOS</t>
  </si>
  <si>
    <t>NOMBRE DE COMUNA</t>
  </si>
  <si>
    <t>NOMBRE ESTABLECIMIENTO/ESTRATEGIA</t>
  </si>
  <si>
    <t>MES:</t>
  </si>
  <si>
    <t>AÑO:</t>
  </si>
  <si>
    <t>Director/a Servicio de Salud o Director/a Establecimiento</t>
  </si>
  <si>
    <t>ENERO</t>
  </si>
  <si>
    <t>Jefe/a de Estadísticas</t>
  </si>
  <si>
    <t>FEBRERO</t>
  </si>
  <si>
    <t xml:space="preserve"> </t>
  </si>
  <si>
    <t>MARZO</t>
  </si>
  <si>
    <t>ABRIL</t>
  </si>
  <si>
    <t>MINSAL - DEIS</t>
  </si>
  <si>
    <t>MAYO</t>
  </si>
  <si>
    <t>JUNIO</t>
  </si>
  <si>
    <t>SERIE A</t>
  </si>
  <si>
    <t>JULIO</t>
  </si>
  <si>
    <t>AGOSTO</t>
  </si>
  <si>
    <t>SEPTIEMBRE</t>
  </si>
  <si>
    <t>OCTUBRE</t>
  </si>
  <si>
    <t>NOVIEMBRE</t>
  </si>
  <si>
    <t>DICIEMBRE</t>
  </si>
  <si>
    <t>SERVICIO DE SALUD</t>
  </si>
  <si>
    <t>REM-A01.   CONTROLES DE SALUD</t>
  </si>
  <si>
    <t>SECCIÓN A: CONTROLES DE SALUD SEXUAL Y REPRODUCTIVA</t>
  </si>
  <si>
    <t>TIPO DE CONTROL</t>
  </si>
  <si>
    <t>PROFESIONAL</t>
  </si>
  <si>
    <t xml:space="preserve">TOTAL      </t>
  </si>
  <si>
    <t>RANGO ETARIO</t>
  </si>
  <si>
    <t>Sexo</t>
  </si>
  <si>
    <t>Control con pareja, familiar u otro</t>
  </si>
  <si>
    <t>Control de diada con presencia del padre</t>
  </si>
  <si>
    <t>Espacios Amigables/ Adolescentes</t>
  </si>
  <si>
    <t>Niños, Niñas, Adolescentes y Jóvenes SENAME</t>
  </si>
  <si>
    <t>Niños, Niñas, Adolescentes y Jóvenes Mejor Niñez</t>
  </si>
  <si>
    <t>Pueblos Originarios</t>
  </si>
  <si>
    <t>Migrantes</t>
  </si>
  <si>
    <t>Personas con discapacidad</t>
  </si>
  <si>
    <t>Identificación de género</t>
  </si>
  <si>
    <t>Adolescente acude a control MAC con pareja</t>
  </si>
  <si>
    <t>Menos de 4 años</t>
  </si>
  <si>
    <t xml:space="preserve"> 5  -  9 años</t>
  </si>
  <si>
    <t xml:space="preserve"> 10 - 14 años</t>
  </si>
  <si>
    <t>15 - 19 años</t>
  </si>
  <si>
    <t>20 - 24 años</t>
  </si>
  <si>
    <t>25 - 29 años</t>
  </si>
  <si>
    <t>30 - 34 años</t>
  </si>
  <si>
    <t>35 - 39 años</t>
  </si>
  <si>
    <t>40 - 44 años</t>
  </si>
  <si>
    <t>45 - 49 años</t>
  </si>
  <si>
    <t>50 - 54 años</t>
  </si>
  <si>
    <t>55 - 59 años</t>
  </si>
  <si>
    <t>60 - 64 años</t>
  </si>
  <si>
    <t>65 - 69 años</t>
  </si>
  <si>
    <t>70 - 74 años</t>
  </si>
  <si>
    <t>75 - 79 años</t>
  </si>
  <si>
    <t>80 y más años</t>
  </si>
  <si>
    <t>Hombres</t>
  </si>
  <si>
    <t>Mujeres</t>
  </si>
  <si>
    <t>Trans masculino</t>
  </si>
  <si>
    <t>Trans femenina</t>
  </si>
  <si>
    <t>No binarie</t>
  </si>
  <si>
    <t>Preconcepcional</t>
  </si>
  <si>
    <t>Médico/a</t>
  </si>
  <si>
    <t>Matrona/ón</t>
  </si>
  <si>
    <t>Prenatal</t>
  </si>
  <si>
    <t>Post Parto</t>
  </si>
  <si>
    <t>Post Aborto</t>
  </si>
  <si>
    <t xml:space="preserve">Puérpera con recién nacido hasta 10 días de vida </t>
  </si>
  <si>
    <t xml:space="preserve">Puérpera con recién nacido entre 11 y 28 días </t>
  </si>
  <si>
    <t xml:space="preserve">Recién nacido hasta 10 días de vida </t>
  </si>
  <si>
    <t xml:space="preserve">Recién nacido entre 11 y 28 días </t>
  </si>
  <si>
    <t>Ginecológico</t>
  </si>
  <si>
    <t>Climaterio</t>
  </si>
  <si>
    <t>Regulación de Fecundidad</t>
  </si>
  <si>
    <t>SECCIÓN B: CONTROLES DE SALUD SEGÚN CICLO VITAL</t>
  </si>
  <si>
    <t>TOTAL</t>
  </si>
  <si>
    <t>Control con Presencia del Padre</t>
  </si>
  <si>
    <t>Ambos Sexos</t>
  </si>
  <si>
    <t>Menos de 1 mes</t>
  </si>
  <si>
    <t>1 mes</t>
  </si>
  <si>
    <t>2 meses</t>
  </si>
  <si>
    <t>3 meses</t>
  </si>
  <si>
    <t>4 meses</t>
  </si>
  <si>
    <t xml:space="preserve"> 5 meses</t>
  </si>
  <si>
    <t>6 meses</t>
  </si>
  <si>
    <t xml:space="preserve"> 7  -  11 meses</t>
  </si>
  <si>
    <t>12 - 17 meses</t>
  </si>
  <si>
    <t>18  - 23  meses</t>
  </si>
  <si>
    <t>24  - 47  meses</t>
  </si>
  <si>
    <t>48  - 59  meses</t>
  </si>
  <si>
    <t>60  - 71  meses</t>
  </si>
  <si>
    <t>6 - 9 años</t>
  </si>
  <si>
    <t>10 - 14 años</t>
  </si>
  <si>
    <t>Menor 1 año</t>
  </si>
  <si>
    <t>1 año a 3 años 11 meses 29 días</t>
  </si>
  <si>
    <t xml:space="preserve">De salud </t>
  </si>
  <si>
    <t>Enfermera/o</t>
  </si>
  <si>
    <t>Técnico en Enfermería</t>
  </si>
  <si>
    <t>SECCIÓN C: CONTROLES SEGÚN PROBLEMA DE SALUD</t>
  </si>
  <si>
    <t>RANGO ETARIO Y SEXO</t>
  </si>
  <si>
    <t>Extensión Horaria (PRAPS)</t>
  </si>
  <si>
    <t xml:space="preserve"> 0  -  4 años</t>
  </si>
  <si>
    <t>De Salud Cardiovascular</t>
  </si>
  <si>
    <t>Nutricionista</t>
  </si>
  <si>
    <t xml:space="preserve">Seguimiento Autovalente con riesgo </t>
  </si>
  <si>
    <t xml:space="preserve">Otros Profesionales debidamente capacitados </t>
  </si>
  <si>
    <t xml:space="preserve">Seguimiento riesgo dependencia </t>
  </si>
  <si>
    <t xml:space="preserve">De Infección Transmisión Sexual </t>
  </si>
  <si>
    <t xml:space="preserve">Otros problemas de salud </t>
  </si>
  <si>
    <t xml:space="preserve">Niños/as con necesidades especiales </t>
  </si>
  <si>
    <t>SECCIÓN D: CONTROL DE SALUD INTEGRAL DE ADOLESCENTES (incluidos en sección B)</t>
  </si>
  <si>
    <t>LUGAR DEL CONTROL, SEGÚN EDAD</t>
  </si>
  <si>
    <t>En Espacio Amigable</t>
  </si>
  <si>
    <t xml:space="preserve">En otros espacios del Establecimiento de Salud </t>
  </si>
  <si>
    <t xml:space="preserve">En Establecimientos Educacionales </t>
  </si>
  <si>
    <t xml:space="preserve">En otros lugares fuera del Establecimiento de Salud </t>
  </si>
  <si>
    <t>SECCIÓN E: CONTROLES INDIVIDUALES DE SALUD EN ESTABLECIMIENTOS EDUCACIONALES</t>
  </si>
  <si>
    <t>CURSO</t>
  </si>
  <si>
    <t xml:space="preserve">Gestión de casos </t>
  </si>
  <si>
    <t>Planificación Intervención educativa</t>
  </si>
  <si>
    <t>Total casos gestionados</t>
  </si>
  <si>
    <t xml:space="preserve">Casos pesquisados con riesgo </t>
  </si>
  <si>
    <t>Diagnóstico participativo</t>
  </si>
  <si>
    <t>Número de problemáticas intervenidas</t>
  </si>
  <si>
    <t>Intervenciones educativas finalizadas</t>
  </si>
  <si>
    <t>Kínder</t>
  </si>
  <si>
    <t xml:space="preserve">Primero básico </t>
  </si>
  <si>
    <t>Segundo básico</t>
  </si>
  <si>
    <t>Tercero básico</t>
  </si>
  <si>
    <t>Cuarto básico</t>
  </si>
  <si>
    <t>Total de Establecimientos Educacionales</t>
  </si>
  <si>
    <t>SECCIÓN F: CONTROLES INTEGRALES DE PERSONAS CON CONDICIONES CRÓNICAS (incluidos en Secciones B y C)</t>
  </si>
  <si>
    <t>Control integral con riesgo leve (G1)</t>
  </si>
  <si>
    <t>Control integral con riesgo moderado (G2)</t>
  </si>
  <si>
    <t>Control integral con riesgo alto (G3)</t>
  </si>
  <si>
    <t>Seguimiento a distancia con riesgo leve (G1)</t>
  </si>
  <si>
    <t>Seguimiento a distancia con riesgo moderado (G2)</t>
  </si>
  <si>
    <t>Seguimiento a distancia con riesgo alto (G3)</t>
  </si>
  <si>
    <t>SECCIÓN G. PROGRAMA DE CANCER DE CUELLO UTERINO: PAP TOMADOS E INFORMADOS SEGÚN RESULTADOS Y GRUPOS DE EDAD (Exámenes tomados en establecimientos de atención primaria que realizan tamizaje, uso APS)</t>
  </si>
  <si>
    <t>RANGO ETARIO 
(en años)</t>
  </si>
  <si>
    <t>PAP TOMADOS E INFORMADOS SEGÚN RESULTADO</t>
  </si>
  <si>
    <t xml:space="preserve">Total PAP informados en trans masculino </t>
  </si>
  <si>
    <t>Normales</t>
  </si>
  <si>
    <t>Inadecuados y atípicos</t>
  </si>
  <si>
    <t>Positivos</t>
  </si>
  <si>
    <t>Inadecuados</t>
  </si>
  <si>
    <t>Atípicos</t>
  </si>
  <si>
    <t xml:space="preserve"> HPV</t>
  </si>
  <si>
    <t>NIE I</t>
  </si>
  <si>
    <t>NIE II</t>
  </si>
  <si>
    <t xml:space="preserve"> NIE III</t>
  </si>
  <si>
    <t>Ca. Inv. (Epidermoide)</t>
  </si>
  <si>
    <t>Ca. Inv. (Adenocarcinoma)</t>
  </si>
  <si>
    <t>Menor de 25 años</t>
  </si>
  <si>
    <t xml:space="preserve">25 a 29 años 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</si>
  <si>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</si>
  <si>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</si>
  <si>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</si>
  <si>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</si>
  <si>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</si>
  <si>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</si>
  <si>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</si>
  <si>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>65 a 69 años</t>
  </si>
  <si>
    <t>70 a 74 años</t>
  </si>
  <si>
    <t>75 a 79 años</t>
  </si>
  <si>
    <t>(*) Fuente de información: Citoweb u otro sistema de registro informático.</t>
  </si>
  <si>
    <t>SECCIÓN G.1 PROGRAMA DE CANCER DE CUELLO UTERINO: RESULTADOS DE PAP INFORMADOS SEGÚN GRUPOS DE EDAD (Exámenes analizados en los laboratorios de la red pública, uso exclusivo laboratorios que procesan)</t>
  </si>
  <si>
    <t>RESULTADOS DE PAP INFORMADOS</t>
  </si>
  <si>
    <t>SECCIÓN G.2 PROGRAMA DE CANCER DE CUELLO UTERINO: RESULTADOS DE PAP INFORMADOS SEGÚN GRUPOS DE EDAD (Exámenes analizados en laboratorios de extrasistema, uso mandante)</t>
  </si>
  <si>
    <t>(*) FUENTE DE INFORMACIÓN: CITOWEB U OTRO SISTEMA DE REGISTRO INFORMÁTICO</t>
  </si>
  <si>
    <t>SECCIÓN H. PROGRAMA DE CANCER DE CUELLO UTERINO: VPH TOMADOS E INFORMADOS SEGÚN RESULTADOS Y GRUPOS DE EDAD (Exámenes tomados en establecimientos de atención primaria que realizan tamizaje, uso APS)</t>
  </si>
  <si>
    <t>RANGO ETARIO
(en años)</t>
  </si>
  <si>
    <t>TOTAL EXAMEN VPH CONVENCIONAL</t>
  </si>
  <si>
    <t>RESULTADOS DE VPH CONVENCIONAL INFORMADOS</t>
  </si>
  <si>
    <t xml:space="preserve">Total VPH informados en trans masculino </t>
  </si>
  <si>
    <t xml:space="preserve">Total Exámen Autotoma de VPH </t>
  </si>
  <si>
    <t>RESULTADOS DE AUTOTOMA DE VPH INFORMADOS</t>
  </si>
  <si>
    <t xml:space="preserve">Total VPH autotoma en trans masculino informados </t>
  </si>
  <si>
    <t>VPH (-)</t>
  </si>
  <si>
    <t>VPH 16 (+)</t>
  </si>
  <si>
    <t>VPH 18 (+)</t>
  </si>
  <si>
    <t xml:space="preserve">VPH AR* (+) </t>
  </si>
  <si>
    <t>SECCIÓN H.1 PROGRAMA DE CANCER DE CUELLO UTERINO: RESULTADOS DE VPH INFORMADOS SEGÚN GRUPOS DE EDAD (Exámenes analizados en los laboratorios de la red pública, uso exclusivo laboratorios que procesan)</t>
  </si>
  <si>
    <t>RESULTADOS DE VPH INFORMADOS</t>
  </si>
  <si>
    <t>Total examen VPH autotoma informado</t>
  </si>
  <si>
    <t>* Agrupados Alto Riesgo</t>
  </si>
  <si>
    <t>SECCIÓN H.2 PROGRAMA DE CANCER DE CUELLO UTERINO: RESULTADOS DE VPH INFORMADOS SEGÚN GRUPOS DE EDAD (Exámenes analizados en laboratorios de extrasistema, uso del mandante)</t>
  </si>
  <si>
    <t xml:space="preserve">VPH AR (+) </t>
  </si>
  <si>
    <t>REM-A02.   EXAMEN DE MEDICINA PREVENTIVA EN MAYORES DE 15 AÑOS</t>
  </si>
  <si>
    <t>SECCIÓN A: EMP REALIZADO POR PROFESIONAL</t>
  </si>
  <si>
    <t xml:space="preserve">TOTAL </t>
  </si>
  <si>
    <t>Otro profesional (capacitados en EMP Y EMPAM)</t>
  </si>
  <si>
    <t xml:space="preserve">Técnico en Enfermería </t>
  </si>
  <si>
    <t>SECCIÓN B: EMP SEGÚN RESULTADO DEL ESTADO NUTRICIONAL</t>
  </si>
  <si>
    <t>ESTADO NUTRICIONAL</t>
  </si>
  <si>
    <t>Normal</t>
  </si>
  <si>
    <t>Bajo Peso</t>
  </si>
  <si>
    <t>Sobrepeso</t>
  </si>
  <si>
    <t>Obesos</t>
  </si>
  <si>
    <t>SECCIÓN C: RESULTADOS DE EMP SEGÚN ESTADO DE SALUD</t>
  </si>
  <si>
    <t>ESTADO DE SALUD</t>
  </si>
  <si>
    <t>Tabaquismo</t>
  </si>
  <si>
    <t>Presión arterial elevada (= &gt;140/90 mmHg)</t>
  </si>
  <si>
    <t>SECCIÓN D: RESULTADOS DE EMP SEGÚN ESTADO DE SALUD (EXÁMENES DE LABORATORIO)</t>
  </si>
  <si>
    <t>Glicemia alterada (= &gt; a 100 mg/dl)</t>
  </si>
  <si>
    <t>Colesterol elevado (= &gt; 200 mg/dl)</t>
  </si>
  <si>
    <t xml:space="preserve">REM-A03.   APLICACIÓN Y RESULTADOS DE ESCALAS DE EVALUACIÓN </t>
  </si>
  <si>
    <t>SECCIÓN A: APLICACIÓN DE INSTRUMENTO Y RESULTADO EN EL NIÑO (A)</t>
  </si>
  <si>
    <t>SECCIÓN A.1: APLICACIÓN Y RESULTADOS DE PAUTA BREVE</t>
  </si>
  <si>
    <t>EVALUACIONES POR EDAD DEL NIÑO</t>
  </si>
  <si>
    <t xml:space="preserve">TOTAL  </t>
  </si>
  <si>
    <t xml:space="preserve"> 7 - 11 meses</t>
  </si>
  <si>
    <t>18 - 24 meses</t>
  </si>
  <si>
    <t xml:space="preserve">Aplicación Pauta Breve </t>
  </si>
  <si>
    <t>Resultados</t>
  </si>
  <si>
    <t>Alterado</t>
  </si>
  <si>
    <t>SECCIÓN A.2: RESULTADOS DE LA APLICACIÓN DE ESCALA DE EVALUACIÓN DEL DESARROLLO PSICOMOTOR</t>
  </si>
  <si>
    <t>ACTIVIDAD</t>
  </si>
  <si>
    <t>RESULTADO</t>
  </si>
  <si>
    <t xml:space="preserve">TOTAL    </t>
  </si>
  <si>
    <t>Menos de 7 meses</t>
  </si>
  <si>
    <t>7 - 11 meses</t>
  </si>
  <si>
    <t>18 - 23 meses</t>
  </si>
  <si>
    <t>24 - 47 meses</t>
  </si>
  <si>
    <t>48 - 59 meses</t>
  </si>
  <si>
    <t xml:space="preserve">Aplicación test de Desarrollo Psicomotor </t>
  </si>
  <si>
    <t xml:space="preserve">Primera Evaluación </t>
  </si>
  <si>
    <t>Normal con Rezago</t>
  </si>
  <si>
    <t>Riesgo</t>
  </si>
  <si>
    <t>Retraso</t>
  </si>
  <si>
    <t>Reevaluación</t>
  </si>
  <si>
    <t>Normal (desde normal con rezago)</t>
  </si>
  <si>
    <t>Normal (desde riesgo)</t>
  </si>
  <si>
    <t>Normal (desde retraso)</t>
  </si>
  <si>
    <t>Normal Rezago (desde riesgo)</t>
  </si>
  <si>
    <t>Normal con Rezago (desde retraso)</t>
  </si>
  <si>
    <t>Riesgo (desde retraso)</t>
  </si>
  <si>
    <t>Normal con Rezago (desde normal con rezago)</t>
  </si>
  <si>
    <t>Riesgo (desde riesgo)</t>
  </si>
  <si>
    <t>Riesgo (desde normal con rezago)</t>
  </si>
  <si>
    <t>Retraso (desde retraso)</t>
  </si>
  <si>
    <t>Retraso (desde riesgo)</t>
  </si>
  <si>
    <t>Retraso (desde normal con rezago)</t>
  </si>
  <si>
    <t>Derivados a Especialidad</t>
  </si>
  <si>
    <t>Traslado de Establecimiento</t>
  </si>
  <si>
    <t>SECCIÓN A.3: NIÑOS Y NIÑAS CON REZAGO, DÉFICIT O RIESGO BIOPSICOSOCIAL  DERIVADOS A ALGUNA MODALIDAD DE ESTIMULACIÓN EN LA PRIMERA EVALUACIÓN</t>
  </si>
  <si>
    <t>NIÑO / A</t>
  </si>
  <si>
    <t>Normal con Riesgo Biopsicosocial</t>
  </si>
  <si>
    <t>SECCIÓN A.4: RESULTADOS DE LA APLICACIÓN DE PROTOCOLO NEUROSENSORIAL</t>
  </si>
  <si>
    <t>RESULTADOS</t>
  </si>
  <si>
    <t>Aplicación de Protocolo Neurosensorial (1-2 meses)</t>
  </si>
  <si>
    <t>Anormal</t>
  </si>
  <si>
    <t>Muy Anormal</t>
  </si>
  <si>
    <t>TIPO DE ALIMENTACIÓN</t>
  </si>
  <si>
    <t xml:space="preserve">SEGÚN CONTROL PROGRAMÁTICO  </t>
  </si>
  <si>
    <t>Diada hasta 10 días de vida</t>
  </si>
  <si>
    <t>Diada entre 11 y 28 días de vida</t>
  </si>
  <si>
    <t>Del 1° mes</t>
  </si>
  <si>
    <t>Del 3° mes</t>
  </si>
  <si>
    <t>Del 6° mes</t>
  </si>
  <si>
    <t>Del 12° mes</t>
  </si>
  <si>
    <t>Del 24° mes</t>
  </si>
  <si>
    <t>Lactancia Materna exclusiva (LME)</t>
  </si>
  <si>
    <t>Lactancia Materna más Formula Láctea (LM/FL)</t>
  </si>
  <si>
    <t>Formula Láctea (FL)</t>
  </si>
  <si>
    <t>Lactancia Materna más Alimentación Complementaria  (LM/AC)</t>
  </si>
  <si>
    <t>Lactancia Materna más Fórmula Láctea más Alimentación Complementaria (LM/FL/AC)</t>
  </si>
  <si>
    <t>Fórmula Láctea más Alimentación Complementaria (FL/AC)</t>
  </si>
  <si>
    <t xml:space="preserve">Total de niños y niñas controlados </t>
  </si>
  <si>
    <t>SECCIÓN A.6:  RESULTADOS RADIOGRAFÍA DE PELVIS (CADERA)</t>
  </si>
  <si>
    <t>Inmadura</t>
  </si>
  <si>
    <t>SECCION B: EVALUACIÓN, APLICACIÓN Y RESULTADOS DE ESCALAS EN  LA MUJER</t>
  </si>
  <si>
    <t>Obesa</t>
  </si>
  <si>
    <t>Bajo peso</t>
  </si>
  <si>
    <t>SECCIÓN B.2: APLICACIÓN DE ESCALA SEGÚN EVALUACIÓN DE RIESGO PSICOSOCIAL ABREVIADA A GESTANTES</t>
  </si>
  <si>
    <t>TIPO</t>
  </si>
  <si>
    <t xml:space="preserve">Total de Aplicaciones </t>
  </si>
  <si>
    <t>Con riesgo psicosocial</t>
  </si>
  <si>
    <t>3 o más riesgos psicosociales</t>
  </si>
  <si>
    <t>Plan de equipo de cabecera en gestantes con 3 o más riesgos psicosociales</t>
  </si>
  <si>
    <t xml:space="preserve">Evaluación al ingreso </t>
  </si>
  <si>
    <t xml:space="preserve">Evaluación al tercer trimestre </t>
  </si>
  <si>
    <t>SECCIÓN B.3: APLICACIÓN DE ESCALA DE EDIMBURGO A GESTANTES Y MUJERES POST PARTO</t>
  </si>
  <si>
    <t>CONCEPTO</t>
  </si>
  <si>
    <t>Total de Aplicaciones</t>
  </si>
  <si>
    <t>Resultados  
10 o más puntos (Puérperas)</t>
  </si>
  <si>
    <t>Resultado distinto de 0 en pregunta 10 (Puérperas)</t>
  </si>
  <si>
    <t>Resultados  
13 o más puntos (Gestantes)</t>
  </si>
  <si>
    <t>Resultado distinto de 0 en pregunta 10 (Gestantes)</t>
  </si>
  <si>
    <t xml:space="preserve">Casos alterados derivados a Salud Mental </t>
  </si>
  <si>
    <t>Evaluación a Gestantes</t>
  </si>
  <si>
    <t>Primera evaluación (2º control prenatal)</t>
  </si>
  <si>
    <t>Reevaluación (con puntaje elevado en la primera evaluación)</t>
  </si>
  <si>
    <t>A los 2 meses</t>
  </si>
  <si>
    <t>A los 6 meses</t>
  </si>
  <si>
    <t>SECCIÓN C: RESULTADOS DE LA EVALUACIÓN DEL ESTADO NUTRICIONAL DEL ADOLESCENTE CON CONTROL SALUD INTEGRAL</t>
  </si>
  <si>
    <t>Obesos severos</t>
  </si>
  <si>
    <t>SECCIÓN D: OTRAS EVALUACIONES, APLICACIONES Y RESULTADOS DE ESCALAS EN TODAS LAS EDADES</t>
  </si>
  <si>
    <t>SECCIÓN D.1: APLICACIÓN DE TAMIZAJE PARA EVALUAR EL NIVEL DE RIESGO DE CONSUMO DE  ALCOHOL, TABACO Y OTRAS DROGAS</t>
  </si>
  <si>
    <t>COMPONENTE</t>
  </si>
  <si>
    <t xml:space="preserve">TOTAL              </t>
  </si>
  <si>
    <t>10-14 años</t>
  </si>
  <si>
    <t>15-19 años</t>
  </si>
  <si>
    <t>20-24 años</t>
  </si>
  <si>
    <t>25-44 años</t>
  </si>
  <si>
    <t>45-64 años</t>
  </si>
  <si>
    <t>65-69 años</t>
  </si>
  <si>
    <t>70-79 años</t>
  </si>
  <si>
    <t>Nº de Audit (EMP/EMPAM)</t>
  </si>
  <si>
    <t xml:space="preserve">Nº de Audit aplicado </t>
  </si>
  <si>
    <t>Nº de Assist (EMP/EMPAM)</t>
  </si>
  <si>
    <t xml:space="preserve">N° de Assist aplicado </t>
  </si>
  <si>
    <t xml:space="preserve">N° de Craff en control de Salud Integral del Adolescente </t>
  </si>
  <si>
    <t>N° de Craff aplicado (EMP)</t>
  </si>
  <si>
    <t>N° de Craff aplicado</t>
  </si>
  <si>
    <t xml:space="preserve">Resultados de evaluación </t>
  </si>
  <si>
    <t>Bajo riesgo</t>
  </si>
  <si>
    <t xml:space="preserve">Consumo riesgoso/intermedio </t>
  </si>
  <si>
    <t xml:space="preserve">Posible consumo perjudicial o dependencia </t>
  </si>
  <si>
    <t>SECCIÓN D.2: RESULTADOS DE LA APLICACIÓN DE INSTRUMENTO DE VALORACIÓN DE DESEMPEÑO EN COMUNIDAD (IVADEC-CIF)</t>
  </si>
  <si>
    <t>Pueblos originarios</t>
  </si>
  <si>
    <t>6 -11 meses</t>
  </si>
  <si>
    <t>12 - 23 meses</t>
  </si>
  <si>
    <t>2 - 4 años</t>
  </si>
  <si>
    <t>5 - 9 años</t>
  </si>
  <si>
    <t>25 - 64 años</t>
  </si>
  <si>
    <t>70 - 79 años</t>
  </si>
  <si>
    <t>Origen físico</t>
  </si>
  <si>
    <t>Sin Discapacidad</t>
  </si>
  <si>
    <t>Discapacidad Leve</t>
  </si>
  <si>
    <t>Discapacidad Moderada</t>
  </si>
  <si>
    <t>Discapacidad Severa</t>
  </si>
  <si>
    <t>Discapacidad Profunda</t>
  </si>
  <si>
    <t>Origen sensorial visual</t>
  </si>
  <si>
    <t>Origen sensorial auditivo</t>
  </si>
  <si>
    <t xml:space="preserve">Origen mental psíquico </t>
  </si>
  <si>
    <t xml:space="preserve">Origen mental intelectual </t>
  </si>
  <si>
    <t xml:space="preserve">Origen múltiple </t>
  </si>
  <si>
    <t>TOTAL DE EVALUACIONES</t>
  </si>
  <si>
    <t>Evaluaciones para calificación de discapacidad</t>
  </si>
  <si>
    <t>SECCION D.3: APLICACIÓN Y RESULTADO DE PAUTA DE EVALUACIÓN Y SALUD MENTAL</t>
  </si>
  <si>
    <t>0 - 4 años</t>
  </si>
  <si>
    <t>Evaluación al ingreso</t>
  </si>
  <si>
    <t>Bajo</t>
  </si>
  <si>
    <t>Medio</t>
  </si>
  <si>
    <t>Alto</t>
  </si>
  <si>
    <t>Evaluación al egreso</t>
  </si>
  <si>
    <t>SECCIÓN D.4: RESULTADO DE APLICACIÓN DE CONDICIÓN DE FUNCIONALIDAD AL EGRESO PROGRAMA "MÁS ADULTOS MAYORES AUTOVALENTES"</t>
  </si>
  <si>
    <t>Timed up and Go</t>
  </si>
  <si>
    <t>Mejora</t>
  </si>
  <si>
    <t xml:space="preserve">Mantiene </t>
  </si>
  <si>
    <t>Disminuye</t>
  </si>
  <si>
    <t>Cuestionario</t>
  </si>
  <si>
    <t>SECCIÓN D.5: VARIACIÓN  DE RESULTADO DE APLICACIÓN DEL ÍNDICE DE BARTHEL ENTRE EL INGRESO Y EGRESO HOSPITALARIO</t>
  </si>
  <si>
    <t>ÍNDICE DE BARTHEL</t>
  </si>
  <si>
    <t>80 - 84 años</t>
  </si>
  <si>
    <t>85 - 89 años</t>
  </si>
  <si>
    <t>90 y más años</t>
  </si>
  <si>
    <t xml:space="preserve">Mejora puntuación índice de Barthel </t>
  </si>
  <si>
    <t xml:space="preserve">Mantiene puntuación índice de Barthel </t>
  </si>
  <si>
    <t xml:space="preserve">Disminuye puntuación índice de Barthel </t>
  </si>
  <si>
    <t>*** El resultado que se consigna es la comparación del índice de Barthel aplicado al Egreso de la Hospitalización</t>
  </si>
  <si>
    <t>SECCIÓN D.6: APLICACIÓN DE ESCALA ZARIT ABREVIADO EN CUIDADORES</t>
  </si>
  <si>
    <t>ESCALA DE SOBRECARGA DEL CUIDADOR "ZARIT ABREVIADO"</t>
  </si>
  <si>
    <t>25 - 44 años</t>
  </si>
  <si>
    <t>45 - 64 años</t>
  </si>
  <si>
    <t>65 o más años</t>
  </si>
  <si>
    <t xml:space="preserve">Cuidador/a paciente con dependencia severa con sobrecarga intensa </t>
  </si>
  <si>
    <t xml:space="preserve">Cuidador/a paciente con dependencia severa sin sobrecarga intensa </t>
  </si>
  <si>
    <t>Total cuidadores evaluados</t>
  </si>
  <si>
    <t>SECCIÓN D.6.1: APLICACIÓN DE ESCALA ZARIT ABREVIADO EN CUIDADORES DE NANEAS</t>
  </si>
  <si>
    <t xml:space="preserve">RANGO ETARIO NANEAS </t>
  </si>
  <si>
    <t xml:space="preserve">Cuidador/a NANEAS con dependencia severa con sobrecarga intensa </t>
  </si>
  <si>
    <t xml:space="preserve">Cuidador/a NANEAS con dependencia severa sin sobrecarga intensa </t>
  </si>
  <si>
    <t xml:space="preserve">TOTAL CUIDADORES EVALUADOS </t>
  </si>
  <si>
    <t>SECCIÓN D.7: APLICACIÓN Y RESULTADOS DE PAUTA DE EVALUACIÓN CON ENFOQUE DE RIESGO ODONTOLÓGICO (CERO)</t>
  </si>
  <si>
    <t xml:space="preserve">PAUTA CERO </t>
  </si>
  <si>
    <t>&lt;1 año</t>
  </si>
  <si>
    <t>1 año</t>
  </si>
  <si>
    <t>2 años</t>
  </si>
  <si>
    <t xml:space="preserve">3 años </t>
  </si>
  <si>
    <t>4 años</t>
  </si>
  <si>
    <t>5 años</t>
  </si>
  <si>
    <t>6 años</t>
  </si>
  <si>
    <t>7 años</t>
  </si>
  <si>
    <t>8 años</t>
  </si>
  <si>
    <t>9 años</t>
  </si>
  <si>
    <t>Ambos sexos</t>
  </si>
  <si>
    <t xml:space="preserve">Evaluación de riesgo </t>
  </si>
  <si>
    <t>Alto riesgo</t>
  </si>
  <si>
    <t>SECCION E: APLICACIÓN DE PAUTA DETECCIÓN DE FACTORES DE RIESGO BIOPSICOSOCIAL INFANTIL</t>
  </si>
  <si>
    <t>EVALUACIÓN</t>
  </si>
  <si>
    <t>Derivación</t>
  </si>
  <si>
    <t xml:space="preserve">CONTROL DE APLICACIÓN DE LA PAUTA </t>
  </si>
  <si>
    <t xml:space="preserve">PLANES DE EQUIPO DE CABECERA REALIZADOS </t>
  </si>
  <si>
    <t>Menor 7 meses</t>
  </si>
  <si>
    <t>24- 48 meses</t>
  </si>
  <si>
    <t xml:space="preserve">5 - 9 años </t>
  </si>
  <si>
    <t>Derivadas a equipos de cabecera</t>
  </si>
  <si>
    <t>Derivada a MADI  0 a  4 años</t>
  </si>
  <si>
    <t>Derivado a Salud Mental 5 a 9 años</t>
  </si>
  <si>
    <t>Diada</t>
  </si>
  <si>
    <t>12 meses</t>
  </si>
  <si>
    <t>24 meses</t>
  </si>
  <si>
    <t>36 meses</t>
  </si>
  <si>
    <t>48 meses</t>
  </si>
  <si>
    <t>Con riesgo</t>
  </si>
  <si>
    <t>Sin riesgo</t>
  </si>
  <si>
    <t>SECCIÓN F: TAMIZAJE TRASTORNO ESPECTRO AUTISTA (M-CHAT R/F) 16 A 30 MESES</t>
  </si>
  <si>
    <t>MOTIVO DE APLICACIÓN DE M-CHAT</t>
  </si>
  <si>
    <t>ATENCIÓN EN QUE SE APLICA M-CHAT-R/F</t>
  </si>
  <si>
    <t>Control de Salud de los 18 meses</t>
  </si>
  <si>
    <t>Otros controles o consultas de salud</t>
  </si>
  <si>
    <t>Niños y niñas con EEDP alterado en área Lenguaje y/o Social</t>
  </si>
  <si>
    <t>Niños y niñas con factor de riesgo y/o señales de alerta para TEA detectados en la Supervisión de salud</t>
  </si>
  <si>
    <t>Niños y niñas con EEDP alterado en área Lenguaje y/o Social y con factor de riesgo y/o señales de alerta para TEA detectados en la Supervisión de salud</t>
  </si>
  <si>
    <t>Resultado aplicación M-CHAT R/F</t>
  </si>
  <si>
    <t>Riego Bajo</t>
  </si>
  <si>
    <t>Riesgo medio</t>
  </si>
  <si>
    <t>No requiere derivación a evaluación diagnóstica</t>
  </si>
  <si>
    <t>Requiere derivación a evaluación diagnóstica</t>
  </si>
  <si>
    <t>Riesgo Alto</t>
  </si>
  <si>
    <t>Sospecha de TEA por señales de alerta y/o factores de riesgo</t>
  </si>
  <si>
    <t>SECCIÓN G: APLICACIÓN ESCALA MRS EN MUJERES EN EDAD DE CLIMATERIO</t>
  </si>
  <si>
    <t xml:space="preserve">
TOTAL DE APLICACIONES SEGÚN AREA DE AFECTACIÓN 
</t>
  </si>
  <si>
    <t xml:space="preserve">MOMENTO Y CONDICIONES DE APLICACIÓN </t>
  </si>
  <si>
    <t xml:space="preserve">Ingreso </t>
  </si>
  <si>
    <t>MRS Control</t>
  </si>
  <si>
    <t>Control sin THM</t>
  </si>
  <si>
    <t>Control con THM</t>
  </si>
  <si>
    <t>Total aplicaciones</t>
  </si>
  <si>
    <t xml:space="preserve">Total MRS alto </t>
  </si>
  <si>
    <t xml:space="preserve">Afectación predominio somático </t>
  </si>
  <si>
    <t xml:space="preserve">Afectación predominio psicológico </t>
  </si>
  <si>
    <t xml:space="preserve">Afectación predominio urogenital </t>
  </si>
  <si>
    <t>SECCIÓN H: APLICACIÓN DE TAMIZAJE PARA EVALUAR RIESGO DE TRASTORNOS O PROBLEMAS DE SALUD MENTAL EN APS</t>
  </si>
  <si>
    <t>30 - 44 años</t>
  </si>
  <si>
    <t>45 - 59 años</t>
  </si>
  <si>
    <t>Nº de cuestionario PSC-17</t>
  </si>
  <si>
    <t>Nº de cuestionario PSC-y-17</t>
  </si>
  <si>
    <t xml:space="preserve">N° de cuestionario PHQ-9 modificado para adolescentes </t>
  </si>
  <si>
    <t xml:space="preserve">N° de cuestionario PHQ-9 para adultos </t>
  </si>
  <si>
    <t>N° de escala CAPE-P15</t>
  </si>
  <si>
    <t xml:space="preserve">Escala de Columbia </t>
  </si>
  <si>
    <t>N° de escala de depresión geriátrica de Yesavage GDS-15</t>
  </si>
  <si>
    <t>SECCIÓN I: APLICACIÓN Y RESULTADO DE PAUTA EVALUACIÓN PROGRAMA ACOMPAÑAMIENTO PSICOSOCIAL EN APS</t>
  </si>
  <si>
    <t xml:space="preserve">Derivación efectiva </t>
  </si>
  <si>
    <t xml:space="preserve">Bajo </t>
  </si>
  <si>
    <t xml:space="preserve">SECCIÓN J: CATEGORIZACIÓN AL PROGRAMA DE SALUD MENTAL EN APS SEGÚN CATEGORIA DE RIESGO </t>
  </si>
  <si>
    <t>RIESGO</t>
  </si>
  <si>
    <t xml:space="preserve">TOTAL               </t>
  </si>
  <si>
    <t>Gestantes</t>
  </si>
  <si>
    <t xml:space="preserve">Madre de hijo menor de 5 años </t>
  </si>
  <si>
    <t>Niños, Niñas, Adolescentes y Jóvenes  SENAME</t>
  </si>
  <si>
    <t>Niños, Niñas, Adolescentes y Jóvenes  Mejor Niñez</t>
  </si>
  <si>
    <t>TRANS</t>
  </si>
  <si>
    <t>0 - 9 años</t>
  </si>
  <si>
    <t>10 - 19 años</t>
  </si>
  <si>
    <t>65 - 79 años</t>
  </si>
  <si>
    <t xml:space="preserve">Hombres </t>
  </si>
  <si>
    <t>Masculino</t>
  </si>
  <si>
    <t>Femenino</t>
  </si>
  <si>
    <t>Categorización de los ingresos según nivel de riesgo en salud mental</t>
  </si>
  <si>
    <t>Nivel de riesgo bajo, no requiere ingreso a tratamiento (N0)</t>
  </si>
  <si>
    <t>Riesgo Leve (N1)</t>
  </si>
  <si>
    <t>Riesgo Moderado (N2)</t>
  </si>
  <si>
    <t>Riesgo Alto (N3)</t>
  </si>
  <si>
    <t>Riesgo Alto y Severidad Alta (N4)</t>
  </si>
  <si>
    <t>REM-A04.   CONSULTAS Y OTRAS ATENCIONES EN LA RED</t>
  </si>
  <si>
    <t xml:space="preserve">SECCIÓN A: CONSULTAS MÉDICAS </t>
  </si>
  <si>
    <t>TIPO DE CONSULTA</t>
  </si>
  <si>
    <t>Por Campaña de Invierno</t>
  </si>
  <si>
    <t>Menos de 1 año</t>
  </si>
  <si>
    <t>1 - 4 años</t>
  </si>
  <si>
    <t>80 y mas años</t>
  </si>
  <si>
    <t>IRA Alta</t>
  </si>
  <si>
    <t xml:space="preserve">Síndrome Bronquial Obstructivo </t>
  </si>
  <si>
    <t xml:space="preserve">Neumonía </t>
  </si>
  <si>
    <t xml:space="preserve">Exacerbación Asma </t>
  </si>
  <si>
    <t xml:space="preserve">Enfermedad Pulmonar Obstructiva Crónica </t>
  </si>
  <si>
    <t xml:space="preserve">Otras respiratorias </t>
  </si>
  <si>
    <t xml:space="preserve">Obstétrica </t>
  </si>
  <si>
    <t xml:space="preserve">Ginecológica </t>
  </si>
  <si>
    <t xml:space="preserve">Ginecológica por Infertilidad </t>
  </si>
  <si>
    <t xml:space="preserve">Infección Transmisión Sexual </t>
  </si>
  <si>
    <t>VIH-SIDA</t>
  </si>
  <si>
    <t>Salud Mental</t>
  </si>
  <si>
    <t>Cardiovascular</t>
  </si>
  <si>
    <t>Otras Morbilidades</t>
  </si>
  <si>
    <t xml:space="preserve">SECCIÓN B: CONSULTAS DE PROFESIONALES NO MÉDICOS </t>
  </si>
  <si>
    <t>Espacios Amigables</t>
  </si>
  <si>
    <t>Matrona/ón (Morb. Ginecológica)</t>
  </si>
  <si>
    <t>Matrona/ón (Morb. Obstétrica)</t>
  </si>
  <si>
    <t>Matrona/ón (ITS)</t>
  </si>
  <si>
    <t xml:space="preserve">Matrona/ón (Infertilidad) </t>
  </si>
  <si>
    <t xml:space="preserve">Matrona/ón (Otras consultas) </t>
  </si>
  <si>
    <t xml:space="preserve">Matrona/ón (Salud sexual) </t>
  </si>
  <si>
    <t xml:space="preserve">Matrona/ón (Piso pélvico) </t>
  </si>
  <si>
    <t xml:space="preserve">Nutricionista (Otras consultas) </t>
  </si>
  <si>
    <t xml:space="preserve">Nutricionista malnutrición por exceso </t>
  </si>
  <si>
    <t xml:space="preserve">Nutricionista malnutrición por déficit </t>
  </si>
  <si>
    <t xml:space="preserve">Psicólogo/a </t>
  </si>
  <si>
    <t>Fonoaudiólogo/a</t>
  </si>
  <si>
    <t xml:space="preserve">Terapeuta Ocupacional </t>
  </si>
  <si>
    <t>Tecnólogo/a Médico/a  (Excluye UAPO)</t>
  </si>
  <si>
    <t xml:space="preserve">Trabajador/a Social (Excluye Salud Mental) </t>
  </si>
  <si>
    <t>Educadora de Párvulos</t>
  </si>
  <si>
    <t>Kinesiólogo</t>
  </si>
  <si>
    <t>SECCIÓN C: CONSULTAS ANTICONCEPCIÓN DE EMERGENCIA (Incluidas en Sección A o B, respectivamente.)</t>
  </si>
  <si>
    <t>Con entrega anticoncepción emergencia</t>
  </si>
  <si>
    <t>Sin entrega anticoncepción emergencia</t>
  </si>
  <si>
    <t>Identidad de género</t>
  </si>
  <si>
    <t>25 y más años</t>
  </si>
  <si>
    <t>SECCIÓN D: CONSULTAS EN HORARIO CONTINUADO (Incluidas en las consultas de morbilidad de sección A o B)</t>
  </si>
  <si>
    <t>TIPO JORNADA</t>
  </si>
  <si>
    <t xml:space="preserve">Horario continuado </t>
  </si>
  <si>
    <t xml:space="preserve">Otros Profesionales </t>
  </si>
  <si>
    <t xml:space="preserve">Sábado, Domingo o festivo </t>
  </si>
  <si>
    <t>SECCIÓN E: CONSULTA  ABREVIADA</t>
  </si>
  <si>
    <t>SECCIÓN F: ATENCIONES DE SANADORES INDÍGENA</t>
  </si>
  <si>
    <t>Hombre</t>
  </si>
  <si>
    <t xml:space="preserve">Mujer </t>
  </si>
  <si>
    <t>5 - 9  años</t>
  </si>
  <si>
    <t xml:space="preserve">Atenciones por sanadores/terapeutas de Medicina Indígena </t>
  </si>
  <si>
    <t>Pueblos no originarios</t>
  </si>
  <si>
    <t>SECCIÓN G: INTERVENCIÓN INDIVIDUAL DEL USUARIO EN PROGRAMA ELIGE VIDA SANA</t>
  </si>
  <si>
    <t>PRESTACIÓN</t>
  </si>
  <si>
    <t>Menos de 2 años</t>
  </si>
  <si>
    <t>15 - 18 años</t>
  </si>
  <si>
    <t>19 años</t>
  </si>
  <si>
    <t xml:space="preserve">Profesional de la actividad física </t>
  </si>
  <si>
    <t xml:space="preserve">Evaluación </t>
  </si>
  <si>
    <t xml:space="preserve">Nutricionista </t>
  </si>
  <si>
    <t xml:space="preserve">Consulta Nutricional </t>
  </si>
  <si>
    <t xml:space="preserve">Consulta Nutricional de seguimiento </t>
  </si>
  <si>
    <t xml:space="preserve">Consulta </t>
  </si>
  <si>
    <t xml:space="preserve">SECCIÓN H.1 : SERVICIOS FARMACÉUTICOS  EN ATENCIÓN PRIMARIA </t>
  </si>
  <si>
    <t>Atención abierta</t>
  </si>
  <si>
    <t>Atención cerrada</t>
  </si>
  <si>
    <t xml:space="preserve">Servicios Farmacéuticos realizados en establecimientos de salud </t>
  </si>
  <si>
    <t xml:space="preserve">Servicios Farmacéuticos realizados en domicilio </t>
  </si>
  <si>
    <t xml:space="preserve">Atención Farmacéutica </t>
  </si>
  <si>
    <t xml:space="preserve">Revisión de la medicación sin entrevista </t>
  </si>
  <si>
    <t xml:space="preserve">Revisión de la mediación con entrevista </t>
  </si>
  <si>
    <t xml:space="preserve">Conciliación farmacéutica </t>
  </si>
  <si>
    <t xml:space="preserve">Educación farmacéutica </t>
  </si>
  <si>
    <t xml:space="preserve">Seguimiento Farmacoterapéutico </t>
  </si>
  <si>
    <t xml:space="preserve">Farmacovigilancia </t>
  </si>
  <si>
    <t xml:space="preserve">Reporte reacción adversa a medicamentos </t>
  </si>
  <si>
    <t xml:space="preserve">Reporte falla de calidad </t>
  </si>
  <si>
    <t xml:space="preserve">Reporte de eventos adversos asociados a medicamentos </t>
  </si>
  <si>
    <t>SECCIÓN H.2 : SERVICIOS FARMACÉUTICOS EN ATENCIÓN HOSPITALARIA</t>
  </si>
  <si>
    <t>Urgencia</t>
  </si>
  <si>
    <t>TIPO DE RECETA</t>
  </si>
  <si>
    <t>RECETAS DESPACHADAS</t>
  </si>
  <si>
    <t>LUGAR DE ENTREGA</t>
  </si>
  <si>
    <t>PRESCRIPCIONES</t>
  </si>
  <si>
    <t xml:space="preserve">COORDINACIÓN TERRITORIAL  </t>
  </si>
  <si>
    <t>Recetas despachadas con oportunidad (Entregado el mismo día)</t>
  </si>
  <si>
    <t xml:space="preserve">RECETAS DESPACHADAS A PACIENTES DEL PROGRAMA DE SALUD CARDIOVASCULAR </t>
  </si>
  <si>
    <t xml:space="preserve">PRESCRIPCIONES A PACIENTES DEL PROGRAMA DE SALUD CARDIOVASCULAR </t>
  </si>
  <si>
    <t xml:space="preserve">UNIDAD DE URGENCIA/EMERGENCIA </t>
  </si>
  <si>
    <t>DESPACHO TOTAL</t>
  </si>
  <si>
    <t>Despacho Completo</t>
  </si>
  <si>
    <t xml:space="preserve">Despacho Parcial </t>
  </si>
  <si>
    <t>En Centro de Salud</t>
  </si>
  <si>
    <t>En Domicilio</t>
  </si>
  <si>
    <t>Emitidas</t>
  </si>
  <si>
    <t>Rechazadas</t>
  </si>
  <si>
    <t>Despacho Completo y Oportuno</t>
  </si>
  <si>
    <t>Despacho
Parcial</t>
  </si>
  <si>
    <t>Recetas despachadas</t>
  </si>
  <si>
    <t>Prescripciones despachadas</t>
  </si>
  <si>
    <t>Crónica</t>
  </si>
  <si>
    <t>Morbilidad</t>
  </si>
  <si>
    <t>Bajo control legal</t>
  </si>
  <si>
    <t>Enviadas a otros Establecimientos para gestionar entrega al paciente</t>
  </si>
  <si>
    <t>Recibido de otro Esteblacimientos para entrega a paciente</t>
  </si>
  <si>
    <t>Atención Cerrada</t>
  </si>
  <si>
    <t>Atención Abierta</t>
  </si>
  <si>
    <t>SECCIÓN J: RONDAS POR TIPO Y PROFESIONAL</t>
  </si>
  <si>
    <t>TIPO DE RONDA</t>
  </si>
  <si>
    <t>Nº Rondas</t>
  </si>
  <si>
    <t xml:space="preserve">TOTAL DE PROFESIONALES QUE PARTICIPARON EN RONDAS, SEGÚN TIPO DE PROFESIONAL  </t>
  </si>
  <si>
    <t>Compra de Servicio - Nº Traslados profesionales en Ronda</t>
  </si>
  <si>
    <t>Odontólogo</t>
  </si>
  <si>
    <t>Trabajador Social</t>
  </si>
  <si>
    <t>Psicólogo</t>
  </si>
  <si>
    <t>Químico Farmacéutico</t>
  </si>
  <si>
    <t>Otros</t>
  </si>
  <si>
    <t>Terrestre</t>
  </si>
  <si>
    <t>Aérea</t>
  </si>
  <si>
    <t>Marítima</t>
  </si>
  <si>
    <t>SECCIÓN K CLASIFICACIÓN DE CONSULTA NUTRICIONAL POR GRUPO DE EDAD (Incluidas en sección B)</t>
  </si>
  <si>
    <t>CLASIFICACIÓN</t>
  </si>
  <si>
    <t>Beneficiarios</t>
  </si>
  <si>
    <t>Embarazadas</t>
  </si>
  <si>
    <t xml:space="preserve">Mal nutrición por riesgo a desnutrir/riesgo bajo peso </t>
  </si>
  <si>
    <t xml:space="preserve">Mal nutrición por riesgo obesidad sobrepeso </t>
  </si>
  <si>
    <t xml:space="preserve">Estado nutricional normal </t>
  </si>
  <si>
    <t>SECCIÓN L: CONSULTA DE LACTANCIA EN NIÑOS Y NIÑAS CONTROLADOS</t>
  </si>
  <si>
    <t>TIPOS DE CONSULTA</t>
  </si>
  <si>
    <t xml:space="preserve"> De 0 a 29 días</t>
  </si>
  <si>
    <t>De 1 mes a 2 meses 29 días</t>
  </si>
  <si>
    <t>De 3 meses a 5 meses 29 días</t>
  </si>
  <si>
    <t>De 6 meses a 11 meses 29 días</t>
  </si>
  <si>
    <t>De 1 a 2 años</t>
  </si>
  <si>
    <t>Consulta de Lactancia</t>
  </si>
  <si>
    <t xml:space="preserve">Consulta Lactancia Materna de alerta </t>
  </si>
  <si>
    <t xml:space="preserve">Consulta de Lactancia Materna de seguimiento </t>
  </si>
  <si>
    <t xml:space="preserve">Otras consultas de Lactancia Materna </t>
  </si>
  <si>
    <t>Consejería de Lactancia</t>
  </si>
  <si>
    <t xml:space="preserve">Consejería prenatal en Lactancia Materna </t>
  </si>
  <si>
    <t xml:space="preserve">Consejería posnatal en Lactancia Materna </t>
  </si>
  <si>
    <t xml:space="preserve">Consulta de Lactancia por profesional </t>
  </si>
  <si>
    <t>SECCION M: ATENCIONES AMBULATORIAS POR  EL PROGRAMA TUBERCULOSIS</t>
  </si>
  <si>
    <t>TIPOS DE ATENCION</t>
  </si>
  <si>
    <t>Ingreso tratamiento</t>
  </si>
  <si>
    <t xml:space="preserve">Ingreso Quimioprofilaxis </t>
  </si>
  <si>
    <t>Control mensual</t>
  </si>
  <si>
    <t>Control de seguimiento</t>
  </si>
  <si>
    <t xml:space="preserve">Consultas espontáneas </t>
  </si>
  <si>
    <t>Rescate</t>
  </si>
  <si>
    <t>Control de los contactos</t>
  </si>
  <si>
    <t>Atención domiciliaria</t>
  </si>
  <si>
    <t>SECCION N: EXÁMENES BACTERIOLOGICOS PROCESADOS</t>
  </si>
  <si>
    <t>TIPO DE MUESTRA</t>
  </si>
  <si>
    <t>30-34 años</t>
  </si>
  <si>
    <t>40-44 años</t>
  </si>
  <si>
    <t xml:space="preserve">50-54 años </t>
  </si>
  <si>
    <t xml:space="preserve">Muestras procesadas para diagnóstico de Tuberculosis Pulmonar mediante bacteriología </t>
  </si>
  <si>
    <t>SECCION O: ATENCIONES EN MODALIDADES DE APOYO AL DESARROLLO INFANTIL (MADIS) EN APS</t>
  </si>
  <si>
    <t xml:space="preserve"> Total de atenciones niños(as) en modalidades de apoyo</t>
  </si>
  <si>
    <t>Sala Estimulación</t>
  </si>
  <si>
    <t>Atención Domiciliaria</t>
  </si>
  <si>
    <t>Servicio Itinerante</t>
  </si>
  <si>
    <t>0-11 meses</t>
  </si>
  <si>
    <t>12-23 meses</t>
  </si>
  <si>
    <t>24-59 meses</t>
  </si>
  <si>
    <t xml:space="preserve">Ambos Sexos </t>
  </si>
  <si>
    <t xml:space="preserve">Atenciones individuales de seguimiento a niñas/os categorizados Normal con Rezago </t>
  </si>
  <si>
    <t xml:space="preserve">Atenciones grupales de seguimiento a niñas/os categorizados Normal con Rezago </t>
  </si>
  <si>
    <t xml:space="preserve">Atenciones individuales de seguimiento a niñas/os categorizados con Riesgo </t>
  </si>
  <si>
    <t xml:space="preserve">Atenciones grupales de seguimiento a niñas/os categorizados con Riesgo </t>
  </si>
  <si>
    <t xml:space="preserve">Atenciones individuales de seguimiento a niñas/os categorizados con Retraso </t>
  </si>
  <si>
    <t xml:space="preserve">Atenciones grupales de seguimiento a niñas/os categorizados con Retraso </t>
  </si>
  <si>
    <t>Atenciones individuales de seguimiento a niñas/os categorizados Normal con Riesgo Biopsicosocial</t>
  </si>
  <si>
    <t xml:space="preserve">Atenciones grupales de seguimiento a niñas/os categorizados Normal con Riesgo Biopsicosocial </t>
  </si>
  <si>
    <t>SECCIÓN P: ENCUESTA EPIDEMIOLOGICA</t>
  </si>
  <si>
    <t>CONCEPTOS</t>
  </si>
  <si>
    <t>Un Profesional / Técnico</t>
  </si>
  <si>
    <t>Dos o Más 
Profesionales / Técnico</t>
  </si>
  <si>
    <t>Visita epidemiológica</t>
  </si>
  <si>
    <t xml:space="preserve">A lugar de trabajo </t>
  </si>
  <si>
    <t xml:space="preserve">A colegio, salas cuna, jardín infantil </t>
  </si>
  <si>
    <t>A grupo comunitario</t>
  </si>
  <si>
    <t>SECCIÓN Q: ENTREGA DE QUIMIOPROFILAXIS PARA BLOQUEO EPIDEMIOLÓGICO</t>
  </si>
  <si>
    <t>Lugar de trabajo</t>
  </si>
  <si>
    <t>Institución (ELEAM, cárceles,colegios, sala cuna y jardines infantiles)</t>
  </si>
  <si>
    <t>Grupos comunitarios</t>
  </si>
  <si>
    <t>Menor de 18 años</t>
  </si>
  <si>
    <t>18 a 64 años</t>
  </si>
  <si>
    <t>65 y más años</t>
  </si>
  <si>
    <t>Vacunas</t>
  </si>
  <si>
    <t>Inmunoglobulinas</t>
  </si>
  <si>
    <t>Medicamentos antibioticos</t>
  </si>
  <si>
    <t>Medicamentos antivirales</t>
  </si>
  <si>
    <t>Medicamentos antiparasitarios</t>
  </si>
  <si>
    <t>otros medicamentos</t>
  </si>
  <si>
    <t>SECCIÓN R: TOMA DE MUESTRAS PARA VIGILANCIA EPIDEMIOLÓGICA</t>
  </si>
  <si>
    <t>N° muestras de sangre tomadas</t>
  </si>
  <si>
    <t>N° muestras de coprocultivo tomadas</t>
  </si>
  <si>
    <t>N° muestras de frotis hisopado nasofaríngeo</t>
  </si>
  <si>
    <t>N° muestras de aspirado tomadas</t>
  </si>
  <si>
    <t>N° muestras de hisopado de lesión cutáneas tomadas</t>
  </si>
  <si>
    <t>SECCIÓN S: SEGUIMIENTO DE CASOS Y CONTACTOS/EXPUESTOS VIA TELEFONICA Y VISITAS DE SEGUIMIENTO DE CASOS  Y CONTACTOS/EXPUESTOS EN DOMICILIO</t>
  </si>
  <si>
    <t>Llamadas</t>
  </si>
  <si>
    <t>N° de llamadas a casos</t>
  </si>
  <si>
    <t>N° de llamadas a contactos/expuestos</t>
  </si>
  <si>
    <t>Seguimiento</t>
  </si>
  <si>
    <t>N° de Visitas de seguimiento a casos</t>
  </si>
  <si>
    <t>N° de Visitas de seguimiento a contactos/ expuestos</t>
  </si>
  <si>
    <t>SECCIÓN T: BUSQUEDA ACTIVA INSTITUCIONAL (BAI) DE CASOS</t>
  </si>
  <si>
    <t>REGISTROS REVISADOS</t>
  </si>
  <si>
    <t>Menor de 100</t>
  </si>
  <si>
    <t>100 a 250 registros</t>
  </si>
  <si>
    <t>Mayor de 250</t>
  </si>
  <si>
    <t>BAI sarampión rubéola</t>
  </si>
  <si>
    <t>BAI febriles</t>
  </si>
  <si>
    <t xml:space="preserve">BAI otros eventos epidemiologicos </t>
  </si>
  <si>
    <t>SECCIÓN U: BUSQUEDA ACTIVA COMUNITARIA (BAC) DE CASOS</t>
  </si>
  <si>
    <t>TOTAL DE UNIDADES REVISADAS</t>
  </si>
  <si>
    <t>BAC febriles</t>
  </si>
  <si>
    <t>REM-A05.   INGRESOS Y EGRESOS POR CONDICIÓN Y PROBLEMAS DE SALUD</t>
  </si>
  <si>
    <t>SECCIÓN A: INGRESOS DE GESTANTES A PROGRAMA PRENATAL</t>
  </si>
  <si>
    <t>CONDICIÓN</t>
  </si>
  <si>
    <t>Víctima de Violencia de Género</t>
  </si>
  <si>
    <t>Ingresos por Traslado</t>
  </si>
  <si>
    <t>Ingresos con Control Precoz Extrasistema</t>
  </si>
  <si>
    <t>Derivación por IVE causal 3 &lt;14 años</t>
  </si>
  <si>
    <t>Menor
de 14 años</t>
  </si>
  <si>
    <t>14 años</t>
  </si>
  <si>
    <t>55 y más años</t>
  </si>
  <si>
    <t>Menor de 20 años</t>
  </si>
  <si>
    <t>20 y más años</t>
  </si>
  <si>
    <t>Gestantes Ingresadas</t>
  </si>
  <si>
    <t>Primigestas Ingresadas</t>
  </si>
  <si>
    <t>Gestantes Ingresadas antes de las 14 Semanas</t>
  </si>
  <si>
    <t>Gestantes con Embarazo no Planificado</t>
  </si>
  <si>
    <t>SECCIÓN B: INGRESO DE GESTANTES CON PATOLOGÍA DE ALTO RIESGO OBSTÉTRICO A LA UNIDAD DE ARO  (Nivel Secundario)</t>
  </si>
  <si>
    <t>PATOLOGÍA</t>
  </si>
  <si>
    <t>Nº de Ingreso a ARO</t>
  </si>
  <si>
    <t>Víctima de violencia de género</t>
  </si>
  <si>
    <t>Nº de Gestantes Ingresadas</t>
  </si>
  <si>
    <t>Preeclampsia (PE)</t>
  </si>
  <si>
    <t>Síndrome Hipertensivo del Embarazo (SHE)</t>
  </si>
  <si>
    <t>Factores de Riesgo y Condicionantes de Parto Prematuro</t>
  </si>
  <si>
    <t>Retardo Crecimiento Intrauterino (RCIU)</t>
  </si>
  <si>
    <t>SÍFILIS</t>
  </si>
  <si>
    <t>VIH</t>
  </si>
  <si>
    <t>Diabetes</t>
  </si>
  <si>
    <t>Cesárea Anterior</t>
  </si>
  <si>
    <t>Malformación Congénita</t>
  </si>
  <si>
    <t>Hipotiroidismo</t>
  </si>
  <si>
    <t>Diabetes Gestacional</t>
  </si>
  <si>
    <t>Hipertensión Crónica</t>
  </si>
  <si>
    <t>Otras Patologías del Embarazo</t>
  </si>
  <si>
    <t xml:space="preserve">SECCIÓN C: INGRESOS A PROGRAMA DE REGULACIÓN DE FERTILIDAD </t>
  </si>
  <si>
    <t>MÉTODOS</t>
  </si>
  <si>
    <t>Ingreso por cambio de Método Anticonceptivo</t>
  </si>
  <si>
    <t>Inicio precoz de MAC nivel secundario y terciario</t>
  </si>
  <si>
    <t>Ingreso a Anticoncepción post aborto</t>
  </si>
  <si>
    <t>Identidad de Género</t>
  </si>
  <si>
    <t>Personas con Discpacidad</t>
  </si>
  <si>
    <t>Menos
de 15 años</t>
  </si>
  <si>
    <t>70 y más años</t>
  </si>
  <si>
    <t>Trans femenino</t>
  </si>
  <si>
    <t>TOTAL REGULACIÓN DE FERTILIDAD</t>
  </si>
  <si>
    <t>D.I.U. T con Cobre</t>
  </si>
  <si>
    <t>D.I.U. con Levonorgestrel</t>
  </si>
  <si>
    <t>Hormonal</t>
  </si>
  <si>
    <t>Oral Combinado</t>
  </si>
  <si>
    <t>Oral Progestágeno</t>
  </si>
  <si>
    <t>Inyectable Combinado</t>
  </si>
  <si>
    <t>Inyectable Progestágeno</t>
  </si>
  <si>
    <t>Implante Etonogestrel (3 años)</t>
  </si>
  <si>
    <t>Implante Levonorgestrel (5 años)</t>
  </si>
  <si>
    <t>Anillo Vaginal</t>
  </si>
  <si>
    <t xml:space="preserve"> Sólo preservativo MAC                                                                                                                                                                                                                                             </t>
  </si>
  <si>
    <t>Mujer</t>
  </si>
  <si>
    <t>Esterilización Quirúrgica</t>
  </si>
  <si>
    <t>Método de Regulación de Fertilidad más Preservativos</t>
  </si>
  <si>
    <t>Gestantes que reciben preservativo</t>
  </si>
  <si>
    <t>SECCIÓN C1: INGRESOS A SALUD SEXUAL</t>
  </si>
  <si>
    <t>Preservativo/Practica Sexual Segura</t>
  </si>
  <si>
    <t>Lubricantes</t>
  </si>
  <si>
    <t>Condón Femenino</t>
  </si>
  <si>
    <t>SECCIÓN C2: EGRESOS DE PROGRAMA DE REGULACIÓN DE FERTILIDAD Y SALUD SEXUAL</t>
  </si>
  <si>
    <t xml:space="preserve">SECCIÓN D: INGRESOS A PROGRAMA CONTROL DE CLIMATERIO </t>
  </si>
  <si>
    <t>Ingresos</t>
  </si>
  <si>
    <t>SECCIÓN E:  INGRESOS  A CONTROL DE SALUD DE RECIÉN NACIDOS</t>
  </si>
  <si>
    <t>EDAD</t>
  </si>
  <si>
    <t>Niños</t>
  </si>
  <si>
    <t>Niñas</t>
  </si>
  <si>
    <t xml:space="preserve">Menor o igual a 28 días </t>
  </si>
  <si>
    <t xml:space="preserve">SECCIÓN F:  INGRESOS Y EGRESOS A SALA DE ESTIMULACIÓN, SERVICIO ITINERANTE Y ATENCIÓN DOMICILIARIA </t>
  </si>
  <si>
    <t xml:space="preserve">NIÑO / A (CON) </t>
  </si>
  <si>
    <t>INGRESOS</t>
  </si>
  <si>
    <t>Egresos</t>
  </si>
  <si>
    <t>Niños y niñas Mejor Niñez</t>
  </si>
  <si>
    <t>Sala de Estimulación</t>
  </si>
  <si>
    <t>Servicio Itinerante en Centro de Salud</t>
  </si>
  <si>
    <t xml:space="preserve">Cumplimiento de tratamiento Sala de Estimulación </t>
  </si>
  <si>
    <t>Derivación a Especialidad</t>
  </si>
  <si>
    <t>Inasistente</t>
  </si>
  <si>
    <t>SECCIÓN F.1: REINGRESOS Y EGRESOS POR SEGUNDA VEZ A SALA DE ESTIMULACIÓN, SERVICIO ITINERANTE Y ATENCIÓN DOMICILIARIA</t>
  </si>
  <si>
    <t>SALA DE ESTIMULACIÓN</t>
  </si>
  <si>
    <t>SERVICIO ITINERANTE</t>
  </si>
  <si>
    <t>ATENCIÓN DOMICILIARIA</t>
  </si>
  <si>
    <t xml:space="preserve">EGRESOS POR SEGUNDA VEZ Y RESULTADOS DE REEVALUACIÓN POST EGRESO </t>
  </si>
  <si>
    <t>24- 59 meses</t>
  </si>
  <si>
    <t>Motivo Egreso</t>
  </si>
  <si>
    <t>Resultado de Reevaluación</t>
  </si>
  <si>
    <t>Cumplimien-to de tratamiento</t>
  </si>
  <si>
    <t>Recuperado</t>
  </si>
  <si>
    <t>No Recuperado</t>
  </si>
  <si>
    <t>SECCIÓN G: INGRESO DE NIÑOS, NIÑAS Y ADOLESCENTES CON NECESIDADES ESPECIALES  A CONTROL DE SALUD EN APS</t>
  </si>
  <si>
    <t>NANEAS</t>
  </si>
  <si>
    <t xml:space="preserve"> 0 - 4 años</t>
  </si>
  <si>
    <t xml:space="preserve"> 5 - 9 años</t>
  </si>
  <si>
    <t xml:space="preserve"> 10 -14 años</t>
  </si>
  <si>
    <t>Total Ingresos</t>
  </si>
  <si>
    <t>Baja Complejidad</t>
  </si>
  <si>
    <t>Mediana Complejidad</t>
  </si>
  <si>
    <t>Alta Complejidad</t>
  </si>
  <si>
    <t>SECCIÓN H: INGRESOS AL PROGRAMA DE SALUD CARDIOVASCULAR (PSCV)</t>
  </si>
  <si>
    <t>Ingresos al PSCV</t>
  </si>
  <si>
    <t>Programa de Salud Cardiovascular</t>
  </si>
  <si>
    <t>Hipertensión Arterial</t>
  </si>
  <si>
    <t>Diabetes Mellitus</t>
  </si>
  <si>
    <t>Dislipidemia</t>
  </si>
  <si>
    <t>Antecedentes de Infarto Agudo al Miocardio (IAM)</t>
  </si>
  <si>
    <t>Antecedentes de otras enfermedades cardiovasculares (se excluye IAM y ACV)</t>
  </si>
  <si>
    <t>Antecedentes Enf. Cerebrovascular (ACV)</t>
  </si>
  <si>
    <t>Enfermedad Renal Crónica</t>
  </si>
  <si>
    <t>Tabaquismo ≥ 55 años</t>
  </si>
  <si>
    <t>Protocolo HEARTS</t>
  </si>
  <si>
    <t>SECCIÓN I: EGRESOS  DEL PROGAMA DE SALUD CARDIOVASCULAR (PSCV)</t>
  </si>
  <si>
    <t>CAUSAL DE EGRESO</t>
  </si>
  <si>
    <t>Abandono</t>
  </si>
  <si>
    <t>Traslado</t>
  </si>
  <si>
    <t>Fallecimiento</t>
  </si>
  <si>
    <t>No cumple criterio de inclusión</t>
  </si>
  <si>
    <t>Egresos del PSCV</t>
  </si>
  <si>
    <t>Antecedentes Infarto Agudo al Miocardio (IAM)</t>
  </si>
  <si>
    <t xml:space="preserve">SECCIÓN J: INGRESOS Y EGRESOS AL PROGRAMA DE PACIENTES CON DEPENDENCIA LEVE, MODERADA Y SEVERA </t>
  </si>
  <si>
    <t>Altas</t>
  </si>
  <si>
    <t>Abandono/
Traslado</t>
  </si>
  <si>
    <t>Dependencia Leve</t>
  </si>
  <si>
    <t>Dependencia Moderada</t>
  </si>
  <si>
    <t xml:space="preserve">Dependencia Severa  </t>
  </si>
  <si>
    <t>Oncológico</t>
  </si>
  <si>
    <t>No Oncológico</t>
  </si>
  <si>
    <t>SECCIÓN K: INGRESOS AL PROGRAMA DEL ADULTO MAYOR SEGÚN CONDICIÓN DE FUNCIONALIDAD Y DEPENDENCIA</t>
  </si>
  <si>
    <t>EMPAM</t>
  </si>
  <si>
    <t>Autovalente sin Riesgo</t>
  </si>
  <si>
    <t>Autovalente con Riesgo</t>
  </si>
  <si>
    <t>Riesgo de Dependencia</t>
  </si>
  <si>
    <t>SUBTOTAL</t>
  </si>
  <si>
    <t>BARTHEL</t>
  </si>
  <si>
    <t>Dependiente Leve</t>
  </si>
  <si>
    <t>Dependiente Moderado</t>
  </si>
  <si>
    <t>Dependiente Grave</t>
  </si>
  <si>
    <t>Dependiente Total</t>
  </si>
  <si>
    <t>SECCIÓN L: EGRESOS DEL PROGRAMA DEL ADULTO MAYOR SEGÚN CONDICIÓN DE FUNCIONALIDAD Y DEPENDENCIA</t>
  </si>
  <si>
    <t>SECCIÓN M: INGRESOS Y EGRESOS DEL PROGRAMA MÁS ADULTOS MAYORES AUTOVALENTES</t>
  </si>
  <si>
    <t>Ingreso</t>
  </si>
  <si>
    <t>TOTAL INGRESOS</t>
  </si>
  <si>
    <t>Egreso</t>
  </si>
  <si>
    <t>Completa Ciclo</t>
  </si>
  <si>
    <t>* Los pacientes de 60 a 64 años, no debe desagregarse por condición de funcionalidad, por ello sólo se registran en la primera fila (Autovalente sin riesgo).</t>
  </si>
  <si>
    <t>** Para la desagregación por funcionalidad se contabiliza desde 65 y mas años. Sólo para el cálculo del total de los ingresos se contabiliza el rango de 60 - 64 años.</t>
  </si>
  <si>
    <t>SECCIÓN N: INGRESOS AL PROGRAMA DE SALUD MENTAL EN APS /ESPECIALIDAD</t>
  </si>
  <si>
    <t>MOTIVO DE INGRESO</t>
  </si>
  <si>
    <t>TRANS Femenino/
Masculino</t>
  </si>
  <si>
    <t>Adolescentes derivados de Espacios Amigables</t>
  </si>
  <si>
    <t>INGRESOS AL PROGRAMA</t>
  </si>
  <si>
    <t>FACTORES DE RIESGO Y CONDICIONANTES DE LA SALUD MENTAL</t>
  </si>
  <si>
    <t>Violencia Física</t>
  </si>
  <si>
    <t>Victima</t>
  </si>
  <si>
    <t>Agresor/a</t>
  </si>
  <si>
    <t>Violencia Sexual</t>
  </si>
  <si>
    <t>Violencia Psicológica</t>
  </si>
  <si>
    <t>Abuso sexual</t>
  </si>
  <si>
    <t>Suicidio</t>
  </si>
  <si>
    <t>Ideación</t>
  </si>
  <si>
    <t>Intento</t>
  </si>
  <si>
    <t xml:space="preserve">PERSONAS CON DIAGNÓSTICOS DE TRASTORNOS MENTALES </t>
  </si>
  <si>
    <t>Trastornos del Humor
(Afectivos)</t>
  </si>
  <si>
    <t>Depresión Leve</t>
  </si>
  <si>
    <t>Depresión Moderada</t>
  </si>
  <si>
    <t>Depresión Grave</t>
  </si>
  <si>
    <t>Depresión Post Parto</t>
  </si>
  <si>
    <t>Trastorno Bipolar</t>
  </si>
  <si>
    <t>Depresión Refractaria</t>
  </si>
  <si>
    <t>Depresión Grave Con Psicosis</t>
  </si>
  <si>
    <t>Depresión con Alto Riesgo Suicida</t>
  </si>
  <si>
    <t>Trastornos Mentales y del Comportamiento Debido a Consumo Sustancias Psicotrópicas</t>
  </si>
  <si>
    <t>Consumo Perjudicial de Alcohol</t>
  </si>
  <si>
    <t>Consumo Dependiente del Alcohol</t>
  </si>
  <si>
    <t>Consumo Perjudicial de Drogas</t>
  </si>
  <si>
    <t>Consumo Dependiente de Drogas</t>
  </si>
  <si>
    <t>Consumo de Drogas y Alcohol</t>
  </si>
  <si>
    <t>Trastornos del Comportamiento y de Las Emociones de Comienzo Habitual en la Infancia y Adolescencia</t>
  </si>
  <si>
    <t>Trastorno Hipercinéticos</t>
  </si>
  <si>
    <t>Trastorno Disocial Desafiante y Oposicionista</t>
  </si>
  <si>
    <t>Trastorno de Ansiedad de Separación en la Infancia</t>
  </si>
  <si>
    <t>Otros Trastornos del Comportamiento y de las Emociones de Comienzo Habitual en La Infancia y Adolescencia</t>
  </si>
  <si>
    <t>Trastornos de Ansiedad</t>
  </si>
  <si>
    <t>Trastorno de Estrés Post Traumático</t>
  </si>
  <si>
    <t xml:space="preserve">Trastorno de Pánico  </t>
  </si>
  <si>
    <t>Fobias Sociales</t>
  </si>
  <si>
    <t>Trastornos de Ansiedad Generalizada</t>
  </si>
  <si>
    <t>Otros Trastornos de Ansiedad</t>
  </si>
  <si>
    <t xml:space="preserve">
Demencias (Incluye Alzheimer)</t>
  </si>
  <si>
    <t>Leve</t>
  </si>
  <si>
    <t>Moderado</t>
  </si>
  <si>
    <t>Avanzado</t>
  </si>
  <si>
    <t>Esquizofrenia</t>
  </si>
  <si>
    <t>Trastorno Adaptativo</t>
  </si>
  <si>
    <t>Trastornos de la Conducta Alimentaria</t>
  </si>
  <si>
    <t>Retraso Mental</t>
  </si>
  <si>
    <t>Trastorno de Personalidad</t>
  </si>
  <si>
    <t>Trastorno Generalizados del Desarrollo</t>
  </si>
  <si>
    <t>Autismo</t>
  </si>
  <si>
    <t>Asperger</t>
  </si>
  <si>
    <t>Síndrome de Rett</t>
  </si>
  <si>
    <t>Trastorno Desintegrativo de la Infancia</t>
  </si>
  <si>
    <t>Trastorno Generalizado del Desarrollo no Específico</t>
  </si>
  <si>
    <t>Epilepsia</t>
  </si>
  <si>
    <t>Otras</t>
  </si>
  <si>
    <t>SECCIÓN O: EGRESOS DEL PROGRAMA DE SALUD  MENTAL POR ALTAS CLÍNICAS EN APS /ESPECIALIDAD</t>
  </si>
  <si>
    <t>MOTIVO DE EGRESO</t>
  </si>
  <si>
    <t>EGRESOS</t>
  </si>
  <si>
    <t>TRANS Masculino/
Femenino</t>
  </si>
  <si>
    <t>Traslado o Derivación</t>
  </si>
  <si>
    <t>EGRESOS DEL PROGRAMA</t>
  </si>
  <si>
    <t>Depresión Grave con Psicosis</t>
  </si>
  <si>
    <t>Trastornos del Comportamiento y de las Emociones de Comienzo Habitual en la Infancia y Adolescencia</t>
  </si>
  <si>
    <t xml:space="preserve">
Trastornos de Ansiedad</t>
  </si>
  <si>
    <t>SECCIÓN P:  PROGRAMA DE REHABILITACIÓN (PERSONAS CON TRASTORNOS PSIQUIÁTRICOS)</t>
  </si>
  <si>
    <t>TIPO DE PROGRAMA</t>
  </si>
  <si>
    <t>RUBRO</t>
  </si>
  <si>
    <t>Programa de Rehabilitación Tipo I</t>
  </si>
  <si>
    <t xml:space="preserve">
Programa de Rehabilitación Tipo II</t>
  </si>
  <si>
    <t>SECCIÓN Q: INGRESOS Y EGRESOS A PROGRAMA INFECCIÓN POR TRANSMISIÓN SEXUAL (Uso de establecimientos que realizan atención de ITS)</t>
  </si>
  <si>
    <t>PATOLOGÍAS</t>
  </si>
  <si>
    <t>Total</t>
  </si>
  <si>
    <t>Por alta</t>
  </si>
  <si>
    <t>Por abandono</t>
  </si>
  <si>
    <t>TOTAL DE INGRESOS</t>
  </si>
  <si>
    <t>Sífilis</t>
  </si>
  <si>
    <t>Gonorrea</t>
  </si>
  <si>
    <t>Condiloma</t>
  </si>
  <si>
    <t>Herpes</t>
  </si>
  <si>
    <t>Chlamydias</t>
  </si>
  <si>
    <t>Uretritis no Gonocócica</t>
  </si>
  <si>
    <t>Linfogranuloma</t>
  </si>
  <si>
    <t>Chancroide</t>
  </si>
  <si>
    <t>Otras ITS</t>
  </si>
  <si>
    <t>No Gestantes</t>
  </si>
  <si>
    <t>SECCIÓN R: INGRESOS Y EGRESOS DEL PROGRAMA DE VIH/SIDA (Uso exclusivo Centros de Atención VIH-SIDA)</t>
  </si>
  <si>
    <t>Menor de 6 meses</t>
  </si>
  <si>
    <t>6 - 11 meses</t>
  </si>
  <si>
    <t>12 - 24 meses</t>
  </si>
  <si>
    <t>3 - 4 años</t>
  </si>
  <si>
    <t>75 y más años</t>
  </si>
  <si>
    <t xml:space="preserve">Ingresos al programa </t>
  </si>
  <si>
    <t>Reingresos por abandono</t>
  </si>
  <si>
    <t>Total egresos</t>
  </si>
  <si>
    <t>Egresos por Fallecimiento (Incluido en Total Egresos)</t>
  </si>
  <si>
    <t>Egresos por Alta Hijo VIH (-) de Madre VIH (+)Incluido en Total Egresos</t>
  </si>
  <si>
    <t>Evaluación Movilidad Programa</t>
  </si>
  <si>
    <t>Abandono Controles</t>
  </si>
  <si>
    <t>Abandono Tratamiento</t>
  </si>
  <si>
    <t>Abandono de la Atención</t>
  </si>
  <si>
    <t>Egresos por Traslado</t>
  </si>
  <si>
    <t>SECCIÓN S: INGRESOS Y EGRESOS POR COMERCIO SEXUAL (Uso exclusivo de Unidades Control Comercio Sexual)</t>
  </si>
  <si>
    <t>Inasistentes</t>
  </si>
  <si>
    <t>SECCIÓN T: INGRESOS Y EGRESOS PROGRAMA DE ACOMPAÑAMIENTO PSICOSOCIAL EN ATENCIÓN PRIMARIA</t>
  </si>
  <si>
    <t>Aumento de funcionalidad familiar (4 puntos o más)</t>
  </si>
  <si>
    <t>Cumple con el 70% de los objetivos del plan de acompañamiento</t>
  </si>
  <si>
    <t>Egreso por alta clínica del Prog de Salud Mental</t>
  </si>
  <si>
    <t>SECCIÓN U: INGRESOS  INTEGRALES DE PERSONAS CON CONDICIONES CRÓNICAS EN ATENCIÓN PRIMARIA</t>
  </si>
  <si>
    <t>REALIZADO POR</t>
  </si>
  <si>
    <t>Realizado en domicilio</t>
  </si>
  <si>
    <t>Dupla (Médico + Profesional no médico)</t>
  </si>
  <si>
    <t>Médico</t>
  </si>
  <si>
    <t>Profesional No Médico</t>
  </si>
  <si>
    <t>Ingreso Integral</t>
  </si>
  <si>
    <t>Riesgo Leve (G1)</t>
  </si>
  <si>
    <t>Riesgo Moderado (G2)</t>
  </si>
  <si>
    <t>Riesgo Alto (G3)</t>
  </si>
  <si>
    <t>Plan de Cuidado Elaborado</t>
  </si>
  <si>
    <t>Gestión de casos</t>
  </si>
  <si>
    <t>Ingreso Riesgo Alto (G3)</t>
  </si>
  <si>
    <t>Ingreso Riesgo Moderado (G2)</t>
  </si>
  <si>
    <t>Egreso Riesgo Alto (G3)</t>
  </si>
  <si>
    <t>Egreso Riesgo Moderado (G2)</t>
  </si>
  <si>
    <t>TIPO DE INGRESO O EGRESO</t>
  </si>
  <si>
    <t>TIPO DE ESTRATEGIA</t>
  </si>
  <si>
    <t>Personas con discapacidad (con RND)</t>
  </si>
  <si>
    <t>25-29 años</t>
  </si>
  <si>
    <t>45- 49 años</t>
  </si>
  <si>
    <t xml:space="preserve">Rehabilitación NNA </t>
  </si>
  <si>
    <t>Rehabilitación Base Comunitaria (RBC)</t>
  </si>
  <si>
    <t>Rehabilitación Integral(RI)</t>
  </si>
  <si>
    <t>Rehabilitación Rural (RR)</t>
  </si>
  <si>
    <t>Ingresos persona con dependencia severa</t>
  </si>
  <si>
    <t>Ingresos con Plan de Cuidado Integral  (ingresado vía ECICEP)</t>
  </si>
  <si>
    <t>Ingresos con Plan de  Cuidado  Integral (no ingresados a ECICEP)</t>
  </si>
  <si>
    <t>Ingreso Cuidador</t>
  </si>
  <si>
    <t>Ingreso con Plan de Cuidado al Cuidador (ingresado vía ECICEP)</t>
  </si>
  <si>
    <t>Ingreso con Plan de Cuidado al cuidador (no ingresado a ECICEP)</t>
  </si>
  <si>
    <t>Egresos persona con dependencia</t>
  </si>
  <si>
    <t>Egresos por alta (disminuye nivel de dependencia)</t>
  </si>
  <si>
    <t>Egresos por alta administrativa</t>
  </si>
  <si>
    <t>Egreso por traslado</t>
  </si>
  <si>
    <t>Egresos por fallecimiento</t>
  </si>
  <si>
    <t xml:space="preserve">Egresos por otras causas </t>
  </si>
  <si>
    <t>Egreso Cuidador</t>
  </si>
  <si>
    <t>Egreso por alta persona con dependencia</t>
  </si>
  <si>
    <t>Egreso por cambio de cuidador</t>
  </si>
  <si>
    <t xml:space="preserve">Egreso por alta administrativa </t>
  </si>
  <si>
    <t>Egreso por fallecimiento persona con dependencia</t>
  </si>
  <si>
    <t>Egreso por fallecimiento cuidador</t>
  </si>
  <si>
    <t>SECCIÓN W: INGRESO Y EGRESO PROGRAMA ACOMPAÑAMIENTO A LA IDENTIDAD DE GENERO EN NIVEL DE ESPECIALIDAD</t>
  </si>
  <si>
    <t>IDENTIDAD DE GÉNERO</t>
  </si>
  <si>
    <t>PROCEDENCIA DE LA DERIVACIÓN</t>
  </si>
  <si>
    <t>ACOMPAÑAMIENTO AL INGRESO</t>
  </si>
  <si>
    <t>3 a 9 años</t>
  </si>
  <si>
    <t>10 a 17 años</t>
  </si>
  <si>
    <t>Trans o género no conforme</t>
  </si>
  <si>
    <t>No trans ni género no conforme</t>
  </si>
  <si>
    <t>Establecimiento Educacional</t>
  </si>
  <si>
    <t>APS</t>
  </si>
  <si>
    <t>Otras especialidades u hospitalización</t>
  </si>
  <si>
    <t>Sistema Judicial</t>
  </si>
  <si>
    <t>Padres o tutores legales</t>
  </si>
  <si>
    <t>Adulto significativo (diferente del tutor legal)</t>
  </si>
  <si>
    <t>Sin acompañamiento</t>
  </si>
  <si>
    <t>Intersexual</t>
  </si>
  <si>
    <t>Número de Niños, Niñas y Adolescentes en atención</t>
  </si>
  <si>
    <t>Ingresos con nivel de riesgo bajo</t>
  </si>
  <si>
    <t>Ingresos con nivel riesgo medio</t>
  </si>
  <si>
    <t>Ingresos con nivel de riesgo alto</t>
  </si>
  <si>
    <t>Egresos con nivel de riesgo bajo</t>
  </si>
  <si>
    <t>Egresos con nivel riesgo medio</t>
  </si>
  <si>
    <t>Egresos con nivel de riesgo alto</t>
  </si>
  <si>
    <t>Egresos sin completar PCI</t>
  </si>
  <si>
    <t>Egresos por abandono</t>
  </si>
  <si>
    <t>SECCIÓN X: INTERVENCIONES REALIZADAS POR ÁMBITO DENTRO DEL PROGRAMA DE ACOMPAÑAMIENTO A LA IDENTIDAD DE GÉNERO (PAIG)</t>
  </si>
  <si>
    <t>INTERVENCIONES POR ÁMBITO</t>
  </si>
  <si>
    <t>Ámbito individual</t>
  </si>
  <si>
    <t>Ámbito familiar</t>
  </si>
  <si>
    <t>Ámbito educativo</t>
  </si>
  <si>
    <t>REM-06.   PROGRAMA DE SALUD MENTAL ATENCIÓN PRIMARIA Y ESPECIALIDADES</t>
  </si>
  <si>
    <t>SECCIÓN A.1: CONTROLES DE ATENCIÓN PRIMARIA / ESPECIALIDADES</t>
  </si>
  <si>
    <t>Demencia</t>
  </si>
  <si>
    <t xml:space="preserve">TRANS
</t>
  </si>
  <si>
    <t>Cuidadores de personas con demencia</t>
  </si>
  <si>
    <t>Controles Salud Mental</t>
  </si>
  <si>
    <t>Psicólogo/a</t>
  </si>
  <si>
    <t>Trabajador/a Social</t>
  </si>
  <si>
    <t>Otros Profesionales Capacitados (Salud Mental)</t>
  </si>
  <si>
    <t>Terapeuta Ocupacional</t>
  </si>
  <si>
    <t>Técnico en Enfermería en Salud Mental</t>
  </si>
  <si>
    <t>Gestor Comunitario</t>
  </si>
  <si>
    <t>Técnico Rehabilitación Alcohol y Drogas</t>
  </si>
  <si>
    <t>Intervención Psicosocial Grupal</t>
  </si>
  <si>
    <t>Psicodiagnóstico</t>
  </si>
  <si>
    <t>Psicoterapia Individual</t>
  </si>
  <si>
    <t>Médico/a Psiquiatra</t>
  </si>
  <si>
    <t>SECCIÓN A.2: CONSULTORÍAS DE SALUD MENTAL EN APS</t>
  </si>
  <si>
    <t>TOTAL CONSULTORÍAS Y TELECONSULTORÍAS RECIBIDAS</t>
  </si>
  <si>
    <t>CONSULTORÍAS Y TELECONSULTORÍAS RECIBIDAS</t>
  </si>
  <si>
    <t>TOTAL Nº DE CASOS REVISADOS</t>
  </si>
  <si>
    <t>Personas con sospecha de demencia</t>
  </si>
  <si>
    <t>Personas con diagnóstico de demencia</t>
  </si>
  <si>
    <t>Consultorías y Teleconsultorías de Salud Mental Infanto Adolescente</t>
  </si>
  <si>
    <t>Consultorías Y Teleconsultorías de Salud Mental Adulto</t>
  </si>
  <si>
    <t>Consultorías de Salud Mental</t>
  </si>
  <si>
    <t>Teleconsultorías de Salud Mental</t>
  </si>
  <si>
    <t>SECCIÓN A.3: CONSULTORÍAS DE SALUD MENTAL OTORGADA POR EL NIVEL DE ESPECIALIDAD</t>
  </si>
  <si>
    <t>TOTAL CONSULTORÍAS Y TELECONSULTORÍAS OTORGADAS</t>
  </si>
  <si>
    <t>CONSULTORÍAS Y TELECONSULTORÍAS OTORGADAS</t>
  </si>
  <si>
    <t>Participantes</t>
  </si>
  <si>
    <t>Consultorías y Teleconsultorías de Salud Mental Adulto</t>
  </si>
  <si>
    <t>Médico psiquiatra</t>
  </si>
  <si>
    <t>Médico Psiquiatría más un profesional</t>
  </si>
  <si>
    <t>Médico Psiquiatría más dos Profesionales</t>
  </si>
  <si>
    <t>Médico Psiquiatría con más de dos Profesionales</t>
  </si>
  <si>
    <t>Dos profesionales</t>
  </si>
  <si>
    <t>Más de dos profesionales</t>
  </si>
  <si>
    <t>SECCIÓN B.1: ACTIVIDADES GRUPALES (NÚMERO DE SESIONES)</t>
  </si>
  <si>
    <t>Psicoterapia Grupal</t>
  </si>
  <si>
    <t>Psicoterapia Familiar</t>
  </si>
  <si>
    <t>SECCIÓN B.2:  PROGRAMA DE REHABILITACIÓN (PERSONAS CON TRASTORNOS PSIQUIÁTRICOS)</t>
  </si>
  <si>
    <t>Días Persona</t>
  </si>
  <si>
    <t>Programa de Rehabilitación Tipo II</t>
  </si>
  <si>
    <t>SECCIÓN B.3: ACTIVIDADES DE PSIQUIATRÍA FORENSE PARA PERSONAS EN CONFLICTO CON LA JUSTICIA (En lo Penal, Civil, Familiar, etc.)</t>
  </si>
  <si>
    <t>Peritaje Psiquiátrico Judicial</t>
  </si>
  <si>
    <t>Enfermero/a</t>
  </si>
  <si>
    <t>Otros Profesionales</t>
  </si>
  <si>
    <t xml:space="preserve">Examen Preliminar en Drogas para Adolescentes Imputados / Condenados </t>
  </si>
  <si>
    <t>Evaluación Clínica para Adolescentes Imputados con Consumo de Drogas</t>
  </si>
  <si>
    <t>Examen Mental Preliminar a Personas Imputadas</t>
  </si>
  <si>
    <t>Peritaje Drogas</t>
  </si>
  <si>
    <t>Atención a Agresores Derivados de Tribunales (Ley de Violencia Intrafamiliar)</t>
  </si>
  <si>
    <t>SECCIÓN B.4: DISPOSITIVOS DE SALUD MENTAL</t>
  </si>
  <si>
    <t>TIPO DE DISPOSITIVO</t>
  </si>
  <si>
    <t>Nº DE PERSONAS ATENDIDAS</t>
  </si>
  <si>
    <t>DÍAS DE ESTADA DE PERSONAS ATENDIDAS EN EL MES</t>
  </si>
  <si>
    <t>Nº DE EGRESOS</t>
  </si>
  <si>
    <t>Nº DE PERSONAS EN LISTA DE ESPERA</t>
  </si>
  <si>
    <t>Menos de 20 años</t>
  </si>
  <si>
    <t xml:space="preserve">Hogar Protegido  </t>
  </si>
  <si>
    <t>Residencia Protegida</t>
  </si>
  <si>
    <t>Hospital Psiquiátrico Diurno</t>
  </si>
  <si>
    <t>Centro Privativo de Libertad (SENAME)</t>
  </si>
  <si>
    <t>SECCIÓN C.1: ACTIVIDADES DE COORDINACION SECTORIAL, INTERSECTORIAL Y COMUNITARIA</t>
  </si>
  <si>
    <t>ACTIVIDADES</t>
  </si>
  <si>
    <t>TOTAL DE PARTICIPANTES</t>
  </si>
  <si>
    <t>Nº REUNIONES / SESIONES</t>
  </si>
  <si>
    <t>Nº INSTITUCIONES,  ORGANIZACIONES  PARTICIPANTES</t>
  </si>
  <si>
    <t>Trabajo Intersectorial</t>
  </si>
  <si>
    <t>Trabajo con Organizaciones Comunitarias de Base</t>
  </si>
  <si>
    <t>Trabajo con Organizaciones de Usuarios y Familiares</t>
  </si>
  <si>
    <t>Colaboración con Grupo de Autoayuda</t>
  </si>
  <si>
    <t>Reuniones con Instituciones del Sector Salud Programa Acompañamiento Psicosocial</t>
  </si>
  <si>
    <t>Reuniones con Instituciones del Intersector Acompañamiento Psicosocial</t>
  </si>
  <si>
    <t>Reuniones con Organizaciones Comunitarias Acompañamiento Psicosocial</t>
  </si>
  <si>
    <t>Reuniones con el sector salud</t>
  </si>
  <si>
    <t>SECCIÓN C.2: INFORMES A TRIBUNALES</t>
  </si>
  <si>
    <t>TRIBUNALES</t>
  </si>
  <si>
    <t>Menos de 18 años</t>
  </si>
  <si>
    <t>18 y más años</t>
  </si>
  <si>
    <t>Nº informes</t>
  </si>
  <si>
    <t>ASISTENCIA A TRIBUNALES</t>
  </si>
  <si>
    <t>Nº de profesionales</t>
  </si>
  <si>
    <t>Nº de veces</t>
  </si>
  <si>
    <t>De Familia</t>
  </si>
  <si>
    <t>Penales</t>
  </si>
  <si>
    <t>Civiles</t>
  </si>
  <si>
    <t>Policía Local</t>
  </si>
  <si>
    <t>Laborales</t>
  </si>
  <si>
    <t>SECCIÓN C.3: INFORMES A INTERSECTOR</t>
  </si>
  <si>
    <t>INTERSECTOR</t>
  </si>
  <si>
    <t>Establecimientos Educacionales</t>
  </si>
  <si>
    <t>Oficina local de la Niñez / Oficina de Protección de Derechos de la Infancia</t>
  </si>
  <si>
    <t>Otros Programas</t>
  </si>
  <si>
    <t>SECCIÓN D: PLANES Y EVALUACIONES PROGRAMA DE ACOMPAÑAMIENTO PSICOSOCIAL EN ATENCIÓN PRIMARIA</t>
  </si>
  <si>
    <t>Plan de Acompañamiento Elaborados</t>
  </si>
  <si>
    <t>Plan de Acompañamiento con Mejoría al Egreso del Programa</t>
  </si>
  <si>
    <t>Evaluaciones Participativas Realizadas al Egreso del Programa</t>
  </si>
  <si>
    <t>SECCIÓN E: PERSONAS CON EVALUACIÓN Y CONFIRMACIÓN DIAGNOSTICA EN APS</t>
  </si>
  <si>
    <t>N° DE ENTREVISTAS</t>
  </si>
  <si>
    <t>REALIZADA POR</t>
  </si>
  <si>
    <t>N° Confirmaciones Diagnósticas</t>
  </si>
  <si>
    <t>1 Profesional</t>
  </si>
  <si>
    <t>2 Profesionales</t>
  </si>
  <si>
    <t>3 Profesionales</t>
  </si>
  <si>
    <t>SECCIÓN F: EVALUACIONES PROGRAMA PLAN NACIONAL DE DEMENCIA</t>
  </si>
  <si>
    <t>Aumento</t>
  </si>
  <si>
    <t>Mantención</t>
  </si>
  <si>
    <t>Disminución</t>
  </si>
  <si>
    <t>Personas con Demencia con Reevaluación Deterioro GLOBAL GDS REISBERG</t>
  </si>
  <si>
    <t>SECCIÓN G: EVALUACIÓN PROGRAMA DE APOYO A LA SALUD MENTAL INFANTIL (PASMI)</t>
  </si>
  <si>
    <t>5 - 9 AÑOS</t>
  </si>
  <si>
    <t>Evaluadores</t>
  </si>
  <si>
    <t>Cumplimiento de criterios diagnósticos según  Evaluación Diagnóstica Integral (EDI)</t>
  </si>
  <si>
    <t>Equipo biopsicosocial</t>
  </si>
  <si>
    <t>Equipo psicosocial</t>
  </si>
  <si>
    <t>Requiere tratamiento en APS</t>
  </si>
  <si>
    <t>Requiere tratamiento en nivel secundario</t>
  </si>
  <si>
    <t>No Requiere tratamiento</t>
  </si>
  <si>
    <t>Evaluación Diagnóstica Integral (EDI)</t>
  </si>
  <si>
    <t>SECCIÓN H: CONSULTA DE SALUD MENTAL POR EL NIVEL DE ESPECIALIDAD</t>
  </si>
  <si>
    <t>Consulta Nueva Salud Mental (Ingreso)</t>
  </si>
  <si>
    <t>Uniprofesional</t>
  </si>
  <si>
    <t>Dos Profesionales</t>
  </si>
  <si>
    <t>Multiprofesional</t>
  </si>
  <si>
    <t xml:space="preserve">SECCIÓN I: RESCATE DE PACIENTES PROGRAMA SALUD MENTAL </t>
  </si>
  <si>
    <t>RESCATE EN DOMICILIO</t>
  </si>
  <si>
    <t>Compra de servicio (*)</t>
  </si>
  <si>
    <t>Rescate Telefónico</t>
  </si>
  <si>
    <t>Funcionario</t>
  </si>
  <si>
    <t>Profesional</t>
  </si>
  <si>
    <t>Administrativo</t>
  </si>
  <si>
    <t>Otro</t>
  </si>
  <si>
    <t>Desde el establecimiento</t>
  </si>
  <si>
    <t>*No incluidos en REM A26 sección D.</t>
  </si>
  <si>
    <t>SECCIÓN J: TIEMPOS DE ESPERA EN SALUD MENTAL DE APS</t>
  </si>
  <si>
    <t>TIEMPOS DE ESPERA ENTRE:</t>
  </si>
  <si>
    <t xml:space="preserve">Número de días </t>
  </si>
  <si>
    <t xml:space="preserve">Número de personas atendidas </t>
  </si>
  <si>
    <t>Tamizaje y Primera Atención Salud Mental en APS (Individual o Grupal)</t>
  </si>
  <si>
    <t>Tamizaje y Confirmación Diagnóstica</t>
  </si>
  <si>
    <t>SECCIÓN K : SALUD MENTAL EN SITUACIONES DE EMERGENCIA O DESASTRE</t>
  </si>
  <si>
    <t xml:space="preserve">TOTAL          </t>
  </si>
  <si>
    <t>Atenciones a funcionarios de la salud</t>
  </si>
  <si>
    <t>Acciones en domicilio</t>
  </si>
  <si>
    <t>Acciones en albergue/
Espacio comunitario</t>
  </si>
  <si>
    <t>Acciones no presenciales o remotas</t>
  </si>
  <si>
    <t>Niños, Niñas, Adolescentes y Jóvenes Población SENAME</t>
  </si>
  <si>
    <t>10-19 años</t>
  </si>
  <si>
    <t>20-59 años</t>
  </si>
  <si>
    <t>60 y más años</t>
  </si>
  <si>
    <t>Primera Ayuda Psicológica</t>
  </si>
  <si>
    <t>Consulta de Salud Mental Asociada a Emergencia o Desastre</t>
  </si>
  <si>
    <t>SECCIÓN K.1: ACTIVIDADES DE COORDINACION EN SITUACIONES DE EMERGENCIA Y DESASTRE</t>
  </si>
  <si>
    <t xml:space="preserve">
Nº Reuniones / Sesiones</t>
  </si>
  <si>
    <t>Nº Instituciones, Organizaciones que participan</t>
  </si>
  <si>
    <t>Trabajo Sectorial</t>
  </si>
  <si>
    <t>Actividades Comunitarias</t>
  </si>
  <si>
    <t>SECCIÓN L: PROCEDIMIENTOS REALIZADOS EN ATENCIÓN HOSPITALARIA</t>
  </si>
  <si>
    <t>TERAPIA ELECTROCONVULSIVA</t>
  </si>
  <si>
    <t>5 - 18 años</t>
  </si>
  <si>
    <t>19 - 40 años</t>
  </si>
  <si>
    <t>41-59 años</t>
  </si>
  <si>
    <t>Inicio de tratamiento (primera sesión de la serie)</t>
  </si>
  <si>
    <t>Sesiones de tratamiento</t>
  </si>
  <si>
    <t xml:space="preserve">REM-07.  ATENCIÓN  DE ESPECIALIDADES </t>
  </si>
  <si>
    <t>SECCIÓN A : CONSULTAS MÉDICAS DE ESPECIALIDAD</t>
  </si>
  <si>
    <t>ESPECIALIDADES   Y  SUB-ESPECIALIDADES</t>
  </si>
  <si>
    <t>CONSULTAS Y CONTROLES MÉDICOS</t>
  </si>
  <si>
    <t>CONSULTAS NUEVAS SEGÚN ORIGEN</t>
  </si>
  <si>
    <t>Consultas de Especialidades resueltas por Médico General</t>
  </si>
  <si>
    <t>Por Sexo</t>
  </si>
  <si>
    <t>Menores 18 años</t>
  </si>
  <si>
    <t>De 18 y más años</t>
  </si>
  <si>
    <t>15 - 17 años</t>
  </si>
  <si>
    <t>18 - 19 años</t>
  </si>
  <si>
    <t xml:space="preserve">CAE/CDT/CRS/Hospitalización </t>
  </si>
  <si>
    <t xml:space="preserve">Urgencia </t>
  </si>
  <si>
    <t>Menor 18 años</t>
  </si>
  <si>
    <t>Pediatría</t>
  </si>
  <si>
    <t>Medicina Interna</t>
  </si>
  <si>
    <t>Neonatología</t>
  </si>
  <si>
    <t>Enfermedad Respiratoria Pediátrica (Broncopulmonar Infantil)</t>
  </si>
  <si>
    <t>Enfermedad Respiratoria de Adulto (Broncopulmonar)</t>
  </si>
  <si>
    <t>Endocrinología Pediátrica</t>
  </si>
  <si>
    <t>Endocrinología Adulto</t>
  </si>
  <si>
    <t>Gastroenterología Pediátrica</t>
  </si>
  <si>
    <t>Gastroenterología Adulto</t>
  </si>
  <si>
    <t>Genética Clínica</t>
  </si>
  <si>
    <t>Nefrología Pediátrica</t>
  </si>
  <si>
    <t>Nefrología Adulto</t>
  </si>
  <si>
    <t>Dermatología</t>
  </si>
  <si>
    <t>Inmunología</t>
  </si>
  <si>
    <t>Geriatría</t>
  </si>
  <si>
    <t>Neurología Pediátrica</t>
  </si>
  <si>
    <t>Neurología Adulto</t>
  </si>
  <si>
    <t>Oncología Médica</t>
  </si>
  <si>
    <t>Psiquiatría Pediátrica y de La Adolescencia</t>
  </si>
  <si>
    <t>Psiquiatría Adulto</t>
  </si>
  <si>
    <t>Cirugía Pediátrica</t>
  </si>
  <si>
    <t>Cirugía Digestiva (Alta)</t>
  </si>
  <si>
    <t>Cirugía de Cabeza, Cuello y Maxilofacial</t>
  </si>
  <si>
    <t>Coloproctología (Cirugía Digestiva Baja)</t>
  </si>
  <si>
    <t>Cirugía Tórax</t>
  </si>
  <si>
    <t>Cirugía Vascular Periférica</t>
  </si>
  <si>
    <t>Neurocirugía</t>
  </si>
  <si>
    <t>Cirugía Cardiovascular</t>
  </si>
  <si>
    <t>Anestesiología</t>
  </si>
  <si>
    <t>Oftalmología</t>
  </si>
  <si>
    <t>Otorrinolaringología</t>
  </si>
  <si>
    <t>Medicina Familiar</t>
  </si>
  <si>
    <t>Diabetología</t>
  </si>
  <si>
    <t>Medicina Nuclear (Excluye Informes)</t>
  </si>
  <si>
    <t>Imagenología</t>
  </si>
  <si>
    <t>Radioterapia Oncológica</t>
  </si>
  <si>
    <t>SECCIÓN A.1: ATRIBUTOS DE LAS ATENCIONES DE ESPECIALIDAD</t>
  </si>
  <si>
    <t>ESPECIALIDADES Y SUB-ESPECIALIDADES</t>
  </si>
  <si>
    <t>Interconsultas pertinentes según Criterio Clínico</t>
  </si>
  <si>
    <t>Consultas pertinentes según tiempo establecido en Box</t>
  </si>
  <si>
    <t>Consultas  pertinentes según Criterio Clínico en Box</t>
  </si>
  <si>
    <t>Contrarreferencia inicial o retorno</t>
  </si>
  <si>
    <t>Contrarreferencia al alta</t>
  </si>
  <si>
    <t>Alta de Consulta de Especialidad Ambulatoria</t>
  </si>
  <si>
    <t>Inasistente a consulta médica (NSP)</t>
  </si>
  <si>
    <t>CONSULTA ABREVIADA (Confección de recetas o lectura de exámenes)</t>
  </si>
  <si>
    <t>Atención Especialista en Sala</t>
  </si>
  <si>
    <t>Consultas realizadas en APS e informadas (contenidas en sección A)</t>
  </si>
  <si>
    <t>Compra de Servicios (No incluidas en total de atenciones)</t>
  </si>
  <si>
    <t>Consultas Médicas por Operativos (no incluidas en produccion)</t>
  </si>
  <si>
    <t>Total Interconsultas generadas en APS para derivación Especialidad</t>
  </si>
  <si>
    <t xml:space="preserve">Consultorías de Médicos Especialistas otorgadas </t>
  </si>
  <si>
    <t>CDT/CAE/CRS/Hospitalizado</t>
  </si>
  <si>
    <t>Menos 18 años</t>
  </si>
  <si>
    <t>Menos 
18 años</t>
  </si>
  <si>
    <t>18 y más 
años</t>
  </si>
  <si>
    <t xml:space="preserve">Nuevas </t>
  </si>
  <si>
    <t>Controles</t>
  </si>
  <si>
    <t>Contratados por el Establecimiento o Dirección del Servicio</t>
  </si>
  <si>
    <t>Especialistas de Hospitales</t>
  </si>
  <si>
    <t>Red Pública</t>
  </si>
  <si>
    <t>Privados</t>
  </si>
  <si>
    <t>Nº Consultorías</t>
  </si>
  <si>
    <t>Nº de casos revisados por el equipo</t>
  </si>
  <si>
    <t>Nº de casos atendidos</t>
  </si>
  <si>
    <t>Psiquiatría Pediátrica y de la Adolescencia</t>
  </si>
  <si>
    <t>SECCIÓN B: ATENCIONES MEDICAS POR PROGRAMAS Y POLICLÍNICOS  (INCLUIDAS EN SECCION A)</t>
  </si>
  <si>
    <t>ATENCIONES</t>
  </si>
  <si>
    <t>18- 19 años</t>
  </si>
  <si>
    <t>80  años y mas</t>
  </si>
  <si>
    <t>Trans Masculino</t>
  </si>
  <si>
    <t>Trans Femenino</t>
  </si>
  <si>
    <t>Arritmias</t>
  </si>
  <si>
    <t>Cirugía de Mamas</t>
  </si>
  <si>
    <t>Alto Riesgo Obstétrico</t>
  </si>
  <si>
    <t>Atención Obstétrica por Ley IVE</t>
  </si>
  <si>
    <t>Tratamiento Anticoagulante</t>
  </si>
  <si>
    <t>Cuidados Paliativos</t>
  </si>
  <si>
    <t>Infertilidad</t>
  </si>
  <si>
    <t>Patología Cervical</t>
  </si>
  <si>
    <t>Patología de Mamas</t>
  </si>
  <si>
    <t>Adolescencia</t>
  </si>
  <si>
    <t>Naneas</t>
  </si>
  <si>
    <t>ITS</t>
  </si>
  <si>
    <t>VIH/SIDA</t>
  </si>
  <si>
    <t>Medicinal Ocupacional (Salud del Personal)</t>
  </si>
  <si>
    <t>Unidad Trauma Ocular (excluye PACTO)</t>
  </si>
  <si>
    <t>Programa Acompañamiento y Cuidado a Personas Víctimas de Trauma Ocular, lesiones graves y lesionados por perdigones (PACTO)</t>
  </si>
  <si>
    <t>SECCIÓN C: CONSULTAS Y CONTROLES POR OTROS PROFESIONALES EN ESPECIALIDAD (NIVEL SECUNDARIO)</t>
  </si>
  <si>
    <t>Total Controles (incluidos en grupo de edad)</t>
  </si>
  <si>
    <t>Atenciones pacientes oncológicos</t>
  </si>
  <si>
    <t>Atenciones pacientes PACTO</t>
  </si>
  <si>
    <t>18-19 años</t>
  </si>
  <si>
    <t>18 a 29 años</t>
  </si>
  <si>
    <t>30 y más años</t>
  </si>
  <si>
    <t>ARO</t>
  </si>
  <si>
    <t>ARO por Ley IVE</t>
  </si>
  <si>
    <t xml:space="preserve">Ginecología y otros </t>
  </si>
  <si>
    <t xml:space="preserve">Infertilidad </t>
  </si>
  <si>
    <t>Psicólogo/a (Excluye SM)</t>
  </si>
  <si>
    <t>Tecnólogo/a Médico/a</t>
  </si>
  <si>
    <t>SECCIÓN D: CONSULTAS INFECCIÓN TRANSMISIÓN SEXUAL (ITS) Y CONTROLES DE SALUD SEXUAL EN EL NIVEL SECUNDARIO (Incluidas en Sección C)</t>
  </si>
  <si>
    <t>Niños, Niñas, Adolescentes SENAME</t>
  </si>
  <si>
    <t>Consultas Infección Transmisión Sexual  (ITS) (excluir VIH/SIDA)</t>
  </si>
  <si>
    <t>Consultas VIH/SIDA</t>
  </si>
  <si>
    <t>Control VIH Con TAR</t>
  </si>
  <si>
    <t>Control VIH Sin TAR</t>
  </si>
  <si>
    <t>Controles de Salud a Personas que Ejercen Comercio Sexual</t>
  </si>
  <si>
    <t>SECCIÓN E: ACTIVIDADES DE PROFESIONAL DE ENLACE  EN EL NIVEL SECUNDARIO Y TERCIARIO SEGUN RIESGO (ECICEP)</t>
  </si>
  <si>
    <t>Profesional de Enlace</t>
  </si>
  <si>
    <t xml:space="preserve">Procedencia de la Derivación </t>
  </si>
  <si>
    <t>Egreso de Atención de Enlace</t>
  </si>
  <si>
    <t xml:space="preserve">Tipo de Atención </t>
  </si>
  <si>
    <t>CAE/CDT/CRS</t>
  </si>
  <si>
    <t xml:space="preserve">Hospitalización </t>
  </si>
  <si>
    <t xml:space="preserve"> Presencial </t>
  </si>
  <si>
    <t>Remota</t>
  </si>
  <si>
    <t>Ingreso a Atención de PDE</t>
  </si>
  <si>
    <t>Seguimiento de PDE</t>
  </si>
  <si>
    <t>Continuidad en la Gestión (PDE-APS)</t>
  </si>
  <si>
    <t>Actividades de Gestión de PDE</t>
  </si>
  <si>
    <t>Inasistente a Atención de PDE (NSP)</t>
  </si>
  <si>
    <t>SECCIÓN F:  ACTIVIDADES COMITÉ DE PROTECCIÓN DE INFANCIA Y ADOLESCENCIA (CPIA)</t>
  </si>
  <si>
    <t>TIPO ACTIVIDAD</t>
  </si>
  <si>
    <t xml:space="preserve">N° sesiones </t>
  </si>
  <si>
    <t xml:space="preserve">TRANS </t>
  </si>
  <si>
    <t>0 a 4 años</t>
  </si>
  <si>
    <t>5 a 9 años</t>
  </si>
  <si>
    <t>10 a 14 años</t>
  </si>
  <si>
    <t>15 a 17 años</t>
  </si>
  <si>
    <t>18 a 19 años</t>
  </si>
  <si>
    <t>20 a 24 años</t>
  </si>
  <si>
    <t xml:space="preserve">Femenino </t>
  </si>
  <si>
    <t>Análisis de casos</t>
  </si>
  <si>
    <t>Vulneraciones identificadas</t>
  </si>
  <si>
    <t xml:space="preserve">Sospecha de Maltrato Infantil </t>
  </si>
  <si>
    <t>Maltrato infantil</t>
  </si>
  <si>
    <t>Sospecha de Abuso Sexual</t>
  </si>
  <si>
    <t>Abuso sexual infantil</t>
  </si>
  <si>
    <t xml:space="preserve">Negligencia </t>
  </si>
  <si>
    <t>SECCIÓN G:  ACTIVIDADES COMITÉ ONCOLÓGICO</t>
  </si>
  <si>
    <t>18 años y más</t>
  </si>
  <si>
    <t>Casos con confirmación diagnóstica presentados a comité oncológico multidisciplinario antes del primer tratamiento.</t>
  </si>
  <si>
    <t>Casos totales presentados a Comité Oncológico multidisciplinario</t>
  </si>
  <si>
    <t>30 años o mas</t>
  </si>
  <si>
    <t xml:space="preserve">Hombre </t>
  </si>
  <si>
    <t>Trans Femenina</t>
  </si>
  <si>
    <t>No Binarie</t>
  </si>
  <si>
    <t xml:space="preserve">N° de personas en atención </t>
  </si>
  <si>
    <t>Primera consulta</t>
  </si>
  <si>
    <t>Control Integral</t>
  </si>
  <si>
    <t>REM-A08.  ATENCIÓN DE URGENCIA</t>
  </si>
  <si>
    <t>SECCIÓN A: ATENCIONES REALIZADAS EN UNIDADES DE URGENCIA DE LA RED</t>
  </si>
  <si>
    <t>SECCIÓN A.1: ATENCIONES REALIZADAS EN UNIDADES DE EMERGENCIA HOSPITALARIA (Establecimientos de alta y mediana complejidad)</t>
  </si>
  <si>
    <t>TIPO DE ATENCIÓN</t>
  </si>
  <si>
    <t xml:space="preserve">TOTAL        </t>
  </si>
  <si>
    <t>RANGO ETARIO (en años)</t>
  </si>
  <si>
    <t>ORIGEN DE LA PROCEDENCIA (Sólo pacientes derivados de establecimientos de la Red)</t>
  </si>
  <si>
    <t>Establecimientos de otra Red</t>
  </si>
  <si>
    <t>Demanda de Urgencia</t>
  </si>
  <si>
    <t>SAPU/ SAR / SUR</t>
  </si>
  <si>
    <t>Hospital Baja Complejidad</t>
  </si>
  <si>
    <t>Hospital Mediana/Alta Complejidad</t>
  </si>
  <si>
    <t>Otros Establecimientos de la Red</t>
  </si>
  <si>
    <t>Atención Médica Niño y Adulto</t>
  </si>
  <si>
    <t>Atención Médica Gineco-Obstetra</t>
  </si>
  <si>
    <t>Atención por Matrona/ón</t>
  </si>
  <si>
    <t>Atención por Odontólogo/a</t>
  </si>
  <si>
    <t>SECCIÓN A.2: ATENCIONES Y ACTIVIDADES DE URGENCIA REALIZADAS EN SAPU Y SAR</t>
  </si>
  <si>
    <t>ATENCIÓN</t>
  </si>
  <si>
    <t>Atenciones por profesionales  a Honorarios</t>
  </si>
  <si>
    <t>Atención Medica</t>
  </si>
  <si>
    <t>Enfermería</t>
  </si>
  <si>
    <t>Matronería</t>
  </si>
  <si>
    <t>Kinesiología</t>
  </si>
  <si>
    <t>Psicología</t>
  </si>
  <si>
    <t>Trabajo Social</t>
  </si>
  <si>
    <t>Dupla Psicosocial</t>
  </si>
  <si>
    <t>SECCIÓN A.3: ATENCIONES DE URGENCIA REALIZADAS EN ESTABLECIMIENTOS DE BAJA COMPLEJIDAD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</si>
  <si>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</si>
  <si>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</si>
  <si>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</si>
  <si>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</si>
  <si>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</si>
  <si>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</si>
  <si>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</si>
  <si>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</si>
  <si>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</si>
  <si>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</si>
  <si>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</si>
  <si>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</si>
  <si>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</si>
  <si>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</si>
  <si>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</si>
  <si>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</si>
  <si>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y mas</t>
  </si>
  <si>
    <t>Enfermera /o</t>
  </si>
  <si>
    <t>Matrona /ón</t>
  </si>
  <si>
    <t>Kinesiólogo/a</t>
  </si>
  <si>
    <t>SECCIÓN A.4: ATENCIONES DE URGENCIA REALIZADAS EN ESTABLECIMIENTOS  ATENCIÓN PRIMARIA NO SAPU</t>
  </si>
  <si>
    <t>SECCIÓN A.5:  CONSULTAS EN SERVICIOS DE ATENCIÓN DE URGENCIA RURAL (SUR) Y POSTAS RURALES</t>
  </si>
  <si>
    <t>RANGO ETARIO(en años)</t>
  </si>
  <si>
    <t xml:space="preserve">SECCIÓN B: CATEGORIZACIÓN DE PACIENTES, PREVIA A LA ATENCIÓN MÉDICA U ODONTOLÓGICA (Establecimientos Alta, Mediana, Baja Complejidad, SAPU, SAR, SUR) </t>
  </si>
  <si>
    <t>CATEGORÍAS</t>
  </si>
  <si>
    <t>Herramientas de Categorización</t>
  </si>
  <si>
    <t>Discrecional</t>
  </si>
  <si>
    <t>Estructurado (ESI)</t>
  </si>
  <si>
    <t>C1</t>
  </si>
  <si>
    <t>C2</t>
  </si>
  <si>
    <t>C3</t>
  </si>
  <si>
    <t>C4</t>
  </si>
  <si>
    <t>C5</t>
  </si>
  <si>
    <t>Sin Categorización</t>
  </si>
  <si>
    <t xml:space="preserve">SECCIÓN B.1: CATEGORIZACIÓN DE PACIENTES DE URGENCIA GINECO OBSTÉTRICA PREVIO A LA ATENCIÓN CLÍNICA POR MATRÓN (A) Y/O MÉDICO GINECO-OBSTETRA (Establecimientos alta, mediana y baja complejidad) </t>
  </si>
  <si>
    <t>SECCIÓN C: ATENCIONES REALIZADAS POR MÉDICOS Y ODONTÓLOGOS ESPECIALISTAS EN LAS UNIDADES DE URGENCIA HOSPITALARIA</t>
  </si>
  <si>
    <t>ESPECIALIDADES</t>
  </si>
  <si>
    <t>De turno</t>
  </si>
  <si>
    <t>Consultor de llamada</t>
  </si>
  <si>
    <t>Neurología Adultos</t>
  </si>
  <si>
    <t>Obstetricia y Ginecología</t>
  </si>
  <si>
    <t>Traumatología y Ortopedia</t>
  </si>
  <si>
    <t>Psiquiatría Adultos</t>
  </si>
  <si>
    <t>Psiquiatría Pediátrica y Adolescentes</t>
  </si>
  <si>
    <t>Urología</t>
  </si>
  <si>
    <t>Urgenciólogo</t>
  </si>
  <si>
    <t>Cirugía General</t>
  </si>
  <si>
    <t>Cardiología</t>
  </si>
  <si>
    <t>SECCIÓN D: PACIENTES CON INDICACIÓN DE HOSPITALIZACIÓN EN ESPERA DE CAMAS EN UEH (establecimientos de alta, mediana y baja complejidad)</t>
  </si>
  <si>
    <t>TIPO DE PACIENTES</t>
  </si>
  <si>
    <t>Hospitalización Domiciliaria</t>
  </si>
  <si>
    <t>Total de pacientes con indicación de hospitalización</t>
  </si>
  <si>
    <t xml:space="preserve">Pacientes que ingresan a cama hospitalaria según tiempo de demora al ingreso                                </t>
  </si>
  <si>
    <t>Menos de 12 Horas</t>
  </si>
  <si>
    <t>12 - 24 Horas</t>
  </si>
  <si>
    <t>Mayor a 24 Horas</t>
  </si>
  <si>
    <t xml:space="preserve">Pacientes que rechazan hospitalización </t>
  </si>
  <si>
    <t>Pacientes derivados a otro establecimiento</t>
  </si>
  <si>
    <t>Pacientes que permanecen en UEH</t>
  </si>
  <si>
    <t>Pacientes que ingresan directamente a proceso quirúrgico</t>
  </si>
  <si>
    <t>SECCIÓN E PACIENTES CON INDICACIÓN DE OBSERVACIÓN EN SAR Y SAPU</t>
  </si>
  <si>
    <t>PACIENTES CON INDICACIÓN DE OBSERVACIÓN</t>
  </si>
  <si>
    <t xml:space="preserve">Pacientes que permanecen en observación         </t>
  </si>
  <si>
    <t>Menos de 2 Horas</t>
  </si>
  <si>
    <t>2 a 6 Horas</t>
  </si>
  <si>
    <t>Mayor a 6 Horas</t>
  </si>
  <si>
    <t>SECCIÓN F: PACIENTES FALLECIDOS EN UNIDADES DE EMERGENCIA (Establecimientos Alta, Mediana o Baja Complejidad, SAR, SAPU y SUR)</t>
  </si>
  <si>
    <t>Pacientes Fallecidos en Espera de Atención Médica</t>
  </si>
  <si>
    <t>Pacientes Fallecidos en Proceso de Atención</t>
  </si>
  <si>
    <t xml:space="preserve">Pacientes Fallecidos en Espera de Cama Hospitalaria </t>
  </si>
  <si>
    <t>SECCIÓN G: ATENCIONES MÉDICAS ASOCIADAS A VIOLENCIA: CARACTERIZACIÓN DE LA VÍCTIMA</t>
  </si>
  <si>
    <t>10 - 17 años</t>
  </si>
  <si>
    <t>25 - 34 años</t>
  </si>
  <si>
    <t>35 - 44 años</t>
  </si>
  <si>
    <t>45 - 54 años</t>
  </si>
  <si>
    <t>55 - 64 años</t>
  </si>
  <si>
    <t>65 - 74 años</t>
  </si>
  <si>
    <t>75 años y más</t>
  </si>
  <si>
    <t>Lesiones de la víctima</t>
  </si>
  <si>
    <t>Sin lesiones constatables</t>
  </si>
  <si>
    <t>Diversidad de género</t>
  </si>
  <si>
    <t>Traumatológicas</t>
  </si>
  <si>
    <t>Odontológicas</t>
  </si>
  <si>
    <t>Contusionales</t>
  </si>
  <si>
    <t>Por Arma</t>
  </si>
  <si>
    <t>Psicológicas</t>
  </si>
  <si>
    <t>Violencia Intrafamiliar</t>
  </si>
  <si>
    <t>Otras Violencias</t>
  </si>
  <si>
    <t>Violencia de género (Excluye intrafamiliar)</t>
  </si>
  <si>
    <t>AGRESOR /A</t>
  </si>
  <si>
    <t>Pareja/ Ex pareja</t>
  </si>
  <si>
    <t>Familiar</t>
  </si>
  <si>
    <t>Conocido/a</t>
  </si>
  <si>
    <t>Desconocido/a</t>
  </si>
  <si>
    <t xml:space="preserve">SECCIÓN H: ATENCIONES POR ANTICONCEPCIÓN DE EMERGENCIA </t>
  </si>
  <si>
    <t>Atención por Anticoncepción de Emergencia</t>
  </si>
  <si>
    <t>Con entrega de Anticonceptivo</t>
  </si>
  <si>
    <t>Sin entrega de Anticonceptivo</t>
  </si>
  <si>
    <t>SECCIÓN I: MOTIVOS DE ATENCIÓN POR EMERGENCIA OBSTÉTRICA EN EL SERVICIO DE URGENCIA (Establecimientos alta y mediana Complejidad).</t>
  </si>
  <si>
    <t>Cantidad</t>
  </si>
  <si>
    <t>Preeclampsia Severa</t>
  </si>
  <si>
    <t>Eclampsia</t>
  </si>
  <si>
    <t>HELLP</t>
  </si>
  <si>
    <t>Parto Prematuro</t>
  </si>
  <si>
    <t>Hemorragia I Trimestre</t>
  </si>
  <si>
    <t>Hemorragia II Trimestre</t>
  </si>
  <si>
    <t>Hemorragia III Trimestre</t>
  </si>
  <si>
    <t>Rotura Prematura de Membrana</t>
  </si>
  <si>
    <t>Otras Patologías</t>
  </si>
  <si>
    <t>Trabajo de Parto sin Patología</t>
  </si>
  <si>
    <t>SECCIÓN J: LLAMADOS DE URGENCIA A CENTRO REGULADOR</t>
  </si>
  <si>
    <t>TIPO DE ACCIÓN</t>
  </si>
  <si>
    <t>Total de Llamadas</t>
  </si>
  <si>
    <t>Llamadas Validas</t>
  </si>
  <si>
    <t xml:space="preserve"> Centro Regulador </t>
  </si>
  <si>
    <t>Nº  Llamados de Urgencia</t>
  </si>
  <si>
    <t>SECCIÓN K: INTERVENCIONES PRE HOSPITALARIAS (SAMU)</t>
  </si>
  <si>
    <t>N° INTERVENCIONES</t>
  </si>
  <si>
    <t>Tiempo de Llegada Intervenciones Criticas</t>
  </si>
  <si>
    <t>Tiempo de Llegada Intervenciones no Criticas</t>
  </si>
  <si>
    <t>Críticas</t>
  </si>
  <si>
    <t>No Críticas</t>
  </si>
  <si>
    <t>0-20 Min</t>
  </si>
  <si>
    <t>20-40 Min</t>
  </si>
  <si>
    <t>Mas de 40 Min</t>
  </si>
  <si>
    <t>Intervenciones Clínicas Pre Hospitalarias</t>
  </si>
  <si>
    <t>Intervención de Móvil Básico</t>
  </si>
  <si>
    <t>Intervención de Móvil Avanzado</t>
  </si>
  <si>
    <t>SECCIÓN L: TRASLADOS PRIMARIOS A UNIDADES DE URGENCIA (Desde el lugar del evento a unidad de Emergencia)</t>
  </si>
  <si>
    <t>Por compra de servicios</t>
  </si>
  <si>
    <t>SAMU</t>
  </si>
  <si>
    <t>Básico</t>
  </si>
  <si>
    <t>Enrutado</t>
  </si>
  <si>
    <t>No SAMU</t>
  </si>
  <si>
    <t>Marítimo</t>
  </si>
  <si>
    <t>Aéreo</t>
  </si>
  <si>
    <t>SECCIÓN M: TRASLADO SECUNDARIO (Desde un establecimiento a otro)</t>
  </si>
  <si>
    <t>TOTAL DE TRASLADOS</t>
  </si>
  <si>
    <t>Ambos</t>
  </si>
  <si>
    <t>NO SAMU</t>
  </si>
  <si>
    <t>Crítico</t>
  </si>
  <si>
    <t>No Crítico</t>
  </si>
  <si>
    <t>SECCIÓN N: CLASIFICACIÓN DE LAS INTERVENCIONES POR GRANDES GRUPOS DE DIAGNÓSTICOS (SAMU)</t>
  </si>
  <si>
    <t>CAUSAS DE LA INTERVENCIÓN</t>
  </si>
  <si>
    <t>TOTALES</t>
  </si>
  <si>
    <t>Síndrome Coronario Agudo</t>
  </si>
  <si>
    <t>Paro Cardiorrespiratorio</t>
  </si>
  <si>
    <t>Politraumatismo</t>
  </si>
  <si>
    <t xml:space="preserve">SECCIÓN O: ATENCIONES DE URGENCIA POR VIOLENCIA SEXUAL  </t>
  </si>
  <si>
    <t>18 - 24 años</t>
  </si>
  <si>
    <t>65 años y más años</t>
  </si>
  <si>
    <t>Con entrega de anticoncepción de emergencia</t>
  </si>
  <si>
    <t>Sin entrega de anticoncepción de emergencia</t>
  </si>
  <si>
    <t xml:space="preserve">Con profilaxis VIH </t>
  </si>
  <si>
    <t>Con profilaxis ITS</t>
  </si>
  <si>
    <t>Con profilaxis Hepatitis B</t>
  </si>
  <si>
    <t>VICTIMARIO/A</t>
  </si>
  <si>
    <t>72 horas o menos</t>
  </si>
  <si>
    <t>Después de 72 horas</t>
  </si>
  <si>
    <t xml:space="preserve">SECCIÓN P: ATENCIONES MÉDICAS POR VIOLENCIA SEXUAL CON REALIZACIÓN O INDICACIÓN DE PERITAJE </t>
  </si>
  <si>
    <t>De Turno</t>
  </si>
  <si>
    <t>De llamada</t>
  </si>
  <si>
    <t>Atención por médico perito</t>
  </si>
  <si>
    <t>Atención otros médicos</t>
  </si>
  <si>
    <t>SECCIÓN Q: ATENCIONES DE URGENCIA ASOCIADAS A LESIONES AUTOINFLIGIDAS</t>
  </si>
  <si>
    <t xml:space="preserve">
Trans
</t>
  </si>
  <si>
    <t>Femenina</t>
  </si>
  <si>
    <t>Nº de atenciones</t>
  </si>
  <si>
    <t xml:space="preserve">SECCIÓN R: ATENCIONES EN SERVICIO DE URGENCIA DE LA RED, ASOCIADOS A MORDEDURA </t>
  </si>
  <si>
    <t>IDENTIFICACIÓN DEL ANIMAL MORDEDOR</t>
  </si>
  <si>
    <t>GRUPOS DE EDAD (en años)</t>
  </si>
  <si>
    <t>Tipo de Mordedura</t>
  </si>
  <si>
    <t>Indicación de Vacuna</t>
  </si>
  <si>
    <t>Mayor 15 años</t>
  </si>
  <si>
    <t>Única</t>
  </si>
  <si>
    <t>Múltiple</t>
  </si>
  <si>
    <t>Perro</t>
  </si>
  <si>
    <t>Gato</t>
  </si>
  <si>
    <t>Animal Silvestre</t>
  </si>
  <si>
    <t>Exposición a Murciélago</t>
  </si>
  <si>
    <t>Roedor o Animal de Abasto</t>
  </si>
  <si>
    <t xml:space="preserve"> REM-A09. ATENCIÓN DE SALUD BUCAL EN LA RED ASISTENCIAL </t>
  </si>
  <si>
    <t xml:space="preserve">ACTIVIDAD </t>
  </si>
  <si>
    <t>12 años (incluido en el grupo de 10-14 años)</t>
  </si>
  <si>
    <t xml:space="preserve">Gestante </t>
  </si>
  <si>
    <t>60 años (incluido en grupos de 60-64 años)</t>
  </si>
  <si>
    <t>Usuarios con Discapacidad</t>
  </si>
  <si>
    <t>Persona con ingreso integral y condición crónica</t>
  </si>
  <si>
    <t>Niños, niñas, adolescentes y jóvenes SENAME</t>
  </si>
  <si>
    <t>Niños, niñas, adolescentes y jóvenes Mejor Niñez</t>
  </si>
  <si>
    <t>3 años</t>
  </si>
  <si>
    <t>8-9 años</t>
  </si>
  <si>
    <t xml:space="preserve">20-29 años </t>
  </si>
  <si>
    <t>30-39 años</t>
  </si>
  <si>
    <t>40-49 años</t>
  </si>
  <si>
    <t>50-59 años</t>
  </si>
  <si>
    <t>60-64 años</t>
  </si>
  <si>
    <t>65-74 años</t>
  </si>
  <si>
    <t xml:space="preserve">Consulta de Morbilidad </t>
  </si>
  <si>
    <t xml:space="preserve">Control Odontológico </t>
  </si>
  <si>
    <t>Consulta de urgencia (GES)</t>
  </si>
  <si>
    <t>Inasistencia a consulta</t>
  </si>
  <si>
    <t xml:space="preserve">Consulta nueva de Operatoria  de alta complejidad </t>
  </si>
  <si>
    <t xml:space="preserve">Control Operatoria de alta complejidad </t>
  </si>
  <si>
    <t>SECCIÓN B: ACTIVIDADES DE ODONTOLOGÍA GENERAL  REALIZADOS EN NIVEL PRIMARIO Y SECUNDARIO DE SALUD</t>
  </si>
  <si>
    <t>TIPO DE ACTIVIDAD</t>
  </si>
  <si>
    <t xml:space="preserve">Gestantes </t>
  </si>
  <si>
    <t>Compra de Servicio</t>
  </si>
  <si>
    <t>Educación individual con instrucción de técnica de cepillado</t>
  </si>
  <si>
    <t>Consejería breve en tabaco</t>
  </si>
  <si>
    <t xml:space="preserve">Examen de salud oral </t>
  </si>
  <si>
    <t xml:space="preserve">Aplicación de sellantes </t>
  </si>
  <si>
    <t xml:space="preserve">Fluoración tópica barniz </t>
  </si>
  <si>
    <t>Actividad interceptiva de anomalías dento maxilares (OPI)</t>
  </si>
  <si>
    <t xml:space="preserve">Destartraje supragingival y pulido coronario </t>
  </si>
  <si>
    <t xml:space="preserve">Exodoncia </t>
  </si>
  <si>
    <t xml:space="preserve">Procedimiento pulpar </t>
  </si>
  <si>
    <t xml:space="preserve">Acceso cavitario </t>
  </si>
  <si>
    <t xml:space="preserve">Restauración estética </t>
  </si>
  <si>
    <t xml:space="preserve">Restauración de amalgamas </t>
  </si>
  <si>
    <t xml:space="preserve">Obturación de vidrio ionómero  </t>
  </si>
  <si>
    <t xml:space="preserve">Destartraje subgingival y pulido radiocular por sextante </t>
  </si>
  <si>
    <t>Tratamiento restaurador atraumático (ART)</t>
  </si>
  <si>
    <t>Procedimientos Médico-Quirúrgicos</t>
  </si>
  <si>
    <t>Radiografía intraoral (retroalveolares, bite wing y oclusales)</t>
  </si>
  <si>
    <t xml:space="preserve">Aplicación de fluoruro diamino de plata </t>
  </si>
  <si>
    <t>TOTAL ACTIVIDADES</t>
  </si>
  <si>
    <t>Niños, niñas, adolescentes y jóvenes población SENAME</t>
  </si>
  <si>
    <t xml:space="preserve">Ingreso a tratamiento odontología general </t>
  </si>
  <si>
    <t>Ingreso control con enfoque riesgo odontológico (cero)</t>
  </si>
  <si>
    <t>Egreso control con enfoque riesgo odontológico (cero)</t>
  </si>
  <si>
    <t>Altas odontológicas integrales (excluye sección G)</t>
  </si>
  <si>
    <t xml:space="preserve">Ingreso a tratamiento Operatoria  de alta complejidad </t>
  </si>
  <si>
    <t xml:space="preserve">Alta de tratamiento Operatoria  de alta Complejidad </t>
  </si>
  <si>
    <t>1 a 2</t>
  </si>
  <si>
    <t>3 a 4</t>
  </si>
  <si>
    <t>5 a 6</t>
  </si>
  <si>
    <t>7 a 8</t>
  </si>
  <si>
    <t>9 o más</t>
  </si>
  <si>
    <t xml:space="preserve"> N° de dientes (total de dientes en boca. En dentición mixta se suman los dientes primarios y permanentes)</t>
  </si>
  <si>
    <t>1 a 9</t>
  </si>
  <si>
    <t>10 a 19</t>
  </si>
  <si>
    <t>20 a 27</t>
  </si>
  <si>
    <t>28 y más</t>
  </si>
  <si>
    <t>Código examen periodontal básico (EPB)</t>
  </si>
  <si>
    <t>1,2,3</t>
  </si>
  <si>
    <t>4 y *</t>
  </si>
  <si>
    <t xml:space="preserve">SECCIÓN D : INTERCONSULTAS Y PERTINENCIA SEGÚN ORIGEN EN ESTABLECIMIENTOS DE LA RED </t>
  </si>
  <si>
    <t>ESPECIALIDAD</t>
  </si>
  <si>
    <t xml:space="preserve">INTERCONSULTAS GENERADAS SEGÚN ORIGEN </t>
  </si>
  <si>
    <t xml:space="preserve">PERTINENCIA ORIGEN </t>
  </si>
  <si>
    <t>Priorización destino</t>
  </si>
  <si>
    <t xml:space="preserve">Especialidades </t>
  </si>
  <si>
    <t>Hospitalizado</t>
  </si>
  <si>
    <t xml:space="preserve">Endodoncia </t>
  </si>
  <si>
    <t xml:space="preserve">Rehabilitación Oral </t>
  </si>
  <si>
    <t xml:space="preserve">Prótesis removibles </t>
  </si>
  <si>
    <t xml:space="preserve">Prótesis fija </t>
  </si>
  <si>
    <t xml:space="preserve">Cirugía y Traumatología Maxilofacial </t>
  </si>
  <si>
    <t xml:space="preserve">Odontopediatría </t>
  </si>
  <si>
    <t xml:space="preserve">Ortodoncia y Ortopedia Dentomaxilofacial </t>
  </si>
  <si>
    <t xml:space="preserve">Periodoncia </t>
  </si>
  <si>
    <t xml:space="preserve">Patología oral </t>
  </si>
  <si>
    <t xml:space="preserve">Implantología buco Maxilofacial </t>
  </si>
  <si>
    <t xml:space="preserve">Trastornos temporomandibulares y dolor orofacial </t>
  </si>
  <si>
    <t xml:space="preserve">Somatoprótesis </t>
  </si>
  <si>
    <t>SECCIÓN E: CONSULTAS ODONTOLÓGICAS  EN HORARIO CONTINUADO (Incluidas en  Secciones A y B. Excluye extensiones horarias de Sección G )</t>
  </si>
  <si>
    <t>JORNADA</t>
  </si>
  <si>
    <t>Consultas</t>
  </si>
  <si>
    <t xml:space="preserve"> Horario continuado </t>
  </si>
  <si>
    <t>Vespertina (lunes-viernes)</t>
  </si>
  <si>
    <t>Sábado, domingo o festivo</t>
  </si>
  <si>
    <t>SECCIÓN F:  ACTIVIDADES DE ATENCIÓN EN ESPECIALIDADES ODONTOLÓGICAS</t>
  </si>
  <si>
    <t>ACTIVIDADES DE ESPECIALIDADES</t>
  </si>
  <si>
    <t>12 años (incluidos en  grupo de 10-14 años)</t>
  </si>
  <si>
    <t xml:space="preserve"> Atención bajo sedación inhalatoria (con óxido nitroso)</t>
  </si>
  <si>
    <t>60 años incluidos en grupos de  60-64 años)</t>
  </si>
  <si>
    <t>Compra de Servicios</t>
  </si>
  <si>
    <t xml:space="preserve">Usuarios con Discapacidad </t>
  </si>
  <si>
    <t>Flujo digital</t>
  </si>
  <si>
    <t>Menos de 1 año - 1 año</t>
  </si>
  <si>
    <t xml:space="preserve">Respuesta a interconsulta personas hospitalizadas </t>
  </si>
  <si>
    <t xml:space="preserve">Cirugía y Traumatología Maxilofacial  </t>
  </si>
  <si>
    <t>Periodoncia</t>
  </si>
  <si>
    <t>Rehabilitación oral</t>
  </si>
  <si>
    <t xml:space="preserve">Otras especialidades  odontológicas </t>
  </si>
  <si>
    <t xml:space="preserve">Visita a sala </t>
  </si>
  <si>
    <t>Otras especialidades odontológicas</t>
  </si>
  <si>
    <t xml:space="preserve">Tratamiento traumatismo dentoalveolar </t>
  </si>
  <si>
    <t>Obturación indirecta (inlays u onlays)</t>
  </si>
  <si>
    <t xml:space="preserve">Instalación aparato removible ortodóncico </t>
  </si>
  <si>
    <t xml:space="preserve">Instalación aparato fijo ortodóncico </t>
  </si>
  <si>
    <t xml:space="preserve">Instalación aparato de contención ortodóncico </t>
  </si>
  <si>
    <t xml:space="preserve">Retiro aparatología de ortodoncia </t>
  </si>
  <si>
    <t xml:space="preserve">Ortopedia prequirúrgica </t>
  </si>
  <si>
    <t xml:space="preserve">Tratamiento endodoncia unirradicular </t>
  </si>
  <si>
    <t xml:space="preserve">Tratamiento endodoncia birradicular </t>
  </si>
  <si>
    <t xml:space="preserve">Tratamiento endodoncia multirradicular </t>
  </si>
  <si>
    <t xml:space="preserve">Inducción al cierre apical </t>
  </si>
  <si>
    <t xml:space="preserve">Retratamiento de endodoncia </t>
  </si>
  <si>
    <t xml:space="preserve">Adaptación a la atención odontológica  </t>
  </si>
  <si>
    <t>Procedimiento restaurador (odontopediatría)</t>
  </si>
  <si>
    <t>Procedimiento pulpar (odontopediatría)</t>
  </si>
  <si>
    <t xml:space="preserve">Destartraje subgingival o pulido radicular </t>
  </si>
  <si>
    <t xml:space="preserve">Destartraje supragingival o pulido coronario </t>
  </si>
  <si>
    <t xml:space="preserve">Ferulización </t>
  </si>
  <si>
    <t xml:space="preserve">Rehabilitación mediante prótesis removible acrílica parcial o total </t>
  </si>
  <si>
    <t xml:space="preserve">Rehabilitación mediante prótesis removible metálica parcial </t>
  </si>
  <si>
    <t xml:space="preserve">Rehabilitación mediante prótesis fija unitaria o plural </t>
  </si>
  <si>
    <t xml:space="preserve">Rehabilitación mediante prótesis fija implantoasistida </t>
  </si>
  <si>
    <t xml:space="preserve">Rehabilitación mediante prótesis muco-implantoasistida </t>
  </si>
  <si>
    <t xml:space="preserve">Reparación de prótesis </t>
  </si>
  <si>
    <t xml:space="preserve">Implantología etapa protésica </t>
  </si>
  <si>
    <t xml:space="preserve">Estudio hispatológico </t>
  </si>
  <si>
    <t xml:space="preserve">Sialometría </t>
  </si>
  <si>
    <t xml:space="preserve">Terapia farmacológica de lesiones del territorio oral y maxilofacial </t>
  </si>
  <si>
    <t xml:space="preserve">Terapia no farmacológica de lesiones del territorio oral y maxilofacial </t>
  </si>
  <si>
    <t xml:space="preserve">Estudio clínico lesiones del territorio oral maxilofacial </t>
  </si>
  <si>
    <t>Terapia física en trastornos temporomandibulares (TTM) y dolor orofacial (DOF)</t>
  </si>
  <si>
    <t>Infiltración en articulación temporo mandibular (ATM)</t>
  </si>
  <si>
    <t>Bloqueo anestésico y/o medicamentoso en TTM y DOF</t>
  </si>
  <si>
    <t>Artrocentesis en ATM</t>
  </si>
  <si>
    <t xml:space="preserve">Terapia bioconductual </t>
  </si>
  <si>
    <t xml:space="preserve">Desgaste selectivo </t>
  </si>
  <si>
    <t xml:space="preserve">Instalación en dispositivo ortopédico </t>
  </si>
  <si>
    <t>Terapia farmacológica TTM</t>
  </si>
  <si>
    <t xml:space="preserve">Actividades somatoprótesis </t>
  </si>
  <si>
    <t xml:space="preserve">Cirugía Ortognática </t>
  </si>
  <si>
    <t>SECCIÓN F.1 : ACTIVIDADES  QUIRÚRGICAS POR ESPECIALIDAD  ODONTOLÓGICA</t>
  </si>
  <si>
    <t xml:space="preserve"> Total Cirugía Menor</t>
  </si>
  <si>
    <t>Cirugía Menor en Sala de procedimiento invasivo</t>
  </si>
  <si>
    <t>Cirugía Menor en Quirófano de menor complejidad</t>
  </si>
  <si>
    <t>Cirugía menor Quirófano de mayor complejidad</t>
  </si>
  <si>
    <t>Implantes dentales</t>
  </si>
  <si>
    <t xml:space="preserve"> Cirugía Tercer molar </t>
  </si>
  <si>
    <t>Discapacidad</t>
  </si>
  <si>
    <t>Total de cirugias mayores en Quirófano de mayor  complejidad</t>
  </si>
  <si>
    <t>Cirugía Mayor Ambulatoria Electiva/Urgencia en quirófano de mayor complejidad</t>
  </si>
  <si>
    <t xml:space="preserve"> Cirugía Mayor No Ambulatoria Electiva/Urgencia en quirófano de mayor complejidad</t>
  </si>
  <si>
    <t>Ortodoncia y Ortopedia Dentomaxilofacial</t>
  </si>
  <si>
    <t>SECCIÓN F.2:  ACTIVIDADES DE IMAGENOLOGÍA ORAL Y MAXILOFACIAL</t>
  </si>
  <si>
    <t>ACTIVIDADES DE APOYO</t>
  </si>
  <si>
    <t>GRUPO ETARIO Y SEXO</t>
  </si>
  <si>
    <t xml:space="preserve">Total </t>
  </si>
  <si>
    <t>Radiografía intraoral periapical (por placa)</t>
  </si>
  <si>
    <t xml:space="preserve">Radiografía oclusal </t>
  </si>
  <si>
    <t xml:space="preserve">Telerradiografía </t>
  </si>
  <si>
    <t xml:space="preserve">Radiografía panorámica </t>
  </si>
  <si>
    <t>Tomografía computacional Cone Beam unimaxilar</t>
  </si>
  <si>
    <t>Tomografía computacional Cone Beam zona dentaria</t>
  </si>
  <si>
    <t>Sialografías (por procedimiento)</t>
  </si>
  <si>
    <t>Procedimiento imagenológico complejo (por procedimiento)</t>
  </si>
  <si>
    <t>Procedimiento en glándula salival</t>
  </si>
  <si>
    <t>SECCIÓN G: PROGRAMAS ESPECIALES Y GES (Actividades incluidas en Sección B)</t>
  </si>
  <si>
    <t>PROGRAMA - ACTIVIDAD</t>
  </si>
  <si>
    <t>Egreso por Abandono</t>
  </si>
  <si>
    <t>Programa odontológico integral, estrategia más Sonrisas para Chile</t>
  </si>
  <si>
    <t>N°Auditorías clínicas realizadas</t>
  </si>
  <si>
    <t xml:space="preserve">Altas integrales </t>
  </si>
  <si>
    <t>JUNJI-INTEGRA-MINEDUC</t>
  </si>
  <si>
    <t>SERNAMEG</t>
  </si>
  <si>
    <t>PRODEMU</t>
  </si>
  <si>
    <t>Subsistema Seguridades y Oportunidades</t>
  </si>
  <si>
    <t>MINVU</t>
  </si>
  <si>
    <t xml:space="preserve">Demanda local </t>
  </si>
  <si>
    <t>Total Egresos/Altas integrales (incluye Prótesis Removible)</t>
  </si>
  <si>
    <t>Total Egresos/Altas integrales (no Incluye Prótesis Removible)</t>
  </si>
  <si>
    <t>Programa odontológico integral, Atención odontológica integral a hombres</t>
  </si>
  <si>
    <t xml:space="preserve">Nº de auditorías clínicas realizadas </t>
  </si>
  <si>
    <t>Altas integrales/actividades</t>
  </si>
  <si>
    <t>Total Egreso/Altas integrales (no Incluye Prótesis Removible)</t>
  </si>
  <si>
    <t xml:space="preserve">Programa odontológico integral, estrategia atención odontológica en domicilio </t>
  </si>
  <si>
    <t xml:space="preserve">Altas odontológicas </t>
  </si>
  <si>
    <t xml:space="preserve">TOTAL ALTAS </t>
  </si>
  <si>
    <t xml:space="preserve">Altas personas con dependencia severa </t>
  </si>
  <si>
    <t xml:space="preserve">Altas cuidadores personas con dependencia </t>
  </si>
  <si>
    <t>Programa mejoramiento del acceso, estrategia resolución de especialidad en APS</t>
  </si>
  <si>
    <t xml:space="preserve">Tratamiento endodoncia </t>
  </si>
  <si>
    <t xml:space="preserve">N° Pacientes </t>
  </si>
  <si>
    <t xml:space="preserve">N° Dientes tratados por odontólogo general </t>
  </si>
  <si>
    <t xml:space="preserve">N° Dientes tratados por endodoncista </t>
  </si>
  <si>
    <t xml:space="preserve">Tratamiento de periodoncia </t>
  </si>
  <si>
    <t xml:space="preserve">N° de sextantes por periodoncista </t>
  </si>
  <si>
    <t xml:space="preserve">N° Prótesis realizadas por odontólogo general </t>
  </si>
  <si>
    <t xml:space="preserve">N° Prótesis realizadas por rehabilitadores orales </t>
  </si>
  <si>
    <t xml:space="preserve">Programa GES odontológico adulto de 60 años </t>
  </si>
  <si>
    <t>ALTAS INTEGRALES</t>
  </si>
  <si>
    <t>N° Dientes</t>
  </si>
  <si>
    <t xml:space="preserve">N° Prótesis </t>
  </si>
  <si>
    <t xml:space="preserve">Programa odontológico integral, estrategia estudiantes de enseñanza media </t>
  </si>
  <si>
    <t xml:space="preserve">Altas integrales estudiantes de enseñanza media </t>
  </si>
  <si>
    <t xml:space="preserve">Alta integral en centro de salud </t>
  </si>
  <si>
    <t xml:space="preserve">Alta integral en unidad dental móvil o portátil </t>
  </si>
  <si>
    <t xml:space="preserve">Alta integral en establecimiento educacional </t>
  </si>
  <si>
    <t xml:space="preserve">Programa mejoramiento del acceso, estrategia morbilidad adulto </t>
  </si>
  <si>
    <t xml:space="preserve">Morbilidad adulto </t>
  </si>
  <si>
    <t xml:space="preserve">N° total de actividades recuperativa realizada en &gt;20 años, en extensión horaria </t>
  </si>
  <si>
    <t xml:space="preserve">N° de consultas de morbilidad realizadas en &gt;20 años, en extensión horaria </t>
  </si>
  <si>
    <t>Estrategia  ECICEP - Atención Periodontal personas con  Diabetes Mellitus</t>
  </si>
  <si>
    <t>Tratamiento periodoncia Odontólogo APS</t>
  </si>
  <si>
    <t>Tratamiento de periodoncia por periodoncista</t>
  </si>
  <si>
    <t>N° de controles por periodoncista</t>
  </si>
  <si>
    <t>SECCIÓN G.1: PROGRAMA SEMBRANDO SONRISAS</t>
  </si>
  <si>
    <t>JUNJI</t>
  </si>
  <si>
    <t>INTEGRA</t>
  </si>
  <si>
    <t>MINEDUC</t>
  </si>
  <si>
    <t xml:space="preserve">Pueblos originarios </t>
  </si>
  <si>
    <t xml:space="preserve">Migrantes </t>
  </si>
  <si>
    <t xml:space="preserve">Examen de salud </t>
  </si>
  <si>
    <t xml:space="preserve">Nº de niños con índice ceod=0 al ingreso </t>
  </si>
  <si>
    <t xml:space="preserve">Set de higiene oral entregados </t>
  </si>
  <si>
    <t xml:space="preserve">Nº de aplicaciones flúor barniz </t>
  </si>
  <si>
    <t xml:space="preserve">Educación grupal en establecimiento de educación </t>
  </si>
  <si>
    <t>N° de establecimientos de educación con programa implementado</t>
  </si>
  <si>
    <t>SECCIÓN H: SEDACIÓN Y ANESTESIA</t>
  </si>
  <si>
    <t>Procedimiento</t>
  </si>
  <si>
    <t>Cirugía menor</t>
  </si>
  <si>
    <t>Cirugía mayor no ambulatoria urgencia/electiva</t>
  </si>
  <si>
    <t>Cirugía mayor ambulatoria urgencia/electiva</t>
  </si>
  <si>
    <t>Atención bajo sedación inhalatoria (con óxido nitroso)</t>
  </si>
  <si>
    <t xml:space="preserve">Atención bajo anestesia general </t>
  </si>
  <si>
    <t xml:space="preserve">Atención bajo sedación oral </t>
  </si>
  <si>
    <t>Atención bajo anestesia local</t>
  </si>
  <si>
    <t>Atención bajo sedación profunda</t>
  </si>
  <si>
    <t>SECCIÓN I:  CONSULTAS, INGRESOS Y EGRESOS EN ESPECIALIDADES ODONTOLÓGICAS REALIZADOS EN NIVEL PRIMARIO Y SECUNDARIO DE SALUD</t>
  </si>
  <si>
    <t>ESPECIALIDAD Y TIPO DE INGRESO O EGRESO.</t>
  </si>
  <si>
    <t xml:space="preserve">TOTAL   </t>
  </si>
  <si>
    <t>60 años (incluido en grupos de  60-64 años)</t>
  </si>
  <si>
    <t>CONSULTAS PERTINENTES</t>
  </si>
  <si>
    <t xml:space="preserve">Ortodoncia interceptiva </t>
  </si>
  <si>
    <t>Usuarios Oncológicos</t>
  </si>
  <si>
    <t xml:space="preserve">20-24 años </t>
  </si>
  <si>
    <t>25-34 años</t>
  </si>
  <si>
    <t>35-44 años</t>
  </si>
  <si>
    <t>45-59 años</t>
  </si>
  <si>
    <t>Según Protocolo de Referencia</t>
  </si>
  <si>
    <t>Según condición clínica</t>
  </si>
  <si>
    <t xml:space="preserve">Consultas </t>
  </si>
  <si>
    <t>Consultas de urgencia GES</t>
  </si>
  <si>
    <t>Consulta de urgencia no GES</t>
  </si>
  <si>
    <t xml:space="preserve">Cirugía y traumatología maxilofacial </t>
  </si>
  <si>
    <t xml:space="preserve">Consulta nueva  </t>
  </si>
  <si>
    <t xml:space="preserve">Control  </t>
  </si>
  <si>
    <t xml:space="preserve">Ingreso a tratamiento </t>
  </si>
  <si>
    <t xml:space="preserve">Altas de tratamiento </t>
  </si>
  <si>
    <t xml:space="preserve">Control de especialidad post alta </t>
  </si>
  <si>
    <t xml:space="preserve">Altas administrativas </t>
  </si>
  <si>
    <t>Ortodoncia y ortopedia dento maxilofacial: Aparatología fija</t>
  </si>
  <si>
    <t>Ortodoncia y ortopedia dento maxilofacial: Aparatología removible</t>
  </si>
  <si>
    <t xml:space="preserve">Rehabilitación: Prótesis fija </t>
  </si>
  <si>
    <t xml:space="preserve">Rehabilitación: Prótesis removible </t>
  </si>
  <si>
    <t xml:space="preserve">Rehabilitación: Prótesis implantoasistida </t>
  </si>
  <si>
    <t xml:space="preserve">Implantología buco maxilofacial </t>
  </si>
  <si>
    <t xml:space="preserve">Somatóprótesis </t>
  </si>
  <si>
    <t xml:space="preserve">SECCIÓN J: ACTIVIDADES EFECTUADAS POR TÉCNICO PARAMÉDICO DENTAL Y/O HIGIENISTAS DENTALES  </t>
  </si>
  <si>
    <t>Gestante</t>
  </si>
  <si>
    <t>60 años (incluidos en grupos de 60-64 años)</t>
  </si>
  <si>
    <t xml:space="preserve">Pulido coronario y destartraje supragingival </t>
  </si>
  <si>
    <t xml:space="preserve">Fluoración tópica </t>
  </si>
  <si>
    <t xml:space="preserve">Educación individual con instrucción  de técnica de cepillado </t>
  </si>
  <si>
    <t>Radiografías intraorales (retroalveolares y bitewing)</t>
  </si>
  <si>
    <t xml:space="preserve">SECCIÓN K: CONSULTORÍAS DE ESPECIALIDADES ODONTOLÓGICAS. </t>
  </si>
  <si>
    <t xml:space="preserve">Nº Consultorías </t>
  </si>
  <si>
    <t xml:space="preserve">Nº de casos revisados por el equipo </t>
  </si>
  <si>
    <t xml:space="preserve">Nº de casos atendidos </t>
  </si>
  <si>
    <t xml:space="preserve">Imagenología oral y Maxilofacial  </t>
  </si>
  <si>
    <t xml:space="preserve">Ortodoncia </t>
  </si>
  <si>
    <t xml:space="preserve">Rehabilitación oral </t>
  </si>
  <si>
    <t xml:space="preserve">Trastornos Temporomandibulares y dolor Orofacial </t>
  </si>
  <si>
    <t>Somatoprotesis</t>
  </si>
  <si>
    <t xml:space="preserve">REM-A11.  EXÁMENES DE PESQUISA DE ENFERMEDADES TRASMISIBLES </t>
  </si>
  <si>
    <t>SECCION A: EXÁMENES DE SÍFILIS</t>
  </si>
  <si>
    <t>SECCIÓN A.1: EXAMEN VDRL POR GRUPO DE USUARIOS (USO EXCLUSIVO DE ESTABLECIMIENTOS CON LABORATORIO QUE PROCESAN)</t>
  </si>
  <si>
    <t>GRUPO DE PESQUISA</t>
  </si>
  <si>
    <t>POR SEXO (Procesados)</t>
  </si>
  <si>
    <t>Menos de 6 meses</t>
  </si>
  <si>
    <t>12-24 meses</t>
  </si>
  <si>
    <t>Procesados</t>
  </si>
  <si>
    <t>Reactivos</t>
  </si>
  <si>
    <t>Gestantes primer trimestre embarazo</t>
  </si>
  <si>
    <t>Gestantes segundo trimestre embarazo</t>
  </si>
  <si>
    <t>Gestantes tercer trimestre embarazo</t>
  </si>
  <si>
    <t>Gestantes trimestre embarazo ignorado</t>
  </si>
  <si>
    <t>Gestantes en seguimiento por diagnóstico sífilis</t>
  </si>
  <si>
    <t>Pareja de gestante con serología reactiva</t>
  </si>
  <si>
    <t>Mujeres que ingresan a maternidad por parto</t>
  </si>
  <si>
    <t>Mujeres que ingresan por aborto</t>
  </si>
  <si>
    <t>Mujeres en control ginecológico</t>
  </si>
  <si>
    <t>Recién nacido y lactante para detección de sífilis congénita</t>
  </si>
  <si>
    <t>Personas en control por comercio sexual</t>
  </si>
  <si>
    <t>Personas en control fecundidad</t>
  </si>
  <si>
    <t>Consultantes por ITS</t>
  </si>
  <si>
    <t>Personas EMP/EMPAM</t>
  </si>
  <si>
    <t>Donantes de sangre</t>
  </si>
  <si>
    <t>Donantes de órganos y/o tejidos</t>
  </si>
  <si>
    <t>Pacientes en diálisis</t>
  </si>
  <si>
    <t>Víctima de violencia sexual</t>
  </si>
  <si>
    <t>SECCIÓN A.2: EXAMEN VDRL POR GRUPO DE USUARIOS (USO EXCLUSIVO DE ESTABLECIMIENTOS QUE COMPRAN SERVICIO)</t>
  </si>
  <si>
    <t>SECCIÓN A.3: EXAMEN RPR POR GRUPO DE USUARIOS (USO EXCLUSIVO DE ESTABLECIMIENTOS CON LABORATORIO QUE PROCESAN)</t>
  </si>
  <si>
    <t>SECCIÓN A.4: EXAMEN RPR POR GRUPO DE USUARIOS (USO EXCLUSIVO DE ESTABLECIMIENTOS QUE COMPRAN SERVICIO)</t>
  </si>
  <si>
    <t>SECCIÓN A.5: EXAMEN MHA-TP POR GRUPO DE USUARIOS (USO EXCLUSIVO DE ESTABLECIMIENTOS CON LABORATORIO QUE PROCESAN)</t>
  </si>
  <si>
    <t>6 a 11 meses</t>
  </si>
  <si>
    <t>3 a 4 años</t>
  </si>
  <si>
    <t>SECCIÓN A.6: EXAMEN MHA-TP POR GRUPO DE USUARIOS (USO EXCLUSIVO DE ESTABLECIMIENTOS QUE COMPRAN SERVICIO)</t>
  </si>
  <si>
    <t>SECCIÓN B.1: EXÁMENES SEGÚN GRUPOS DE USUARIOS POR CONDICIÓN DE HEPATITIS B, HEPATITIS C, CHAGAS, HTLV 1 Y SIFILIS (USO EXCLUSIVO DE ESTABLECIMIENTOS CON LABORATORIO QUE PROCESAN)</t>
  </si>
  <si>
    <t>GRUPO DE USUARIOS</t>
  </si>
  <si>
    <t>HEPATITIS  B</t>
  </si>
  <si>
    <t>HEPATITIS  C</t>
  </si>
  <si>
    <t>CHAGAS</t>
  </si>
  <si>
    <t>HTLV1</t>
  </si>
  <si>
    <t>Confirmados</t>
  </si>
  <si>
    <t>Usuarios</t>
  </si>
  <si>
    <t>Donantes</t>
  </si>
  <si>
    <t>Altruista nuevo</t>
  </si>
  <si>
    <t>Altruista repetido</t>
  </si>
  <si>
    <t>Familiar o Reposición</t>
  </si>
  <si>
    <t>Donantes de organos y/o tejidos</t>
  </si>
  <si>
    <t>SECCIÓN B.2: EXÁMENES SEGÚN GRUPOS DE USUARIOS POR CONDICIÓN DE HEPATITIS B, HEPATITIS C, CHAGAS, HTLV 1 Y SIFILIS (USO EXCLUSIVO DE ESTABLECIMIENTOS QUE COMPRAN SERVICIO)</t>
  </si>
  <si>
    <t>SECCIÓN C.1: EXÁMENES  DE  VIH POR GRUPOS DE USUARIOS (USO EXCLUSIVO DE ESTABLECIMIENTOS CON LABORATORIO QUE PROCESAN)</t>
  </si>
  <si>
    <t>POR SEXO</t>
  </si>
  <si>
    <t>14-18 años</t>
  </si>
  <si>
    <t>Menos de 12 meses</t>
  </si>
  <si>
    <t xml:space="preserve"> 65 y más años</t>
  </si>
  <si>
    <t>Confirmados positivos por ISP</t>
  </si>
  <si>
    <t>Gestantes primer examen</t>
  </si>
  <si>
    <t>Gestantes segundo examen</t>
  </si>
  <si>
    <t>Mujer en trabajo de pre parto o parto</t>
  </si>
  <si>
    <t>Por consulta ITS</t>
  </si>
  <si>
    <t>Personas en control de regulación fecundidad, ginecológico, climaterio</t>
  </si>
  <si>
    <t>Personas en control de salud según ciclo vital</t>
  </si>
  <si>
    <t>Persona en control por TBC</t>
  </si>
  <si>
    <t>Pareja serodiscordante</t>
  </si>
  <si>
    <t>Pareja de gestante VIH positivo</t>
  </si>
  <si>
    <t>Personal de salud expuesto a accidente cortopunzante</t>
  </si>
  <si>
    <t>Pacientes fuente de accidente cortopunzante</t>
  </si>
  <si>
    <t>Persona en control por Hepatitis B</t>
  </si>
  <si>
    <t>Persona en control por Hepatitis C</t>
  </si>
  <si>
    <t>Consultantes por morbilidad</t>
  </si>
  <si>
    <t>Por consulta espontánea</t>
  </si>
  <si>
    <t>SECCIÓN C.2: EXÁMENES  DE  VIH POR GRUPOS DE USUARIOS (USO EXCLUSIVO DE ESTABLECIMIENTOS QUE COMPRAN SERVICIO)</t>
  </si>
  <si>
    <t xml:space="preserve">SECCIÓN D: EXÁMENES DE GONORREA POR GRUPOS DE USUARIOS </t>
  </si>
  <si>
    <t>POR SEXO
(Procesados)</t>
  </si>
  <si>
    <t>Comercio sexual</t>
  </si>
  <si>
    <t>Personas VIH (+)</t>
  </si>
  <si>
    <t>Consultante ITS ambulatorio (Nivel 1º y 2º)</t>
  </si>
  <si>
    <t>Consultante ITS hospitalario (Nivel 3º y Urgencia)</t>
  </si>
  <si>
    <t xml:space="preserve">SECCIÓN E: EXÁMENES DE CHLAMYIDIA TRACHOMATIS POR GRUPOS DE USUARIOS </t>
  </si>
  <si>
    <t>Consultante ITS hospitalario (nivel 3º y Urgencia)</t>
  </si>
  <si>
    <t>SECCIÓN F: EXÁMENES  DE  VIH POR TECNICA VISUAL/RAPIDA Y GRUPOS DE USUARIOS (USO EXCLUSIVO DE ESTABLECIMIENTOS NO LABORATORIOS)</t>
  </si>
  <si>
    <t>GRUPOS DE USUARIOS POR INSTANCIA</t>
  </si>
  <si>
    <t>65 y Mas años</t>
  </si>
  <si>
    <t>Interior establecimiento salud (intramuro)</t>
  </si>
  <si>
    <t>Mujer en trabajo de preparto o parto</t>
  </si>
  <si>
    <t xml:space="preserve">Personas EMP/EMPAM </t>
  </si>
  <si>
    <t>Persona en control por hepatitis B</t>
  </si>
  <si>
    <t>Persona en control por hepatitis C</t>
  </si>
  <si>
    <t>Exterior establecimiento de salud (extramuro)</t>
  </si>
  <si>
    <t>Centros penitenciarios</t>
  </si>
  <si>
    <t>Centros SENAME</t>
  </si>
  <si>
    <t>Centros educacionales</t>
  </si>
  <si>
    <t xml:space="preserve">Otros </t>
  </si>
  <si>
    <t>SECCION G: DONANTES CONFIRMADOS ENFERMERDAD DE CHAGAS</t>
  </si>
  <si>
    <t>55-59 años</t>
  </si>
  <si>
    <t>Donantes confirmados con enfermedad de Chagas en el periodo</t>
  </si>
  <si>
    <t>Donantes confirmados e  informados de su condición serologica para enfermedad de Chagas</t>
  </si>
  <si>
    <t>SECCIÓN H: SEGUIMIENTO DE CASOS</t>
  </si>
  <si>
    <t>1-4 años</t>
  </si>
  <si>
    <t>5-9 años</t>
  </si>
  <si>
    <t>Control de las personas con Chagas crónico en Atencion Primaria de Salud</t>
  </si>
  <si>
    <t>Estudio de  contactos familiares de un caso por Infección por T Cruzi</t>
  </si>
  <si>
    <t>Casos contactos familiares confirmados por Infección por T cruzi</t>
  </si>
  <si>
    <t>REM-A11a. TRANSMISIÓN VERTICAL MATERNO INFANTIL</t>
  </si>
  <si>
    <t>SECCION A: TRATAMIENTO DE SÍFILIS EN GESTANTES</t>
  </si>
  <si>
    <t xml:space="preserve">RANGO ETARIO </t>
  </si>
  <si>
    <t>TRATAMIENTO DE SÍFILIS EN GESTANTES EN ATENCIÓN PRIMARIA</t>
  </si>
  <si>
    <t>Gestantes con 1° test no treponémico reactivo en este embarazo con  penicilina administrada en Atención Primaria</t>
  </si>
  <si>
    <t xml:space="preserve">Gestantes con 1° test no treponémico reactivo </t>
  </si>
  <si>
    <t>TRATAMIENTO DE SÍFILIS EN GESTANTES EN ESPECIALIDADES</t>
  </si>
  <si>
    <t>Gestantes con 1° test no treponémico reactivo en este embarazo  con penicilina administrada en especialidades</t>
  </si>
  <si>
    <t>Gestantes con 1° test no treponémico reactivo en este embarazo</t>
  </si>
  <si>
    <t>TRATAMIENTO SÍFILIS EN GESTANTES AL MOMENTO DEL PARTO</t>
  </si>
  <si>
    <t>Gestantes con 1° test no treponemico reactivo en este embarazo con  penicilina administrada al parto</t>
  </si>
  <si>
    <t>SECCIÓN B: NIÑOS Y NIÑAS EXPUESTOS A LA SÍFILIS TRATADOS AL NACER</t>
  </si>
  <si>
    <t>Recién nacidos/as expuestos a sífilis (hijos de mujer con serología reactiva para sífilis al parto no tratada o inadecuadamente tratada), que reciben tratamiento para sífilis congénita al nacer</t>
  </si>
  <si>
    <t>Recién nacidos/as expuestos a sífilis (hijos de mujer con serología reactiva para sífilis al parto  no tratada o inadecuadamente tratada)</t>
  </si>
  <si>
    <t>SECCIÓN C: ABORTOS Y DEFUNCIONES FETALES ATRIBUIDAS A SÍFILIS SEGÚN EDAD GESTACIONAL</t>
  </si>
  <si>
    <t xml:space="preserve">Mujeres con serología reactiva para sífilis con aborto menor o igual a 19+6 semanas o menor a 500 grs </t>
  </si>
  <si>
    <t xml:space="preserve">Mujeres con aborto menor o igual a 19+6 semanas o menor a 500 grs </t>
  </si>
  <si>
    <t xml:space="preserve">Mujeres con serología reactiva para sífilis con aborto entre las 20 y las 21+6 semanas o mayor a 500 grs </t>
  </si>
  <si>
    <t xml:space="preserve">Mujeres con aborto entre las 20 y las 21+6 semanas o mayor a 500 grs </t>
  </si>
  <si>
    <t xml:space="preserve">Mujeres con serología reactiva para sífilis con mortinato mayor o igual a 22 semanas </t>
  </si>
  <si>
    <t xml:space="preserve">Mujeres con mortinato mayor o igual a 22 semanas </t>
  </si>
  <si>
    <t>SECCION D: APLICACIÓN DE PROFILAXIS OCULAR PARA GONORREA EN RECIÉN NACIDOS</t>
  </si>
  <si>
    <t>Recién Nacidos  vivos que reciben profilaxis ocular para gonorrea al nacer</t>
  </si>
  <si>
    <t xml:space="preserve">Recién nacidos vivos </t>
  </si>
  <si>
    <t>SECCIÓN E: MUJERES VIH QUE RECIBE PROTOCOLO PREVENCIÓN TRANSMISIÓN VERTICAL AL PARTO (PTV)</t>
  </si>
  <si>
    <t>SECCIÓN F: RECIÉN NACIDOS EXPUESTOS AL VIH QUE RECIBE PROTOCOLO DE TRANSMISIÓN VERTICAL</t>
  </si>
  <si>
    <t xml:space="preserve">Recién nacidos vivos hijos de mujer VIH (+) confirmada por ISP que iniciaron profilaxis para VIH durante las primeras 12 hrs. de vida </t>
  </si>
  <si>
    <t>Recién nacidos vivos hijos de mujer VIH (+) confirmada por ISP</t>
  </si>
  <si>
    <t xml:space="preserve">Recién nacidos vivos hijos de mujer con serología VIH (+) no confirmada por ISP que iniciaron profilaxis para VIH durante las primeras 12 hrs. de vida </t>
  </si>
  <si>
    <t>Recién nacidos vivos hijos de mujer con serología VIH (+) no confirmada por ISP</t>
  </si>
  <si>
    <t>SECCIÓN G: RECIÉN NACIDOS EXPUESTOS AL VIH QUE RECIBEN LECHE MATERNIZADA AL ALTA</t>
  </si>
  <si>
    <t>Recién nacidos vivos hijos de mujer VIH (+) confirmada por ISP que recibieron leche maternizada al alta (para ser consumida en su casa)</t>
  </si>
  <si>
    <t>Recien nacidos vivos hijos de mujer con serología VIH (+) no confirmada por el ISP  que recibieron leche maternizada al alta (para ser consumida en su casa)</t>
  </si>
  <si>
    <t>Recien nacidos vivos hijos de mujer con serología VIH (+) no confirmada por el ISP</t>
  </si>
  <si>
    <t xml:space="preserve">SECCIÓN H: GESTANTES ESTUDIADAS PARA ESTREPTOCOCCUS GRUPO B (EGB) </t>
  </si>
  <si>
    <t>GESTANTES ESTUDIADAS PARA ESTREPTOCOCCUS GRUPO B (EGB) EN APS</t>
  </si>
  <si>
    <t>Gestantes estudiadas para EGB en APS</t>
  </si>
  <si>
    <t xml:space="preserve">Gestantes estudiadas en APS con examen EGB (+) </t>
  </si>
  <si>
    <t>GESTANTES ESTUDIADAS PARA ESTREPTOCOCCUS GRUPO B (EGB) EN ESPECIALIDADES</t>
  </si>
  <si>
    <t>Gestantes estudiadas para EGB en Especialidades</t>
  </si>
  <si>
    <t xml:space="preserve">Gestantes estudiadas en Especialidades con examen EGB (+) </t>
  </si>
  <si>
    <t>GESTANTES ESTUDIADAS PARA ESTREPTOCOCCUS GRUPO B (EGB) EN NIVEL HOSPITALARIO</t>
  </si>
  <si>
    <t>Gestantes estudiadas para EGB en nivel hospitalario</t>
  </si>
  <si>
    <t xml:space="preserve">Gestantes estudiadas en nivel hospitalario con examen EGB (+) </t>
  </si>
  <si>
    <t>GESTANTES CON PROFILAXIS PARA ESTREPTOCOCCUS GRUPO B (EGB) AL PARTO</t>
  </si>
  <si>
    <t>Gestantes con profilaxis para  EGB (+) al parto</t>
  </si>
  <si>
    <t>SECCIÓN I: GESTANTES EVALUADAS PARA HEPATITIS B</t>
  </si>
  <si>
    <t>GESTANTES EVALUADAS PARA HEPATITIS B EN ATENCIÓN PRIMARIA</t>
  </si>
  <si>
    <t xml:space="preserve">Gestantes con solicitud de estudio serológico para Hepatitis B </t>
  </si>
  <si>
    <t xml:space="preserve">Gestantes con estudio serológico positivo confirmado para Hepatitis B </t>
  </si>
  <si>
    <t xml:space="preserve">Gestantes con Hepatitis B positivo derivada con especialista (Gastroenterólogo, hepatólogo u otro) </t>
  </si>
  <si>
    <t>GESTANTES EVALUADAS PARA HEPATITIS B EN ESPECIALIDADES</t>
  </si>
  <si>
    <t>GESTANTES EVALUADAS PARA HEPATITIS B EN PARTOS</t>
  </si>
  <si>
    <t>Gestantes con Hepatitis B positivo derivada con especialista (Gastroenterólogo, hepatólogo u otro)</t>
  </si>
  <si>
    <t>SECCION J: PROFILAXIS DE TRANSMISIÓN VERTICAL APLICADA AL RECIEN NACIDO, HIJO DE MADRE HEPATITIS B POSITIVA</t>
  </si>
  <si>
    <t>Recién nacidos hijos de madre Hepatitis B positiva, nacidos en el periodo</t>
  </si>
  <si>
    <t>Recién nacidos hijos de madre Hepatitis B positiva que recibieron profilaxis completa, según la normativa vigente</t>
  </si>
  <si>
    <t>SECCION K: SEGUIMIENTO DE NIÑOS Y NIÑAS AL AÑO DE VIDA</t>
  </si>
  <si>
    <t>Niños/as hijos de madre Hepatitis B positiva evaluados al año de vida</t>
  </si>
  <si>
    <t>Niños/as hijos de madre Hepatitis B positiva, evaluados al año de vida, confirmado positivo de transmisión vertical para Hepatitis B</t>
  </si>
  <si>
    <t>SECCIÓN L: SCREENING ENFERMEDAD DE CHAGAS PARA EMBARAZADAS, PUERPERAS Y MUJERES EN EDAD FÉRTIL</t>
  </si>
  <si>
    <t xml:space="preserve">GRUPO DE EDAD </t>
  </si>
  <si>
    <t>Gestantes con examen de Chagas solicitado</t>
  </si>
  <si>
    <t/>
  </si>
  <si>
    <t>Gestantes con examen de Chagas informado</t>
  </si>
  <si>
    <t>Gestantes con examen de Chagas confirmado</t>
  </si>
  <si>
    <t>Gestantes que ingresan a maternidad sin examen de enfermedad de Chagas</t>
  </si>
  <si>
    <t>Mujeres en Control Preconcepcional</t>
  </si>
  <si>
    <t>Mujeres en Control de Regulación de Fecundidad</t>
  </si>
  <si>
    <t xml:space="preserve">SECCIÓN M: DIAGNÓSTICO TRANSMISIÓN VERTICAL MADRE HIJO/A CON ENFERMEDAD DE CHAGAS </t>
  </si>
  <si>
    <t xml:space="preserve"> CONDICIÓN</t>
  </si>
  <si>
    <t>5 meses</t>
  </si>
  <si>
    <t>7 meses</t>
  </si>
  <si>
    <t>8 meses</t>
  </si>
  <si>
    <t>9 meses</t>
  </si>
  <si>
    <t>10 meses</t>
  </si>
  <si>
    <t>11 meses</t>
  </si>
  <si>
    <t>13 meses</t>
  </si>
  <si>
    <t>14 meses</t>
  </si>
  <si>
    <t>15 meses</t>
  </si>
  <si>
    <t xml:space="preserve">Hijos/as de Madre con Enfermedad de Chagas nacidos en el periodo </t>
  </si>
  <si>
    <t>Hijos/as de Madre con Enfermedad de Chagas con diagnóstico directo realizado</t>
  </si>
  <si>
    <t xml:space="preserve">Hijos/as de Madre con Enfermedad de Chagas con diagnóstico finalizado e informado (1° muestra) </t>
  </si>
  <si>
    <t xml:space="preserve">Hijos/as de Madre con Enfermedad de Chagas con diagnóstico finalizado e informado (2° muestra) </t>
  </si>
  <si>
    <t xml:space="preserve">Hijos/as de Madre con enfermedad de Chagas con diagnóstico finalizado e informado (3° muestra) </t>
  </si>
  <si>
    <t>SECCION N: TRATAMIENTOS FAMACOLÓGICOS</t>
  </si>
  <si>
    <t>Personas con enfermedad de Chagas que ingresan a tratamiento farmacológico en el periodo (nifurtimox)</t>
  </si>
  <si>
    <t>Personas con enfermedad de Chagas que suspenden o rechazan tratamiento farmacológico en el periodo (nifurtimox)</t>
  </si>
  <si>
    <t>Personas con enfermedad de Chagas que finalizan tratamiento farmacológico en el periodo (nifurtimox)</t>
  </si>
  <si>
    <t>Personas con enfermedad de Chagas que ingresan a tratamiento farmacológico en el periodo (benznidazol)</t>
  </si>
  <si>
    <t>Personas con enfermedad de Chagas que suspenden o rechazan tratamiento farmacológico en el periodo (benznidazol)</t>
  </si>
  <si>
    <t>Personas con enfermedad de Chagas que finalizan tratamiento farmacológico en el periodo (benznidazol)</t>
  </si>
  <si>
    <t>REM-19a.   ACTIVIDADES DE PROMOCIÓN Y PREVENCIÓN DE LA SALUD</t>
  </si>
  <si>
    <t>SECCIÓN A: CONSEJERÍAS</t>
  </si>
  <si>
    <t>SECCIÓN A.1: CONSEJERÍAS INDIVIDUALES</t>
  </si>
  <si>
    <t>ÁREAS TEMÁTICAS</t>
  </si>
  <si>
    <t>Espacios Amigables/ adolescentes</t>
  </si>
  <si>
    <t xml:space="preserve">Niños, niñas, Adolescentes y Jóvenes Mejor Niñez </t>
  </si>
  <si>
    <t xml:space="preserve">15-19 años </t>
  </si>
  <si>
    <t>35-39 años</t>
  </si>
  <si>
    <t>45-49 años</t>
  </si>
  <si>
    <t>50-54 años</t>
  </si>
  <si>
    <t>70-74 años</t>
  </si>
  <si>
    <t>75- 79 años</t>
  </si>
  <si>
    <t>Actividad física</t>
  </si>
  <si>
    <t>Terapeuta ocupacional</t>
  </si>
  <si>
    <t>Otro profesional</t>
  </si>
  <si>
    <t>Facilitador/a intercultural</t>
  </si>
  <si>
    <t>Alimentación saludable</t>
  </si>
  <si>
    <t>Trabajador/a social</t>
  </si>
  <si>
    <t>Psicólogo /a</t>
  </si>
  <si>
    <t>Consumo de drogas</t>
  </si>
  <si>
    <t>Salud sexual y reproductiva con o sin entrega de preservativos</t>
  </si>
  <si>
    <t>Regulación de fertilidad con o sin entrega de preservativos</t>
  </si>
  <si>
    <t>Prevención VIH e infección de transmisión sexual (ITS) con o sin entrega de preservativos</t>
  </si>
  <si>
    <t>Psicóloga /o</t>
  </si>
  <si>
    <t>Médico/a previo examen VIH</t>
  </si>
  <si>
    <t>Matrona/ón previo examen VIH</t>
  </si>
  <si>
    <t>Médico/a post test</t>
  </si>
  <si>
    <t>Matrón/na post test</t>
  </si>
  <si>
    <t>Ejercicio de Derechos</t>
  </si>
  <si>
    <t>SECCIÓN A.2: CONSEJERÍAS INDIVIDUALES POR VIH (NO INCLUIDAS EN LA SECCIÓN A.1)</t>
  </si>
  <si>
    <t>CONSEJERÍAS</t>
  </si>
  <si>
    <t>ÁREA O NIVEL</t>
  </si>
  <si>
    <t>Orientación e información previa al examen VIH</t>
  </si>
  <si>
    <t>Atención de donantes de sangre total y aféresis</t>
  </si>
  <si>
    <t>Hospitalización</t>
  </si>
  <si>
    <t>En CDT - CRS</t>
  </si>
  <si>
    <t>En APS</t>
  </si>
  <si>
    <t>En APS - espacios amigables</t>
  </si>
  <si>
    <t>En otras instancias</t>
  </si>
  <si>
    <t>Consejerías post test VIH</t>
  </si>
  <si>
    <t>SECCIÓN A.3: CONSEJERÍAS FAMILIARES</t>
  </si>
  <si>
    <t>Temas prioridad</t>
  </si>
  <si>
    <t>FAMILIA</t>
  </si>
  <si>
    <t>Total Actividades</t>
  </si>
  <si>
    <t>Con integrante de patología crónica</t>
  </si>
  <si>
    <t>Con integrante con problema de salud mental</t>
  </si>
  <si>
    <t>Con integrante con demencia</t>
  </si>
  <si>
    <t>Con integrante con enfermedad terminal</t>
  </si>
  <si>
    <t>Con integrante dependiente severo</t>
  </si>
  <si>
    <t>Otras áreas de intervención</t>
  </si>
  <si>
    <t>Con adolescente VIH (+)</t>
  </si>
  <si>
    <t>Prevención de violencia</t>
  </si>
  <si>
    <t>SECCIÓN A.4: CONSEJERÍAS INDIVIDUALES  CON ENTREGA DE PRESERVATIVOS (INCLUIDAS EN SECCIÓN A.1)</t>
  </si>
  <si>
    <t>14 a 18 años</t>
  </si>
  <si>
    <t xml:space="preserve">Consejería con entrega de preservativos </t>
  </si>
  <si>
    <t>Condones masculinos</t>
  </si>
  <si>
    <t>Condones femeninos</t>
  </si>
  <si>
    <t>Ambos tipos de condones</t>
  </si>
  <si>
    <t>SECCIÓN B: ACTIVIDADES DE PROMOCIÓN</t>
  </si>
  <si>
    <t>SECCIÓN B.1: ACTIVIDADES DE PROMOCIÓN SEGÚN ESTRATEGIAS Y CONDICIONANTES ABORDADAS Y NÚMERO DE PARTICIPANTES</t>
  </si>
  <si>
    <t>ESTRATEGIA, ESPACIOS O LÍNEAS DE ACCIÓN</t>
  </si>
  <si>
    <t>CONDICIONANTES ABORDADAS</t>
  </si>
  <si>
    <t xml:space="preserve"> Determinantes Sociales de La Salud Abordadas - Chile Crece Contigo</t>
  </si>
  <si>
    <t>Total Participantes</t>
  </si>
  <si>
    <t xml:space="preserve">Alimentación </t>
  </si>
  <si>
    <t>Ambiente libre de humo de tabaco</t>
  </si>
  <si>
    <t>Factores protectores psicosociales</t>
  </si>
  <si>
    <t>Factores protectores ambientales</t>
  </si>
  <si>
    <t>Derechos humanos</t>
  </si>
  <si>
    <t>Salud sexual y prevención de VIH/SIDA e ITS</t>
  </si>
  <si>
    <t>Factores protectores psicosociales de pueblos originarios</t>
  </si>
  <si>
    <t>Factores protectores psicosociales de migrantes</t>
  </si>
  <si>
    <t>Factores protectores psicosociales PRAIS</t>
  </si>
  <si>
    <t xml:space="preserve">Eventos  masivos </t>
  </si>
  <si>
    <t>Comunas, comunidades</t>
  </si>
  <si>
    <t>Espacios amigables en APS</t>
  </si>
  <si>
    <t>Lugares de trabajo</t>
  </si>
  <si>
    <t>Establecimientos educación</t>
  </si>
  <si>
    <t>Espacio Intercultural</t>
  </si>
  <si>
    <t>Reuniones de planificación participativa</t>
  </si>
  <si>
    <t>Jornadas y  seminarios</t>
  </si>
  <si>
    <t xml:space="preserve">Educación grupal </t>
  </si>
  <si>
    <t>SECCIÓN B.2: TALLERES GRUPALES DE VIDA SANA SEGÚN TIPO, POR ESPACIOS DE ACCIÓN</t>
  </si>
  <si>
    <t>ESPACIOS DE ACCIÓN</t>
  </si>
  <si>
    <t>TOTAL TALLERES</t>
  </si>
  <si>
    <t>Autoestima y Autocuidado</t>
  </si>
  <si>
    <t>Mente Sana y Cuerpo Sano</t>
  </si>
  <si>
    <t>Comunicación</t>
  </si>
  <si>
    <t>Yo Me Cuido</t>
  </si>
  <si>
    <t>Control del Tabaco</t>
  </si>
  <si>
    <t>Otros Tipo de Talleres</t>
  </si>
  <si>
    <t>Establecimientos educacionales</t>
  </si>
  <si>
    <t>SECCIÓN B.3: ACTIVIDADES DE GESTIÓN SEGÚN TIPO, POR ESPACIOS DE ACCIÓN</t>
  </si>
  <si>
    <t xml:space="preserve">Reuniones de Gestión </t>
  </si>
  <si>
    <t>Reuniones Masivas de Gestión</t>
  </si>
  <si>
    <t>Acciones de Comunicación y Difusión</t>
  </si>
  <si>
    <t>Preparación Actividades Educativas</t>
  </si>
  <si>
    <t>Entrevistas</t>
  </si>
  <si>
    <t>Investigación y Capacitación de RRHH</t>
  </si>
  <si>
    <t>Espacio Intersectorial</t>
  </si>
  <si>
    <t xml:space="preserve">SECCIÓN B.4: TALLERES GRUPALES SEGÚN TEMÁTICA Y NÚMERO DE PARTICIPANTES EN PROGRAMA ESPACIOS AMIGABLES </t>
  </si>
  <si>
    <t>Talleres en Actividad Física</t>
  </si>
  <si>
    <t xml:space="preserve"> Talleres en Alimentación </t>
  </si>
  <si>
    <t>Talleres en Libre de Humo del Tabaco</t>
  </si>
  <si>
    <t xml:space="preserve">Talleres en Factores Protectores Psicosociales </t>
  </si>
  <si>
    <t>Talleres en Prevención Consumo de Alcohol y Otras Drogas</t>
  </si>
  <si>
    <t>Talleres en Salud Sexual y Prevención de VIH/SIDA e ITS</t>
  </si>
  <si>
    <t>Talleres en Otros Tipos de Talleres</t>
  </si>
  <si>
    <t>Espacios Comunitarios</t>
  </si>
  <si>
    <t>Centros de Salud</t>
  </si>
  <si>
    <t>SECCIÓN C: ACTIVIDADES DE GESTIÓN INTERCULTURAL REALIZADAS POR FACILITADOR INTERCULTURAL</t>
  </si>
  <si>
    <t>Orientación a personas y/o familias indígenas</t>
  </si>
  <si>
    <t>Acompañamiento de personas y/o familias en box</t>
  </si>
  <si>
    <t>Derivaciones a medicina indígena (Pueblos originarios)</t>
  </si>
  <si>
    <t>Derivaciones a medicina indígena (Pueblos no originarios)</t>
  </si>
  <si>
    <t>Otras actividades realizadas por facilitador a personas de pueblos no originarios</t>
  </si>
  <si>
    <t>SECCIÓN D: ACTIVIDADES COMUNITARIAS DE ORIENTACIÓN Y/O EDUCACIÓN PARA LA SALUD  EN EL MARCO EPIDEMIOLÓGICO</t>
  </si>
  <si>
    <t>Individual</t>
  </si>
  <si>
    <t>Grupal</t>
  </si>
  <si>
    <t>Orientación y/o Educación</t>
  </si>
  <si>
    <t>A Institución (ELEAM, cárceles,colegios, sala cuna y jardines infantiles)</t>
  </si>
  <si>
    <t>REM-A19b.  ACTIVIDADES DE PARTICIPACIÓN SOCIAL</t>
  </si>
  <si>
    <t>SECCIÓN A: ATENCIÓN OFICINAS DE INFORMACIONES (SISTEMA INTEGRAL DE ATENCIÓN A USUARIOS)</t>
  </si>
  <si>
    <t>TIPO DE ATENCION</t>
  </si>
  <si>
    <t>Nº DE ATENCIONES EN EL MES</t>
  </si>
  <si>
    <t>Respuestas del Mes Dentro de Plazos Legales (15 días Hábiles)</t>
  </si>
  <si>
    <t>Reclamos Respondidos Fuera de Plazos Legales</t>
  </si>
  <si>
    <t>Reclamos Pendientes</t>
  </si>
  <si>
    <t>No revelado</t>
  </si>
  <si>
    <t>PRAIS</t>
  </si>
  <si>
    <t>N° DE ATENCIONES EN EL MES (Ley Mila)</t>
  </si>
  <si>
    <t>TOTAL AMBOS SEXOS</t>
  </si>
  <si>
    <t>Reclamos generados en el mes</t>
  </si>
  <si>
    <t>Reclamos generados en el mes anterior</t>
  </si>
  <si>
    <t>Respuestas pendientes dentro del plazo legal</t>
  </si>
  <si>
    <t>Respuestas pendientes fuera del plazo legal</t>
  </si>
  <si>
    <t xml:space="preserve"> Masculino</t>
  </si>
  <si>
    <t xml:space="preserve"> Femenina</t>
  </si>
  <si>
    <t>Niños, niñas y adolescentes</t>
  </si>
  <si>
    <t xml:space="preserve">TOTAL DE RECLAMOS </t>
  </si>
  <si>
    <t>Trato no amable, digno ni respetuoso</t>
  </si>
  <si>
    <t>Trato discriminatorio</t>
  </si>
  <si>
    <t>Trato con falta de privacidad</t>
  </si>
  <si>
    <t xml:space="preserve">Trato con falta de confidencialidad </t>
  </si>
  <si>
    <t>Trato sin pertinencia cultural en la atención</t>
  </si>
  <si>
    <t xml:space="preserve">Trato sin condiciones para el acompañamiento </t>
  </si>
  <si>
    <t>Competencia técnica diagnóstico</t>
  </si>
  <si>
    <t>Competencia técnica tratamiento farmacológico / clínico / cirugía</t>
  </si>
  <si>
    <t xml:space="preserve">Eventos adversos </t>
  </si>
  <si>
    <t>Infraestructura baños públicos</t>
  </si>
  <si>
    <t xml:space="preserve">Infraestructura condiciones salas de espera, box de atención o sala de hospitalización </t>
  </si>
  <si>
    <t>Infraestructura accesibilidad universal</t>
  </si>
  <si>
    <t>Infraestructura comodidad y seguridad de camas, cunas y camillas de traslado</t>
  </si>
  <si>
    <t>Condiciones de infraestructura para el acompañamiento</t>
  </si>
  <si>
    <t>Tiempo de espera (En sala de espera)</t>
  </si>
  <si>
    <t>Tiempo de espera, por consulta especialidad (Por lista de espera)</t>
  </si>
  <si>
    <t>Tiempo de espera, por procedimiento (Lista de espera)</t>
  </si>
  <si>
    <t>Tiempo de espera , por cirugía (Lista de espera)</t>
  </si>
  <si>
    <t>Información del estado de salud</t>
  </si>
  <si>
    <t>Información y trámites institucionales</t>
  </si>
  <si>
    <t>Información sobre consentimiento informado</t>
  </si>
  <si>
    <t>Información sobre acceso a ficha clínica</t>
  </si>
  <si>
    <t>Información sobre acceso a médico tratante</t>
  </si>
  <si>
    <t>Información de egreso o traslado</t>
  </si>
  <si>
    <t>Procedimientos administrativos en el proceso de admisión y recaudación</t>
  </si>
  <si>
    <t>Procedimientos administrativos al egreso</t>
  </si>
  <si>
    <t>Procedimientos administrativos de referencia y/o derivación</t>
  </si>
  <si>
    <t>Procedimientos administrativos de Ficha extraviada o perdida</t>
  </si>
  <si>
    <t xml:space="preserve">Procedimientos administrativos en agendamiento y reagendamiento de atención </t>
  </si>
  <si>
    <t>Procedimientos administrativos en suspensión de atención</t>
  </si>
  <si>
    <t xml:space="preserve">Procedimientos administrativos en suspensión de cirugía programada </t>
  </si>
  <si>
    <t>Procedimientos administrativos con acceso a medicamentos</t>
  </si>
  <si>
    <t>Probidad administrativa</t>
  </si>
  <si>
    <t>Incumplimiento Garantías Explícitas en Salud (GES)</t>
  </si>
  <si>
    <t>Vulneración de derechos sexuales y reproductivos</t>
  </si>
  <si>
    <t>Reclamos asociados a violencia gineco obstétrica</t>
  </si>
  <si>
    <t>Incumplimiento Ley Mila N°21.372</t>
  </si>
  <si>
    <t>Inclumplimiento Ley Dominga N° 21.371</t>
  </si>
  <si>
    <t>Incumplimiento de garantías Ley Ricarte Soto</t>
  </si>
  <si>
    <t>Incumplimiento de garantías FOFAR</t>
  </si>
  <si>
    <t>TOTAL CONSULTAS, FELICITACIONES O SUGERENCIAS</t>
  </si>
  <si>
    <t>Sugerencias</t>
  </si>
  <si>
    <t>Felicitaciones</t>
  </si>
  <si>
    <t>Solicitudes</t>
  </si>
  <si>
    <t>Solicitudes Ley 20.285 (Ley de Transparencia)</t>
  </si>
  <si>
    <t xml:space="preserve">SECCIÓN B: ACTIVIDADES DE PARTICIPACIÓN SOCIAL </t>
  </si>
  <si>
    <t xml:space="preserve">SECCIÓN B.1: ACTIVIDADES SEGÚN INSTANCIAS DE PARTICIPACIÓN SOCIAL </t>
  </si>
  <si>
    <t>TIPO DE ACTIVIDADES</t>
  </si>
  <si>
    <t>INSTANCIAS DE PARTICIPACIÓN SOCIAL</t>
  </si>
  <si>
    <t>Uso de TICS y/o Redes Sociales</t>
  </si>
  <si>
    <t>PARTICIPANTES</t>
  </si>
  <si>
    <t>Consejos de la Sociedad Civil (COSOC)</t>
  </si>
  <si>
    <t>Instancias de participación de Adolescentes y Jóvenes</t>
  </si>
  <si>
    <t xml:space="preserve">Consejos Consultivos de Usuarios </t>
  </si>
  <si>
    <t>Consejo de Desarrollo Local</t>
  </si>
  <si>
    <t>Consejo de Integración de la Red Asistencial (CIRA)</t>
  </si>
  <si>
    <t>Comités o Mesas de Trabajo</t>
  </si>
  <si>
    <t>Cabildos Ciudadanos Territoriales y Sectoriales</t>
  </si>
  <si>
    <t>Instancias de Participación Indígena en Salud</t>
  </si>
  <si>
    <t>Consejo Interreligioso</t>
  </si>
  <si>
    <t>Otras Instancias de participación</t>
  </si>
  <si>
    <t>Total Ambos Sexos</t>
  </si>
  <si>
    <t>Administración y/o gestión</t>
  </si>
  <si>
    <t>Reuniones con el intrasector</t>
  </si>
  <si>
    <t>Reuniones con el intersector</t>
  </si>
  <si>
    <t>Asesoría técnica</t>
  </si>
  <si>
    <t>Jornadas de intercambio de experiencias</t>
  </si>
  <si>
    <t>Actividades de difusión y comunicación</t>
  </si>
  <si>
    <t>Educación y capacitación comunitaria</t>
  </si>
  <si>
    <t>Eventos masivos (asambleas, cabildos, otros)</t>
  </si>
  <si>
    <t>Pasantías</t>
  </si>
  <si>
    <t>Comunidades de aprendizaje</t>
  </si>
  <si>
    <t>Mentorías</t>
  </si>
  <si>
    <t>SECCIÓN B.2: TOTAL DE SESIONES SEGÚN LÍNEAS DE ACCIÓN Y PARTICIPANTES</t>
  </si>
  <si>
    <t>LÍNEAS DE ACCIÓN</t>
  </si>
  <si>
    <t>N° DE SESIONES</t>
  </si>
  <si>
    <t>REPRESENTANTES</t>
  </si>
  <si>
    <t>Consejo de Desarrollo Local (CDL)</t>
  </si>
  <si>
    <t>Organizaciones sociales</t>
  </si>
  <si>
    <t>Instancias de Participación Indígena</t>
  </si>
  <si>
    <t>Cuentas públicas participativas</t>
  </si>
  <si>
    <t>Presupuestos participativos</t>
  </si>
  <si>
    <t>Consultas y/o Diálogos ciudadanos</t>
  </si>
  <si>
    <t>Participación en Proyectos de Inversión</t>
  </si>
  <si>
    <t>Apoyo al Voluntariado</t>
  </si>
  <si>
    <t>Diagnóstico Participativo</t>
  </si>
  <si>
    <t>Planificación Participativa</t>
  </si>
  <si>
    <t>Ejecución Participativa</t>
  </si>
  <si>
    <t>Monitoreo y/o Evaluación Participativa</t>
  </si>
  <si>
    <t>Sistematización Participativa</t>
  </si>
  <si>
    <t>Capacitación y/o Formación de equipos y directivos de salud</t>
  </si>
  <si>
    <t>Capacitación y/o Formación de Dirigentes, Comunidad y representantes de la Sociedad Civil</t>
  </si>
  <si>
    <t>Actividades con pueblos originarios</t>
  </si>
  <si>
    <t>Actividades con migrantes</t>
  </si>
  <si>
    <t xml:space="preserve">SECCIÓN C: ACTIVIDADES DE SATISFACCIÓN USUARIA Y HUMANIZACIÓN DE LA ATENCIÓN </t>
  </si>
  <si>
    <t xml:space="preserve">SECCIÓN C.1: ACTIVIDADES DE GESTIÓN DE LA SATISFACCIÓN USUARIA Y HUMANIZACIÓN DE LA ATENCIÓN </t>
  </si>
  <si>
    <t>Comités Gestión Usuaria: Análisis de reclamos</t>
  </si>
  <si>
    <t>Comités Gestión Usuaria: Planes de mejora</t>
  </si>
  <si>
    <t>Medición de Satisfacción Usuaria</t>
  </si>
  <si>
    <t>Acompañamiento Espiritual</t>
  </si>
  <si>
    <t>Asistencia Religiosa</t>
  </si>
  <si>
    <t>Asistencia Espiritual Indígena</t>
  </si>
  <si>
    <t>Hospital Amigo</t>
  </si>
  <si>
    <t>Administración y gestión</t>
  </si>
  <si>
    <t>Reuniones intrasector</t>
  </si>
  <si>
    <t>Reuniones intersector</t>
  </si>
  <si>
    <t>SECCIÓN C.2: TOTAL DE SESIONES SEGÚN LÍNEAS DE ACCIÓN Y PARTICIPANTES</t>
  </si>
  <si>
    <t xml:space="preserve">               </t>
  </si>
  <si>
    <t xml:space="preserve">                                                                             </t>
  </si>
  <si>
    <t>REM-21.   QUIRÓFANOS Y OTROS RECURSOS HOSPITALARIOS</t>
  </si>
  <si>
    <t>SECCIÓN A:  CAPACIDAD INSTALADA Y UTILIZACIÓN DE LOS QUIRÓFANOS CIRUGÍA MAYOR</t>
  </si>
  <si>
    <t>TIPO DE QUIRÓFANOS</t>
  </si>
  <si>
    <t>Número de Quirófanos en Dotación</t>
  </si>
  <si>
    <t>Promedio Mensual de Quirófanos Habilitados</t>
  </si>
  <si>
    <t>Promedio Mensual de Quirófanos en Trabajo</t>
  </si>
  <si>
    <t>Total de Horas Mensuales de Quirófanos Habilitados (Horario Hábil)</t>
  </si>
  <si>
    <t>QUIRÓFANOS CIRUGIA MAYOR</t>
  </si>
  <si>
    <t>CIRUGIAS MENORES Y PROCEDIMIENTOS *</t>
  </si>
  <si>
    <t>Beneficiarios MAI</t>
  </si>
  <si>
    <t>Beneficiarios MLE</t>
  </si>
  <si>
    <t>De recambio</t>
  </si>
  <si>
    <t>Cirugía Menor</t>
  </si>
  <si>
    <t>Otros Procedimientos</t>
  </si>
  <si>
    <t>TOTAL QUIRÓFANOS</t>
  </si>
  <si>
    <t>De Cirugía Electiva</t>
  </si>
  <si>
    <t>De Urgencia</t>
  </si>
  <si>
    <t>Obstétrico</t>
  </si>
  <si>
    <t>Indiferenciado</t>
  </si>
  <si>
    <t>SECCIÓN B:  PROCEDIMIENTOS COMPLEJOS AMBULATORIOS</t>
  </si>
  <si>
    <t>COMPONENTES</t>
  </si>
  <si>
    <t>Hemodiálisis</t>
  </si>
  <si>
    <t>Cirugía Mayor Ambulatoria</t>
  </si>
  <si>
    <t>Coronariografía</t>
  </si>
  <si>
    <t>Recurso Disponible</t>
  </si>
  <si>
    <t>Personas Atendidas</t>
  </si>
  <si>
    <t>Días Personas Atendidas</t>
  </si>
  <si>
    <t xml:space="preserve">SECCIÓN C.1:HOSPITALIZACIÓN DOMICILIARIA </t>
  </si>
  <si>
    <t>SECCIÓN C.1.1:  PERSONAS ATENDIDAS EN EL PROGRAMA</t>
  </si>
  <si>
    <t xml:space="preserve">ORIGEN DE LA DERIVACIÓN </t>
  </si>
  <si>
    <t>Ambulatorio</t>
  </si>
  <si>
    <t>Ley de Urgencia</t>
  </si>
  <si>
    <t>UGCC</t>
  </si>
  <si>
    <t>Fallecidos</t>
  </si>
  <si>
    <t>Esperados</t>
  </si>
  <si>
    <t xml:space="preserve">No esperados </t>
  </si>
  <si>
    <t xml:space="preserve">Reingresos a Hospitalización Tradicional	</t>
  </si>
  <si>
    <t xml:space="preserve">SECCIÓN C.1.2:  VISITAS REALIZADAS </t>
  </si>
  <si>
    <t>PROFESIONALES</t>
  </si>
  <si>
    <t>Total de Visitas</t>
  </si>
  <si>
    <t>Enfermera</t>
  </si>
  <si>
    <t>Matrona</t>
  </si>
  <si>
    <t>SECCIÓN C.1.3:  CUPOS DISPONIBLES EN UNIDAD DE HOSPITALIZACIÓN DOMICILIARIA</t>
  </si>
  <si>
    <t>N° de Cupos</t>
  </si>
  <si>
    <t>N° de cupos Campaña de Invierno</t>
  </si>
  <si>
    <t>Número Cupos Programados</t>
  </si>
  <si>
    <t>Número Cupos Utilizados</t>
  </si>
  <si>
    <t>Número de Cupos Disponibles</t>
  </si>
  <si>
    <t xml:space="preserve">SECCIÓN C.2 ATENCIÓN VENTILATORIA EN DOMICILIO </t>
  </si>
  <si>
    <t>SECCIÓN C.2.1: ASISTENCIA VENTILATORIA Y OXÍGENO EN DOMICILIO</t>
  </si>
  <si>
    <t>0-9 años</t>
  </si>
  <si>
    <t>Estrategia de Asistencia Ventilatoria Invasiva en Domicilio</t>
  </si>
  <si>
    <t>Estrategia de Asistencia Ventilatoria no Invasiva en Domicilio</t>
  </si>
  <si>
    <t>Estrategia Oxígeno Domiciliario para pacientes Crónicos</t>
  </si>
  <si>
    <t>SECCIÓN C.2.2: INGRESOS Y EGRESOS AL PROGRAMA ASISTENCIA VENTILATORIA  EN DOMICILIO</t>
  </si>
  <si>
    <t xml:space="preserve">INGRESOS </t>
  </si>
  <si>
    <t xml:space="preserve">Número de egresos </t>
  </si>
  <si>
    <t>Número de personas activas</t>
  </si>
  <si>
    <t>Número de controles médicos</t>
  </si>
  <si>
    <t>TOTAL
 (Ambos sexos)</t>
  </si>
  <si>
    <t>Asistencia Ventilatoria Invasiva Infantil (AVI)</t>
  </si>
  <si>
    <t>Asistencia Ventilatoria Invasiva Del Adulto (AVIA)</t>
  </si>
  <si>
    <t>Asistencia Ventilatoria no Invasiva Infantil (AVNI)</t>
  </si>
  <si>
    <t>Asistencia Ventilatoria no Invasiva Adulto (AVNIA)</t>
  </si>
  <si>
    <t>Oxigenoterapia Ambulatorio Crónico Respiratorio Infantil</t>
  </si>
  <si>
    <t>Oxigenoterapia Ambulatorio Crónico Respiratorio Adulto</t>
  </si>
  <si>
    <t>SECCIÓN C.2.3: INGRESO PROGRAMA ASISTENCIA VENTILATORIA Y OXÍGENO EN DOMICILIO SEGÚN DIAGNÓSTICO</t>
  </si>
  <si>
    <t xml:space="preserve">CAUSAS DE INGRESO </t>
  </si>
  <si>
    <t>Asistencia Ventilatoria  Invasiva Infantil (AVI)</t>
  </si>
  <si>
    <t>Asistencia Ventilatoria  Invasiva Del Adulto (AVIA)</t>
  </si>
  <si>
    <t>Enfermedad neuromuscular</t>
  </si>
  <si>
    <t>Daño pulmonar crónico</t>
  </si>
  <si>
    <t>Daño sistema nervioso central</t>
  </si>
  <si>
    <t>Sindrome genético</t>
  </si>
  <si>
    <t>Displasia Broncopulmonar</t>
  </si>
  <si>
    <t>SECCIÓN D: APOYO PSICOSOCIAL EN NIÑOS, NIÑAS Y ADOLESCENTES HOSPITALIZADOS</t>
  </si>
  <si>
    <t>INTERVENCIÓN</t>
  </si>
  <si>
    <t>Hasta 28 días</t>
  </si>
  <si>
    <t xml:space="preserve">29 días hasta menor de 1 año </t>
  </si>
  <si>
    <t>TOTAL DE EGRESOS (en el período)</t>
  </si>
  <si>
    <t>Egresados con Apoyo Psicosocial (en el período)</t>
  </si>
  <si>
    <t>Intervención Psicosocial</t>
  </si>
  <si>
    <t>Estimulación del Desarrollo</t>
  </si>
  <si>
    <t>Nº de Atenciones (en el mes)</t>
  </si>
  <si>
    <t>SECCIÓN E: GESTIÓN DE PROCESOS DE PACIENTES QUIRÚRGICOS CON CIRUGÍA ELECTIVA</t>
  </si>
  <si>
    <t>DÍAS DE ESTADA PREQUIRÚRGICOS</t>
  </si>
  <si>
    <t>PACIENTES INTERVENIDOS</t>
  </si>
  <si>
    <t>HORARIO HÁBIL</t>
  </si>
  <si>
    <t>INHABIL DE LUNES A VIERNES</t>
  </si>
  <si>
    <t>SÁBADO, DOMINGO Y FESTIVO</t>
  </si>
  <si>
    <t>Pacientes Programados</t>
  </si>
  <si>
    <t>Pacientes Suspendidos</t>
  </si>
  <si>
    <t>15 y más años</t>
  </si>
  <si>
    <t>Cirugía Maxilofacial</t>
  </si>
  <si>
    <t>Traumatología</t>
  </si>
  <si>
    <t>Obstetricia Y Ginecología</t>
  </si>
  <si>
    <t>Ginecología</t>
  </si>
  <si>
    <t>Odontología</t>
  </si>
  <si>
    <t>SECCIÓN F: CAUSAS DE SUSPENSIÓN DE CIRUGÍAS ELECTIVAS</t>
  </si>
  <si>
    <t xml:space="preserve">CAUSAS DE SUSPENSIÓN ATRIBUIBLES A:
</t>
  </si>
  <si>
    <t>Nº DE PERSONAS</t>
  </si>
  <si>
    <t>Paciente</t>
  </si>
  <si>
    <t>Administrativas</t>
  </si>
  <si>
    <t>Unidad de Apoyo Clínico</t>
  </si>
  <si>
    <t>Unidad de Apoyo Logístico</t>
  </si>
  <si>
    <t>Equipo Quirúrgico</t>
  </si>
  <si>
    <t>Infraestructura</t>
  </si>
  <si>
    <t>Emergencias</t>
  </si>
  <si>
    <t>Gremiales</t>
  </si>
  <si>
    <t>SECCIÓN G: ESTERILIZACIONES QUIRÚRGICAS</t>
  </si>
  <si>
    <t>SEXO</t>
  </si>
  <si>
    <t>20 - 34 años</t>
  </si>
  <si>
    <t>35 y más años</t>
  </si>
  <si>
    <t>SECCIÓN H : CAPACIDAD INSTALADA DE  QUIRÓFANOS DE CIRUGÍA MENOR</t>
  </si>
  <si>
    <t xml:space="preserve">  Horas Mensuales de Quirófanos Programadas   en Horario Hábil  </t>
  </si>
  <si>
    <t>Horas Mensuales de Quirófanos Programadas   en   Horario Inhábil de Lunes a Viernes</t>
  </si>
  <si>
    <t>Horas Mensuales Programadas    Sabado, Domingo, Festivo.</t>
  </si>
  <si>
    <t xml:space="preserve">  Horas Mensuales de Quirófanos Ocupadas   en Horario Hábil  </t>
  </si>
  <si>
    <t>Horas Mensuales de Quirófanos Ocupadas   en   Horario Inhábil de Lunes a Viernes</t>
  </si>
  <si>
    <t>Horas Mensuales Ocupadas Sabado, Domingo, Festivo.</t>
  </si>
  <si>
    <t>Medicina</t>
  </si>
  <si>
    <t>Odontología (quirófanos exclusivos de odontología)</t>
  </si>
  <si>
    <t>SECCIÓN I: GESTIÓN DE PROCESOS DE PACIENTES QUIRÚRGICOS CON CIRUGÍA MENOR</t>
  </si>
  <si>
    <t>Personas menor de 15 años Intervenidas  en Horario Hábil</t>
  </si>
  <si>
    <t>Personas Programadas   Horario Hábil</t>
  </si>
  <si>
    <t>Personas Suspendidas Horario Hábil</t>
  </si>
  <si>
    <t>Personas Programadas  horario Inhábil de Lunes a Viernes</t>
  </si>
  <si>
    <t>Personas Suspendidas horario Inhábil de Lunes a Viernes</t>
  </si>
  <si>
    <t>Personas Programadas  Sábado, Domingo y Festivo</t>
  </si>
  <si>
    <t>Personas Suspendidas Sábado, Domingo y Festivo</t>
  </si>
  <si>
    <t xml:space="preserve">Otras Especialidades </t>
  </si>
  <si>
    <t xml:space="preserve">SECCIÓN J: PROCEDIMIENTO ONCOLOGICOS </t>
  </si>
  <si>
    <t>INTERVENCIONES</t>
  </si>
  <si>
    <t xml:space="preserve">Menores de 18 años </t>
  </si>
  <si>
    <t xml:space="preserve"> Hombres</t>
  </si>
  <si>
    <t xml:space="preserve">Quimioterapia oral </t>
  </si>
  <si>
    <t>Quimioterapias en Pacientes Ambulatorios</t>
  </si>
  <si>
    <t>Quimioterapias en Pacientes Hospitalizados</t>
  </si>
  <si>
    <t>Teleterapia por tratamiento</t>
  </si>
  <si>
    <t>Braquiterapia por sesión</t>
  </si>
  <si>
    <t>PET CT</t>
  </si>
  <si>
    <t>SPECT CT/SPECT/Gamma cámara</t>
  </si>
  <si>
    <t>Yodoterapia en pacientes ambulatorios</t>
  </si>
  <si>
    <t xml:space="preserve">Yodoterapia Hospitalaria en paciente hospitalizadas </t>
  </si>
  <si>
    <t>REM-23.   SALAS: IRA, ERA Y MIXTAS EN APS</t>
  </si>
  <si>
    <t>SECCIÓN A: INGRESOS AGUDOS SEGÚN DIAGNOSTICO DERIVADOS A SALA</t>
  </si>
  <si>
    <t>DIAGNÓSTICOS</t>
  </si>
  <si>
    <t>1 - 4 
años</t>
  </si>
  <si>
    <t>5 - 9 
años</t>
  </si>
  <si>
    <t>I.R.A. alta</t>
  </si>
  <si>
    <t>Influenza</t>
  </si>
  <si>
    <t>Coqueluche</t>
  </si>
  <si>
    <t>Bronquitis obstructiva aguda</t>
  </si>
  <si>
    <t>Otras IRAS bajas</t>
  </si>
  <si>
    <t>Exacerbación síndrome bronquial obstructivo recurrente (SBOR)</t>
  </si>
  <si>
    <t>Exacerbación Asma</t>
  </si>
  <si>
    <t>Exacerbación de enfermedad pulmonar obstructiva crónica (EPOC)</t>
  </si>
  <si>
    <t>Exacerbación fibrosis quística</t>
  </si>
  <si>
    <t>Exacerbación otras respiratorias crónicas</t>
  </si>
  <si>
    <t>SECCIÓN B: INGRESO CRÓNICO SEGÚN DIAGNÓSTICO (SÓLO MÉDICO)</t>
  </si>
  <si>
    <t>DIAGNÓSTICO O PROGRAMA</t>
  </si>
  <si>
    <t>Reingresos</t>
  </si>
  <si>
    <t>Síndrome bronquial obstructivo recurrente (SBOR)</t>
  </si>
  <si>
    <t>Severo</t>
  </si>
  <si>
    <t>Asma bronquial</t>
  </si>
  <si>
    <t>Enfermedad pulmonar obstructiva crónica (EPOC)</t>
  </si>
  <si>
    <t>Tipo A</t>
  </si>
  <si>
    <t>Tipo B</t>
  </si>
  <si>
    <t>Displasia broncopulmonar</t>
  </si>
  <si>
    <t>Fibrosis quística</t>
  </si>
  <si>
    <t>Oxígeno dependiente</t>
  </si>
  <si>
    <t xml:space="preserve">Asistencia ventilatoria no invasiva o invasiva </t>
  </si>
  <si>
    <t>Otras respiratorias crónicas</t>
  </si>
  <si>
    <t>SECCION C: EGRESOS</t>
  </si>
  <si>
    <t>CAUSAL</t>
  </si>
  <si>
    <t>Síndrome bronquial obstructiva recurrente (SBOR)</t>
  </si>
  <si>
    <t>SECCIÓN D: CONSULTAS DE MORBILIDAD POR ENFERMEDADES RESPIRATORIAS EN SALAS IRA, ERA Y MIXTA</t>
  </si>
  <si>
    <t>SECCIÓN E: CONTROLES REALIZADOS (CRONICOS)</t>
  </si>
  <si>
    <t>SECCIÓN F: SEGUIMIENTO DE ATENCIONES REALIZADAS EN AGUDOS</t>
  </si>
  <si>
    <t>SECCIÓN G: INASISTENTES A CONTROL DE CRÓNICOS</t>
  </si>
  <si>
    <t>S.B.O. recurrente</t>
  </si>
  <si>
    <t>Asma</t>
  </si>
  <si>
    <t>Enfermedad Pulmonar Obstructiva Crónica</t>
  </si>
  <si>
    <t>SECCIÓN H: INASISTENTES A CITACIÓN AGENDADA</t>
  </si>
  <si>
    <t>De 20 años y más</t>
  </si>
  <si>
    <t>SECCIÓN I: PROCEDIMIENTOS REALIZADOS</t>
  </si>
  <si>
    <t>PROCEDIMIENTO</t>
  </si>
  <si>
    <t xml:space="preserve">Espirometría basal </t>
  </si>
  <si>
    <t>Espirometría post BD</t>
  </si>
  <si>
    <t xml:space="preserve">Flujometría basal </t>
  </si>
  <si>
    <t>Flujometría post BD</t>
  </si>
  <si>
    <t>Pimometría</t>
  </si>
  <si>
    <t>Test de provocación con ejercicio</t>
  </si>
  <si>
    <t>Test de marcha 6 minutos</t>
  </si>
  <si>
    <t>Sesiones de kinesioterapia respiratoria</t>
  </si>
  <si>
    <t>Toma de muestra secreción mucosa/bronquial</t>
  </si>
  <si>
    <t>SECCIÓN J: DERIVACIÓN DE PACIENTES SEGÚN DESTINO</t>
  </si>
  <si>
    <t>DESTINO</t>
  </si>
  <si>
    <t>Unidad emergencia hospitalaria (UEH)</t>
  </si>
  <si>
    <t>SAPU, SUR O SAR</t>
  </si>
  <si>
    <t>CAE / CDT / CRS</t>
  </si>
  <si>
    <t>SECCIÓN K: RECEPCIÓN DE PACIENTES SEGÚN ORIGEN</t>
  </si>
  <si>
    <t>SAPU , SUR O SAR</t>
  </si>
  <si>
    <t>Consulta de morbilidad</t>
  </si>
  <si>
    <t>Extrasistema</t>
  </si>
  <si>
    <t>SECCIÓN L: HOSPITALIZACION ABREVIADA / INTERVENCION EN CRISIS RESPIRATORIA</t>
  </si>
  <si>
    <t>Bronquitis obstructiva</t>
  </si>
  <si>
    <t>Reagudización de SBOR</t>
  </si>
  <si>
    <t>Reagudización de asma</t>
  </si>
  <si>
    <t>Neumonía</t>
  </si>
  <si>
    <t>Reagudización de EPOC</t>
  </si>
  <si>
    <t>Otras respiratorias</t>
  </si>
  <si>
    <t>SECCIÓN M: EDUCACIÓN EN SALAS</t>
  </si>
  <si>
    <t>SECCIÓN M.1: EDUCACION INDIVIDUAL EN SALA</t>
  </si>
  <si>
    <t>Antitabaco</t>
  </si>
  <si>
    <t>Autocuidado según patología</t>
  </si>
  <si>
    <t>Uso de terapia inhalatoria</t>
  </si>
  <si>
    <t xml:space="preserve">Educacion integral en salud respiratoria </t>
  </si>
  <si>
    <t>Estilo de vida saludables</t>
  </si>
  <si>
    <t>SECCIÓN M.2: EDUCACIÓN GRUPAL (AGENDADA Y PROGRAMADA)</t>
  </si>
  <si>
    <t>TEMAS</t>
  </si>
  <si>
    <t>Nº Sesiones</t>
  </si>
  <si>
    <t>Nº Participantes</t>
  </si>
  <si>
    <t>Educación integral en salud respiratoria</t>
  </si>
  <si>
    <t>Pacientes, padres o cuidadores</t>
  </si>
  <si>
    <t>Salas cunas y jardines infantiles</t>
  </si>
  <si>
    <t>Intersector</t>
  </si>
  <si>
    <t>Antitabáco</t>
  </si>
  <si>
    <t xml:space="preserve">SECCIÓN N: VISITAS DOMICILIARIAS Y SEGUIMIENTO REALIZADOS POR EQUIPO IRA-ERA </t>
  </si>
  <si>
    <t>Hogar libre del humo del tabaco</t>
  </si>
  <si>
    <t>Por muerte de neumonía en domicilio</t>
  </si>
  <si>
    <t>Programa oxigenoterapia ambulatoria, AVNI, AVI, AVNIA, AVIA</t>
  </si>
  <si>
    <t>Seguimiento telefónico realizado por kinesiologo sala</t>
  </si>
  <si>
    <t>Otras visitas</t>
  </si>
  <si>
    <t xml:space="preserve">SECCIÓN O: REHABILITACION PULMONAR Y ACTIVIDAD FÍSICA </t>
  </si>
  <si>
    <t>TOTAL DE ACTIVIDADES</t>
  </si>
  <si>
    <t>EPOC A</t>
  </si>
  <si>
    <t>EPOC B</t>
  </si>
  <si>
    <t>Rehabilitación pulmonar</t>
  </si>
  <si>
    <t>Sesiones educativas</t>
  </si>
  <si>
    <t>Sesiones actividad física</t>
  </si>
  <si>
    <t>Articulación continuidad con intersector</t>
  </si>
  <si>
    <t>Planes de actividad física</t>
  </si>
  <si>
    <t>Diseño plan de trabajo</t>
  </si>
  <si>
    <t>Seguimiento presencial</t>
  </si>
  <si>
    <t>Seguimiento telefónico</t>
  </si>
  <si>
    <t>SECCIÓN P: REHABILITACION PULMONAR POST COVID</t>
  </si>
  <si>
    <t>15 - 64 años</t>
  </si>
  <si>
    <t>Rehabilitacion pulmonar post COVID</t>
  </si>
  <si>
    <t>Seguimiento telefonico</t>
  </si>
  <si>
    <t>SECCIÓN Q: APLICACIÓN DE ENCUESTA CALIDAD DE VIDA</t>
  </si>
  <si>
    <t>DIAGNÓSTICO</t>
  </si>
  <si>
    <t>ENCUESTAS REALIZADAS</t>
  </si>
  <si>
    <t>EPOC</t>
  </si>
  <si>
    <t>Reevaluación anual</t>
  </si>
  <si>
    <t>Otras crónicas respiratorias</t>
  </si>
  <si>
    <t>REM-A24.   ATENCIÓN OBSTÉTRICA Y DEL RECIÉN NACIDO</t>
  </si>
  <si>
    <t>SECCIÓN A: INFORMACIÓN GENERAL DE PARTOS</t>
  </si>
  <si>
    <t>CARACTERISTICAS DEL PARTO</t>
  </si>
  <si>
    <t>PARTOS SEGÚN EDAD DE LA MADRE</t>
  </si>
  <si>
    <t>PARTOS PREMATUROS (CONSIDERAR SOBRE 22 SEMANAS)</t>
  </si>
  <si>
    <t>Uso de oxitocina profiláctica</t>
  </si>
  <si>
    <t>ANESTESIA Y/O ANALGESIA DEL PARTO (MEDIDAS FARMACOLÓGICAS Y NO FARMACOLÓGICAS)</t>
  </si>
  <si>
    <t>CONTACTO INMEDIATO PIEL A PIEL &gt;30 MINUTOS</t>
  </si>
  <si>
    <t>Lactancia materna en los primeros  60 minutos de vida  (RN con peso de 2.500 grs. o más)</t>
  </si>
  <si>
    <t>Alojamiento conjunto en puerperio inmediato</t>
  </si>
  <si>
    <t>Atención con pertinencia cultural</t>
  </si>
  <si>
    <t>Privada de Libertad</t>
  </si>
  <si>
    <t>&lt; 15 años</t>
  </si>
  <si>
    <t>≥35 años</t>
  </si>
  <si>
    <t>Partos prematuros menos de 24 semanas</t>
  </si>
  <si>
    <t>Partos prematuros de 24 a 28 semanas</t>
  </si>
  <si>
    <t>Partos prematuros de 29 a 32 semanas</t>
  </si>
  <si>
    <t>Partos prematuros de 33 a 36 semanas</t>
  </si>
  <si>
    <t>Anestesia Neuroaxial</t>
  </si>
  <si>
    <t>Óxido nitroso</t>
  </si>
  <si>
    <t>Analgesia endovenosa</t>
  </si>
  <si>
    <t>General</t>
  </si>
  <si>
    <t>Local</t>
  </si>
  <si>
    <t>Medidas no farmacológicas</t>
  </si>
  <si>
    <t>Con la Madre</t>
  </si>
  <si>
    <t>Con el padre o acompañante significativo</t>
  </si>
  <si>
    <t xml:space="preserve">RN peso menor o igual a 2.499 grs. </t>
  </si>
  <si>
    <t>RN con peso de 2.500 grs. o más</t>
  </si>
  <si>
    <t>TOTAL PARTOS</t>
  </si>
  <si>
    <t>Vaginal</t>
  </si>
  <si>
    <t>Instrumental</t>
  </si>
  <si>
    <t>Cesárea Electiva</t>
  </si>
  <si>
    <t>Cesárea Urgencia</t>
  </si>
  <si>
    <t>Parto prehospitalario (en establecimientos salud o ambulancias)</t>
  </si>
  <si>
    <t>Partos fuera de la red de salud</t>
  </si>
  <si>
    <t>Plan de parto</t>
  </si>
  <si>
    <t xml:space="preserve">Entrega de placenta a solicitud </t>
  </si>
  <si>
    <t>Embarazo no controlado</t>
  </si>
  <si>
    <t>Parto en domicilio</t>
  </si>
  <si>
    <t>Con atención profesional</t>
  </si>
  <si>
    <t>Sin atención profesional</t>
  </si>
  <si>
    <t>SECCION A.1: PARTOS VAGINALES *</t>
  </si>
  <si>
    <t>CARACTERÍSTICAS DEL MODELO DE ATENCIÓN</t>
  </si>
  <si>
    <t>&lt;28 semanas</t>
  </si>
  <si>
    <t>28 - 37 semanas</t>
  </si>
  <si>
    <t>38 semanas y más</t>
  </si>
  <si>
    <t>Espontáneo</t>
  </si>
  <si>
    <t>Inducidos</t>
  </si>
  <si>
    <t>Mecánica</t>
  </si>
  <si>
    <t>Farmacológica</t>
  </si>
  <si>
    <t>Conducción oxitócica</t>
  </si>
  <si>
    <t>Libertad de movimiento</t>
  </si>
  <si>
    <t>Régimen hídrico amplio</t>
  </si>
  <si>
    <t>Manejo del dolor</t>
  </si>
  <si>
    <t>No farmacológico</t>
  </si>
  <si>
    <t>Farmacológico</t>
  </si>
  <si>
    <t>Posición al momento del expulsivo</t>
  </si>
  <si>
    <t>Litotomía</t>
  </si>
  <si>
    <t>Otras posiciones</t>
  </si>
  <si>
    <t>Episiotomía</t>
  </si>
  <si>
    <t>Acompañamiento</t>
  </si>
  <si>
    <t>Durante el trabajo de parto</t>
  </si>
  <si>
    <t>Sólo en el expulsivo</t>
  </si>
  <si>
    <t>(*) Partos de Término y Pre-Término</t>
  </si>
  <si>
    <t>SECCION A.2: CESÁREAS (RESPONSABILIDAD DEL MÉDICO JEFE DEL SERVICIO DE OBSTETRICIA)</t>
  </si>
  <si>
    <t>CLASIFICACIÓN SEGÚN MODELO DE ROBSON</t>
  </si>
  <si>
    <t>Programada</t>
  </si>
  <si>
    <t>Grupo 1: Nulíparas, embarazo único, cefálica, ≥37 semanas en trabajo de parto espontáneo</t>
  </si>
  <si>
    <t>Grupo 2: Nulíparas, embarazo único, cefálica, ≥37 semanas, cesárea programada o con inducción de trabajo de parto</t>
  </si>
  <si>
    <t>Césarea por inducción fracasada</t>
  </si>
  <si>
    <t>Césarea programada</t>
  </si>
  <si>
    <t>Grupo 3: Multípara, sin cesárea previa, embarazo único, cefálica, ≥37 semanas en trabajo de parto espontáneo</t>
  </si>
  <si>
    <t>Grupo 4: Multípara, sin cesárea previa, embarazo único, cefálica, ≥37 semanas, cesárea programada o con inducción de trabajo de parto</t>
  </si>
  <si>
    <t>Grupo 5: multíparas con al menos 1 cesárea previa, embarazo unico, cefálica, ≥37 semanas</t>
  </si>
  <si>
    <t>5.1: con 1 cesárea previa</t>
  </si>
  <si>
    <t>5.2: 2 o más cesareas previas</t>
  </si>
  <si>
    <t>Grupo 6: Nulíparas, embarazo único, podálica</t>
  </si>
  <si>
    <t>Grupo 7: Multíparas, embarazo único, podálica, con 1 o más cesáreas previas</t>
  </si>
  <si>
    <t>Grupo 8: Todas las mujeres con embarazo múltiple, incluidas las que tienen 1 o más cesáreas previas</t>
  </si>
  <si>
    <t>Grupo 9: Embarazo único, transverso y oblicuo, incluidas las que tienen una o mas cesáreas previas</t>
  </si>
  <si>
    <t xml:space="preserve">Grupo 10: Todas las mujeres con embarazo único, cefálica, &lt;37 semanas, incluidas las que tienen 1 o más cesáreas </t>
  </si>
  <si>
    <t>Total cesáreas por requerimiento materno</t>
  </si>
  <si>
    <t>Nulípara</t>
  </si>
  <si>
    <t>Multípara</t>
  </si>
  <si>
    <t>Acompañamiento durante la cesárea</t>
  </si>
  <si>
    <t>SECCION A.3: COMPLICACIONES</t>
  </si>
  <si>
    <t>TIPO DE COMPLICACIÓN</t>
  </si>
  <si>
    <t>Atención Institucional</t>
  </si>
  <si>
    <t>Parto Espontáneo</t>
  </si>
  <si>
    <t>Parto Inducido</t>
  </si>
  <si>
    <t>Césarea</t>
  </si>
  <si>
    <t>Hemorragia post parto</t>
  </si>
  <si>
    <t>Inercia</t>
  </si>
  <si>
    <t>Restos</t>
  </si>
  <si>
    <t>Trauma</t>
  </si>
  <si>
    <t>Desgarros III y IV</t>
  </si>
  <si>
    <t>Alteraciones de la coagulación</t>
  </si>
  <si>
    <t>Preeclampsia severa</t>
  </si>
  <si>
    <t>Sepsis o infección sistémica grave</t>
  </si>
  <si>
    <t>Manejo quirúrgico de la inercia uterina</t>
  </si>
  <si>
    <t>Histerectomía obstétrica</t>
  </si>
  <si>
    <t>Anemia severa postmetrorragia que requiere transfusión</t>
  </si>
  <si>
    <t>SECCIÓN B: INTERRUPCIÓN VOLUNTARIA DEL EMBARAZO</t>
  </si>
  <si>
    <t>CAUSALES</t>
  </si>
  <si>
    <t>CONTINUA EMBARAZO</t>
  </si>
  <si>
    <t>INTERRUMPE EMBARAZO</t>
  </si>
  <si>
    <t>Beneficiarias</t>
  </si>
  <si>
    <t>Rango Etario</t>
  </si>
  <si>
    <t>14 - 17 años</t>
  </si>
  <si>
    <t xml:space="preserve">Causal N° 1: Mujer embarazada con riesgo vital </t>
  </si>
  <si>
    <t>Causal N° 2: Inviabilidad fetal de carácter letal</t>
  </si>
  <si>
    <t>Causal N° 3: Por violación</t>
  </si>
  <si>
    <t>SECCIÓN B.1 PROGAMA DE ACOMPAÑAMIENTO IVE</t>
  </si>
  <si>
    <t>ATENCIONES DE ACOMPAÑAMIENTO</t>
  </si>
  <si>
    <t>CAUSAL IVE GESTANTE ATENDIDA</t>
  </si>
  <si>
    <t>Causal 1</t>
  </si>
  <si>
    <t>Causal 2</t>
  </si>
  <si>
    <t>Causal 3</t>
  </si>
  <si>
    <t>Atención por psiquiatra</t>
  </si>
  <si>
    <t>Atención por psicólogo(a)</t>
  </si>
  <si>
    <t>Atención por trabajador(a) social</t>
  </si>
  <si>
    <t>Atención por Dupla (psicólogo(a) + trabajador(a) social)</t>
  </si>
  <si>
    <t>Visita Domiciliaria</t>
  </si>
  <si>
    <t>SECCIÓN C: MÉTODO ANTICONCEPTIVO AL ALTA</t>
  </si>
  <si>
    <t>MÉTODO ANTICONCEPTIVO</t>
  </si>
  <si>
    <t>Intracesárea</t>
  </si>
  <si>
    <t>Post IVE</t>
  </si>
  <si>
    <t>DIU con Cobre</t>
  </si>
  <si>
    <t>DIU con Levonorgestrel</t>
  </si>
  <si>
    <t>Anillo de Progestágeno</t>
  </si>
  <si>
    <t>Métodos de barrera</t>
  </si>
  <si>
    <t>Esterilización quirúrgica</t>
  </si>
  <si>
    <t>Alta sin método anticonceptivo</t>
  </si>
  <si>
    <t>TOTAL ALTAS</t>
  </si>
  <si>
    <t>SECCIÓN D: INFORMACIÓN DE RECIÉN NACIDOS</t>
  </si>
  <si>
    <t>SECCIÓN D.1: INFORMACIÓN GENERAL DE RECIÉN NACIDOS VIVOS</t>
  </si>
  <si>
    <t>PESO AL NACER (EN GRAMOS)</t>
  </si>
  <si>
    <t>Anomalía Congénita</t>
  </si>
  <si>
    <t>Menos de 500</t>
  </si>
  <si>
    <t>500 a 999</t>
  </si>
  <si>
    <t>1.000 a 
1.499</t>
  </si>
  <si>
    <t>1.500 a 
1.999</t>
  </si>
  <si>
    <t>2.000 a 
2.499</t>
  </si>
  <si>
    <t>2.500 a 
2.999</t>
  </si>
  <si>
    <t>3.000 a 
3.999</t>
  </si>
  <si>
    <t>4.000 y 
más</t>
  </si>
  <si>
    <t>Nacidos vivos</t>
  </si>
  <si>
    <t>SECCIÓN D.2: ATENCION INMEDIATA DEL RECIEN NACIDO</t>
  </si>
  <si>
    <t>PROFILAXIS</t>
  </si>
  <si>
    <t>TIPO DE PARTO</t>
  </si>
  <si>
    <t xml:space="preserve">APGAR  </t>
  </si>
  <si>
    <t xml:space="preserve">Reanimación Básica </t>
  </si>
  <si>
    <t xml:space="preserve">Reanimación Avanzada </t>
  </si>
  <si>
    <t>Encefalopatía Hipóxico Isquémica Grado I y II</t>
  </si>
  <si>
    <t>Encefalopatía Hipóxico Isquémica Grado III y IV</t>
  </si>
  <si>
    <t>Asfixia Neonatal</t>
  </si>
  <si>
    <t>Hepatitis B</t>
  </si>
  <si>
    <t>Ocular</t>
  </si>
  <si>
    <t>Parto Vaginal</t>
  </si>
  <si>
    <t>Parto Instrumental</t>
  </si>
  <si>
    <t>Cesárea</t>
  </si>
  <si>
    <t>Parto extrahospitalario</t>
  </si>
  <si>
    <t xml:space="preserve">Apgar menor o igual a 3 al minuto </t>
  </si>
  <si>
    <t xml:space="preserve">Apgar menor o igual a 6 a los 5 minutos </t>
  </si>
  <si>
    <t xml:space="preserve">SECCIÓN D.3: NACIDOS FALLECIDOS </t>
  </si>
  <si>
    <t>Anomalía congénita</t>
  </si>
  <si>
    <t>ACOMPAÑAMIENTO INTEGRAL DUELO PERINATAL</t>
  </si>
  <si>
    <t>Atención en Sala Diferenciada</t>
  </si>
  <si>
    <t>Entrega de recuerdos de maternidad/
paternidad</t>
  </si>
  <si>
    <t>Con acompañamiento psicosocial</t>
  </si>
  <si>
    <t xml:space="preserve">Padre o familiar significativo </t>
  </si>
  <si>
    <t>Abortos</t>
  </si>
  <si>
    <t>Mortinatos</t>
  </si>
  <si>
    <t>Mortineonatos</t>
  </si>
  <si>
    <t>SECCIÓN E: RECIÉN NACIDOS/AS EGRESADOS/AS DE SERVICIOS GINECO-OBSTÉTRICOS O DE NEONATOLOGÍA, SEGÚN TIPO DE ALIMENTACIÓN</t>
  </si>
  <si>
    <t>CRITERIOS DE EGRESO SEGÚN TIPO DE ALIMENTACIÓN</t>
  </si>
  <si>
    <t>Servicio Gineco-obstétrico</t>
  </si>
  <si>
    <t>Servicio Neonatología</t>
  </si>
  <si>
    <t>Total de recién nacidos/as* egresados/as</t>
  </si>
  <si>
    <t>Recién Nacidos/as* egresados/as con lactancia materna exclusiva durante toda la hospitalización y al alta</t>
  </si>
  <si>
    <t>Recién Nacidos/as* egresados/as que recuperaron lactancia materna exclusiva al alta</t>
  </si>
  <si>
    <t>Recién Nacidos/as* egresados/as con lactancia materna y fórmula láctea (mixta) al alta</t>
  </si>
  <si>
    <t>Recién Nacidos/as* egresados/as solo con fórmula láctea (excluye VIH, HTLV-1, Ley N° 21.155 y RN en proceso de protección y enfermedad grave de la madre con compromiso de conciencia)</t>
  </si>
  <si>
    <t xml:space="preserve">Recién Nacidos/as* egresados/as con madres serología positiva (VIH) </t>
  </si>
  <si>
    <t xml:space="preserve">Recién Nacidos/as* egresados/as con madres serología positiva (HTLV-1) </t>
  </si>
  <si>
    <t>Recién Nacidos/as* egresados/as con madres acogidas a la Ley N° 21.155 (Derecho a no amamantar)</t>
  </si>
  <si>
    <t>Recién Nacidos/as egresados/as solo con fórmula láctea por encontrarse en proceso de protección o ser hijo/hija de madre con enfermedad grave con compromiso de conciencia</t>
  </si>
  <si>
    <t>* Corresponde solo a recién nacidos/as vivos/as</t>
  </si>
  <si>
    <t xml:space="preserve">Durante la hospitalización </t>
  </si>
  <si>
    <t xml:space="preserve">Posterior al alta </t>
  </si>
  <si>
    <t>Matrón/a</t>
  </si>
  <si>
    <t>Padres o acompañantes significativos que participan en talleres</t>
  </si>
  <si>
    <t xml:space="preserve">SECCIÓN H:  TAMIZAJES DEL RECIÉN NACIDO </t>
  </si>
  <si>
    <t>SECCION H.1: TAMIZAJE METABÓLICO</t>
  </si>
  <si>
    <t>EXÁMENES</t>
  </si>
  <si>
    <t>PROGRAMA FENILQUETONURIA (PKU) E HIPOTIROIDISMO CONGÉNITO (HC)</t>
  </si>
  <si>
    <t>FIBROSIS QUÍSTICA</t>
  </si>
  <si>
    <t>Primeras Muestras</t>
  </si>
  <si>
    <t>Exámenes de 2a punción</t>
  </si>
  <si>
    <t>2a muestra en &lt;36 semanas</t>
  </si>
  <si>
    <t>Exámenes alterados</t>
  </si>
  <si>
    <t>RN tamizados según piloto</t>
  </si>
  <si>
    <t>Recién nacidos tamizados</t>
  </si>
  <si>
    <t>SECCIÓN H.2:  TAMIZAJE AUDITIVO</t>
  </si>
  <si>
    <t>RECIEN NACIDOS VIVOS TAMIZADOS</t>
  </si>
  <si>
    <t>Tamizaje</t>
  </si>
  <si>
    <t>Re-tamizaje</t>
  </si>
  <si>
    <t>Total de recién nacidos tamizados</t>
  </si>
  <si>
    <t>Recién nacidos vivos que pasan</t>
  </si>
  <si>
    <t>Recién nacidos que refieren</t>
  </si>
  <si>
    <t>EXÁMENES REALIZADOS</t>
  </si>
  <si>
    <t>EOA</t>
  </si>
  <si>
    <t>PEATa</t>
  </si>
  <si>
    <t>Maternidad</t>
  </si>
  <si>
    <t>Servicio otorrinolaringología (realizado antes de los 6 meses de vida)</t>
  </si>
  <si>
    <t>SECCION H.3: TAMIZAJE CARDIOPATÍAS CONGÉNITAS</t>
  </si>
  <si>
    <t>Recien Nacidos Tamizados</t>
  </si>
  <si>
    <t xml:space="preserve">Recién  Nacidos referidos a Cardiología </t>
  </si>
  <si>
    <t>REM-25.  SERVICIOS DE SANGRE</t>
  </si>
  <si>
    <t>SECCIÓN A.1: POBLACIÓN DONANTE (CS-UMT-BS)</t>
  </si>
  <si>
    <t>DONANTES</t>
  </si>
  <si>
    <t>DESCRIPCIÓN</t>
  </si>
  <si>
    <t>Altruistas</t>
  </si>
  <si>
    <t>Nuevos</t>
  </si>
  <si>
    <t>Aceptados</t>
  </si>
  <si>
    <t>Repetidos</t>
  </si>
  <si>
    <t>Reposición</t>
  </si>
  <si>
    <t>Total días atención otorgados</t>
  </si>
  <si>
    <t>Total colectas móviles realizadas</t>
  </si>
  <si>
    <t>SECCIÓN A.2:  TIPO DE DONANTES CON CONTRAINDICACIÓN</t>
  </si>
  <si>
    <t>17 años</t>
  </si>
  <si>
    <t>Contraindicación Transitoria</t>
  </si>
  <si>
    <t>Contraindicación Permanente</t>
  </si>
  <si>
    <t>SECCIÓN A.3: REACCIONES ADVERSAS A LA DONACIÓN (CS - UMT - BS)</t>
  </si>
  <si>
    <t>SUBTIPO</t>
  </si>
  <si>
    <t>Altruista</t>
  </si>
  <si>
    <t>Complicaciones con síntomas locales</t>
  </si>
  <si>
    <t>Sangre fuera de los vasos sanguíneos</t>
  </si>
  <si>
    <t>Hematoma</t>
  </si>
  <si>
    <t>Punción arterial</t>
  </si>
  <si>
    <t>Sangramiento posterior</t>
  </si>
  <si>
    <t>Dolor</t>
  </si>
  <si>
    <t>Irritación o injuria en un nervio</t>
  </si>
  <si>
    <t>Brazo doloroso</t>
  </si>
  <si>
    <t>Inflamación o infección localizada</t>
  </si>
  <si>
    <t>Tromboflebitis</t>
  </si>
  <si>
    <t>Celulitis</t>
  </si>
  <si>
    <t>Otras injurias mayores en los vasos sanguíneos</t>
  </si>
  <si>
    <t>Trombosis venosa profunda</t>
  </si>
  <si>
    <t>Fístula arteriovenosa</t>
  </si>
  <si>
    <t>Síndrome compartimental</t>
  </si>
  <si>
    <t>Pseudoaneurisma de la arteria braquial</t>
  </si>
  <si>
    <t>Complicaciones con síntomas generalizados</t>
  </si>
  <si>
    <t>Reacción vasovagal (RVV)</t>
  </si>
  <si>
    <t>Sin pérdida de conciencia</t>
  </si>
  <si>
    <t>Con pérdida de conciencia</t>
  </si>
  <si>
    <t>&lt;60 segundos, sin complicaciones</t>
  </si>
  <si>
    <t>≥ 60 segundos y/ o convulsiones o incontinencia</t>
  </si>
  <si>
    <t>Con lesión</t>
  </si>
  <si>
    <t>Sin lesión</t>
  </si>
  <si>
    <t>En el sitio de recolección</t>
  </si>
  <si>
    <t>Fuera del sitio de recolección</t>
  </si>
  <si>
    <t>Complicaciones relacionadas a la aféresis</t>
  </si>
  <si>
    <t>Reacción al citrato</t>
  </si>
  <si>
    <t>Hemólisis</t>
  </si>
  <si>
    <t>Embolismo aéreo</t>
  </si>
  <si>
    <t>Infiltración</t>
  </si>
  <si>
    <t>Reacción alérgica</t>
  </si>
  <si>
    <t>Alergia local</t>
  </si>
  <si>
    <t>Reacción alérgica generalizada (anafilaxia)</t>
  </si>
  <si>
    <t>Otras complicaciones serias a la donación de sangre</t>
  </si>
  <si>
    <t>Síntomas agudos cardíacos</t>
  </si>
  <si>
    <t>Infarto al miorcardio</t>
  </si>
  <si>
    <t>Paro cardiaco</t>
  </si>
  <si>
    <t>Ataque isquémico transitorio</t>
  </si>
  <si>
    <t>Accidente cerebrovascular</t>
  </si>
  <si>
    <t>Muerte</t>
  </si>
  <si>
    <t>Otras complicaciones</t>
  </si>
  <si>
    <t>Otras no mencionadas</t>
  </si>
  <si>
    <t>SECCIÓN B: INGRESO UNIDADES DE SANGRE A PRODUCCIÓN  (CS-BS)</t>
  </si>
  <si>
    <t>UNIDADES DE SANGRE</t>
  </si>
  <si>
    <t>Aptas</t>
  </si>
  <si>
    <t>No aptas</t>
  </si>
  <si>
    <t>SECCIÓN C: PRODUCCIÓN DE COMPONENTES SANGUÍNEOS (CS-BS)</t>
  </si>
  <si>
    <t>PRODUCCIÓN</t>
  </si>
  <si>
    <t>Glóbulos rojos</t>
  </si>
  <si>
    <t>Desplamatizados</t>
  </si>
  <si>
    <t>Leucoreducidos</t>
  </si>
  <si>
    <t>Bolsa con filtro</t>
  </si>
  <si>
    <t>Aféresis</t>
  </si>
  <si>
    <t>Plaquetas</t>
  </si>
  <si>
    <t>Estándar</t>
  </si>
  <si>
    <t>Leucorreducida pool</t>
  </si>
  <si>
    <t>Leucodepletada pool</t>
  </si>
  <si>
    <t>Plasmas</t>
  </si>
  <si>
    <t>Plasma fresco congelado terapéutico</t>
  </si>
  <si>
    <t>Plasma uso no terapéutico</t>
  </si>
  <si>
    <t>Crioprecipitados</t>
  </si>
  <si>
    <t>SECCIÓN C.1: COMPONENTES SANGUÍNEOS ELIMINADOS (CS-BS )</t>
  </si>
  <si>
    <t>CAUSA</t>
  </si>
  <si>
    <t>Globulos Rojos*</t>
  </si>
  <si>
    <t>Plasmas*</t>
  </si>
  <si>
    <t>Pool*</t>
  </si>
  <si>
    <t>Calificación microbiológica reactiva</t>
  </si>
  <si>
    <t>Obsolescencia</t>
  </si>
  <si>
    <t>Falla por cadena de frío en almacenamiento</t>
  </si>
  <si>
    <t xml:space="preserve">Falla por cadena de frío en transporte  </t>
  </si>
  <si>
    <t>* Cualquier tipo</t>
  </si>
  <si>
    <t>SECCIÓN C.2 .: COMPONENTES SANGUÍNEOS ELIMINADOS (UMT)</t>
  </si>
  <si>
    <t>Falla por cadena de frío</t>
  </si>
  <si>
    <t>Devoluciones por producto por no cumplir estándar</t>
  </si>
  <si>
    <t>Descongelamiento sin uso</t>
  </si>
  <si>
    <t>SECCIÓN C.3 : COMPONENTES SANGUÍNEOS TRANSFORMACIONES (CS-BS-UMT)</t>
  </si>
  <si>
    <t>Unidades pediátricas</t>
  </si>
  <si>
    <t xml:space="preserve">Irradiación </t>
  </si>
  <si>
    <t xml:space="preserve">Reconstitu-ción para uso pediátrico (recambio) </t>
  </si>
  <si>
    <t xml:space="preserve">Reducción volumen </t>
  </si>
  <si>
    <t>Desplasmatización</t>
  </si>
  <si>
    <t>Filtrados posterior a producción</t>
  </si>
  <si>
    <t>Glóbulos rojos*</t>
  </si>
  <si>
    <t>SECCIÓN C.4: COMPONENTES SANGUÍNEOS DISTRIBUÍBLES (CS)</t>
  </si>
  <si>
    <t>Filtrados</t>
  </si>
  <si>
    <t>SECCIÓN C.5: INSATISFACCIÓN STOCK ÓPTIMO (7 DÍAS) CS</t>
  </si>
  <si>
    <t>GR</t>
  </si>
  <si>
    <t>Número días bajo Stock Óptimo</t>
  </si>
  <si>
    <t>O +</t>
  </si>
  <si>
    <t>A +</t>
  </si>
  <si>
    <t>B +</t>
  </si>
  <si>
    <t>O ( - )</t>
  </si>
  <si>
    <t>A ( - )</t>
  </si>
  <si>
    <t>SECCIÓN C.6: INSATISFACCION STOCK CRÍTICO (3 DÍAS) UMT</t>
  </si>
  <si>
    <t>Número días bajo Stock Crítico</t>
  </si>
  <si>
    <t>SECCIÓN D: COMPONENTES SANGUINEOS DISTRIBUIDOS (CS) O TRANSFERIDOS (BS Y UMT)</t>
  </si>
  <si>
    <t>Público</t>
  </si>
  <si>
    <t>Privado**</t>
  </si>
  <si>
    <t>F.F.A.A.</t>
  </si>
  <si>
    <t>**Universitarios, Clínicas Privadas, Otros</t>
  </si>
  <si>
    <t>SECCIÓN D.1: TRANSFUSIONES (UMT - BS )</t>
  </si>
  <si>
    <t>TRANSFUSIONES
 (Nº DE UNIDADES)</t>
  </si>
  <si>
    <t>Menores de 18 años</t>
  </si>
  <si>
    <t>Irradiados</t>
  </si>
  <si>
    <t>Pool</t>
  </si>
  <si>
    <t>SECCIÓN E: DEMANDA GLÓBULOS ROJOS PARA TRANSFUSIÓN (UMT-BS)</t>
  </si>
  <si>
    <t>Unidades</t>
  </si>
  <si>
    <t>Solicitadas</t>
  </si>
  <si>
    <t>Despachadas</t>
  </si>
  <si>
    <t>SECCIÓN F: REACCIONES ADVERSAS POR ACTO* TRANSFUSIONAL  (UMT-BS)</t>
  </si>
  <si>
    <t>TIPO COMPLICACIÓN</t>
  </si>
  <si>
    <t>ORIGEN</t>
  </si>
  <si>
    <t>Plasma</t>
  </si>
  <si>
    <t>Complicaciones agudas</t>
  </si>
  <si>
    <t>Inmunológico</t>
  </si>
  <si>
    <t>Reacción hemolítica aguda</t>
  </si>
  <si>
    <t>Reacción febril no hemolítica</t>
  </si>
  <si>
    <t xml:space="preserve">Anafilaxia/Hipersensibilidad </t>
  </si>
  <si>
    <t>Lesión pulmonar aguda relacionada con la transfusión (TRALI)</t>
  </si>
  <si>
    <t>Aloinmunización con destrucción plaquetaria inmediata</t>
  </si>
  <si>
    <t>Reacción Hemolítica aguda por inmunocompatibilidad ABO</t>
  </si>
  <si>
    <t xml:space="preserve">Reacción Hemolítica aguda por otra causa </t>
  </si>
  <si>
    <t>No inmunológico</t>
  </si>
  <si>
    <t>Contaminación bacteriana</t>
  </si>
  <si>
    <t>Sobrecarga circulatoria</t>
  </si>
  <si>
    <t>Hemólisis no inmune</t>
  </si>
  <si>
    <t>Complicaciones retardadas</t>
  </si>
  <si>
    <t>Reacción hemolítica retardada</t>
  </si>
  <si>
    <t>Aloinmunización frente a antígenos eritrocitarios</t>
  </si>
  <si>
    <t>Púrpura postransfusional</t>
  </si>
  <si>
    <t>Enfermedad injerto contra huésped postransfusional (EICHT)</t>
  </si>
  <si>
    <t>Hemosiderosis transfusional</t>
  </si>
  <si>
    <t>Transmisión de priones</t>
  </si>
  <si>
    <t>Formación de inhibidores</t>
  </si>
  <si>
    <t xml:space="preserve">Septicemia </t>
  </si>
  <si>
    <t xml:space="preserve">Transmisión de VIH post transfusional </t>
  </si>
  <si>
    <t xml:space="preserve">Transmisión de VHC post transfusional </t>
  </si>
  <si>
    <t xml:space="preserve">Transmisión de VHB post transfusional </t>
  </si>
  <si>
    <t xml:space="preserve">Transmisión de otros virus post transfusional </t>
  </si>
  <si>
    <t xml:space="preserve">Malaria/Paludismo </t>
  </si>
  <si>
    <t xml:space="preserve">Otras Infecciones Parasitarias post transfusional </t>
  </si>
  <si>
    <t>* Cada vez que el paciente se transfunde.</t>
  </si>
  <si>
    <t>SECCIÓN G: INMUNOHEMATOLOGIA</t>
  </si>
  <si>
    <t>SECCIÓN G.1: CLASIFICACIÓN SANGUÍNEA ABO-RhD (CS-BS-UMT)</t>
  </si>
  <si>
    <t>FENOTIPO</t>
  </si>
  <si>
    <t>Pacientes</t>
  </si>
  <si>
    <t>O RhD+</t>
  </si>
  <si>
    <t>O RhD-</t>
  </si>
  <si>
    <t>A RhD+</t>
  </si>
  <si>
    <t>A RhD-</t>
  </si>
  <si>
    <t>B RhD+</t>
  </si>
  <si>
    <t>B RhD-</t>
  </si>
  <si>
    <t>AB RhD+</t>
  </si>
  <si>
    <t>AB RhD-</t>
  </si>
  <si>
    <t>Discrepante ABO</t>
  </si>
  <si>
    <t>Discrepante RhD</t>
  </si>
  <si>
    <t>SECCIÓN:G.2 DETECCIÓN DE ANTICUERPOS IRREGULARES (CS-BS-UMT)</t>
  </si>
  <si>
    <t>DETECCIÓN</t>
  </si>
  <si>
    <t>Positivo</t>
  </si>
  <si>
    <t>Negativo</t>
  </si>
  <si>
    <t>Indeterminado</t>
  </si>
  <si>
    <t>SECCIÓN G.3: IDENTIFICACIÓN DE ANTICUERPOS IRREGULARES (CS-BS-UMT)</t>
  </si>
  <si>
    <t>SISTEMA</t>
  </si>
  <si>
    <t>ANTICUERPO</t>
  </si>
  <si>
    <t>MNS</t>
  </si>
  <si>
    <t>M</t>
  </si>
  <si>
    <t>N</t>
  </si>
  <si>
    <t>S</t>
  </si>
  <si>
    <t>s</t>
  </si>
  <si>
    <t>P1PK</t>
  </si>
  <si>
    <t>P1</t>
  </si>
  <si>
    <t>Rh</t>
  </si>
  <si>
    <t>D</t>
  </si>
  <si>
    <t>C</t>
  </si>
  <si>
    <t>E</t>
  </si>
  <si>
    <t>c</t>
  </si>
  <si>
    <t>e</t>
  </si>
  <si>
    <t>LUTHERAN</t>
  </si>
  <si>
    <t>KELL</t>
  </si>
  <si>
    <t>K</t>
  </si>
  <si>
    <t>k</t>
  </si>
  <si>
    <t>LEWIS</t>
  </si>
  <si>
    <t>DUFFY</t>
  </si>
  <si>
    <t>KIDD</t>
  </si>
  <si>
    <t>DIEGO</t>
  </si>
  <si>
    <t xml:space="preserve">No concluyente  </t>
  </si>
  <si>
    <t>SECCIÓN G.4: PRUEBAS CRUZADAS ERITROCITARIAS (BS - UMT)</t>
  </si>
  <si>
    <t>PRUEBAS CRUZADAS</t>
  </si>
  <si>
    <t xml:space="preserve">de 18 y más años </t>
  </si>
  <si>
    <t>Compatible (Negativo)</t>
  </si>
  <si>
    <t>Incompatible (Positivo)</t>
  </si>
  <si>
    <t>SECCIÓN G.5: FENOTIPO ERITROCITARIO (CS-BS-UMT)</t>
  </si>
  <si>
    <t>DCce</t>
  </si>
  <si>
    <t>DCe</t>
  </si>
  <si>
    <t>DCcEe</t>
  </si>
  <si>
    <t>Dce</t>
  </si>
  <si>
    <t>DcEe</t>
  </si>
  <si>
    <t>DcE</t>
  </si>
  <si>
    <t>DCEe</t>
  </si>
  <si>
    <t>DCcE</t>
  </si>
  <si>
    <t>DCE</t>
  </si>
  <si>
    <t>ce</t>
  </si>
  <si>
    <t>Cce</t>
  </si>
  <si>
    <t>cEe</t>
  </si>
  <si>
    <t>CcEe</t>
  </si>
  <si>
    <t>TOTAL Rh</t>
  </si>
  <si>
    <t>K-k+</t>
  </si>
  <si>
    <t>K+k+</t>
  </si>
  <si>
    <t>K+k-</t>
  </si>
  <si>
    <t>TOTAL KELL</t>
  </si>
  <si>
    <t>Fy(a+b-)</t>
  </si>
  <si>
    <t>Fy(a+b+)</t>
  </si>
  <si>
    <t>Fy(a-b+)</t>
  </si>
  <si>
    <t>Fy(a-b-)</t>
  </si>
  <si>
    <t>TOTAL DUFFY</t>
  </si>
  <si>
    <t>Jk(a+b-)</t>
  </si>
  <si>
    <t>Jk(a+b+)</t>
  </si>
  <si>
    <t>Jk(a-b+)</t>
  </si>
  <si>
    <t>TOTAL KIDD</t>
  </si>
  <si>
    <t>SECCIÓN G.6: PRUEBA DE ANTIGLOBULINA DIRECTA EN PACIENTES (BS-UMT)</t>
  </si>
  <si>
    <t>PRUEBA DE ANTIGLOBULINA DIRECTA</t>
  </si>
  <si>
    <t>Poliespecífico</t>
  </si>
  <si>
    <t>Monoespecífico IgG</t>
  </si>
  <si>
    <t>Monoespecífico C3d</t>
  </si>
  <si>
    <t>SECCIÓN H: AFÉRESIS</t>
  </si>
  <si>
    <t>SECCIÓN H.1: AFÉRESIS DE DONACIÓN (BS- UMT- CS)</t>
  </si>
  <si>
    <t>AFÉRESIS DE DONACIÓN</t>
  </si>
  <si>
    <t>TOTAL DONANTES</t>
  </si>
  <si>
    <t>Procedimientos para obtención de Glóbulos Rojos</t>
  </si>
  <si>
    <t>Procedimientos para obtención de Plaquetas</t>
  </si>
  <si>
    <t>Procedimientos para obtención de Plasma</t>
  </si>
  <si>
    <t>Procedimientos para obtención de Leucocitos</t>
  </si>
  <si>
    <t>Procedimientos para obtención de Progenitores Hematopoyéticos Periféricos autólogos</t>
  </si>
  <si>
    <t>Procedimientos para obtención de Progenitores Hematopoyéticos Periféricos alogénicos</t>
  </si>
  <si>
    <t>Procedimientos para obtención de Progenitores Hematopoyéticos desde Médula Ósea autólogo</t>
  </si>
  <si>
    <t>Procedimientos para obtención de Progenitores Hematopoyéticos desde Médula Ósea alogénico</t>
  </si>
  <si>
    <t>Procedimientos para obtención de Plasma Convalesciente o hiperinmune</t>
  </si>
  <si>
    <t>SECCIÓN H.2: AFÉRESIS TERAPÉUTICA (UMT - BS)</t>
  </si>
  <si>
    <t>AFÉRESIS TERAPÉUTICA</t>
  </si>
  <si>
    <t>TOTAL PACIENTES</t>
  </si>
  <si>
    <t>Procedimientos de Recambio de Glóbulos Rojos</t>
  </si>
  <si>
    <t>Procedimientos de Recambio Plasmático</t>
  </si>
  <si>
    <t>Procedimientos de Depleción de Glóbulos Rojos</t>
  </si>
  <si>
    <t>Procedimientos de Depleción de Plaquetas</t>
  </si>
  <si>
    <t>Procedimientos de Depleción de Leucocitos</t>
  </si>
  <si>
    <t>Procedimientos de Fotoféresis</t>
  </si>
  <si>
    <t>REM-26.  ACTIVIDADES EN DOMICILIO Y OTROS ESPACIOS</t>
  </si>
  <si>
    <t>SECCIÓN A: VISITAS DOMICILIARIAS INTEGRALES A FAMILIAS (ESTABLECIMIENTOS APS)</t>
  </si>
  <si>
    <t>Un Profesional</t>
  </si>
  <si>
    <t>Dos o Más Profesionales</t>
  </si>
  <si>
    <t xml:space="preserve">Un Profesional y Un Técnico En Enfermería </t>
  </si>
  <si>
    <t xml:space="preserve">Técnico En Enfermería </t>
  </si>
  <si>
    <t>Facilitador/a Intercultural Pueblos Originarios</t>
  </si>
  <si>
    <t>Agente Comunitario</t>
  </si>
  <si>
    <t>Primera Visita</t>
  </si>
  <si>
    <t>Segunda Visita</t>
  </si>
  <si>
    <t>Tercera o Más Visitas De Seguimiento</t>
  </si>
  <si>
    <t>Programa de Acompañamiento Psicosocial en APS</t>
  </si>
  <si>
    <t>Espacios Amigables/ Adolescente</t>
  </si>
  <si>
    <t>Gestante con 3 o más riesgos</t>
  </si>
  <si>
    <t>Familia con niño prematuro</t>
  </si>
  <si>
    <t>Familia con niño recién nacido</t>
  </si>
  <si>
    <t>Familia con niño con déficit del DSM</t>
  </si>
  <si>
    <t>Familia con niño en riesgo vincular afectivo</t>
  </si>
  <si>
    <t>Familia con niño de 0 a 12 meses con score de riesgo moderado de morir por neumonía</t>
  </si>
  <si>
    <t>Familia con niño de 0 a 12 meses con score de riesgo grave de morir por neumonía</t>
  </si>
  <si>
    <t>Familia con niño con problema respiratorio crónico o no controlado</t>
  </si>
  <si>
    <t>Familia con niño malnutrido</t>
  </si>
  <si>
    <t>Familia con niño con riesgo psicosocial (excluye vincular afectivo)</t>
  </si>
  <si>
    <t>Familia con adolescente en riesgo o problema psicosocial</t>
  </si>
  <si>
    <t>Familia con integrante con patología crónica descompensada</t>
  </si>
  <si>
    <t>Familia con adulto mayor dependediente (excluye dependiente severo)</t>
  </si>
  <si>
    <t>Familia con adulto mayor en riesgo psicosocial</t>
  </si>
  <si>
    <t>Familia con gestante adolescente 10 a 14 años</t>
  </si>
  <si>
    <t>Familia con gestante &gt;20 años en riesgo psicosocial</t>
  </si>
  <si>
    <t>Familia con gestante adolescente en riesgo psicosocial 15 a 19 años</t>
  </si>
  <si>
    <t>Familia con adolescente con problema respiratorio crónico o no controlado</t>
  </si>
  <si>
    <t>Familia con adulto con problema respiratorio crónico o no controlado</t>
  </si>
  <si>
    <t>Familia con gestante en riesgo biomédico</t>
  </si>
  <si>
    <t>Familia con otro riesgo psicosocial</t>
  </si>
  <si>
    <t>Familia con integrante con problema de salud mental</t>
  </si>
  <si>
    <t>Familia con niños/as de 5 a 9 años con problemas y/o trastornos de salud mental</t>
  </si>
  <si>
    <t>Familia con integrante alta hospitalización precoz</t>
  </si>
  <si>
    <t>Familia con integrante con multimorbilidad cronica (excluye dependencia severa)</t>
  </si>
  <si>
    <t>Familia con niños con necesidades especiales (NANEAS)</t>
  </si>
  <si>
    <t>Familia con NNA trans femenino/masculino</t>
  </si>
  <si>
    <t>SECCIÓN A.1: VISITAS DOMICILIARIAS INTEGRALES A PERSONAS CON DEPENDENCIA SEVERA Y SUS CUIDADORES</t>
  </si>
  <si>
    <t xml:space="preserve">Visita de Ingreso al PADDS </t>
  </si>
  <si>
    <t>Elaboración plan de cuidados a cuidador</t>
  </si>
  <si>
    <t xml:space="preserve">Población ELEAM o institucionalizada </t>
  </si>
  <si>
    <t>Familia con integrante con dependencia severa con diagnóstico de demencia</t>
  </si>
  <si>
    <t>Familia con integrante con dependencia severa con etapa terminal (excluye estadíos avanzados de demencia)</t>
  </si>
  <si>
    <t>Familia con integrante con dependencia severa sin diagnóstico de demencia y/o que no se encuentra en etapa terminal</t>
  </si>
  <si>
    <t>A personas con dependencia severa, por rango etario</t>
  </si>
  <si>
    <t xml:space="preserve">10 - 14 años </t>
  </si>
  <si>
    <t>20 - 64 años</t>
  </si>
  <si>
    <t>SECCIÓN B: OTRAS VISITAS INTEGRALES</t>
  </si>
  <si>
    <t>Dos o Más 
Profesionales</t>
  </si>
  <si>
    <t xml:space="preserve">Un Profesional y 
un Técnico En Enfermería </t>
  </si>
  <si>
    <t>Niños, Niñas, Adolescentes Y Jóvenes Población SENAME</t>
  </si>
  <si>
    <t>Niños, Niñas, Adolescentes Y Jóvenes Mejor Niñez</t>
  </si>
  <si>
    <t>A lugar de trabajo (*)</t>
  </si>
  <si>
    <t>A colegio, salas cuna, jardín infantil (*)</t>
  </si>
  <si>
    <t>Visita integral de salud mental</t>
  </si>
  <si>
    <t>A domicilio (Nivel secundario)</t>
  </si>
  <si>
    <t>A lugar de trabajo</t>
  </si>
  <si>
    <t>A establecimientos educacionales</t>
  </si>
  <si>
    <t>En sector rural</t>
  </si>
  <si>
    <t>(*) Excluye visita integral de salud mental.</t>
  </si>
  <si>
    <t>SECCIÓN C:  VISITAS CON FINES DE TRATAMIENTOS Y/O PROCEDIMIENTOS EN DOMICILIO A PERSONAS CON DEPENDENCIA</t>
  </si>
  <si>
    <t>TIPO DE DEPENDENCIA</t>
  </si>
  <si>
    <t>Odontólogo/a</t>
  </si>
  <si>
    <t>Químico/a Farmacéutico/a</t>
  </si>
  <si>
    <t>Población en ECICEP</t>
  </si>
  <si>
    <t>Población ELEAM o Institucionalizada</t>
  </si>
  <si>
    <t>Atención nutricional a personas con NED</t>
  </si>
  <si>
    <t>Personas con dependencia leve</t>
  </si>
  <si>
    <t>Personas con dependencia moderada</t>
  </si>
  <si>
    <t>Personas con dependencia severa</t>
  </si>
  <si>
    <t>Oncológicos</t>
  </si>
  <si>
    <t>No oncológicos</t>
  </si>
  <si>
    <t>Entrega fármacos/alimentos</t>
  </si>
  <si>
    <t>Seguimiento remoto</t>
  </si>
  <si>
    <t>SECCIÓN D: RESCATE DE PACIENTES INASISTENTES</t>
  </si>
  <si>
    <t>RESCATE TELEFÓNICO</t>
  </si>
  <si>
    <t xml:space="preserve">Técnico en enfermería </t>
  </si>
  <si>
    <t xml:space="preserve">Menos de 1 año </t>
  </si>
  <si>
    <t>(*) No incluidas como producción del establecimiento.</t>
  </si>
  <si>
    <t>SECCIÓN E: OTRAS VISITAS PROGRAMA DE ACOMPAÑAMIENTO PSICOSOCIAL EN ATENCIÓN PRIMARIA</t>
  </si>
  <si>
    <t>GRUPOS</t>
  </si>
  <si>
    <t>TOTAL VISITAS</t>
  </si>
  <si>
    <t>Establecimiento educacional</t>
  </si>
  <si>
    <t>SECCIÓN F: VISITA A ESTABLECIMIENTO EDUCACIONAL PROGRAMA DE APOYO A LA SALUD MENTAL INFANTIL (PASMI) EN ATENCIÓN PRIMARIA</t>
  </si>
  <si>
    <t>Total Visitas 5 a 9 Años</t>
  </si>
  <si>
    <t>N° de Niños/as Visitados 5 a 9 Años</t>
  </si>
  <si>
    <t>SECCIÓN G: CONSULTAS Y CONTROLES  DE ESPECIALIDAD RESUELTAS POR VISITAS DOMICILIARIAS</t>
  </si>
  <si>
    <t>CONTROLES DE ESPECIALIDAD RESUELTOS POR VISITAS DOMICILIARIAS</t>
  </si>
  <si>
    <t>Pediatría (incluye totalidad de producción pediatrica de subespecialidades)</t>
  </si>
  <si>
    <t>Cirugía</t>
  </si>
  <si>
    <t>Enfermedad respiratoria de adulto (Broncopulmonar)</t>
  </si>
  <si>
    <t>Cardiología adulto</t>
  </si>
  <si>
    <t>Endocrinología adulto</t>
  </si>
  <si>
    <t>Reumatología adulto</t>
  </si>
  <si>
    <t>Infectología adulto</t>
  </si>
  <si>
    <t>Psiquiatría</t>
  </si>
  <si>
    <t>Otras Especialidades Adulto</t>
  </si>
  <si>
    <t>SECCIÓN H: ACTIVIDADES EXTRAMURALES (EXCLUYE SECCIONES Y SUBSECCIONES A, B y C)</t>
  </si>
  <si>
    <t>TIPO DE OPERATIVO</t>
  </si>
  <si>
    <t>0 - 14 años</t>
  </si>
  <si>
    <t>15 - 29 años</t>
  </si>
  <si>
    <t>EMP</t>
  </si>
  <si>
    <t>Controles de Salud</t>
  </si>
  <si>
    <t>Consultas de Salud</t>
  </si>
  <si>
    <t>Toma de muestra de exámenes</t>
  </si>
  <si>
    <t>Vacunación</t>
  </si>
  <si>
    <t>REM-27.  EDUCACIÓN PARA LA SALUD</t>
  </si>
  <si>
    <t>SECCIÓN A: PERSONAS QUE INGRESAN A EDUCACIÓN GRUPAL SEGÚN ÁREAS TEMÁTICAS Y EDAD</t>
  </si>
  <si>
    <t>ÁREAS TEMÁTICAS DE PREVENCIÓN</t>
  </si>
  <si>
    <t>Madre, Padre o Cuidador de:</t>
  </si>
  <si>
    <t>Familias en Riesgo</t>
  </si>
  <si>
    <t>Niños 12 - 23 meses</t>
  </si>
  <si>
    <t>Niños de 2 - 5 años</t>
  </si>
  <si>
    <t>Niños de 6 - 9 años</t>
  </si>
  <si>
    <t>Niños de 10 - 14 años</t>
  </si>
  <si>
    <t>Nivel Secundario</t>
  </si>
  <si>
    <t>Nivel Terciario</t>
  </si>
  <si>
    <t>Educación en grupo</t>
  </si>
  <si>
    <t xml:space="preserve">Estimulación desarrollo psicomotor </t>
  </si>
  <si>
    <t>Nutrición</t>
  </si>
  <si>
    <t>Riesgo de malnutrición por exceso</t>
  </si>
  <si>
    <t>Malnutrición por exceso</t>
  </si>
  <si>
    <t>Malnutrición de déficit</t>
  </si>
  <si>
    <t>Sin riesgo de malnutrición</t>
  </si>
  <si>
    <t>Prevención de IRA - ERA</t>
  </si>
  <si>
    <t>Prevención de accidentes</t>
  </si>
  <si>
    <t>Salud buco-dental</t>
  </si>
  <si>
    <t>Prevención violencia de género</t>
  </si>
  <si>
    <t>Salud Sexual y reproductiva</t>
  </si>
  <si>
    <t>Talleres de climaterio</t>
  </si>
  <si>
    <t>Educación prenatal (Nutrición-lactancia-crianza-autocuidado-preparación parto y otros)</t>
  </si>
  <si>
    <t>Visita guiada a la maternidad</t>
  </si>
  <si>
    <t>Primigesta</t>
  </si>
  <si>
    <t>Promoción de salud mental</t>
  </si>
  <si>
    <t>Promoción del desarrollo infantil temprano</t>
  </si>
  <si>
    <t>Del lenguaje</t>
  </si>
  <si>
    <t>Motor</t>
  </si>
  <si>
    <t>Habilidades parentales</t>
  </si>
  <si>
    <t>Nadie es perfecto</t>
  </si>
  <si>
    <t>Familias fuertes</t>
  </si>
  <si>
    <t>Apoyo madre a madre</t>
  </si>
  <si>
    <t>Prevención de salud mental</t>
  </si>
  <si>
    <t>Prevención suicidio</t>
  </si>
  <si>
    <t>Prevención trastorno mental</t>
  </si>
  <si>
    <t>Prevención alcohol y drogas</t>
  </si>
  <si>
    <t>Antitabáquica (excluye REM 23)</t>
  </si>
  <si>
    <t>Prevención de la transmisión vertical de VIH-Sífilis</t>
  </si>
  <si>
    <t>Otras áreas temáticas</t>
  </si>
  <si>
    <t>Educación especial en adulto mayor</t>
  </si>
  <si>
    <t>Estimulación de memoria</t>
  </si>
  <si>
    <t>Prevención de caídas</t>
  </si>
  <si>
    <t>Estimulación de actividad física</t>
  </si>
  <si>
    <t>Auto cuidado</t>
  </si>
  <si>
    <t>Otras temáticas</t>
  </si>
  <si>
    <t>Uso racional de medicamentos</t>
  </si>
  <si>
    <t>Resistencia antimicrobianos</t>
  </si>
  <si>
    <t xml:space="preserve">Capacitación a Cuidadores  PADDS </t>
  </si>
  <si>
    <t>Autocuidado del Cuidador/a</t>
  </si>
  <si>
    <t>Cuidados de la persona con Dependencia</t>
  </si>
  <si>
    <t>⁠Redes y sistemas de apoyo a la diada del cuidado</t>
  </si>
  <si>
    <t>Cuidados de fin de vida y duelo</t>
  </si>
  <si>
    <t xml:space="preserve">Educación en seguridad vial </t>
  </si>
  <si>
    <t>SECCIÓN B: ACTIVIDADES DE EDUCACIÓN PARA LA SALUD SEGÚN PERSONAL QUE LAS REALIZA (SESIONES)</t>
  </si>
  <si>
    <t>Un profesional</t>
  </si>
  <si>
    <t xml:space="preserve">Dos o más profesionales </t>
  </si>
  <si>
    <t xml:space="preserve">Un profesional y un Técnico en Enfermería </t>
  </si>
  <si>
    <t xml:space="preserve">Facilitador/a Intercultural Pueblos Originarios </t>
  </si>
  <si>
    <t>Salud sexual y reproductiva</t>
  </si>
  <si>
    <t>SECCIÓN C: EDUCACIÓN GRUPAL A GESTANTES DE ALTO RIESGO OBSTÉTRICO (Nivel Secundario)</t>
  </si>
  <si>
    <t>Total de sesiones</t>
  </si>
  <si>
    <t>Preparación para el parto</t>
  </si>
  <si>
    <t>Taller de educación prenatal</t>
  </si>
  <si>
    <t>SECCIÓN D: TALLERES PROGRAMA "MÁS A.M AUTOVALENTES"</t>
  </si>
  <si>
    <t>TIPO DE TALLER</t>
  </si>
  <si>
    <t>Nº de sesiones</t>
  </si>
  <si>
    <t xml:space="preserve">N° de sesiones según Modalidad </t>
  </si>
  <si>
    <t>Nº de Participantes</t>
  </si>
  <si>
    <t>Presencial  Espacios comunitarios</t>
  </si>
  <si>
    <t xml:space="preserve">Presencial Domicilio </t>
  </si>
  <si>
    <t>Estimulación de funciones motoras y prevención de caídas</t>
  </si>
  <si>
    <t>Estimulación de funciones congnitivas</t>
  </si>
  <si>
    <t>Autocuidado y estilos de vida saludables</t>
  </si>
  <si>
    <t xml:space="preserve">                                                                                FORMATO DE TALLER </t>
  </si>
  <si>
    <t xml:space="preserve">Grupal </t>
  </si>
  <si>
    <t>SECCIÓN E: TALLERES PROGRAMA ELIGE VIDA SANA</t>
  </si>
  <si>
    <t>TALLER</t>
  </si>
  <si>
    <t>Madre, padre o cuidador de:</t>
  </si>
  <si>
    <t>Menores de 1 año</t>
  </si>
  <si>
    <t>Menor de 2 años</t>
  </si>
  <si>
    <t>Círculo de actividad física</t>
  </si>
  <si>
    <t>Círculo de vida sana</t>
  </si>
  <si>
    <t>Actividades masivas</t>
  </si>
  <si>
    <t>SECCIÓN F: INTERVENCIONES POR PATRÓN DE CONSUMO DE ALCOHOL, TABACO Y OTRAS DROGAS</t>
  </si>
  <si>
    <t>TIPO DE INTERVENCIÓN</t>
  </si>
  <si>
    <t>Nº de intervenciones</t>
  </si>
  <si>
    <t>Intervención Mínima
(Bajo riesgo)</t>
  </si>
  <si>
    <t>Alcohol</t>
  </si>
  <si>
    <t>Tabaco</t>
  </si>
  <si>
    <t>Drogas</t>
  </si>
  <si>
    <t>Intervención breve o motivacional
(Riesgo)</t>
  </si>
  <si>
    <t>Intervención referida asistida
(Perjudicial o dependencia)</t>
  </si>
  <si>
    <t>SECCIÓN G: PERSONAS QUE INGRESAN A TALLERES PARA PADRES DEL PROGRAMA DE APOYO A LA SALUD MENTAL INFANTIL (PASMI)</t>
  </si>
  <si>
    <t>Total de Padres, Madres o Cuidadores de 5 a 9 años</t>
  </si>
  <si>
    <t>Total de talleres</t>
  </si>
  <si>
    <t>Taller Nadie es Perfecto (PASMI)</t>
  </si>
  <si>
    <t>SECCIÓN H: ORGANIZACIONES SOCIALES DE LA RED DEL PROGRAMA MÁS ADULTOS MAYORES AUTOVALENTES</t>
  </si>
  <si>
    <t>POR TIPO DE ORGANIZACIÓN</t>
  </si>
  <si>
    <t>N° Total de Organizaciones</t>
  </si>
  <si>
    <t>Clubes de Adultos Mayores</t>
  </si>
  <si>
    <t>Centros de Madres</t>
  </si>
  <si>
    <t>Clubes Deportivos</t>
  </si>
  <si>
    <t>Uniones Comunales de Adultos Mayores</t>
  </si>
  <si>
    <t>Junta de Vecinos</t>
  </si>
  <si>
    <t>Organizaciones Informales</t>
  </si>
  <si>
    <t>Otras organizaciones Formales</t>
  </si>
  <si>
    <t>N° de lideres Capacitados por tipo de organización</t>
  </si>
  <si>
    <t>SECCIÓN I: SERVICIOS DE LA RED DEL PROGRAMA MÁS ADULTOS MAYORES AUTOVALENTES</t>
  </si>
  <si>
    <t>N° Total de Servicios</t>
  </si>
  <si>
    <t>POR TIPO DE SERVICIO</t>
  </si>
  <si>
    <t xml:space="preserve">Unidad Municipal de Personas Mayores </t>
  </si>
  <si>
    <t>Unidad Municipal de Atención Social</t>
  </si>
  <si>
    <t>Unidad Municipal de Deportes</t>
  </si>
  <si>
    <t>Unidad Municipal Turismo</t>
  </si>
  <si>
    <t>Unidad Municipal Educación</t>
  </si>
  <si>
    <t>Biblioteca Municipal</t>
  </si>
  <si>
    <t>Unidad Cultural Municipal</t>
  </si>
  <si>
    <t>Otras Unidades Municipales</t>
  </si>
  <si>
    <t>Escuelas o Colegios</t>
  </si>
  <si>
    <t>Universidades</t>
  </si>
  <si>
    <t>Otras Unidades externas al Municipio</t>
  </si>
  <si>
    <t>Servicios Locales con oferta programática para personas mayores (total o parcial)</t>
  </si>
  <si>
    <t>Servicios locales con planes intersectoriales para el fomento del autocuidado y estimulación funcional del desarrollo junto al Programa Más Adultos Mayores Autovalentes</t>
  </si>
  <si>
    <t xml:space="preserve">SECCIÓN J: TALLERES GRUPALES  DE LACTANCIA MATERNA EN ATENCIÓN PRIMARIA </t>
  </si>
  <si>
    <t>Nº de talleres</t>
  </si>
  <si>
    <t>Número de Talleres de Lactancia Materna realizada en Atención Primaria a menores de un año</t>
  </si>
  <si>
    <t>Número de participantes de Talleres de Lactancia Materna en Atención Primaria a Menores de un año</t>
  </si>
  <si>
    <t>SECCIÓN K: INTERVENCIONES POSTERIOR AL TAMIZAJE DE SALUD MENTAL</t>
  </si>
  <si>
    <t>POR RANGO ETARIO</t>
  </si>
  <si>
    <t>0-4 años</t>
  </si>
  <si>
    <t>30-44 años</t>
  </si>
  <si>
    <t xml:space="preserve">60 a 64 años </t>
  </si>
  <si>
    <t>Consejería en contexto de tamizaje</t>
  </si>
  <si>
    <t>Nº DE M-CHAT-R/F</t>
  </si>
  <si>
    <t>Nº de Cuestionario PSC-17</t>
  </si>
  <si>
    <t>Nº de Cuestionario PSC-Y-17</t>
  </si>
  <si>
    <t>N° de Cuestionario PHQ-9 modificado para Adolescentes</t>
  </si>
  <si>
    <t xml:space="preserve">N° de Cuestionario PHQ-9 para Adultos </t>
  </si>
  <si>
    <t>N° de Escala CAPE-P15</t>
  </si>
  <si>
    <t xml:space="preserve">N° de escala de Columbia </t>
  </si>
  <si>
    <t>N° de Escala de Depresión Geriatríca de YESAVAGE GDS-15</t>
  </si>
  <si>
    <t>Referencia asistida en contexto de tamizaje</t>
  </si>
  <si>
    <t>SECCIÓN L: ACTIVIDADES DE EDUCACIÓN PARA LA SALUD SEGÚN PERSONAL QUE LAS REALIZA (SESIONES) (PRAIS) (Contenidas en Sección B)</t>
  </si>
  <si>
    <t>SECCIÓN M: EDUCACIÓN PARA PROGRAMA DE SALUD CARDIOVASCULAR</t>
  </si>
  <si>
    <t>TIPO DE EDUCACIÓN</t>
  </si>
  <si>
    <t>PROFESIONAL/OTROS</t>
  </si>
  <si>
    <t>POR RANGO ETARIO Y SEXO</t>
  </si>
  <si>
    <t>Podóloga/o Clínico</t>
  </si>
  <si>
    <t>Otros profesionales</t>
  </si>
  <si>
    <t>Taller grupal</t>
  </si>
  <si>
    <t>Equipo multidisciplinario</t>
  </si>
  <si>
    <t>Sólo un profesional</t>
  </si>
  <si>
    <t>REM-28. REHABILITACIÓN INTEGRAL</t>
  </si>
  <si>
    <t xml:space="preserve">SECCIÓN A:  ATENCIONES DE REHABILITACIÓN NIVEL PRIMARIO  </t>
  </si>
  <si>
    <t xml:space="preserve">SECCIÓN A.1: INGRESOS Y EGRESOS  A ATENCIONES DE REHABILITACIÓN EN EL NIVEL PRIMARIO </t>
  </si>
  <si>
    <t>TIPO DE INGRESO</t>
  </si>
  <si>
    <t>Rehabilitación Integral APS</t>
  </si>
  <si>
    <t xml:space="preserve">Otros Rehabilitación </t>
  </si>
  <si>
    <t>Rehabilitación móvil (rural)</t>
  </si>
  <si>
    <t>Ingresos con plan de tratamiento integral (PTI)</t>
  </si>
  <si>
    <t>Ingresos con plan de tratamiento integral (PTI) con objetivos para el trabajo</t>
  </si>
  <si>
    <t>Ingresos de usuarios con cuidador</t>
  </si>
  <si>
    <t>Reingreso</t>
  </si>
  <si>
    <t>Ingresos con PTI cuidador</t>
  </si>
  <si>
    <t>Egresos por alta</t>
  </si>
  <si>
    <t>Egresos por otras causas</t>
  </si>
  <si>
    <t>Egresos con PTI cuidador</t>
  </si>
  <si>
    <t>SECCIÓN A.2: INGRESOS POR CONDICIÓN DE SALUD</t>
  </si>
  <si>
    <t>CONDICIÓN DE SALUD</t>
  </si>
  <si>
    <t xml:space="preserve">TIPO DE ESTRATEGIA </t>
  </si>
  <si>
    <t xml:space="preserve">15 - 19 </t>
  </si>
  <si>
    <t xml:space="preserve">20 - 24 </t>
  </si>
  <si>
    <t>25-29</t>
  </si>
  <si>
    <t>30-34</t>
  </si>
  <si>
    <t>45- 49</t>
  </si>
  <si>
    <t>Rehabilitación NNA</t>
  </si>
  <si>
    <t>Total ingreso (N° de personas)</t>
  </si>
  <si>
    <t>Dolor cervical agudo</t>
  </si>
  <si>
    <t>Dolor lumbar agudo</t>
  </si>
  <si>
    <t>Hombro doloroso agudo</t>
  </si>
  <si>
    <t>Otro dolor musculoesquelético agudo</t>
  </si>
  <si>
    <t>Artrosis de rodilla y cadera</t>
  </si>
  <si>
    <t>Artritis reumatoidea</t>
  </si>
  <si>
    <t>Otro dolor musculoesquelético crónico</t>
  </si>
  <si>
    <t>Ataque cerebro vascular (ACV)</t>
  </si>
  <si>
    <t>Traumatismo encéfalo craneano (TEC)</t>
  </si>
  <si>
    <t>Lesión medular</t>
  </si>
  <si>
    <t>Enfermedad de Parkinson</t>
  </si>
  <si>
    <t>Enfermedades neuromusculares</t>
  </si>
  <si>
    <t>Alteraciones en el desarrollo psicomotor</t>
  </si>
  <si>
    <t>Disrafias espinales</t>
  </si>
  <si>
    <t>Trastorno espectro autista</t>
  </si>
  <si>
    <t>Autismo atípico, Asperguer</t>
  </si>
  <si>
    <t>Alzheimer y otras demencias</t>
  </si>
  <si>
    <t>Amputación</t>
  </si>
  <si>
    <t>Quemados</t>
  </si>
  <si>
    <t>COVID-19</t>
  </si>
  <si>
    <t>Alteraciones visuales</t>
  </si>
  <si>
    <t>Alteraciones auditivas</t>
  </si>
  <si>
    <t>SECCIÓN A.3: EVALUACIÓN INICIAL</t>
  </si>
  <si>
    <t xml:space="preserve">MODALIDAD DE REHABILITACIÓN  </t>
  </si>
  <si>
    <t xml:space="preserve">Presencial (Establecimiento) </t>
  </si>
  <si>
    <t>Domiciliaria</t>
  </si>
  <si>
    <t xml:space="preserve">Médico/a </t>
  </si>
  <si>
    <t xml:space="preserve">Kinesiólogo/a </t>
  </si>
  <si>
    <t xml:space="preserve">Terpeuta Ocupacional </t>
  </si>
  <si>
    <t xml:space="preserve">Fonoaudiólogo/a </t>
  </si>
  <si>
    <t>SECCIÓN A.4: EVALUACIÓN INTERMEDIA</t>
  </si>
  <si>
    <t xml:space="preserve">MODALIDAD DE REHABILITACIÓN   </t>
  </si>
  <si>
    <t>Presencial (Establecimiento)</t>
  </si>
  <si>
    <t>A distancia</t>
  </si>
  <si>
    <t>SECCIÓN A.5: SESIONES DE REHABILITACIÓN</t>
  </si>
  <si>
    <t>SECCIÓN A.6: PROCEDIMIENTOS Y ACTIVIDADES</t>
  </si>
  <si>
    <t xml:space="preserve">Fisioterapia </t>
  </si>
  <si>
    <t xml:space="preserve">Actividad Física </t>
  </si>
  <si>
    <t xml:space="preserve">Ejercicios Terapéuticos </t>
  </si>
  <si>
    <t xml:space="preserve">Intervenciones en actividades de la vida diaria, básicas, instrumentadas y avanzadas </t>
  </si>
  <si>
    <t xml:space="preserve">Habilitación y Rehabilitación Educacional </t>
  </si>
  <si>
    <t xml:space="preserve">Actividades Terapéuticas </t>
  </si>
  <si>
    <t xml:space="preserve">Itegración Sensorial </t>
  </si>
  <si>
    <t xml:space="preserve">Adaptación del Hogar </t>
  </si>
  <si>
    <t xml:space="preserve">Confecciones Ortesis y/o Adaptaciones </t>
  </si>
  <si>
    <t xml:space="preserve">Reparación de Ortesis y/o Adaptaciones </t>
  </si>
  <si>
    <t>Habilitación y Rehabilitación Socio-Laboral</t>
  </si>
  <si>
    <t xml:space="preserve">Estimulación Cognitiva </t>
  </si>
  <si>
    <t xml:space="preserve">Rehabilitación de la Voz,Habla y/o Lenguaje </t>
  </si>
  <si>
    <t xml:space="preserve">Rehabilitación de la Deglución </t>
  </si>
  <si>
    <t xml:space="preserve">Rehabilitacion Vestibular </t>
  </si>
  <si>
    <t xml:space="preserve">Atención Psicoterapéutica </t>
  </si>
  <si>
    <t>SECCIÓN A.7: CONSEJERÍA INDIVIDUAL AGENDADA</t>
  </si>
  <si>
    <t>SECCIÓN A.8: CONSEJERÍA FAMILIAR AGENDADA</t>
  </si>
  <si>
    <t xml:space="preserve">SECCIÓN A.9: INTERVENCIONES TERAPÉUTICAS GRUPALES </t>
  </si>
  <si>
    <t>ÁREA TEMÁTICA DE PREVENCIÓN Y TRATAMIENTO</t>
  </si>
  <si>
    <t xml:space="preserve">MODALIDAD DE REHABILITACIÓN </t>
  </si>
  <si>
    <t>Número de personas</t>
  </si>
  <si>
    <t>Número de sesiones</t>
  </si>
  <si>
    <t xml:space="preserve">SECCIÓN A.10: PERSONAS QUE LOGRAN PARTICIPACIÓN EN COMUNIDAD </t>
  </si>
  <si>
    <t>COMPONENTE (Nº PERSONAS)</t>
  </si>
  <si>
    <t>Laboral</t>
  </si>
  <si>
    <t>Educativa</t>
  </si>
  <si>
    <t>Comunitario</t>
  </si>
  <si>
    <t>Trabajo con objetivos de habilitación y rehabilitación</t>
  </si>
  <si>
    <t>Trabajo sin objetivos de habilitación y rehabilitación</t>
  </si>
  <si>
    <t>Dueña/o de casa</t>
  </si>
  <si>
    <t>Condición física</t>
  </si>
  <si>
    <t>Condición sensorial visual</t>
  </si>
  <si>
    <t>Condición sensorial auditivo</t>
  </si>
  <si>
    <t>SECCIÓN A.11: ACTIVIDADES Y PARTICIPACIÓN</t>
  </si>
  <si>
    <t>MODALIDADES DE INTERVENCIÓN</t>
  </si>
  <si>
    <t>GRUPO OBJETIVO</t>
  </si>
  <si>
    <t>Totales Rehabilitación NNA</t>
  </si>
  <si>
    <t>Totales Rehabilitación Integral en APS</t>
  </si>
  <si>
    <t xml:space="preserve">Totales Otros Rehabilitación </t>
  </si>
  <si>
    <t>Totales Rehabilitación móvill (rural)</t>
  </si>
  <si>
    <t xml:space="preserve">Modalidad de rehabilitación </t>
  </si>
  <si>
    <t xml:space="preserve"> Actividades </t>
  </si>
  <si>
    <t xml:space="preserve">Participantes </t>
  </si>
  <si>
    <t>Diagnóstico o planificación participativa</t>
  </si>
  <si>
    <t>Organizaciones asociadas a discapacidad</t>
  </si>
  <si>
    <t>Organizaciones comunitarias</t>
  </si>
  <si>
    <t>Comunidad educativa</t>
  </si>
  <si>
    <t>Actividades de promoción de la salud</t>
  </si>
  <si>
    <t>Empleadores y compañeros de trabajo</t>
  </si>
  <si>
    <t>Red de apoyo</t>
  </si>
  <si>
    <t>Cuidadores</t>
  </si>
  <si>
    <t>Actividades para fortalecer los conocimientos y destrezas personales</t>
  </si>
  <si>
    <t>Profesionales de la salud</t>
  </si>
  <si>
    <t>Monitores</t>
  </si>
  <si>
    <t>Asesorías a grupos comunitarios</t>
  </si>
  <si>
    <t>SECCIÓN B: NIVEL HOSPITALARIO</t>
  </si>
  <si>
    <t>SECCIÓN B.1: INGRESOS Y EGRESOS  A REHABILITACIÓN INTEGRAL</t>
  </si>
  <si>
    <t>TIPO ATENCIÓN</t>
  </si>
  <si>
    <t>Abierta</t>
  </si>
  <si>
    <t>Cerrado</t>
  </si>
  <si>
    <t>UPC</t>
  </si>
  <si>
    <t>Cuidados Medios y Básicos</t>
  </si>
  <si>
    <t>Total ingresos (Nº de personas)</t>
  </si>
  <si>
    <t>Neuromusculares agudas</t>
  </si>
  <si>
    <t>Neuromusculares crónicas</t>
  </si>
  <si>
    <t>Otras neurológicas</t>
  </si>
  <si>
    <t>Trastornos del Neurodesarrollo</t>
  </si>
  <si>
    <t>Parálisis cerebral</t>
  </si>
  <si>
    <t>Recién nacido de alto riesgo</t>
  </si>
  <si>
    <t>Síndrome POST-UCI</t>
  </si>
  <si>
    <t>Enfermedades respiratorias</t>
  </si>
  <si>
    <t>Enfermedades cardíacas</t>
  </si>
  <si>
    <t>Dolor musculoesquelético crónico</t>
  </si>
  <si>
    <t>Otras reumatológicas</t>
  </si>
  <si>
    <t>Traumatológicos</t>
  </si>
  <si>
    <t>Otros pre y post quirúrgicos</t>
  </si>
  <si>
    <t>Genitourinarias</t>
  </si>
  <si>
    <t>Sensoriales auditivos</t>
  </si>
  <si>
    <t>Sensoriales visuales</t>
  </si>
  <si>
    <t>Egresos ACV referido a APS</t>
  </si>
  <si>
    <t>SECCIÓN B.2: EVALUACIÓN INICIAL</t>
  </si>
  <si>
    <t>Cerrada</t>
  </si>
  <si>
    <t xml:space="preserve">Presencial </t>
  </si>
  <si>
    <t>A Distancia</t>
  </si>
  <si>
    <t xml:space="preserve">Domiciliaria </t>
  </si>
  <si>
    <t>Fonoadiólogo/a</t>
  </si>
  <si>
    <t>Ortoprotesista</t>
  </si>
  <si>
    <t>SECCIÓN B.3: EVALUACIÓN INTERMEDIA</t>
  </si>
  <si>
    <t>SECCIÓN B.4: SESIONES DE REHABILITACIÓN</t>
  </si>
  <si>
    <t>SECCIÓN B.5: DERIVACIONES Y CONTINUIDAD EN LOS CUIDADOS</t>
  </si>
  <si>
    <t>DERIVACIÓN</t>
  </si>
  <si>
    <t>A otro hospital (hospitalizado)</t>
  </si>
  <si>
    <t>A nivel secundario (ambulatorio)</t>
  </si>
  <si>
    <t>A nivel primario</t>
  </si>
  <si>
    <t>Institución con convenio</t>
  </si>
  <si>
    <t>SECCIÓN B.6: PROCEDIMIENTOS Y ACTIVIDADES</t>
  </si>
  <si>
    <t>Fisioterapia</t>
  </si>
  <si>
    <t>Ejercicios terapéuticos</t>
  </si>
  <si>
    <t>Intervención en actividades de la vida diaria, básicas, instrumentales y avanzadas.</t>
  </si>
  <si>
    <t>Habilitación y rehabilitación educacional</t>
  </si>
  <si>
    <t>Actividades terapéuticas</t>
  </si>
  <si>
    <t>Integración sensorial</t>
  </si>
  <si>
    <t>Tratamiento compresivo</t>
  </si>
  <si>
    <t>Habilitación y rehabilitación socio-laboral</t>
  </si>
  <si>
    <t>Adaptación del hogar</t>
  </si>
  <si>
    <t>Confección de órtesis y/o adaptaciones</t>
  </si>
  <si>
    <t>Reparación de órtesis y/o adaptaciones</t>
  </si>
  <si>
    <t>Confección de prótesis</t>
  </si>
  <si>
    <t>Reparación de prótesis</t>
  </si>
  <si>
    <t>Estimulación cognitiva</t>
  </si>
  <si>
    <t>Rehabilitación de la voz, habla y/o lenguaje</t>
  </si>
  <si>
    <t>Rehabilitación de la deglución</t>
  </si>
  <si>
    <t>Rehabilitación vestibular</t>
  </si>
  <si>
    <t>Educación a usuario/a, cuidador/a y/o familiar</t>
  </si>
  <si>
    <t>Atención psicoterapéutica</t>
  </si>
  <si>
    <t>Orientación y movilidad</t>
  </si>
  <si>
    <t>Estimulación sensorial</t>
  </si>
  <si>
    <t>Terapia respiratoria y funcional pulmonar</t>
  </si>
  <si>
    <t>Rehabilitación auditiva individual</t>
  </si>
  <si>
    <t>Rehabilitación auditiva grupal</t>
  </si>
  <si>
    <t>SECCIÓN C: AYUDAS TÉCNICAS DE SALUD, NIVEL APS Y HOSPITALARIO</t>
  </si>
  <si>
    <t>SECCIÓN C.1: NÚMERO DE PERSONAS QUE RECIBEN AYUDAS TÉCNICAS</t>
  </si>
  <si>
    <t>AYUDAS TÉCNICAS</t>
  </si>
  <si>
    <t>Número de evaluaciones de ayudas técnicas</t>
  </si>
  <si>
    <t>Número de personas con ayuda técnica entregada</t>
  </si>
  <si>
    <t>Número de entrenamiento de ayudas técnicas</t>
  </si>
  <si>
    <t>SECCIÓN C.2: NÚMERO DE  AYUDAS TÉCNICAS ENTREGADAS POR TIPO</t>
  </si>
  <si>
    <t>TOTAL DE AYUDAS TÉCNICAS ENTREGADAS</t>
  </si>
  <si>
    <t>Sillas de ruedas estándar</t>
  </si>
  <si>
    <t>Silla de ruedas neurológicas</t>
  </si>
  <si>
    <t>Cojín anti escaras</t>
  </si>
  <si>
    <t>Colchón anti escaras</t>
  </si>
  <si>
    <t>Bastones</t>
  </si>
  <si>
    <t>Andadores</t>
  </si>
  <si>
    <t>Sitting</t>
  </si>
  <si>
    <t>Órtesis de columna vertebral</t>
  </si>
  <si>
    <t>Órtesis miembro inferior</t>
  </si>
  <si>
    <t>Órtesis miembro superior</t>
  </si>
  <si>
    <t>Cojines y respaldos para la estabilización y posicionamiento del cuerpo</t>
  </si>
  <si>
    <t>Ayudas técnicas para actividades de alimentación, vestuario e higiene personal</t>
  </si>
  <si>
    <t>Sistema compresivo</t>
  </si>
  <si>
    <t>Prótesis extremidad inferior transtibial</t>
  </si>
  <si>
    <t>Prótesis extremidad inferior transfemoral</t>
  </si>
  <si>
    <t>Otras prótesis extremidad inferior</t>
  </si>
  <si>
    <t>Prótesis extremidad superior</t>
  </si>
  <si>
    <t>Audífonos</t>
  </si>
  <si>
    <t>Lentes</t>
  </si>
  <si>
    <t>Plantilla ortopédica</t>
  </si>
  <si>
    <t>Bota o botín de descarga</t>
  </si>
  <si>
    <t>Zapato ortopédico</t>
  </si>
  <si>
    <t>Baño portátil</t>
  </si>
  <si>
    <t>Tecnologías de la Comunicación Aumentativa y Alternativas</t>
  </si>
  <si>
    <t>Equipo ventilador mecánico no invasivo</t>
  </si>
  <si>
    <t>Aspirador de secreciones</t>
  </si>
  <si>
    <t>SECCIÓN C.3: AYUDAS TÉCNICAS POR CONDICIÓN DE SALUD</t>
  </si>
  <si>
    <t>TOTAL AYUDA TÉCNICA POR CONDICIÓN DE SALUD</t>
  </si>
  <si>
    <t xml:space="preserve"> RANGO ETARIO</t>
  </si>
  <si>
    <t>Esclerosis lateral amiotrófica</t>
  </si>
  <si>
    <t>Diabetes mellitus</t>
  </si>
  <si>
    <t>Sensorial auditivo</t>
  </si>
  <si>
    <t>Sensorial visual</t>
  </si>
  <si>
    <t>Persona mayor frágil</t>
  </si>
  <si>
    <t>Otras condiciones de salud</t>
  </si>
  <si>
    <t>REM-29.  PROGRAMA DE IMÁGENES DIAGNÓSTICAS Y/O RESOLUTIVIDAD EN ATENCIÓN PRIMARIA</t>
  </si>
  <si>
    <t>SECCIÓN A: PROGRAMA DE RESOLUTIVIDAD ATENCIÓN PRIMARIA DE SALUD</t>
  </si>
  <si>
    <t>CONSULTAS</t>
  </si>
  <si>
    <t>&lt;15 años</t>
  </si>
  <si>
    <t>Total interconsultas generadas en APS para resolución por especialidad oftalmología (UAPO y canasta integral)</t>
  </si>
  <si>
    <t>Total interconsultas generadas en APS para resolución por especialidad otorrinolaringología (UAPORRINO y canasta integral)</t>
  </si>
  <si>
    <t>Modalidad</t>
  </si>
  <si>
    <t>Menos 15 años</t>
  </si>
  <si>
    <t>Presencial</t>
  </si>
  <si>
    <t>Remoto</t>
  </si>
  <si>
    <t>Consultas médicas de especialidades</t>
  </si>
  <si>
    <t>Oftalmología/UAPO</t>
  </si>
  <si>
    <t>Otorrinolaringología/UAPORRINO</t>
  </si>
  <si>
    <t>Canasta integral oftalmológica</t>
  </si>
  <si>
    <t>Canasta integral de otorrinolaringología</t>
  </si>
  <si>
    <t>Consultas otros profesionales</t>
  </si>
  <si>
    <t>Tecnólogo/a médico/a consulta por vicio de refracción</t>
  </si>
  <si>
    <t>Tecnólogo/a médico/a (oftalmología) otras consultas</t>
  </si>
  <si>
    <t>Tecnólogo/a médico/a o fonoaudiólogo/a por hipoacusia (UAPORRINO)</t>
  </si>
  <si>
    <t>Tecnólogo/a médico/a o fonoaudiólogo/a consultas (UAPORRINO)</t>
  </si>
  <si>
    <t>Consulta de calificación de urgencia por tecnólogo médico (UAPO)</t>
  </si>
  <si>
    <t>Ingresos y egresos Glaucoma UAPO</t>
  </si>
  <si>
    <t>Ingresos glaucoma UAPO</t>
  </si>
  <si>
    <t>Egresos glaucoma UAPO</t>
  </si>
  <si>
    <t>Glaucoma (por médico/a) (incluidas dentro de consultas de oftalmología)</t>
  </si>
  <si>
    <t>Controles de glaucoma UAPO</t>
  </si>
  <si>
    <t>Consulta nueva glaucoma UAPO</t>
  </si>
  <si>
    <t xml:space="preserve">SECCIÓN B: PROCEDIMIENTOS DE IMÁGENES DIAGNOSTICAS Y PROGRAMA DE RESOLUTIVIDAD EN APS  </t>
  </si>
  <si>
    <t>TIPO DE EXAMEN Y PROCEDIMIENTO DIAGNÓSTICO</t>
  </si>
  <si>
    <t>MODALIDAD</t>
  </si>
  <si>
    <t>&lt; 35 años</t>
  </si>
  <si>
    <t>35 - 49 años</t>
  </si>
  <si>
    <t>Institucional</t>
  </si>
  <si>
    <t>Compra al sistema</t>
  </si>
  <si>
    <t>Compra extrasistema</t>
  </si>
  <si>
    <t>Mamografía</t>
  </si>
  <si>
    <t>Informadas</t>
  </si>
  <si>
    <t>Con BIRADS 0</t>
  </si>
  <si>
    <t>Con BIRADS 1 o 2</t>
  </si>
  <si>
    <t>Con BIRADS  3</t>
  </si>
  <si>
    <t>Con BIRADS  4, 5 o 6</t>
  </si>
  <si>
    <t>Sin informe BIRADS</t>
  </si>
  <si>
    <t>Proyección complementaria</t>
  </si>
  <si>
    <t>Ecotomografía mamaria</t>
  </si>
  <si>
    <t>Con informe de sospecha de malignidad</t>
  </si>
  <si>
    <t>Ecotomografía abdominal</t>
  </si>
  <si>
    <t>Con resultado litiasis biliar</t>
  </si>
  <si>
    <t>Ecografía transvaginal o rectal (excluye climaterio)</t>
  </si>
  <si>
    <t>Con informe de sospecha de patología maligna</t>
  </si>
  <si>
    <t>Endoscopia digestiva alta</t>
  </si>
  <si>
    <t>Toma de biopsia</t>
  </si>
  <si>
    <t>Test de ureasa solicitadas</t>
  </si>
  <si>
    <t>Test de ureasa positivas (+) H. Pylori</t>
  </si>
  <si>
    <t>Procedimientos cutáneos quirúrgicos de baja complejidad</t>
  </si>
  <si>
    <t>Realizadas</t>
  </si>
  <si>
    <t>Biopsias de cirugía menor enviadas a anatomia patológica</t>
  </si>
  <si>
    <t>Nº biopsias de cirugía menor con informe de sospecha de malignidad</t>
  </si>
  <si>
    <t>Radiografía de tórax por sospecha de neumonía y sospecha de otra patología respiratoria crónica</t>
  </si>
  <si>
    <t>Antero posterior (frontal)</t>
  </si>
  <si>
    <t>Antero posterior y lateral</t>
  </si>
  <si>
    <t>Radiografía de caderas 3-6 meses (Screening)</t>
  </si>
  <si>
    <t>Test de antígeno en deposiciones H. Pylori</t>
  </si>
  <si>
    <t>Test inmunoquímico fecal de sangre oculta en deposiciones</t>
  </si>
  <si>
    <t>SECCIÓN C: PROCEDIMIENTOS APOYO CLÍNICO Y TERAPÉUTICO</t>
  </si>
  <si>
    <t xml:space="preserve">ESPECIALIDAD </t>
  </si>
  <si>
    <t>Médico especialista</t>
  </si>
  <si>
    <t>Tecnólogo médico, fonoaudiólogo o terapeuta ocupacional</t>
  </si>
  <si>
    <t>Cuantificación de lagrimación (Test de Schimer), uno o ambos ojos</t>
  </si>
  <si>
    <t>Curva de tensión aplanática (por cada día), c/ojo</t>
  </si>
  <si>
    <t>Disploscopia cuantitativa, ambos ojos</t>
  </si>
  <si>
    <t>Exploración sensoriomotora: Estabrismo, estudio completo, ambos ojos</t>
  </si>
  <si>
    <t>Retinografía ambos ojos pacientes sin diabetes mellitus</t>
  </si>
  <si>
    <t>Tonometría aplánica c/ojo</t>
  </si>
  <si>
    <t>Tratamiento ortóptico y/o pleóptico (por sesión), ambos ojos</t>
  </si>
  <si>
    <t>Exploración vitreorretinal, pacientes sin diabetes mellitus</t>
  </si>
  <si>
    <t>Cuerpo extraño conjuntival y/o corneal</t>
  </si>
  <si>
    <t>Campimetría computarizada, c/ojo (en UAPO)</t>
  </si>
  <si>
    <t>Tomografía coherente óptica, c/ojo</t>
  </si>
  <si>
    <t>Agudeza visual aislada cada ojo</t>
  </si>
  <si>
    <t>Paquimetría</t>
  </si>
  <si>
    <t>Autorefractomía</t>
  </si>
  <si>
    <t>Lensometría</t>
  </si>
  <si>
    <t>Extracción cuerpo extraño ojo (conjuntival y/o corneal)</t>
  </si>
  <si>
    <t>Hemoglucotest previo a consulta vicio de refracción en paciente diabético</t>
  </si>
  <si>
    <t>Autorefracción bajo ciclopejía</t>
  </si>
  <si>
    <t>Irrigación de la vía lagrimal</t>
  </si>
  <si>
    <t>Prueba de provocación oscuridad más pronación</t>
  </si>
  <si>
    <t>Audimetrías (realizadas)</t>
  </si>
  <si>
    <t>Impedanciometría</t>
  </si>
  <si>
    <t>Emisiones otoacústicas</t>
  </si>
  <si>
    <t>Examen funcional VIII par</t>
  </si>
  <si>
    <t>Otros procedimientos (Lavados de oídos u otros)</t>
  </si>
  <si>
    <t>Calibración control prueba de audífonos</t>
  </si>
  <si>
    <t>Procedimiento V-HIT</t>
  </si>
  <si>
    <t>PEATC</t>
  </si>
  <si>
    <t>Maniobras de reposición de partículas</t>
  </si>
  <si>
    <t>Nasofibroscopia adulto/niño</t>
  </si>
  <si>
    <t>Prueba de función tubaria</t>
  </si>
  <si>
    <t>VEMP (Potenciales evocados miogénicos vestibulares)</t>
  </si>
  <si>
    <t>Toma de impresión de molde auditivo</t>
  </si>
  <si>
    <t>Rinomanometría</t>
  </si>
  <si>
    <t>SECCIÓN D: ENTREGA DE AYUDAS TÉCNICAS</t>
  </si>
  <si>
    <t>&lt; 65 Años</t>
  </si>
  <si>
    <t>Lentes (Entregados)</t>
  </si>
  <si>
    <t>Audífonos (Entregados)</t>
  </si>
  <si>
    <t>SECCIÓN E: INTERVENCIONES QUIRÚRGICAS MENORES QUE SE REALIZAN EN UAPO</t>
  </si>
  <si>
    <t>Intervenciones Quirúrgicas</t>
  </si>
  <si>
    <t>Intubación lagrimal</t>
  </si>
  <si>
    <t>Plastía de puntos lagrimales</t>
  </si>
  <si>
    <t>Absceso, vaciamiento y/o drenaje de</t>
  </si>
  <si>
    <t>Absceso, Trat. Quir. Párpado o ceja</t>
  </si>
  <si>
    <t>Biopsia de párpado y/o anexos (proc.aut)</t>
  </si>
  <si>
    <t>Blefarorrafia con blefarotomía posterior</t>
  </si>
  <si>
    <t>Cantoplastía</t>
  </si>
  <si>
    <t>Chalazión y otro tumores benignos</t>
  </si>
  <si>
    <t>Xantelasma, Trat. Quir</t>
  </si>
  <si>
    <t>Herida o dehiscencia de sutura de párpado, reparación</t>
  </si>
  <si>
    <t>Sutura de herida o dehiscencia de la conjuntiva</t>
  </si>
  <si>
    <t>Pterigión y/o pseudopterigión o su recidiva, extirpación</t>
  </si>
  <si>
    <t>Extirpación de tumor benigno de la conjuntiva</t>
  </si>
  <si>
    <t>Crioterapia y recesión conjuntival</t>
  </si>
  <si>
    <t>Iridotomía</t>
  </si>
  <si>
    <t>Trabeculopatía o iridoplastía</t>
  </si>
  <si>
    <t>SECCION F: TAMIZAJE DE RETINOPATÍA DIABÉTICA PARA PERSONAS CON DIABETES MELLITUS 2 EN UAPO</t>
  </si>
  <si>
    <t>PROCEDIMIENTOS</t>
  </si>
  <si>
    <t>Informe por oftalmólogo licitado</t>
  </si>
  <si>
    <t>Informe por oftalmólogo HD</t>
  </si>
  <si>
    <t>Exploración vitreorretinal</t>
  </si>
  <si>
    <t>Sin alteración</t>
  </si>
  <si>
    <t>Alterados</t>
  </si>
  <si>
    <t>Retinografía</t>
  </si>
  <si>
    <t>Imágenes capturadas</t>
  </si>
  <si>
    <t>Subidas a plataforma de tamizaje a Hospital Digital</t>
  </si>
  <si>
    <t>Informes recibidos sin alteración</t>
  </si>
  <si>
    <t>Informes recibidos con sospecha de alteración</t>
  </si>
  <si>
    <t>Subidas a plataforma de teleinforme local (No centralizada)</t>
  </si>
  <si>
    <t>Entrega resultados de retinografías al usuario</t>
  </si>
  <si>
    <t>SECCION G: ACTIVIDADES DE REHABILITACION EN UAPORRINO</t>
  </si>
  <si>
    <t xml:space="preserve"> TOTAL ACTIVIDADES</t>
  </si>
  <si>
    <t>Número sesiones totales realizadas</t>
  </si>
  <si>
    <t>Número beneficiarios</t>
  </si>
  <si>
    <t>Sesiones rehabilitación auditiva individual</t>
  </si>
  <si>
    <t>Sesiones rehabilitación auditiva grupal</t>
  </si>
  <si>
    <t>Evaluación adherencia</t>
  </si>
  <si>
    <t>Seguimiento adherencia</t>
  </si>
  <si>
    <t>Sesiones rehabilitación vestibular</t>
  </si>
  <si>
    <t>Sesiones rehabilitación deglución</t>
  </si>
  <si>
    <t>SECCION H: CANASTA INTEGRAL DERMATOLOGIA</t>
  </si>
  <si>
    <t>CANASTA INTEGRAL</t>
  </si>
  <si>
    <t>Hospital Digital</t>
  </si>
  <si>
    <t>Otra</t>
  </si>
  <si>
    <t>Teleinterconsultas solicitadas</t>
  </si>
  <si>
    <t>Teleinterconsultas respondidas</t>
  </si>
  <si>
    <t>Información entregada a usuario</t>
  </si>
  <si>
    <t>SECCIÓN I : ATENCION INTEGRAL EN CLIMATERIO</t>
  </si>
  <si>
    <t>Compra de servicios</t>
  </si>
  <si>
    <t>Consulta médica ginecológica en climaterio</t>
  </si>
  <si>
    <t>Hormona foliculoestimulante en sangre</t>
  </si>
  <si>
    <t>Ecografía transvaginal o rectal</t>
  </si>
  <si>
    <t>SECCIÓN A: TELEINTERCONSULTA DE ESPECIALIDAD (ATENCION REALIZADA DE MÉDICO A MÉDICO)</t>
  </si>
  <si>
    <t>Especialidades</t>
  </si>
  <si>
    <t>Teleinterconsulta médica de especialidad ambulatoria nueva</t>
  </si>
  <si>
    <t>Teleinterconsulta médica de especialidad ambulatoria control</t>
  </si>
  <si>
    <t xml:space="preserve">TOTAL TELEINTERCONSULTAS  MEDICAS AMBULATORIAS DE ESPECIALIDAD </t>
  </si>
  <si>
    <t>Teleinterconsulta medicina de especialidad realizadas a pacientes hospitalizados</t>
  </si>
  <si>
    <t>Teleinterconsultas solicitadas desde APS o Nivel Secundario para ser resueltas por otro establecimiento</t>
  </si>
  <si>
    <t xml:space="preserve">18-19 años </t>
  </si>
  <si>
    <t xml:space="preserve">18 a 19 años </t>
  </si>
  <si>
    <t>20  y más años</t>
  </si>
  <si>
    <t>Sistema</t>
  </si>
  <si>
    <t>Medicina interna</t>
  </si>
  <si>
    <t>Enfermedad respiratoria pediátrica (Brocopulmonar infantil)</t>
  </si>
  <si>
    <t>Endocrinología pediátrica</t>
  </si>
  <si>
    <t>Gastroenterología pediátrica</t>
  </si>
  <si>
    <t>Gastroenterología adulto</t>
  </si>
  <si>
    <t>Genética clínica</t>
  </si>
  <si>
    <t>Nefrología pediátrica</t>
  </si>
  <si>
    <t>Nefrología adulto</t>
  </si>
  <si>
    <t>Neurología pediátrica</t>
  </si>
  <si>
    <t>Neurología adulto</t>
  </si>
  <si>
    <t>Oncología médica</t>
  </si>
  <si>
    <t>Psiquiatría pediátrica y de la adolescencia</t>
  </si>
  <si>
    <t>Psiquiatría adulto</t>
  </si>
  <si>
    <t>Cirugía pediátrica</t>
  </si>
  <si>
    <t>Cirugía digestiva (alta)</t>
  </si>
  <si>
    <t>Cirugía de cabeza, cuello y maxilofacial</t>
  </si>
  <si>
    <t>Coloproctología (Cirugía digestiva baja)</t>
  </si>
  <si>
    <t>Cirugía tórax</t>
  </si>
  <si>
    <t>Cirugía vascular periferica</t>
  </si>
  <si>
    <t>Cirugía cardiovascular</t>
  </si>
  <si>
    <t>Medicina familiar</t>
  </si>
  <si>
    <t>Medicina intensiva</t>
  </si>
  <si>
    <t>Radioterapia oncológica</t>
  </si>
  <si>
    <t>SECCIÓN B : TELEINTERCONSULTA  MÉDICA EN ESTABLECIMIENTOS DE ATENCIÓN SECUNDARIA DE URGENCIA (ATENCIÓN MÉDICO A MÉDICO)</t>
  </si>
  <si>
    <t>Tipo de teleinterconsulta de urgencia</t>
  </si>
  <si>
    <t>Teleinterconsulta médica de urgencia en hospitales de alta y mediana complejidad</t>
  </si>
  <si>
    <t xml:space="preserve">Institucional </t>
  </si>
  <si>
    <t>Establecimiento de la Red</t>
  </si>
  <si>
    <t>Consulta urgencia otros</t>
  </si>
  <si>
    <t>Accidente cerebro vascular (ACV)</t>
  </si>
  <si>
    <t>SECCIÓN C : TELEINFORMES EN ESTABLECIMIENTOS DE ATENCIÓN PRIMARIA, SECUNDARIA Y TERCIARIA</t>
  </si>
  <si>
    <t>Teleinformes realizados</t>
  </si>
  <si>
    <t>Establecimientos del Nivel Primario de salud</t>
  </si>
  <si>
    <t>Establecimientos de Nivel Secundario y Terciario</t>
  </si>
  <si>
    <t>Total teleinformes realizados</t>
  </si>
  <si>
    <t>Teleinformes realizados por Inteligencia Artificial</t>
  </si>
  <si>
    <t xml:space="preserve">Teleinformes realizados por Médico Especialista </t>
  </si>
  <si>
    <t>TOTAL EMISIONES DE INFORMES</t>
  </si>
  <si>
    <t>Nº de informes Ecografías obstétricas</t>
  </si>
  <si>
    <t>Nº de informes Electrocardiograma</t>
  </si>
  <si>
    <t>Nº de informes Electroencefalograma</t>
  </si>
  <si>
    <t>Nº de informes Espirometrías</t>
  </si>
  <si>
    <t>Nº de informes Fondo de ojo (excluye resolutividad)</t>
  </si>
  <si>
    <t>Nº de informes Holter de presión arterial</t>
  </si>
  <si>
    <t>Nº de informes Test de esfuerzo</t>
  </si>
  <si>
    <t>Nº de informes radiografías simples</t>
  </si>
  <si>
    <t>Nº de informes radiografías dentales</t>
  </si>
  <si>
    <t>Nº de informes de Tomografía axial computarizada</t>
  </si>
  <si>
    <t>Nº de informes de Resonancia magnética nuclear</t>
  </si>
  <si>
    <t>Nº de informes Ecografías abdominal</t>
  </si>
  <si>
    <t>N° de mamografía</t>
  </si>
  <si>
    <t>Especialidades odontológicas</t>
  </si>
  <si>
    <t>Teleinterconsulta de especialidad odontológica ambulatoria nueva</t>
  </si>
  <si>
    <t>Teleinterconsulta de especialidad odontológica ambulatoria control</t>
  </si>
  <si>
    <t>Solicitud de teleinterconsulta de especialidad odontológica</t>
  </si>
  <si>
    <t>Cirugía y traumatología maxilofacial</t>
  </si>
  <si>
    <t>Endodoncia</t>
  </si>
  <si>
    <t>Odontopediatría</t>
  </si>
  <si>
    <t>Ortodoncia y ortopedia dento maxilofacial</t>
  </si>
  <si>
    <t>Rehabilitación: Prótesis fija</t>
  </si>
  <si>
    <t>Rehabilitación: Prótesis removible</t>
  </si>
  <si>
    <t>Implantología buco maxilofacial</t>
  </si>
  <si>
    <t>Patología oral</t>
  </si>
  <si>
    <t>Trastornos temporomandibulares y dolor orofacial</t>
  </si>
  <si>
    <t>SECCIÓN E: TELEPROCEDIMIENTOS EN ATENCIÓN SECUNDARIA Y TERCIARIA</t>
  </si>
  <si>
    <t>Teleprocedimientos</t>
  </si>
  <si>
    <t>Teleprocedimientos solicitados desde Nivel Secundario y Terciario y resueltos por otro establecimiento</t>
  </si>
  <si>
    <t>Ecocardiograma</t>
  </si>
  <si>
    <t>Trombolisis de urgencia infarto cerebral (ACV)</t>
  </si>
  <si>
    <t>Trombolisis intracoronaria (IAM)</t>
  </si>
  <si>
    <t>Ecografía gineco-obstétrica</t>
  </si>
  <si>
    <t xml:space="preserve">SECCIÓN F: TELECOMITÉ DE ESPECIALIDAD </t>
  </si>
  <si>
    <t>Actividad</t>
  </si>
  <si>
    <t>Telecomité realizados</t>
  </si>
  <si>
    <t>Total Nº de casos revisados</t>
  </si>
  <si>
    <t>Telecomité solicitados desde Nivel Secundario y Terciario y resueltos por otro establecimiento</t>
  </si>
  <si>
    <t>Telecomité de especialidad</t>
  </si>
  <si>
    <t>0 - 10 años</t>
  </si>
  <si>
    <t>Cuidados paliativos oncológicos</t>
  </si>
  <si>
    <t>Cuidados paliativos no oncológicos universales</t>
  </si>
  <si>
    <t>Unidad de paciente crítico</t>
  </si>
  <si>
    <t>SECCIÓN G: CONSULTA ABREVIADA POR ATENCIÓN REMOTA</t>
  </si>
  <si>
    <t>Tipo de consulta</t>
  </si>
  <si>
    <t>Tratamiento anticoagulante oral</t>
  </si>
  <si>
    <t>ESTE REM SOLO ES LLENADO POR HOSPITAL DIGITAL, NIVEL CENTRAL</t>
  </si>
  <si>
    <t xml:space="preserve">SECCION A: ATENCIONES POR TELEMEDICINA DE ESPECIALIDAD MEDICA </t>
  </si>
  <si>
    <t>SECCION A1: TELEINTERCONSULTA DE ESPECIALIDAD MEDICA POR HOSPITAL DIGITAL</t>
  </si>
  <si>
    <t xml:space="preserve">ESPECIALIDADES  </t>
  </si>
  <si>
    <t>TOTAL TELEINTERCONSULTAS MÉDICAS DE ESPECIALIDAD REALIZADAS  POR HOSPITAL DIGITAL</t>
  </si>
  <si>
    <t>TELEINTERCONSULTA MEDICA DE ESPECIALIDAD AMBULATORIA NUEVA</t>
  </si>
  <si>
    <t xml:space="preserve">TELEINTERCONSULTA MEDICA  DE ESPECIALIDAD AMBULATORIA CONTROL </t>
  </si>
  <si>
    <t>TELEINTERCONSULTAS  SOLICITADAS DESDE APS O NIVEL SECUNDARIO PARA SER RESUELTAS POR HOSPITAL DIGITAL</t>
  </si>
  <si>
    <t>Menores de 15 años</t>
  </si>
  <si>
    <t>Reumatología</t>
  </si>
  <si>
    <t>Endocrinología</t>
  </si>
  <si>
    <t>Genética</t>
  </si>
  <si>
    <t>Neurología</t>
  </si>
  <si>
    <t xml:space="preserve">Otorrinolaringología </t>
  </si>
  <si>
    <t>Otras Especialidades Médicas</t>
  </si>
  <si>
    <t>SECCION A2: TELECONSULTA DE ESPECIALIDAD MEDICA  POR HOSPITAL DIGITAL</t>
  </si>
  <si>
    <t>TOTAL TELECONSULTAS DE ESPECIALIDAD REALIZADAS  POR HOSPITAL DIGITAL</t>
  </si>
  <si>
    <t>TELECONSULTA DE ESPECIALIDAD CONSULTA NUEVA</t>
  </si>
  <si>
    <t xml:space="preserve">TELECONSULTA DE ESPECIALIDAD CONTROL </t>
  </si>
  <si>
    <t>TELECONSULTAS SOLICITADAS PARA SER RESUELTAS POR HOSPITAL DIGITAL</t>
  </si>
  <si>
    <t>Enfermedades Metabólicas</t>
  </si>
  <si>
    <t xml:space="preserve">Otras especialidades Médicas </t>
  </si>
  <si>
    <t>SECCIÓN B : TELEINFORMES EN ESTABLECIMIENTOS DE ATENCIÓN PRIMARIA, SECUNDARIA Y TERCIARIA</t>
  </si>
  <si>
    <t xml:space="preserve">TELEINFORMES </t>
  </si>
  <si>
    <t xml:space="preserve"> TOTAL TELEINFORMES REALIZADOS </t>
  </si>
  <si>
    <t xml:space="preserve">ESTABLECIMIENTOS DE NIVEL PRIMARIO DE SALUD </t>
  </si>
  <si>
    <t>TOTAL TELEINFORMES REALIZADOS POR INTELIGENCIA ARTIFICIAL</t>
  </si>
  <si>
    <t xml:space="preserve">TOTAL TELEINFORMES REALIZADOS POR ESPECIALISTA </t>
  </si>
  <si>
    <t>N° de Teleinformes Fondo de Ojo</t>
  </si>
  <si>
    <t>N° de Teleinformes de Tomografía Axial Computarizada</t>
  </si>
  <si>
    <t>N° de Teleinformes de Resonancia Magnética</t>
  </si>
  <si>
    <t>N° de Teleinformes Mamografías</t>
  </si>
  <si>
    <t>SECCION C: TELEINTERCONSULTA DE ESPECIALIDADES ODONTOLOGICAS POR HOSPITAL DIGITAL</t>
  </si>
  <si>
    <t>ESPECIALIDADES ODONTOLOGICAS</t>
  </si>
  <si>
    <t xml:space="preserve">TOTAL TELEINTERCONSULTAS DE ESPECIALIDADES ODONTOLÓGICAS </t>
  </si>
  <si>
    <t>TELEINTERCONSULTA DE ESPECIALIDADES ODONTOLÓGICAS AMBULATORIA NUEVA</t>
  </si>
  <si>
    <t xml:space="preserve">TELEINTERCONSULTA DE ESPECIALIDADES ODONTOLÓGICAS AMBULATORIA CONTROL </t>
  </si>
  <si>
    <t>TELEINTERCONSULTAS  SOLICITADAS PARA SER RESUELTAS POR HOSPITAL DIGITAL</t>
  </si>
  <si>
    <t>Cirugía y traumatología buco maxilofacial</t>
  </si>
  <si>
    <t>Trastornos Temporomandibulares y Dolor Orofacial</t>
  </si>
  <si>
    <t>Ortodoncia</t>
  </si>
  <si>
    <t>Patología Oral</t>
  </si>
  <si>
    <t>Otras Especialidades Odontológicas</t>
  </si>
  <si>
    <t>SECCIÓN D: PRESTACIONES DE TELEMEDICINA REALIZADAS POR OTROS PROFESIONALES</t>
  </si>
  <si>
    <t xml:space="preserve"> PROFESIONAL DE LA SALUD</t>
  </si>
  <si>
    <t xml:space="preserve">TOTAL PRESTACIONES TELEMEDICINA REALIZADAS EN MODALIDAD SINCRÓNICA </t>
  </si>
  <si>
    <t xml:space="preserve">TOTAL PRESTACIONES TELEMEDICINA REALIZADAS EN MODALIDAD ASINCRÓNICA </t>
  </si>
  <si>
    <t xml:space="preserve">Quimico Farmacéutico </t>
  </si>
  <si>
    <t>Psicologa/o</t>
  </si>
  <si>
    <t xml:space="preserve">SECCION E: TELEMEDICINA EN ESTRATEGIAS DE MEDICINA GENERAL </t>
  </si>
  <si>
    <t>TELECONSULTA</t>
  </si>
  <si>
    <t xml:space="preserve">TELEMEDICINA POR PROFESIONAL DE SALUD AMBULATORIA  </t>
  </si>
  <si>
    <t>TELEMEDICINA SOLICITADAS PARA SER RESUELTAS POR MEDICOS GENERALES DE HOSPITAL DIGITAL</t>
  </si>
  <si>
    <t>Medicina General Hospital Digital Rural</t>
  </si>
  <si>
    <t>Medicina General en otras Instancias</t>
  </si>
  <si>
    <t xml:space="preserve">SECCION F: ESTRATEGIAS SALUD MENTAL </t>
  </si>
  <si>
    <t xml:space="preserve">SECCIÓN F1: ESTRATEGIA SALUD MENTAL POBLACION GENERAL </t>
  </si>
  <si>
    <t xml:space="preserve">ESTRATEGIAS DE SALUD A POBLACIÓN GENERAL </t>
  </si>
  <si>
    <t>Sin información</t>
  </si>
  <si>
    <t>Línea prevención suicidio</t>
  </si>
  <si>
    <t xml:space="preserve">SECCION F2: ESTRATEGIA SALUD MENTAL EN FUNCIONARIOS DE LA SALUD </t>
  </si>
  <si>
    <t>ESTRATEGIAS DE SALUD A FUNCIONARIOS</t>
  </si>
  <si>
    <t xml:space="preserve"> llamada telefónica</t>
  </si>
  <si>
    <t>Video llamada</t>
  </si>
  <si>
    <t>Ingresos PASMET</t>
  </si>
  <si>
    <t>SECCION F3: ALTA PROGRAMA DE ACOMPAÑAMIENTO EN SALUD MENTAL POR TELEMEDICINA A FUNCIONARIOS (PASMET)</t>
  </si>
  <si>
    <t>TIPO DE ALTA PASMET</t>
  </si>
  <si>
    <t xml:space="preserve">Alta Terapéutica </t>
  </si>
  <si>
    <t>Abondono</t>
  </si>
  <si>
    <t>SECCION G: TELECOMITÉ</t>
  </si>
  <si>
    <t>TELECOMITE</t>
  </si>
  <si>
    <t xml:space="preserve">USUARIOS EVALUADOS POR TELECOMITÉ </t>
  </si>
  <si>
    <t>Telecomité Oncológico Central</t>
  </si>
  <si>
    <t>Telecomité de Cuidados Paliativos</t>
  </si>
  <si>
    <t>SECCION H: ORIENTACIÓN TELEFÓNICA EN SALUD</t>
  </si>
  <si>
    <t xml:space="preserve">ORIENTACIÓN TELEFÓNICA EN SALUD </t>
  </si>
  <si>
    <t>ORIENTACIÓN EN SALUD</t>
  </si>
  <si>
    <t xml:space="preserve">Sin Información </t>
  </si>
  <si>
    <t>Orientación Clínica por Profesional no Médico</t>
  </si>
  <si>
    <t>Orientación Administrativa</t>
  </si>
  <si>
    <t>Orientación Médica</t>
  </si>
  <si>
    <t>Orientacion por Matrona</t>
  </si>
  <si>
    <t>SECCION I: TELEINTERCONSULTA MÉDICA EN SERVICIOS DE URGENCIA POR HOSPITAL DIGITAL</t>
  </si>
  <si>
    <t>TIPO DE TELEINTERCONSULTA DE URGENCIA</t>
  </si>
  <si>
    <t xml:space="preserve"> TELEINTERCONSULTA MEDICA DE URGENCIA </t>
  </si>
  <si>
    <t xml:space="preserve">TOTAL USUARIOS QUE SE INDICA TROMBOLISIS </t>
  </si>
  <si>
    <t>Otras teleinterconsultas urgencia</t>
  </si>
  <si>
    <t xml:space="preserve">SECCIÓN J : ATENCIÓN REMOTA DE URGENCIA </t>
  </si>
  <si>
    <t xml:space="preserve">ATENCIÓN REMOTA </t>
  </si>
  <si>
    <t>TOTAL PRESTACIONES REALIZADAS</t>
  </si>
  <si>
    <t>VIAS DE INGRESO A ESTRATEGIA</t>
  </si>
  <si>
    <t xml:space="preserve">UPC </t>
  </si>
  <si>
    <t>Red de Urgencia</t>
  </si>
  <si>
    <t xml:space="preserve">Neonatología </t>
  </si>
  <si>
    <t xml:space="preserve">Otras atenciones remotas de urgencia </t>
  </si>
  <si>
    <t>REM-31.  MEDICINA COMPLEMENTARIA Y PRÁCTICAS DE BIENESTAR DE LA SALUD</t>
  </si>
  <si>
    <t>SECCIÓN A: TIPOS DE MEDICINA COMPLEMENTARIA Y PRÁCTICAS DE BIENESTAR DE LA SALUD ENTREGADAS EN ATENCIÓN INDIVIDUAL</t>
  </si>
  <si>
    <t>TIPO DE MEDICINA COMPLEMENTARIA O PRÁCTICA DE BIENESTAR DE LA SALUD</t>
  </si>
  <si>
    <t>Atenciones realizadas durante otras consultas</t>
  </si>
  <si>
    <t>Ingresos a Medicina Complementaria</t>
  </si>
  <si>
    <t>Familiares / Cuidadores de los Pacientes</t>
  </si>
  <si>
    <t>Funcionarios</t>
  </si>
  <si>
    <t xml:space="preserve"> 10 - 14  años</t>
  </si>
  <si>
    <t>Reguladas</t>
  </si>
  <si>
    <t>Acupuntura</t>
  </si>
  <si>
    <t>Homeopatía</t>
  </si>
  <si>
    <t>Naturopatía</t>
  </si>
  <si>
    <t>No reguladas</t>
  </si>
  <si>
    <t>Apiterapia</t>
  </si>
  <si>
    <t>Aurículoterapia</t>
  </si>
  <si>
    <t>Biomagnetismo</t>
  </si>
  <si>
    <t xml:space="preserve">Fitoterapia </t>
  </si>
  <si>
    <t>Masoterapia</t>
  </si>
  <si>
    <t>Medicina Antroposófica</t>
  </si>
  <si>
    <t>Quiropraxia</t>
  </si>
  <si>
    <t>Reiki</t>
  </si>
  <si>
    <t xml:space="preserve">Sanación Pránica </t>
  </si>
  <si>
    <t>Sintergética</t>
  </si>
  <si>
    <t>Terapia Floral</t>
  </si>
  <si>
    <t>Terapia Neural</t>
  </si>
  <si>
    <t xml:space="preserve">SECCIÓN B: MEDICINA COMPLEMENTARIA Y PRÁCTICAS DE BIENESTAR DE LA SALUD EN ATENCIONES INDIVIDUALES O GRUPALES, SEGÚN PROFESIONAL </t>
  </si>
  <si>
    <t xml:space="preserve">PERFIL PROFESIONAL </t>
  </si>
  <si>
    <t>NO REGULADAS</t>
  </si>
  <si>
    <t>Arte terapia</t>
  </si>
  <si>
    <t>Aurículo-terapia</t>
  </si>
  <si>
    <t>Biodanza</t>
  </si>
  <si>
    <t>Qi Gong</t>
  </si>
  <si>
    <t>Fitoterapia</t>
  </si>
  <si>
    <t>Huertos Medicinales o Alimenticio/ Medicinales</t>
  </si>
  <si>
    <t xml:space="preserve">Meditación </t>
  </si>
  <si>
    <t>Sanación Pránica</t>
  </si>
  <si>
    <t>Sonoterapia</t>
  </si>
  <si>
    <t xml:space="preserve">Tai Chi </t>
  </si>
  <si>
    <t>Yoga</t>
  </si>
  <si>
    <t>Constelaciones Familiares</t>
  </si>
  <si>
    <t>Circulos de escucha</t>
  </si>
  <si>
    <t>Musicoterapia</t>
  </si>
  <si>
    <t>Danzaterapia</t>
  </si>
  <si>
    <t>Dramaterapia</t>
  </si>
  <si>
    <t>Otras Individuales</t>
  </si>
  <si>
    <t>Otras Grupales</t>
  </si>
  <si>
    <t>Enfermera(o)</t>
  </si>
  <si>
    <t>Matrona(ón)</t>
  </si>
  <si>
    <t>Fonoaudiólogo</t>
  </si>
  <si>
    <t>Farmacéutico</t>
  </si>
  <si>
    <t>Técnico en enfermería</t>
  </si>
  <si>
    <t>Tecnólogo Médico</t>
  </si>
  <si>
    <t>Terapeuta Complementario</t>
  </si>
  <si>
    <t>SECCIÓN C: ORIGEN DE LA ATENCIÓN CON MEDICINA COMPLEMENTARIA Y PRÁCTICAS DE BIENESTAR DE LA SALUD</t>
  </si>
  <si>
    <t>ORIGEN DE LA ATENCIÓN</t>
  </si>
  <si>
    <t>Huertos Medicinales o Alimenticio / Medicinales</t>
  </si>
  <si>
    <t>Consulta Espontánea</t>
  </si>
  <si>
    <t>Derivado desde Morbilidad</t>
  </si>
  <si>
    <t>Derivado desde Especialidad</t>
  </si>
  <si>
    <t>Paciente Hospitalizado</t>
  </si>
  <si>
    <t>Programa Crónicos Cardiovascular</t>
  </si>
  <si>
    <t>Otros programas de crónicos</t>
  </si>
  <si>
    <t>Programa de Salud Mental</t>
  </si>
  <si>
    <t>Programa de Salud Oral</t>
  </si>
  <si>
    <t xml:space="preserve">Programa de Salud sexual y reproductiva </t>
  </si>
  <si>
    <t>Chile Crece Contigo/Programa Infantil</t>
  </si>
  <si>
    <t>Programa de Cáncer (QT/RT)</t>
  </si>
  <si>
    <t>Programa de Dependencia severa</t>
  </si>
  <si>
    <t>Programa de Hospitalización Domiciliaria</t>
  </si>
  <si>
    <t>Programa de Rehabilitación física</t>
  </si>
  <si>
    <t>Programa de Cuidados Paliativos y Manejo del Dolor</t>
  </si>
  <si>
    <t>Otros programas</t>
  </si>
  <si>
    <t>SECCIÓN D: TIPOS DE MEDICINA COMPLEMENTARIA Y PRÁCTICAS DE BIENESTAR DE LA SALUD ENTREGADAS EN ATENCION GRUPAL Y COMUNITARIA</t>
  </si>
  <si>
    <t>TIPO DE  MEDICINA COMPLEMENTARIA O PRÁCTICA DE BIENESTAR DE LA SALUD</t>
  </si>
  <si>
    <t xml:space="preserve">
TOTAL DE SESIONES GRUPALES</t>
  </si>
  <si>
    <t>N° DE PARTICIPANTES</t>
  </si>
  <si>
    <t>Familiares / Cuidadores de los pacientes</t>
  </si>
  <si>
    <t>Menos de 10 años</t>
  </si>
  <si>
    <t>20-64 años</t>
  </si>
  <si>
    <t>Huertos Medicinales o Alimenticio/Medicinales</t>
  </si>
  <si>
    <t>Meditación</t>
  </si>
  <si>
    <t>Tai Chi</t>
  </si>
  <si>
    <t>Constelaciones familiares</t>
  </si>
  <si>
    <t>Círculos de Escucha</t>
  </si>
  <si>
    <t xml:space="preserve">SECCION E: ACCIONES REMOTAS DE MEDICINAS COMPLEMENTARIAS Y PRÁCTICAS DE BIENESTAR EN SALUD </t>
  </si>
  <si>
    <t xml:space="preserve">Familiares/Cuidadores de los pacientes </t>
  </si>
  <si>
    <t xml:space="preserve">REM-32. ACTIVIDADES DE ATENCIÓN DE SALUD REMOTA </t>
  </si>
  <si>
    <t>SECCIÓN A: SEGUIMIENTO EN ATENCIÓN PRIMARIA DE SALUD POR LLAMADA TELEFÓNICA O VIDEOLLAMADAS</t>
  </si>
  <si>
    <t xml:space="preserve"> SEXO</t>
  </si>
  <si>
    <t>Espacios amigables/ Adolescentes</t>
  </si>
  <si>
    <t xml:space="preserve">Odontólogo/a </t>
  </si>
  <si>
    <t xml:space="preserve">Renovación de recetas/ </t>
  </si>
  <si>
    <t>Entrega de resultados de exámenes</t>
  </si>
  <si>
    <t>Renovación de licencia médica</t>
  </si>
  <si>
    <t>Orden de exámenes</t>
  </si>
  <si>
    <t>Certificados médicos</t>
  </si>
  <si>
    <t>SECCIÓN C: CONSULTA MÉDICA EN ATENCIÓN PRIMARIA DE SALUD POR LLAMADA TELEFÓNICA O VIDEOLLAMADAS</t>
  </si>
  <si>
    <t xml:space="preserve">ATENCION </t>
  </si>
  <si>
    <t xml:space="preserve">Modalidad por la cual se realiza la atención </t>
  </si>
  <si>
    <t>Videollamada</t>
  </si>
  <si>
    <t xml:space="preserve">Llamada Telefónica </t>
  </si>
  <si>
    <t>Medicina General</t>
  </si>
  <si>
    <t>Atención remota de morbilidad (Plataforma Telesalud)</t>
  </si>
  <si>
    <t>SECCIÓN D: ATENCIONES TELEFÓNICAS EN CONSULTAS Y CONTROLES</t>
  </si>
  <si>
    <t>SECCIÓN D1: ATENCIONES REMOTAS MÉDICAS EN ESPECIALIDAD</t>
  </si>
  <si>
    <t>ESPECIALIDADES Y 
SUB-ESPECIALIDADES</t>
  </si>
  <si>
    <t>ATENCIONES REMOTAS DE CONSULTAS DE ESPECIALIDAD</t>
  </si>
  <si>
    <t>NO CONTESTA</t>
  </si>
  <si>
    <t>ALTA DE CONSULTA DE ESPECIALIDAD AMBULATORIA REMOTA</t>
  </si>
  <si>
    <t>TELECONSULTAS NUEVAS DE ESPECIALIDAD SEGÚN ORIGEN</t>
  </si>
  <si>
    <t>ATENCIONES SEGÚN MODALIDAD DE CONTACTO</t>
  </si>
  <si>
    <t>Teleconsulta Abreviada  (Videollamada)/ Consulta Abreviada Telefónica Atención Remota: entrega de los resultados de exámenes o procedimiento (Confección de recetas o lectura de exámenes)</t>
  </si>
  <si>
    <t>Teleconsultorías</t>
  </si>
  <si>
    <t>Teleconsulta de especialidad resueltas por Médicos Generales</t>
  </si>
  <si>
    <t>De 15 y más años</t>
  </si>
  <si>
    <t>Nuevas</t>
  </si>
  <si>
    <t>Menos 
15 años</t>
  </si>
  <si>
    <t>15 y más 
años</t>
  </si>
  <si>
    <t>Hospitaliza-ción</t>
  </si>
  <si>
    <t>Teleconsulta Nueva</t>
  </si>
  <si>
    <t>Teleconsulta Control</t>
  </si>
  <si>
    <t>Contacto telefónico control</t>
  </si>
  <si>
    <t>Enfermedad respiratoria pediátrica (broncopulmonar infantil)</t>
  </si>
  <si>
    <t>Enfermedad respiratoria de adulto (broncopulmonar)</t>
  </si>
  <si>
    <t>Coloproctología (cirugia digestiva baja)</t>
  </si>
  <si>
    <t>Cirugía vascular periférica</t>
  </si>
  <si>
    <t>Medicina nuclear (excluye informes)</t>
  </si>
  <si>
    <t>SECCIÓN D.2: ATENCIONES REMOTAS CONSULTAS Y CONTROLES POR OTROS PROFESIONALES EN ESPECIALIDAD (NIVEL SECUNDARIO)</t>
  </si>
  <si>
    <t>ATENCIONES REMOTAS SEGÚN MODALIDAD</t>
  </si>
  <si>
    <t>Atención Remota consulta abreviada PNM : entrega de los resultados de exámenes o procedimiento (Confección de recetas o lectura de exámenes)</t>
  </si>
  <si>
    <t>Consultorías resueltas vía remota</t>
  </si>
  <si>
    <t xml:space="preserve"> Contacto Telefónico Control</t>
  </si>
  <si>
    <t>Teleconsulta Nueva /Control</t>
  </si>
  <si>
    <t>Ginecología y otros</t>
  </si>
  <si>
    <t>Tecnólogo/a médico/a</t>
  </si>
  <si>
    <t xml:space="preserve">SECCIÓN E: ATENCIÓN ODONTOLÓGICA </t>
  </si>
  <si>
    <t>SECCIÓN E1: ATENCIÓN ODONTOLÓGICA NIVEL PRIMARIO</t>
  </si>
  <si>
    <t xml:space="preserve">ACTIVIDADES </t>
  </si>
  <si>
    <t>60 años (incluído en grupos de 20-64 años)</t>
  </si>
  <si>
    <t>Usuarios en situación de discapacidad</t>
  </si>
  <si>
    <t>Menos de 1
año</t>
  </si>
  <si>
    <t>1 
año</t>
  </si>
  <si>
    <t>2 
años</t>
  </si>
  <si>
    <t>3 
años</t>
  </si>
  <si>
    <t>4 
años</t>
  </si>
  <si>
    <t>5 
años</t>
  </si>
  <si>
    <t>6 
años</t>
  </si>
  <si>
    <t>12 
años</t>
  </si>
  <si>
    <t>Resto 
&lt;15 años</t>
  </si>
  <si>
    <t>15 - 19 
años</t>
  </si>
  <si>
    <t>20 - 64 
años</t>
  </si>
  <si>
    <t>65 y 
más años</t>
  </si>
  <si>
    <t>Seguimiento Clínico Remoto de Pacientes</t>
  </si>
  <si>
    <t>Educación, Promoción Remota en Salud Bucal</t>
  </si>
  <si>
    <t>Pauta CERO Remota</t>
  </si>
  <si>
    <t>SECCIÓN E2: ATENCIÓN ODONTOLÓGICA ESTABLECIMIENTOS HOSPITALARIOS DE BAJA, MEDIANA Y ALTA COMPLEJIDAD</t>
  </si>
  <si>
    <t>No Contesta</t>
  </si>
  <si>
    <t>0-5 años</t>
  </si>
  <si>
    <t>12 años</t>
  </si>
  <si>
    <t>Resto &lt; 15 años</t>
  </si>
  <si>
    <t>20-64 
 años (excluye 60 años)</t>
  </si>
  <si>
    <t>60 años</t>
  </si>
  <si>
    <t>Consulta nueva de especialidad odontológica (Teleconsulta)</t>
  </si>
  <si>
    <t>Control de especialidad odontológica (Teleconsulta)</t>
  </si>
  <si>
    <t xml:space="preserve">SECCION F: ACCIONES DE SALUD MENTAL REMOTAS </t>
  </si>
  <si>
    <t>SECCIÓN F1: ACCIONES REMOTAS DE SALUD MENTAL (APS Y ESPECIALIDAD)</t>
  </si>
  <si>
    <t>VIDEOLLAMADAS</t>
  </si>
  <si>
    <t>TOTAL ACCIONES</t>
  </si>
  <si>
    <t>Llamadas Telefónicas</t>
  </si>
  <si>
    <t>Videollamadas</t>
  </si>
  <si>
    <t>Mensajería de Texto</t>
  </si>
  <si>
    <t>SECCIÓN F2: CONTROLES DE SALUD MENTAL REMOTOS (APS Y ESPECIALIDAD)</t>
  </si>
  <si>
    <t>Controles de salud mental por llamadas telefónicas</t>
  </si>
  <si>
    <t>Matrona/on</t>
  </si>
  <si>
    <t>Técnico en Enfermería y en Salud Mental</t>
  </si>
  <si>
    <t xml:space="preserve">Controles de salud mental por videollamadas </t>
  </si>
  <si>
    <t xml:space="preserve">SECCION G: ACCIONES DE SEGUIMIENTO REMOTO EN EL PROGRAMA DE SALUD CARDIOVASCULAR EN APS </t>
  </si>
  <si>
    <t>Llamadas telefónicas o Videollamadas</t>
  </si>
  <si>
    <t>Mensajes de texto</t>
  </si>
  <si>
    <t>SECCIÓN H: ACTIVIDADES DE ACOMPAÑAMIENTO REMOTO A PERSONAS MAYORES Y SUS FAMILIAS POR PARTE DEL PROGRAMA MÁS ADULTOS MAYORES AUTOVALENTES</t>
  </si>
  <si>
    <t>Contacto individual por mensaje electrónico</t>
  </si>
  <si>
    <t>Contacto grupal por mensaje electrónico</t>
  </si>
  <si>
    <t>SECCIÓN I: SEGUIMIENTO DE SALUD INFANTIL REMOTO</t>
  </si>
  <si>
    <t>ACCIONES</t>
  </si>
  <si>
    <t>TOTAL USUARIOS</t>
  </si>
  <si>
    <t>Video Llamadas</t>
  </si>
  <si>
    <t>24 - 35 meses</t>
  </si>
  <si>
    <t>36 - 41 meses</t>
  </si>
  <si>
    <t>42 - 47 meses</t>
  </si>
  <si>
    <t>60 - 71 meses</t>
  </si>
  <si>
    <t>6 - 9 años 11 meses</t>
  </si>
  <si>
    <t>Otro/a</t>
  </si>
  <si>
    <t>SECCIÓN J: ATENCIÓN REMOTA ADOLESCENTE</t>
  </si>
  <si>
    <t xml:space="preserve"> CONTROL DE SALUD INTEGRAL</t>
  </si>
  <si>
    <t>10 - 14 AÑOS</t>
  </si>
  <si>
    <t>15 - 19 AÑOS</t>
  </si>
  <si>
    <t>Epuipo de espacio Amigable</t>
  </si>
  <si>
    <t>Otro Equipo de Salud</t>
  </si>
  <si>
    <t>SECCION K: ATENCIONES REMOTAS EN MODALIDADES DE APOYO AL DESARROLLO INFANTIL (MADIS) EN APS</t>
  </si>
  <si>
    <t>TIPO DE ACCION PARA GENERAR ATENCIONES</t>
  </si>
  <si>
    <t>Telefónico</t>
  </si>
  <si>
    <t>Mensajería</t>
  </si>
  <si>
    <t>7-11 meses</t>
  </si>
  <si>
    <t>12- 17 meses</t>
  </si>
  <si>
    <t>18-23 meses</t>
  </si>
  <si>
    <t>24-47 meses</t>
  </si>
  <si>
    <t>48-59 meses</t>
  </si>
  <si>
    <t>Intervenciones de seguimiento efectivas</t>
  </si>
  <si>
    <t>Intervenciones de otro tipo</t>
  </si>
  <si>
    <t>Última sesión Término de Tratramiento</t>
  </si>
  <si>
    <t>SECCIÓN L:  EDUCACIÓN GRUPAL REMOTA SEGÚN ÁREAS TEMÁTICAS Y EDAD</t>
  </si>
  <si>
    <t>ÁREAS TEMÁTICAS DE PROMOCIÓN Y PREVENCIÓN</t>
  </si>
  <si>
    <t>TOTAL
 ACCIONES</t>
  </si>
  <si>
    <t>TIPO DE ACCIÓN PARA GENERAR ATENCIONES</t>
  </si>
  <si>
    <t>MADRE, PADRE O CUIDADOR DE:</t>
  </si>
  <si>
    <t>Videollamada grupal</t>
  </si>
  <si>
    <t>Seminario-Radio</t>
  </si>
  <si>
    <t>Plataforma Digital</t>
  </si>
  <si>
    <t>Acompañante de gestante</t>
  </si>
  <si>
    <t>Menores de 12 meses</t>
  </si>
  <si>
    <t>Niños de 12 a 23 meses</t>
  </si>
  <si>
    <t>Niños de 2 a 5 años</t>
  </si>
  <si>
    <t>Niños de 5 a 9 años</t>
  </si>
  <si>
    <t>Habilidades Parentales</t>
  </si>
  <si>
    <t>Nadie es Perfecto Remoto A</t>
  </si>
  <si>
    <t>Nadie es Perfecto Remoto B</t>
  </si>
  <si>
    <t>Nadie es Perfecto Seminario</t>
  </si>
  <si>
    <t>Nadie es perfecto PASMI</t>
  </si>
  <si>
    <t xml:space="preserve">SECCIÓN M: ACTIVIDADES PROGRAMA ELIGE VIDA SANA POR LLAMADA TELEFÓNICA </t>
  </si>
  <si>
    <t>Nº DE MENSAJES</t>
  </si>
  <si>
    <t>Nº DE PARTICIPANTES</t>
  </si>
  <si>
    <t>RANGO ETAREO</t>
  </si>
  <si>
    <t>Información de actividades físicas enviadas por teléfono</t>
  </si>
  <si>
    <t>Información de Nutrición enviada por teléfono</t>
  </si>
  <si>
    <t>Información por Psicólogos enviada por teléfono</t>
  </si>
  <si>
    <t>SECCIÓN N: ACTIVIDADES PROGRAMA ELIGE VIDA SANA POR REDES SOCIALES</t>
  </si>
  <si>
    <t>N° DE ARCHIVOS MULTIMEDIA</t>
  </si>
  <si>
    <t>Videos de Actividad Física subido a las Redes Sociales</t>
  </si>
  <si>
    <t>Videos de Vida Sana subido a las Redes Sociales</t>
  </si>
  <si>
    <t>SECCIÓN O: APOYO TELEFÓNICO DEL PROGRAMA DE ACOMPAÑAMIENTO PSICOSOCIAL EN APS</t>
  </si>
  <si>
    <t>Acciones telefónicas realizadas (llamadas o mensajería)</t>
  </si>
  <si>
    <t xml:space="preserve">SECCIÓN P: TELECONSULTA MEDICINA ABREVIADA </t>
  </si>
  <si>
    <t xml:space="preserve">TIPO DE CONSULTA </t>
  </si>
  <si>
    <t>REM - A33. CUIDADOS PALIATIVOS NIVEL APS Y HOSPITALARIO</t>
  </si>
  <si>
    <t>SECCIÓN A:  INGRESOS POR DIAGNÓSTICO Y EGRESO POR CAUSALES</t>
  </si>
  <si>
    <t xml:space="preserve">INGRESO Y EGRESO SEGÚN DIAGNÓSTICO </t>
  </si>
  <si>
    <t>No olvide</t>
  </si>
  <si>
    <t>10- 14 años</t>
  </si>
  <si>
    <t>Ingresos por Diagnóstico</t>
  </si>
  <si>
    <t>Enfermedad oncológica</t>
  </si>
  <si>
    <t>Enfermedades oncológicas no progresivas</t>
  </si>
  <si>
    <t>Enfermedades oncológicas progresivas</t>
  </si>
  <si>
    <t>Enfermedad no oncológica</t>
  </si>
  <si>
    <t>Infección causada por VIH</t>
  </si>
  <si>
    <t>Enfermedades de origen neurológico</t>
  </si>
  <si>
    <t>Enfermedades de origen cardiológico</t>
  </si>
  <si>
    <t>Enfermedades de origen pulmonar</t>
  </si>
  <si>
    <t>Enfermedades de origen hepático</t>
  </si>
  <si>
    <t>Enfermedades de origen renal</t>
  </si>
  <si>
    <t>Alteraciones del tejido conectivo o musculoesquelético severos</t>
  </si>
  <si>
    <t>Malformaciones congénitas, deformidades y anomalías cromosómicas</t>
  </si>
  <si>
    <t>Prematurez</t>
  </si>
  <si>
    <t>Otras enfermedades</t>
  </si>
  <si>
    <t>Fallecimiento menor a 6 meses desde ingreso</t>
  </si>
  <si>
    <t>Fallecimiento más de 6 meses y menos de un año del ingreso</t>
  </si>
  <si>
    <t>Fallecimiento posterior a 12 meses del ingreso</t>
  </si>
  <si>
    <t>Término de Tratamiento</t>
  </si>
  <si>
    <t>No cumplimiento de criterios de ingreso</t>
  </si>
  <si>
    <t>Otra causal</t>
  </si>
  <si>
    <t xml:space="preserve">SECCIÓN B:  TIPO DE ATENCIÓN Y ACTIVIDADES </t>
  </si>
  <si>
    <t>ATENCIONES POR PROFESIONAL O TECNICO</t>
  </si>
  <si>
    <t>Dependencia Severa en APS</t>
  </si>
  <si>
    <t>Atenciones a personas oncológicas</t>
  </si>
  <si>
    <t>15 - 19  años</t>
  </si>
  <si>
    <t>20 - 24  años</t>
  </si>
  <si>
    <t xml:space="preserve">40 - 44 años </t>
  </si>
  <si>
    <t xml:space="preserve">70  años y más </t>
  </si>
  <si>
    <t>Quimico Farmacéutico</t>
  </si>
  <si>
    <t>0 -19 años</t>
  </si>
  <si>
    <t>20 años y más</t>
  </si>
  <si>
    <t>Atenciones por profesional o Técnico Igual a Total</t>
  </si>
  <si>
    <t>Dependencia Severa APS Hombre</t>
  </si>
  <si>
    <t>Dependencia Severa APS Mujer</t>
  </si>
  <si>
    <t>Visita Domiciliaria a persona con cáncer</t>
  </si>
  <si>
    <t>Visita domiciliaria APS</t>
  </si>
  <si>
    <t>Visita Domiciliaria Integral ingreso</t>
  </si>
  <si>
    <t>Visita Domiciliaria Integral seguimiento</t>
  </si>
  <si>
    <t>Visita Domiciliaria Tratamiento/Procedimiento/Rehabilitación</t>
  </si>
  <si>
    <t>Visita domiciliaria Nivel Secundario</t>
  </si>
  <si>
    <t>Visita Domiciliaria consulta nueva</t>
  </si>
  <si>
    <t>Visita Domiciliaria consulta control</t>
  </si>
  <si>
    <t>Atención ambulatoria</t>
  </si>
  <si>
    <t>Consulta abreviada</t>
  </si>
  <si>
    <t>Atención a familiares</t>
  </si>
  <si>
    <t>Atención Remota</t>
  </si>
  <si>
    <t>Teleconsulta</t>
  </si>
  <si>
    <t>Interconsulta en Sala</t>
  </si>
  <si>
    <t>Atención en Sala</t>
  </si>
  <si>
    <t>SECCION C: EDUCACIÓN A USUARIOS/AS</t>
  </si>
  <si>
    <t>Talleres</t>
  </si>
  <si>
    <t>Nº de participantes</t>
  </si>
  <si>
    <t>Modalidad remota</t>
  </si>
  <si>
    <t>Modalidad presencial</t>
  </si>
  <si>
    <t>SECCION D: CAPACITACIONES DE EQUIPOS</t>
  </si>
  <si>
    <t>CAPACITACIÓN</t>
  </si>
  <si>
    <t>PARA NIVEL PRIMARIO</t>
  </si>
  <si>
    <t>PARA NIVEL SECUNDARIO</t>
  </si>
  <si>
    <t xml:space="preserve">Nº Sesiones </t>
  </si>
  <si>
    <t xml:space="preserve">Nº Participantes </t>
  </si>
  <si>
    <t>Desde Especialidad</t>
  </si>
  <si>
    <t>Modalidad Remota</t>
  </si>
  <si>
    <t>Modalidad Presencial</t>
  </si>
  <si>
    <t>Desde APS</t>
  </si>
  <si>
    <t>Desde Servicio de Salud</t>
  </si>
  <si>
    <t>Desde MINSAL</t>
  </si>
  <si>
    <t>SECCION E: COMITÉS CUIDADOS PALIATIVOS</t>
  </si>
  <si>
    <t>COMITÉS</t>
  </si>
  <si>
    <t>TOTAL COMITE REALIZADOS</t>
  </si>
  <si>
    <t xml:space="preserve">Coordinación internivel </t>
  </si>
  <si>
    <t>Coordinación Exclusivo Nivel Primario</t>
  </si>
  <si>
    <t>Coordinación Exclusivo Nivel Secundario</t>
  </si>
  <si>
    <t>0 a 19 años</t>
  </si>
  <si>
    <t>Cuidados Paliativos Oncológico</t>
  </si>
  <si>
    <t>Cuidados Paliativos Universales</t>
  </si>
  <si>
    <t>Total Comités</t>
  </si>
  <si>
    <t xml:space="preserve">REM-34   DISPOSITIVOS PRAIS SERVICIOS DE SALUD </t>
  </si>
  <si>
    <t>SECCIÓN A: ACREDITACIÓN PRAIS</t>
  </si>
  <si>
    <t>SECCIÓN A.1: ATENCIÓN PARA ACREDITACIÓN PRAIS</t>
  </si>
  <si>
    <t>Usuarios Acreditados por Profesional/es que atiende/n (Individual o en dupla)</t>
  </si>
  <si>
    <t>Psicológo/a</t>
  </si>
  <si>
    <t>Trabajador/a Social y Psicológo/a</t>
  </si>
  <si>
    <t>SECCIÓN A.2: ACREDITACIÓN PRAIS SEGÚN LEY, NORMATIVA Y CALIDAD DE ACREDITACIÓN</t>
  </si>
  <si>
    <t>CALIDAD DE LA ACREDITACIÓN</t>
  </si>
  <si>
    <t>ART. 7° LEY 19.980</t>
  </si>
  <si>
    <t>NORMA COMPLEMENTARIA (N° 88)</t>
  </si>
  <si>
    <t>Ley 19.123, Ley 19.980, Ley 20.405 (DD Y EP)</t>
  </si>
  <si>
    <t>Ley 19.992, Ley 20.405 (Prisión política y tortura)</t>
  </si>
  <si>
    <t>Ley 19.965</t>
  </si>
  <si>
    <t>Trabajador DDHH</t>
  </si>
  <si>
    <t>Ex prisión política</t>
  </si>
  <si>
    <t>Exilio</t>
  </si>
  <si>
    <t>Relegación</t>
  </si>
  <si>
    <t>Clandestinidad</t>
  </si>
  <si>
    <t>Exoneración Política</t>
  </si>
  <si>
    <t>Índice</t>
  </si>
  <si>
    <t>Afectado Directo</t>
  </si>
  <si>
    <t>Beneficiario</t>
  </si>
  <si>
    <t>SECCIÓN B: INGRESOS Y CONTROLES</t>
  </si>
  <si>
    <t>CALIDAD DE ACREDITACIÓN</t>
  </si>
  <si>
    <t>15 a 24 años</t>
  </si>
  <si>
    <t>Otros hechos represivos según Norma técnica N° 88</t>
  </si>
  <si>
    <t>Consulta de ingreso a la atención especializada</t>
  </si>
  <si>
    <t>Psicóloga/o</t>
  </si>
  <si>
    <t>Médico/a General</t>
  </si>
  <si>
    <t xml:space="preserve">Psiquiatra </t>
  </si>
  <si>
    <t>Dupla Profesional</t>
  </si>
  <si>
    <t>Consulta Nueva</t>
  </si>
  <si>
    <t>Psiquiatra</t>
  </si>
  <si>
    <t>Médico/a de Familia</t>
  </si>
  <si>
    <t>Control</t>
  </si>
  <si>
    <t>Consulta Abreviada</t>
  </si>
  <si>
    <t xml:space="preserve">SECCIÓN C: EVALUACIONES </t>
  </si>
  <si>
    <t>Evaluación artículo 10 Ley 19.992</t>
  </si>
  <si>
    <t>Evaluación Integral de Daño</t>
  </si>
  <si>
    <t>SECCIÓN D: INTERVENCIONES</t>
  </si>
  <si>
    <t>SECCIÓN D.1: INTERVENCIONES INDIVIDUALES</t>
  </si>
  <si>
    <t>Psicoterapia</t>
  </si>
  <si>
    <t>Acompañamiento Psicosocial</t>
  </si>
  <si>
    <t>Visita Domiciliaria Integral</t>
  </si>
  <si>
    <t>SECCIÓN D.2: INTERVENCIONES GRUPALES</t>
  </si>
  <si>
    <t>TIPO INTERVENCIÓN</t>
  </si>
  <si>
    <t>SECCIÓN E: ACTIVIDADES EN TERRENO EN CONTEXTO DEL PLAN NACIONAL DE BÚSQUEDA.</t>
  </si>
  <si>
    <t xml:space="preserve">TIPO ACTIVIDAD </t>
  </si>
  <si>
    <t>Acompañamiento a familias en proceso de restitución de restos óseos identificados a sus familiares</t>
  </si>
  <si>
    <t>Acompañamiento en terreno en sitios de interés</t>
  </si>
  <si>
    <t>Visita domiciliaria para búsqueda activa de familiares</t>
  </si>
  <si>
    <t>SECCIÓN F: OTRAS ACTIVIDADES SEGÚN PROFESIONAL QUE LAS REALIZA</t>
  </si>
  <si>
    <t>Testificación en calidad de experto</t>
  </si>
  <si>
    <t>Informes clínicos de daño</t>
  </si>
  <si>
    <t>Consultoría en salud</t>
  </si>
  <si>
    <t>SECCIÓN G: ACTIVIDADES DE PROMOCIÓN Y PREVENCIÓN DE SALUD</t>
  </si>
  <si>
    <t>Calidad de Acreditación de los participantes</t>
  </si>
  <si>
    <t xml:space="preserve">Educación en salud </t>
  </si>
  <si>
    <t>Operativos de salud preventivo</t>
  </si>
  <si>
    <t>SECCIÓN H: ACTIVIDADES DE COORDINACIÓN Y VINCULACIÓN</t>
  </si>
  <si>
    <t>Nº  SESIONES</t>
  </si>
  <si>
    <t>Nº   ORGANIZACIONES  PARTICIPANTES</t>
  </si>
  <si>
    <t>actividad comunitaria de promoción memoria y ddhh</t>
  </si>
  <si>
    <t>trabajo sectorial de información y sensibilización</t>
  </si>
  <si>
    <t>SECCIÓN I: RESCATE DE PACIENTES INASISTENTES</t>
  </si>
  <si>
    <t>Rescate telefónico y/o correo electrónico</t>
  </si>
  <si>
    <t>CALIDAD DE ACREDITACIÓN DE LOS PARTICIPANTES</t>
  </si>
  <si>
    <t>Ley 19.123, ley 19.980, ley 20.405 (DD Y EP)</t>
  </si>
  <si>
    <t>Ley 19.992, ley 20.405 (Prisión política y tortura)</t>
  </si>
  <si>
    <t>NUMERO DE ERRORES Y COMPLETITUD DE REM SERIE A</t>
  </si>
  <si>
    <t>REM</t>
  </si>
  <si>
    <t>Nº ERRORES</t>
  </si>
  <si>
    <t>REM
SIN DATOS</t>
  </si>
  <si>
    <t>HOJA NOMBRE</t>
  </si>
  <si>
    <t>REM A01</t>
  </si>
  <si>
    <t>REM A02</t>
  </si>
  <si>
    <t>REM A03</t>
  </si>
  <si>
    <t>REM A04</t>
  </si>
  <si>
    <t>REM A05</t>
  </si>
  <si>
    <t>REM A06</t>
  </si>
  <si>
    <t>REM A07</t>
  </si>
  <si>
    <t>REM A08</t>
  </si>
  <si>
    <t>REM A09</t>
  </si>
  <si>
    <t>REM A11</t>
  </si>
  <si>
    <t>REM A11a</t>
  </si>
  <si>
    <t>REM A19a</t>
  </si>
  <si>
    <t>REM A19b</t>
  </si>
  <si>
    <t>REM A21</t>
  </si>
  <si>
    <t>REM A23</t>
  </si>
  <si>
    <t>REM A24</t>
  </si>
  <si>
    <t>REM A25</t>
  </si>
  <si>
    <t>REM A26</t>
  </si>
  <si>
    <t>REM A27</t>
  </si>
  <si>
    <t>REM A28</t>
  </si>
  <si>
    <t>REM A29</t>
  </si>
  <si>
    <t>REM A30</t>
  </si>
  <si>
    <t>REM A30AR</t>
  </si>
  <si>
    <t>REM A31</t>
  </si>
  <si>
    <t>REM A32</t>
  </si>
  <si>
    <t>REM A33</t>
  </si>
  <si>
    <t>Macros</t>
  </si>
  <si>
    <t>CREA UNA COPIA  DEL ARCHIVO  (TRANFORMA HOJAS A VALORES)</t>
  </si>
  <si>
    <t>Contraseña para copia del archivo :DEIS</t>
  </si>
  <si>
    <t>Consulta espontánea a PAIG</t>
  </si>
  <si>
    <t xml:space="preserve">Cardiología </t>
  </si>
  <si>
    <t xml:space="preserve">Ginecología oncológica </t>
  </si>
  <si>
    <t>Nutrición clínica</t>
  </si>
  <si>
    <t>Mastología</t>
  </si>
  <si>
    <t>Medicina Materno Infantil</t>
  </si>
  <si>
    <t xml:space="preserve">Reumatología </t>
  </si>
  <si>
    <t>Medicina Física y Rehabilitación</t>
  </si>
  <si>
    <t xml:space="preserve">Cirugía General </t>
  </si>
  <si>
    <t xml:space="preserve">Cirugía Plástica y Reparadora </t>
  </si>
  <si>
    <t>Medicina del adolescente</t>
  </si>
  <si>
    <t>Medicina del Deporte</t>
  </si>
  <si>
    <t>NeuroRadiologia</t>
  </si>
  <si>
    <t xml:space="preserve">Traumatología y Ortopedia </t>
  </si>
  <si>
    <t xml:space="preserve">Urología </t>
  </si>
  <si>
    <t>Neurorradiologia</t>
  </si>
  <si>
    <t>20 - 59 años</t>
  </si>
  <si>
    <t>REM A34</t>
  </si>
  <si>
    <t>N° DE VISITAS REALIZADAS</t>
  </si>
  <si>
    <t>PROFESIONALES QUE PARTICIPAN EN LA VISITA DE TRATAMIENTO</t>
  </si>
  <si>
    <t>Médico interconsultor (vía de resolución)</t>
  </si>
  <si>
    <t>Extracción quir. de cuerpo extraño en córnea y/o esclera</t>
  </si>
  <si>
    <t>REM-30. ATENCIONES POR TELEMEDICINA EN LA RED ASISTENCIAL</t>
  </si>
  <si>
    <t>18 -19 años</t>
  </si>
  <si>
    <t>SECCIÓN H: TERAPIA HORMONAL GENERO AFIRMATIVA (THGA) EN MAYORES DE 18 AÑOS</t>
  </si>
  <si>
    <t>SECCIÓN I.1 : DESPACHO DE RECETAS DE PACIENTES AMBULATORIOS EN ATENCIÓN PRIMARIA</t>
  </si>
  <si>
    <t>SECCIÓN A.5: TIPO DE ALIMENTACIÓN NIÑOS Y NIÑAS CONTROLADOS</t>
  </si>
  <si>
    <t>SECCIÓN B.1: EVALUACIÓN DEL ESTADO NUTRICIONAL A PERSONAS CONTROLADAS AL OCTAVO MES POST PARTO</t>
  </si>
  <si>
    <t>Violencia de Género</t>
  </si>
  <si>
    <t>Evaluación a mujeres/personas post parto síntomas de depresión</t>
  </si>
  <si>
    <t>Total de Aplicaciones Pauta de Riesgo Biopsicosocial en Control de Salud Infantil</t>
  </si>
  <si>
    <t>Dependencia severa (lesiones por presión)</t>
  </si>
  <si>
    <r>
      <t>SECCIÓN V: INGRESOS Y EGRESOS DEL PROGRAMA DE ATENCIÓN DOMICILIARIA PARA PERSONAS CON DEPENDENCIA SEVERA</t>
    </r>
    <r>
      <rPr>
        <b/>
        <i/>
        <sz val="9"/>
        <color theme="1"/>
        <rFont val="Verdana"/>
        <family val="2"/>
      </rPr>
      <t xml:space="preserve"> </t>
    </r>
  </si>
  <si>
    <t>Cuidadores Principales de Personas con Demencia con Reevaluación Sobrecarga del Cuidado</t>
  </si>
  <si>
    <t>Cuidadores Principales de Personas con Demencia con Evaluación de Satisfacción Usuaria del Proceso de Intervención</t>
  </si>
  <si>
    <t>SECCIÓN G.1: ATENCIONES MÉDICAS ASOCIADAS A VIOLENCIA: CARACTERIZACIÓN DEL AGRESOR Y SU RELACIÓN CON LA VÍCTIMA REGISTRADA EN SECCIÓN G</t>
  </si>
  <si>
    <t>SECCIÓN A: CONSULTAS Y CONTROLES DE ODONTOLOGÍA GENERAL EN  NIVEL PRIMARIO Y SECUNDARIO DE SALUD</t>
  </si>
  <si>
    <t>SECCIÓN C : INGRESOS Y EGRESOS DE ODONTOLOGÍA GENERAL EN NIVEL PRIMARIO Y SECUNDARIO DE SALUD</t>
  </si>
  <si>
    <t xml:space="preserve">Índice CEOD o COPD (Índice CEOD se usa en menores de 7 años, para resto se utiliza COPD) </t>
  </si>
  <si>
    <t xml:space="preserve">Radiografía intraoral mediante técnicas Bite Wing  bilateral </t>
  </si>
  <si>
    <t>Tomografía computacional maxilo facial Cone Beam craneofacial</t>
  </si>
  <si>
    <r>
      <t xml:space="preserve">Mujeres VIH (+) </t>
    </r>
    <r>
      <rPr>
        <b/>
        <sz val="8"/>
        <color theme="1"/>
        <rFont val="Verdana"/>
        <family val="2"/>
      </rPr>
      <t xml:space="preserve">confirmada </t>
    </r>
    <r>
      <rPr>
        <sz val="8"/>
        <color theme="1"/>
        <rFont val="Verdana"/>
        <family val="2"/>
      </rPr>
      <t>por ISP que recibieron protocolo PTV completo al parto</t>
    </r>
  </si>
  <si>
    <r>
      <t xml:space="preserve">Mujeres VIH (+) </t>
    </r>
    <r>
      <rPr>
        <b/>
        <sz val="8"/>
        <color theme="1"/>
        <rFont val="Verdana"/>
        <family val="2"/>
      </rPr>
      <t>confirmada</t>
    </r>
    <r>
      <rPr>
        <sz val="8"/>
        <color theme="1"/>
        <rFont val="Verdana"/>
        <family val="2"/>
      </rPr>
      <t xml:space="preserve"> por ISP que recibieron protocolo PTV incompleto al parto</t>
    </r>
  </si>
  <si>
    <r>
      <t xml:space="preserve">Mujeres VIH (+) </t>
    </r>
    <r>
      <rPr>
        <b/>
        <sz val="8"/>
        <color theme="1"/>
        <rFont val="Verdana"/>
        <family val="2"/>
      </rPr>
      <t>confirmada</t>
    </r>
    <r>
      <rPr>
        <sz val="8"/>
        <color theme="1"/>
        <rFont val="Verdana"/>
        <family val="2"/>
      </rPr>
      <t xml:space="preserve"> por ISP que no recibieron protocolo PTV al parto</t>
    </r>
  </si>
  <si>
    <r>
      <t xml:space="preserve">Mujeres VIH (+) </t>
    </r>
    <r>
      <rPr>
        <b/>
        <sz val="8"/>
        <color theme="1"/>
        <rFont val="Verdana"/>
        <family val="2"/>
      </rPr>
      <t>confirmada</t>
    </r>
    <r>
      <rPr>
        <sz val="8"/>
        <color theme="1"/>
        <rFont val="Verdana"/>
        <family val="2"/>
      </rPr>
      <t xml:space="preserve"> por ISP atendidas por parto </t>
    </r>
  </si>
  <si>
    <r>
      <t xml:space="preserve">Mujeres con serología VIH (+) </t>
    </r>
    <r>
      <rPr>
        <b/>
        <sz val="8"/>
        <color theme="1"/>
        <rFont val="Verdana"/>
        <family val="2"/>
      </rPr>
      <t>no confirmada</t>
    </r>
    <r>
      <rPr>
        <sz val="8"/>
        <color theme="1"/>
        <rFont val="Verdana"/>
        <family val="2"/>
      </rPr>
      <t xml:space="preserve"> por ISP que recibieron protocolo PTV completo al parto</t>
    </r>
  </si>
  <si>
    <r>
      <t xml:space="preserve">Mujeres con serología VIH (+) </t>
    </r>
    <r>
      <rPr>
        <b/>
        <sz val="8"/>
        <color theme="1"/>
        <rFont val="Verdana"/>
        <family val="2"/>
      </rPr>
      <t>no confirmada</t>
    </r>
    <r>
      <rPr>
        <sz val="8"/>
        <color theme="1"/>
        <rFont val="Verdana"/>
        <family val="2"/>
      </rPr>
      <t xml:space="preserve"> por ISP que recibieron protocolo PTV incompleto al parto</t>
    </r>
  </si>
  <si>
    <r>
      <t xml:space="preserve">Mujeres con serología VIH (+) </t>
    </r>
    <r>
      <rPr>
        <b/>
        <sz val="8"/>
        <color theme="1"/>
        <rFont val="Verdana"/>
        <family val="2"/>
      </rPr>
      <t>no confirmada</t>
    </r>
    <r>
      <rPr>
        <sz val="8"/>
        <color theme="1"/>
        <rFont val="Verdana"/>
        <family val="2"/>
      </rPr>
      <t xml:space="preserve"> por ISP que No recibieron protocolo PTV al parto</t>
    </r>
  </si>
  <si>
    <r>
      <t xml:space="preserve">Mujeres con serología VIH (+) </t>
    </r>
    <r>
      <rPr>
        <b/>
        <sz val="8"/>
        <color theme="1"/>
        <rFont val="Verdana"/>
        <family val="2"/>
      </rPr>
      <t>no confirmada</t>
    </r>
    <r>
      <rPr>
        <sz val="8"/>
        <color theme="1"/>
        <rFont val="Verdana"/>
        <family val="2"/>
      </rPr>
      <t xml:space="preserve"> por ISP atendidas por parto  </t>
    </r>
  </si>
  <si>
    <t>Prevención de la transmisión vertical del VIH (gestantes) con o sin entrega de preservativos</t>
  </si>
  <si>
    <t>Con persona mayor dependiente</t>
  </si>
  <si>
    <t>Total de Horas Mensuales de Quirófanos en Trabajo (Horario Hábil)</t>
  </si>
  <si>
    <r>
      <t xml:space="preserve">Horas Mensuales </t>
    </r>
    <r>
      <rPr>
        <b/>
        <sz val="8"/>
        <color theme="1"/>
        <rFont val="Verdana"/>
        <family val="2"/>
      </rPr>
      <t>Programadas</t>
    </r>
    <r>
      <rPr>
        <sz val="8"/>
        <color theme="1"/>
        <rFont val="Verdana"/>
        <family val="2"/>
      </rPr>
      <t xml:space="preserve"> de Tabla Quirúrgica de Quirófanos en Trabajo, Horario Hábil</t>
    </r>
  </si>
  <si>
    <r>
      <t xml:space="preserve">Horas Mensuales </t>
    </r>
    <r>
      <rPr>
        <b/>
        <sz val="8"/>
        <color theme="1"/>
        <rFont val="Verdana"/>
        <family val="2"/>
      </rPr>
      <t xml:space="preserve">Ocupadas </t>
    </r>
    <r>
      <rPr>
        <sz val="8"/>
        <color theme="1"/>
        <rFont val="Verdana"/>
        <family val="2"/>
      </rPr>
      <t>de Quirófanos en Trabajo Horario Hábil</t>
    </r>
  </si>
  <si>
    <r>
      <t xml:space="preserve">Horas Mensuales </t>
    </r>
    <r>
      <rPr>
        <b/>
        <sz val="8"/>
        <color theme="1"/>
        <rFont val="Verdana"/>
        <family val="2"/>
      </rPr>
      <t>Ocupadas</t>
    </r>
    <r>
      <rPr>
        <sz val="8"/>
        <color theme="1"/>
        <rFont val="Verdana"/>
        <family val="2"/>
      </rPr>
      <t xml:space="preserve"> de Quirófanos en Trabajo Horario Inhábil de Lunes a Viernes</t>
    </r>
  </si>
  <si>
    <r>
      <t xml:space="preserve">Horas Mensuales </t>
    </r>
    <r>
      <rPr>
        <b/>
        <sz val="8"/>
        <color theme="1"/>
        <rFont val="Verdana"/>
        <family val="2"/>
      </rPr>
      <t>Ocupadas</t>
    </r>
    <r>
      <rPr>
        <sz val="8"/>
        <color theme="1"/>
        <rFont val="Verdana"/>
        <family val="2"/>
      </rPr>
      <t xml:space="preserve"> de Quirófanos en Trabajo Horario Sábado, Domingo y Festivo</t>
    </r>
  </si>
  <si>
    <r>
      <t xml:space="preserve">Total Horas Mensuales </t>
    </r>
    <r>
      <rPr>
        <b/>
        <sz val="8"/>
        <color theme="1"/>
        <rFont val="Verdana"/>
        <family val="2"/>
      </rPr>
      <t>Ocupadas</t>
    </r>
    <r>
      <rPr>
        <sz val="8"/>
        <color theme="1"/>
        <rFont val="Verdana"/>
        <family val="2"/>
      </rPr>
      <t xml:space="preserve"> de Quirófanos en Trabajo, Horario Hábil</t>
    </r>
  </si>
  <si>
    <r>
      <t>Total Horas Mensuales</t>
    </r>
    <r>
      <rPr>
        <b/>
        <sz val="8"/>
        <color theme="1"/>
        <rFont val="Verdana"/>
        <family val="2"/>
      </rPr>
      <t xml:space="preserve"> Ocupadas</t>
    </r>
    <r>
      <rPr>
        <sz val="8"/>
        <color theme="1"/>
        <rFont val="Verdana"/>
        <family val="2"/>
      </rPr>
      <t xml:space="preserve"> de Quirófanos en Trabajo, Horario Inhábil</t>
    </r>
  </si>
  <si>
    <r>
      <rPr>
        <b/>
        <sz val="11"/>
        <color theme="1"/>
        <rFont val="Verdana"/>
        <family val="2"/>
      </rPr>
      <t>*</t>
    </r>
    <r>
      <rPr>
        <b/>
        <sz val="12"/>
        <color theme="1"/>
        <rFont val="Verdana"/>
        <family val="2"/>
      </rPr>
      <t xml:space="preserve"> </t>
    </r>
    <r>
      <rPr>
        <b/>
        <sz val="8"/>
        <color theme="1"/>
        <rFont val="Verdana"/>
        <family val="2"/>
      </rPr>
      <t>Las</t>
    </r>
    <r>
      <rPr>
        <b/>
        <sz val="12"/>
        <color theme="1"/>
        <rFont val="Verdana"/>
        <family val="2"/>
      </rPr>
      <t xml:space="preserve"> </t>
    </r>
    <r>
      <rPr>
        <b/>
        <sz val="8"/>
        <color theme="1"/>
        <rFont val="Verdana"/>
        <family val="2"/>
      </rPr>
      <t>horas informadas en cirugía menores y procedimientos, deben estar contenidas en las horas ocupadas, en quirófanos para cirugía mayor.</t>
    </r>
  </si>
  <si>
    <t xml:space="preserve">SECCIÓN C:  HOSPITALIZACIÓN DOMICILIARIA Y ATENCIÓN VENTILATORIA EN DOMICILIO </t>
  </si>
  <si>
    <t>Otras Especialidades</t>
  </si>
  <si>
    <r>
      <t>Ligadura tardía del cordón (</t>
    </r>
    <r>
      <rPr>
        <sz val="8"/>
        <color theme="1"/>
        <rFont val="Aptos Narrow"/>
        <family val="2"/>
      </rPr>
      <t xml:space="preserve">&gt; </t>
    </r>
    <r>
      <rPr>
        <sz val="8"/>
        <color theme="1"/>
        <rFont val="Verdana"/>
        <family val="2"/>
      </rPr>
      <t>a 60 segundos)</t>
    </r>
  </si>
  <si>
    <t>SECCIÓN F: CONSULTA DE LACTANCIA MATERNA EN SERVICIOS GINECO-OBSTÉTRICOS O DE NEONATOLOGÍA</t>
  </si>
  <si>
    <t>Consulta de lactancia materna</t>
  </si>
  <si>
    <t>Consulta de lactancia materna por profesional</t>
  </si>
  <si>
    <t>SECCIÓN G: TALLERES GRUPALES DE LACTANCIA MATERNA EN SERVICIOS GINECO-OBSTÉTRICOS</t>
  </si>
  <si>
    <t>Número de Talleres de Lactancia Materna realizada en servicios Gineco-Obstétricos</t>
  </si>
  <si>
    <t>Número de Participantes de Talleres de Lactancia Materna realizada en servicios Gineco-Obstétricos</t>
  </si>
  <si>
    <r>
      <t>Lu</t>
    </r>
    <r>
      <rPr>
        <vertAlign val="superscript"/>
        <sz val="8"/>
        <color theme="1"/>
        <rFont val="Verdana"/>
        <family val="2"/>
      </rPr>
      <t>a</t>
    </r>
  </si>
  <si>
    <r>
      <t>Lu</t>
    </r>
    <r>
      <rPr>
        <vertAlign val="superscript"/>
        <sz val="8"/>
        <color theme="1"/>
        <rFont val="Verdana"/>
        <family val="2"/>
      </rPr>
      <t>b</t>
    </r>
  </si>
  <si>
    <r>
      <t>Kp</t>
    </r>
    <r>
      <rPr>
        <vertAlign val="superscript"/>
        <sz val="8"/>
        <color theme="1"/>
        <rFont val="Verdana"/>
        <family val="2"/>
      </rPr>
      <t>a</t>
    </r>
  </si>
  <si>
    <r>
      <t>Le</t>
    </r>
    <r>
      <rPr>
        <vertAlign val="superscript"/>
        <sz val="8"/>
        <color theme="1"/>
        <rFont val="Verdana"/>
        <family val="2"/>
      </rPr>
      <t>a</t>
    </r>
  </si>
  <si>
    <r>
      <t>Le</t>
    </r>
    <r>
      <rPr>
        <vertAlign val="superscript"/>
        <sz val="8"/>
        <color theme="1"/>
        <rFont val="Verdana"/>
        <family val="2"/>
      </rPr>
      <t>b</t>
    </r>
  </si>
  <si>
    <r>
      <t>Fy</t>
    </r>
    <r>
      <rPr>
        <vertAlign val="superscript"/>
        <sz val="8"/>
        <color theme="1"/>
        <rFont val="Verdana"/>
        <family val="2"/>
      </rPr>
      <t>a</t>
    </r>
  </si>
  <si>
    <r>
      <t>Fy</t>
    </r>
    <r>
      <rPr>
        <vertAlign val="superscript"/>
        <sz val="8"/>
        <color theme="1"/>
        <rFont val="Verdana"/>
        <family val="2"/>
      </rPr>
      <t>b</t>
    </r>
  </si>
  <si>
    <r>
      <t>Jk</t>
    </r>
    <r>
      <rPr>
        <vertAlign val="superscript"/>
        <sz val="8"/>
        <color theme="1"/>
        <rFont val="Verdana"/>
        <family val="2"/>
      </rPr>
      <t>a</t>
    </r>
  </si>
  <si>
    <r>
      <t>Jk</t>
    </r>
    <r>
      <rPr>
        <vertAlign val="superscript"/>
        <sz val="8"/>
        <color theme="1"/>
        <rFont val="Verdana"/>
        <family val="2"/>
      </rPr>
      <t>b</t>
    </r>
  </si>
  <si>
    <r>
      <t>Di</t>
    </r>
    <r>
      <rPr>
        <vertAlign val="superscript"/>
        <sz val="8"/>
        <color theme="1"/>
        <rFont val="Verdana"/>
        <family val="2"/>
      </rPr>
      <t>a</t>
    </r>
  </si>
  <si>
    <r>
      <t>Di</t>
    </r>
    <r>
      <rPr>
        <vertAlign val="superscript"/>
        <sz val="8"/>
        <color theme="1"/>
        <rFont val="Verdana"/>
        <family val="2"/>
      </rPr>
      <t>b</t>
    </r>
  </si>
  <si>
    <t>Primera visita anual</t>
  </si>
  <si>
    <t>Segunda visita anual</t>
  </si>
  <si>
    <t>Tercera o más visitas de seguimiento anual</t>
  </si>
  <si>
    <t xml:space="preserve">Elaboración Plan Cuidado Integral a persona con dependencia severa </t>
  </si>
  <si>
    <t xml:space="preserve">Evaluación y actualización plan de cuidados a personas con dependencia severa </t>
  </si>
  <si>
    <t xml:space="preserve">Evaluación y actualización plan de cuidados a cuidador </t>
  </si>
  <si>
    <t>A personas con dependencia severa en programa, por condiciones asociadas a dependencia severa</t>
  </si>
  <si>
    <t>Organizaciones ingresadas al programa de estimulación funcional del programa más adultos mayores autovalentes</t>
  </si>
  <si>
    <t>Organizaciones con lideres comunitarios capacitados por el programa más adultos mayores autovalentes</t>
  </si>
  <si>
    <r>
      <t>SECCIÓN D: TELEINTERCONSULTA ODONTOLÓGICA</t>
    </r>
    <r>
      <rPr>
        <b/>
        <i/>
        <sz val="11"/>
        <color theme="1"/>
        <rFont val="Verdana"/>
        <family val="2"/>
      </rPr>
      <t xml:space="preserve"> </t>
    </r>
  </si>
  <si>
    <r>
      <t>TOTAL TELEINTERCONSULTAS AMBULATORIAS DE ESPECIALIDAD ODONTOLÓGICA</t>
    </r>
    <r>
      <rPr>
        <strike/>
        <sz val="8"/>
        <color theme="1"/>
        <rFont val="Verdana"/>
        <family val="2"/>
      </rPr>
      <t xml:space="preserve"> </t>
    </r>
  </si>
  <si>
    <t>REM-A30 AR: ATENCIÓN Y ORIENTACIÓN DE SALUD A DISTANCIA (HD)</t>
  </si>
  <si>
    <t xml:space="preserve"> (ESTABLECIMIENTOS DE NIVEL SECUNDARIO Y TERCIARIO)</t>
  </si>
  <si>
    <t xml:space="preserve">TOTAL PRESTACIONES REALIZADAS POR OTROS PROFESIONALES DE LA SALUD </t>
  </si>
  <si>
    <t>PRESTACIONES DE SALUD MENTAL A POBLACIÓN GENERAL</t>
  </si>
  <si>
    <t>PRESTACIONES DE SALUD MENTAL FUNCIONARIOS</t>
  </si>
  <si>
    <t xml:space="preserve">PRESTACIONES DIFERENCIADAS POR VÍA DE REALIZACIÓN  </t>
  </si>
  <si>
    <t xml:space="preserve">PRESTACIÓN PSICOLÓGICA A FUNCIONARIOS </t>
  </si>
  <si>
    <t>SECCIÓN B:  GESTION REMOTA ABREVIADA MEDIANTE PLATAFORMA TELESALUD</t>
  </si>
  <si>
    <t>Niños/as 12 a 23 meses</t>
  </si>
  <si>
    <t>Personas mayores de  15 años y más Intervenidas en Horario Hábil</t>
  </si>
  <si>
    <t xml:space="preserve">Menor o igual a 2 años </t>
  </si>
  <si>
    <t>Menor de 15 años</t>
  </si>
  <si>
    <t>Menor 
de 20 años</t>
  </si>
  <si>
    <t>Menor de 1 año</t>
  </si>
  <si>
    <t>Consultas nuevas</t>
  </si>
  <si>
    <t>Hematología</t>
  </si>
  <si>
    <t>Medicina Paliativa y de Manejo del Dolor</t>
  </si>
  <si>
    <t>Medicina Reproductiva e Infertilidad</t>
  </si>
  <si>
    <t>Medicina Paliativa y Manejo del Dolor</t>
  </si>
  <si>
    <t>SECCIÓN F.1: SOSPECHA DE TRASTORNO ESPECTRO AUTISTA EN NIÑOS Y NIÑAS DE 30 A 59 MESES</t>
  </si>
  <si>
    <t>Menor de 14 años</t>
  </si>
  <si>
    <t xml:space="preserve">N° de sextantes  </t>
  </si>
  <si>
    <t>Recetas despachadas con oportunidad (Entregado el mismo día/ ventanilla)</t>
  </si>
  <si>
    <t xml:space="preserve">Infectología </t>
  </si>
  <si>
    <t>Infectología</t>
  </si>
  <si>
    <t xml:space="preserve">BAC otros eventos epidemiológicos </t>
  </si>
  <si>
    <t>Encuesta epidemiológica</t>
  </si>
  <si>
    <t>BAJO CONTROL LEGAL</t>
  </si>
  <si>
    <t>Receta cheque</t>
  </si>
  <si>
    <t>Receta médica retenida</t>
  </si>
  <si>
    <t>N° de cupos Campaña Invierno Adicionales</t>
  </si>
  <si>
    <t xml:space="preserve">45 - 59 años </t>
  </si>
  <si>
    <t>SECCIÓN I.2: DESPACHO DE RECETAS EN ATENCIÓN HOSPITALARIA Y ESPECIALIDAD (INCLUYE COSAM)</t>
  </si>
  <si>
    <t>N° OPERATIVOS</t>
  </si>
  <si>
    <t>Versión 1.5: Mayo 2025</t>
  </si>
  <si>
    <t>N° de casos revisados antes del primer tratamiento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</si>
</sst>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_-* #,##0.00_-;\-* #,##0.00_-;_-* &quot;-&quot;??_-;_-@_-"/>
    <numFmt numFmtId="166" formatCode="#,##0_ ;\-#,##0\ "/>
  </numFmts>
  <fonts count="65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9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name val="Verdana"/>
      <family val="2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Verdana"/>
      <family val="2"/>
    </font>
    <font>
      <b/>
      <sz val="12"/>
      <name val="Verdana"/>
      <family val="2"/>
    </font>
    <font>
      <b/>
      <sz val="8"/>
      <name val="Verdana"/>
      <family val="2"/>
    </font>
    <font>
      <b/>
      <sz val="11"/>
      <name val="Verdana"/>
      <family val="2"/>
    </font>
    <font>
      <sz val="10"/>
      <name val="Comic Sans MS"/>
      <family val="4"/>
    </font>
    <font>
      <sz val="8"/>
      <name val="Arial"/>
      <family val="2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b/>
      <sz val="10"/>
      <name val="Verdana"/>
      <family val="2"/>
    </font>
    <font>
      <sz val="12"/>
      <name val="Verdana"/>
      <family val="2"/>
    </font>
    <font>
      <sz val="10"/>
      <color rgb="FFFF0000"/>
      <name val="Verdana"/>
      <family val="2"/>
    </font>
    <font>
      <sz val="10"/>
      <color theme="1"/>
      <name val="Verdana"/>
      <family val="2"/>
    </font>
    <font>
      <sz val="12"/>
      <color indexed="60"/>
      <name val="Verdana"/>
      <family val="2"/>
    </font>
    <font>
      <b/>
      <sz val="8"/>
      <color indexed="10"/>
      <name val="Verdana"/>
      <family val="2"/>
    </font>
    <font>
      <b/>
      <sz val="28"/>
      <name val="Verdana"/>
      <family val="2"/>
    </font>
    <font>
      <sz val="28"/>
      <name val="Verdana"/>
      <family val="2"/>
    </font>
    <font>
      <sz val="72"/>
      <color indexed="22"/>
      <name val="Verdana"/>
      <family val="2"/>
    </font>
    <font>
      <sz val="8"/>
      <name val="Calibri"/>
      <family val="2"/>
      <scheme val="minor"/>
    </font>
    <font>
      <b/>
      <sz val="18"/>
      <name val="Verdana"/>
      <family val="2"/>
    </font>
    <font>
      <b/>
      <sz val="10"/>
      <color theme="1"/>
      <name val="Verdana"/>
      <family val="2"/>
    </font>
    <font>
      <b/>
      <sz val="10"/>
      <color indexed="10"/>
      <name val="Verdana"/>
      <family val="2"/>
    </font>
    <font>
      <sz val="12"/>
      <color theme="1"/>
      <name val="Verdana"/>
      <family val="2"/>
    </font>
    <font>
      <sz val="9"/>
      <color theme="1"/>
      <name val="Aptos Narrow"/>
      <family val="2"/>
    </font>
    <font>
      <sz val="11"/>
      <color theme="1"/>
      <name val="Aptos Narrow"/>
      <family val="2"/>
    </font>
    <font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6"/>
      <color theme="1"/>
      <name val="Verdana"/>
      <family val="2"/>
    </font>
    <font>
      <sz val="9"/>
      <color theme="1"/>
      <name val="Calibri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6"/>
      <color theme="1"/>
      <name val="Verdana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i/>
      <sz val="9"/>
      <color theme="1"/>
      <name val="Verdana"/>
      <family val="2"/>
    </font>
    <font>
      <i/>
      <sz val="9"/>
      <color theme="1"/>
      <name val="Verdana"/>
      <family val="2"/>
    </font>
    <font>
      <sz val="9"/>
      <color theme="1"/>
      <name val="Segoe UI"/>
      <family val="2"/>
    </font>
    <font>
      <b/>
      <sz val="8"/>
      <color theme="1"/>
      <name val="Calibri"/>
      <family val="2"/>
      <scheme val="minor"/>
    </font>
    <font>
      <sz val="8"/>
      <color theme="1"/>
      <name val="Aptos Narrow"/>
      <family val="2"/>
    </font>
    <font>
      <vertAlign val="superscript"/>
      <sz val="8"/>
      <color theme="1"/>
      <name val="Verdana"/>
      <family val="2"/>
    </font>
    <font>
      <b/>
      <i/>
      <sz val="11"/>
      <color theme="1"/>
      <name val="Verdana"/>
      <family val="2"/>
    </font>
    <font>
      <strike/>
      <sz val="8"/>
      <color theme="1"/>
      <name val="Verdana"/>
      <family val="2"/>
    </font>
    <font>
      <b/>
      <sz val="9"/>
      <color theme="1"/>
      <name val="Calibri"/>
      <family val="2"/>
    </font>
    <font>
      <sz val="11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</patternFill>
    </fill>
    <fill>
      <patternFill patternType="solid">
        <fgColor theme="7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rgb="FF999999"/>
      </patternFill>
    </fill>
    <fill>
      <patternFill patternType="solid">
        <fgColor rgb="FFB4C6E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6"/>
        <b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DAF2D0"/>
        <bgColor indexed="64"/>
      </patternFill>
    </fill>
    <fill>
      <patternFill patternType="solid">
        <fgColor rgb="FFFFCC99"/>
        <bgColor rgb="FF000000"/>
      </patternFill>
    </fill>
    <fill>
      <patternFill patternType="solid">
        <fgColor rgb="FFE2EFD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rgb="FF999999"/>
      </patternFill>
    </fill>
    <fill>
      <patternFill patternType="solid">
        <fgColor rgb="FFBFBFBF"/>
        <bgColor rgb="FFFFFFCC"/>
      </patternFill>
    </fill>
  </fills>
  <borders count="12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auto="1"/>
      </left>
      <right style="hair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auto="1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rgb="FFB2B2B2"/>
      </top>
      <bottom style="thin">
        <color auto="1"/>
      </bottom>
      <diagonal/>
    </border>
    <border>
      <left style="thin">
        <color indexed="22"/>
      </left>
      <right style="thin">
        <color auto="1"/>
      </right>
      <top style="thin">
        <color rgb="FFB2B2B2"/>
      </top>
      <bottom style="thin">
        <color auto="1"/>
      </bottom>
      <diagonal/>
    </border>
    <border>
      <left style="hair">
        <color indexed="64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auto="1"/>
      </right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auto="1"/>
      </right>
      <top/>
      <bottom style="hair">
        <color rgb="FF000000"/>
      </bottom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double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hair">
        <color indexed="9"/>
      </right>
      <top/>
      <bottom/>
      <diagonal/>
    </border>
    <border>
      <left style="hair">
        <color indexed="9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rgb="FF3F3F3F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rgb="FF3F3F3F"/>
      </bottom>
      <diagonal/>
    </border>
    <border>
      <left/>
      <right style="hair">
        <color indexed="64"/>
      </right>
      <top style="thin">
        <color indexed="64"/>
      </top>
      <bottom style="hair">
        <color rgb="FF3F3F3F"/>
      </bottom>
      <diagonal/>
    </border>
    <border>
      <left style="thin">
        <color indexed="64"/>
      </left>
      <right style="hair">
        <color indexed="64"/>
      </right>
      <top/>
      <bottom style="hair">
        <color rgb="FF3F3F3F"/>
      </bottom>
      <diagonal/>
    </border>
    <border>
      <left style="hair">
        <color indexed="64"/>
      </left>
      <right style="thin">
        <color indexed="64"/>
      </right>
      <top/>
      <bottom style="hair">
        <color rgb="FF3F3F3F"/>
      </bottom>
      <diagonal/>
    </border>
    <border>
      <left/>
      <right style="hair">
        <color indexed="64"/>
      </right>
      <top/>
      <bottom style="hair">
        <color rgb="FF3F3F3F"/>
      </bottom>
      <diagonal/>
    </border>
    <border>
      <left/>
      <right style="hair">
        <color indexed="64"/>
      </right>
      <top style="hair">
        <color indexed="64"/>
      </top>
      <bottom style="hair">
        <color rgb="FF3F3F3F"/>
      </bottom>
      <diagonal/>
    </border>
    <border>
      <left/>
      <right style="thin">
        <color indexed="64"/>
      </right>
      <top style="hair">
        <color indexed="64"/>
      </top>
      <bottom style="hair">
        <color rgb="FF3F3F3F"/>
      </bottom>
      <diagonal/>
    </border>
    <border>
      <left/>
      <right style="hair">
        <color rgb="FF3F3F3F"/>
      </right>
      <top/>
      <bottom style="hair">
        <color rgb="FF3F3F3F"/>
      </bottom>
      <diagonal/>
    </border>
    <border>
      <left style="hair">
        <color rgb="FF3F3F3F"/>
      </left>
      <right style="thin">
        <color rgb="FF3F3F3F"/>
      </right>
      <top/>
      <bottom style="hair">
        <color rgb="FF3F3F3F"/>
      </bottom>
      <diagonal/>
    </border>
    <border>
      <left style="hair">
        <color rgb="FF3F3F3F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rgb="FF3F3F3F"/>
      </top>
      <bottom style="hair">
        <color rgb="FF3F3F3F"/>
      </bottom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rgb="FF000000"/>
      </bottom>
      <diagonal/>
    </border>
    <border>
      <left style="hair">
        <color rgb="FF000000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 style="hair">
        <color auto="1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auto="1"/>
      </right>
      <top style="hair">
        <color rgb="FF000000"/>
      </top>
      <bottom style="hair">
        <color rgb="FF000000"/>
      </bottom>
      <diagonal/>
    </border>
    <border>
      <left/>
      <right style="hair">
        <color auto="1"/>
      </right>
      <top style="hair">
        <color rgb="FF000000"/>
      </top>
      <bottom style="hair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 style="double">
        <color indexed="64"/>
      </bottom>
      <diagonal/>
    </border>
    <border>
      <left/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 style="double">
        <color auto="1"/>
      </right>
      <top/>
      <bottom style="double">
        <color indexed="64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double">
        <color indexed="64"/>
      </top>
      <bottom style="hair">
        <color indexed="64"/>
      </bottom>
      <diagonal/>
    </border>
    <border>
      <left/>
      <right style="thin">
        <color auto="1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rgb="FF000000"/>
      </top>
      <bottom/>
      <diagonal/>
    </border>
    <border>
      <left style="thin">
        <color indexed="64"/>
      </left>
      <right style="double">
        <color indexed="64"/>
      </right>
      <top style="thin">
        <color rgb="FF000000"/>
      </top>
      <bottom/>
      <diagonal/>
    </border>
    <border>
      <left style="thin">
        <color rgb="FF000000"/>
      </left>
      <right style="double">
        <color indexed="64"/>
      </right>
      <top/>
      <bottom style="thin">
        <color rgb="FF00000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thin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/>
      <bottom style="hair">
        <color indexed="64"/>
      </bottom>
      <diagonal/>
    </border>
    <border>
      <left/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 style="hair">
        <color rgb="FF000000"/>
      </right>
      <top/>
      <bottom/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/>
      <bottom style="hair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hair">
        <color auto="1"/>
      </right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hair">
        <color rgb="FF000000"/>
      </top>
      <bottom style="thin">
        <color rgb="FF000000"/>
      </bottom>
      <diagonal/>
    </border>
    <border>
      <left style="hair">
        <color indexed="64"/>
      </left>
      <right style="double">
        <color rgb="FF000000"/>
      </right>
      <top/>
      <bottom style="hair">
        <color indexed="64"/>
      </bottom>
      <diagonal/>
    </border>
    <border>
      <left style="hair">
        <color rgb="FF000000"/>
      </left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rgb="FFFFFFFF"/>
      </left>
      <right/>
      <top/>
      <bottom style="thin">
        <color indexed="64"/>
      </bottom>
      <diagonal/>
    </border>
    <border>
      <left style="hair">
        <color rgb="FFFFFFFF"/>
      </left>
      <right style="hair">
        <color rgb="FFFFFFFF"/>
      </right>
      <top/>
      <bottom style="hair">
        <color rgb="FFFFFFFF"/>
      </bottom>
      <diagonal/>
    </border>
    <border>
      <left/>
      <right/>
      <top style="thin">
        <color rgb="FF000000"/>
      </top>
      <bottom style="hair">
        <color auto="1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hair">
        <color auto="1"/>
      </bottom>
      <diagonal/>
    </border>
    <border>
      <left/>
      <right style="double">
        <color indexed="64"/>
      </right>
      <top style="thin">
        <color rgb="FF000000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/>
      <right style="double">
        <color indexed="64"/>
      </right>
      <top/>
      <bottom style="thin">
        <color rgb="FF000000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thin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hair">
        <color indexed="64"/>
      </left>
      <right style="hair">
        <color indexed="64"/>
      </right>
      <top style="double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auto="1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rgb="FF000000"/>
      </left>
      <right style="hair">
        <color auto="1"/>
      </right>
      <top style="hair">
        <color rgb="FF000000"/>
      </top>
      <bottom style="thin">
        <color indexed="64"/>
      </bottom>
      <diagonal/>
    </border>
    <border>
      <left/>
      <right style="double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 style="hair">
        <color indexed="64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auto="1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/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indexed="64"/>
      </left>
      <right style="thin">
        <color auto="1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double">
        <color indexed="64"/>
      </right>
      <top/>
      <bottom style="hair">
        <color auto="1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auto="1"/>
      </left>
      <right style="double">
        <color indexed="64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9"/>
      </left>
      <right style="hair">
        <color indexed="9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hair">
        <color auto="1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auto="1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dotted">
        <color rgb="FF000000"/>
      </right>
      <top style="thin">
        <color rgb="FF000000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/>
      <right style="thin">
        <color rgb="FF000000"/>
      </right>
      <top style="hair">
        <color auto="1"/>
      </top>
      <bottom style="thin">
        <color indexed="64"/>
      </bottom>
      <diagonal/>
    </border>
    <border>
      <left style="thin">
        <color rgb="FFFFFFFF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hair">
        <color indexed="64"/>
      </right>
      <top/>
      <bottom style="hair">
        <color indexed="64"/>
      </bottom>
      <diagonal/>
    </border>
    <border>
      <left style="thin">
        <color rgb="FF000000"/>
      </left>
      <right style="hair">
        <color rgb="FF000000"/>
      </right>
      <top/>
      <bottom style="hair">
        <color indexed="64"/>
      </bottom>
      <diagonal/>
    </border>
    <border>
      <left style="thin">
        <color rgb="FF000000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hair">
        <color rgb="FF000000"/>
      </bottom>
      <diagonal/>
    </border>
    <border>
      <left/>
      <right style="double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indexed="64"/>
      </right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/>
      <bottom style="hair">
        <color auto="1"/>
      </bottom>
      <diagonal/>
    </border>
    <border>
      <left/>
      <right style="thin">
        <color rgb="FF000000"/>
      </right>
      <top style="hair">
        <color auto="1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double">
        <color indexed="64"/>
      </right>
      <top style="hair">
        <color auto="1"/>
      </top>
      <bottom/>
      <diagonal/>
    </border>
    <border>
      <left/>
      <right style="double">
        <color indexed="64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thin">
        <color rgb="FF000000"/>
      </left>
      <right style="hair">
        <color auto="1"/>
      </right>
      <top style="thin">
        <color auto="1"/>
      </top>
      <bottom style="hair">
        <color rgb="FF000000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double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rgb="FF000000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double">
        <color auto="1"/>
      </right>
      <top style="hair">
        <color indexed="64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indexed="64"/>
      </top>
      <bottom style="double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64"/>
      </bottom>
      <diagonal/>
    </border>
    <border>
      <left/>
      <right style="thin">
        <color auto="1"/>
      </right>
      <top style="thin">
        <color indexed="22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auto="1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hair">
        <color auto="1"/>
      </bottom>
      <diagonal/>
    </border>
    <border>
      <left/>
      <right/>
      <top style="thin">
        <color indexed="22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  <border>
      <left/>
      <right style="hair">
        <color auto="1"/>
      </right>
      <top style="hair">
        <color auto="1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thin">
        <color rgb="FF000000"/>
      </bottom>
      <diagonal/>
    </border>
    <border>
      <left/>
      <right/>
      <top style="hair">
        <color auto="1"/>
      </top>
      <bottom style="thin">
        <color rgb="FF000000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rgb="FF000000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rgb="FF000000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rgb="FF000000"/>
      </right>
      <top/>
      <bottom style="hair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9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9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/>
      <right style="thin">
        <color indexed="64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indexed="22"/>
      </bottom>
      <diagonal/>
    </border>
    <border>
      <left style="hair">
        <color auto="1"/>
      </left>
      <right style="hair">
        <color auto="1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double">
        <color indexed="64"/>
      </left>
      <right style="hair">
        <color indexed="64"/>
      </right>
      <top/>
      <bottom style="thin">
        <color indexed="22"/>
      </bottom>
      <diagonal/>
    </border>
    <border>
      <left/>
      <right style="thin">
        <color auto="1"/>
      </right>
      <top/>
      <bottom style="thin">
        <color indexed="22"/>
      </bottom>
      <diagonal/>
    </border>
    <border>
      <left style="hair">
        <color indexed="64"/>
      </left>
      <right style="thin">
        <color indexed="64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rgb="FF000000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hair">
        <color indexed="64"/>
      </top>
      <bottom style="double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/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rgb="FF000000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thin">
        <color indexed="22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22"/>
      </right>
      <top style="hair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auto="1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double">
        <color auto="1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hair">
        <color auto="1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rgb="FF000000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double">
        <color rgb="FF000000"/>
      </right>
      <top style="hair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/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/>
      <top style="thin">
        <color indexed="22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rgb="FF000000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rgb="FF000000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rgb="FF000000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thin">
        <color auto="1"/>
      </bottom>
      <diagonal/>
    </border>
    <border>
      <left style="hair">
        <color indexed="9"/>
      </left>
      <right/>
      <top style="hair">
        <color indexed="9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hair">
        <color auto="1"/>
      </right>
      <top style="thin">
        <color indexed="64"/>
      </top>
      <bottom style="thin">
        <color indexed="22"/>
      </bottom>
      <diagonal/>
    </border>
    <border>
      <left/>
      <right style="thin">
        <color auto="1"/>
      </right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hair">
        <color auto="1"/>
      </left>
      <right/>
      <top style="thin">
        <color indexed="64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/>
      <diagonal/>
    </border>
    <border>
      <left style="hair">
        <color auto="1"/>
      </left>
      <right style="thin">
        <color auto="1"/>
      </right>
      <top style="thin">
        <color indexed="22"/>
      </top>
      <bottom/>
      <diagonal/>
    </border>
    <border>
      <left/>
      <right style="hair">
        <color auto="1"/>
      </right>
      <top style="thin">
        <color indexed="22"/>
      </top>
      <bottom/>
      <diagonal/>
    </border>
    <border>
      <left style="hair">
        <color auto="1"/>
      </left>
      <right style="double">
        <color indexed="64"/>
      </right>
      <top style="thin">
        <color indexed="22"/>
      </top>
      <bottom/>
      <diagonal/>
    </border>
    <border>
      <left/>
      <right style="hair">
        <color auto="1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/>
      <top style="thin">
        <color indexed="22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hair">
        <color auto="1"/>
      </bottom>
      <diagonal/>
    </border>
    <border>
      <left/>
      <right style="thin">
        <color indexed="64"/>
      </right>
      <top style="thin">
        <color indexed="22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64"/>
      </bottom>
      <diagonal/>
    </border>
    <border>
      <left/>
      <right style="hair">
        <color auto="1"/>
      </right>
      <top style="thin">
        <color indexed="22"/>
      </top>
      <bottom style="thin">
        <color indexed="64"/>
      </bottom>
      <diagonal/>
    </border>
    <border>
      <left style="hair">
        <color auto="1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22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rgb="FF3F3F3F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/>
      <right style="thin">
        <color auto="1"/>
      </right>
      <top/>
      <bottom style="thin">
        <color indexed="22"/>
      </bottom>
      <diagonal/>
    </border>
    <border>
      <left/>
      <right style="double">
        <color indexed="64"/>
      </right>
      <top/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/>
      <diagonal/>
    </border>
    <border>
      <left/>
      <right style="thin">
        <color auto="1"/>
      </right>
      <top style="thin">
        <color indexed="22"/>
      </top>
      <bottom/>
      <diagonal/>
    </border>
    <border>
      <left/>
      <right style="double">
        <color indexed="64"/>
      </right>
      <top style="thin">
        <color indexed="22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double">
        <color indexed="64"/>
      </right>
      <top style="thin">
        <color indexed="22"/>
      </top>
      <bottom style="thin">
        <color auto="1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rgb="FF000000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 style="thin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thin">
        <color auto="1"/>
      </top>
      <bottom style="hair">
        <color indexed="64"/>
      </bottom>
      <diagonal/>
    </border>
    <border>
      <left/>
      <right style="double">
        <color rgb="FF000000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/>
      <right style="hair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rgb="FF000000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 style="hair">
        <color rgb="FF000000"/>
      </right>
      <top style="hair">
        <color indexed="64"/>
      </top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thin">
        <color auto="1"/>
      </bottom>
      <diagonal/>
    </border>
    <border>
      <left style="hair">
        <color indexed="9"/>
      </left>
      <right/>
      <top style="thin">
        <color indexed="64"/>
      </top>
      <bottom style="thin">
        <color auto="1"/>
      </bottom>
      <diagonal/>
    </border>
    <border>
      <left/>
      <right style="hair">
        <color indexed="9"/>
      </right>
      <top style="thin">
        <color indexed="64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indexed="9"/>
      </right>
      <top style="hair">
        <color indexed="9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rgb="FF000000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indexed="64"/>
      </right>
      <top style="hair">
        <color auto="1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auto="1"/>
      </top>
      <bottom style="thin">
        <color rgb="FF000000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/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indexed="22"/>
      </bottom>
      <diagonal/>
    </border>
    <border>
      <left style="hair">
        <color auto="1"/>
      </left>
      <right style="hair">
        <color auto="1"/>
      </right>
      <top/>
      <bottom style="thin">
        <color indexed="22"/>
      </bottom>
      <diagonal/>
    </border>
    <border>
      <left/>
      <right style="double">
        <color indexed="64"/>
      </right>
      <top/>
      <bottom style="thin">
        <color indexed="22"/>
      </bottom>
      <diagonal/>
    </border>
    <border>
      <left style="double">
        <color indexed="64"/>
      </left>
      <right style="hair">
        <color indexed="64"/>
      </right>
      <top/>
      <bottom style="thin">
        <color indexed="22"/>
      </bottom>
      <diagonal/>
    </border>
    <border>
      <left style="thin">
        <color indexed="64"/>
      </left>
      <right style="hair">
        <color auto="1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22"/>
      </top>
      <bottom style="hair">
        <color auto="1"/>
      </bottom>
      <diagonal/>
    </border>
    <border>
      <left/>
      <right style="double">
        <color indexed="64"/>
      </right>
      <top style="thin">
        <color indexed="22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/>
      <right style="double">
        <color indexed="64"/>
      </right>
      <top style="thin">
        <color auto="1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indexed="22"/>
      </bottom>
      <diagonal/>
    </border>
    <border>
      <left style="double">
        <color indexed="64"/>
      </left>
      <right style="hair">
        <color indexed="64"/>
      </right>
      <top style="thin">
        <color indexed="22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/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double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rgb="FF00000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auto="1"/>
      </right>
      <top style="thin">
        <color rgb="FF000000"/>
      </top>
      <bottom/>
      <diagonal/>
    </border>
    <border>
      <left style="hair">
        <color indexed="64"/>
      </left>
      <right style="thin">
        <color auto="1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hair">
        <color indexed="64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/>
      <diagonal/>
    </border>
    <border>
      <left style="thin">
        <color rgb="FF000000"/>
      </left>
      <right style="hair">
        <color indexed="64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rgb="FF000000"/>
      </top>
      <bottom style="hair">
        <color auto="1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/>
      <bottom style="double">
        <color indexed="64"/>
      </bottom>
      <diagonal/>
    </border>
    <border>
      <left/>
      <right style="thin">
        <color rgb="FF000000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/>
      <top/>
      <bottom style="hair">
        <color auto="1"/>
      </bottom>
      <diagonal/>
    </border>
    <border>
      <left style="double">
        <color indexed="64"/>
      </left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/>
      <top style="hair">
        <color auto="1"/>
      </top>
      <bottom style="thin">
        <color auto="1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double">
        <color rgb="FF000000"/>
      </left>
      <right style="hair">
        <color auto="1"/>
      </right>
      <top style="thin">
        <color indexed="64"/>
      </top>
      <bottom style="thin">
        <color rgb="FF000000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double">
        <color rgb="FF000000"/>
      </left>
      <right style="hair">
        <color auto="1"/>
      </right>
      <top/>
      <bottom style="hair">
        <color rgb="FF000000"/>
      </bottom>
      <diagonal/>
    </border>
    <border>
      <left style="hair">
        <color auto="1"/>
      </left>
      <right style="hair">
        <color auto="1"/>
      </right>
      <top/>
      <bottom style="hair">
        <color rgb="FF000000"/>
      </bottom>
      <diagonal/>
    </border>
    <border>
      <left style="hair">
        <color auto="1"/>
      </left>
      <right style="thin">
        <color indexed="64"/>
      </right>
      <top/>
      <bottom style="hair">
        <color rgb="FF000000"/>
      </bottom>
      <diagonal/>
    </border>
    <border>
      <left style="double">
        <color rgb="FF000000"/>
      </left>
      <right style="hair">
        <color auto="1"/>
      </right>
      <top style="hair">
        <color rgb="FF000000"/>
      </top>
      <bottom style="hair">
        <color rgb="FF000000"/>
      </bottom>
      <diagonal/>
    </border>
    <border>
      <left style="hair">
        <color auto="1"/>
      </left>
      <right style="hair">
        <color auto="1"/>
      </right>
      <top style="hair">
        <color rgb="FF000000"/>
      </top>
      <bottom style="hair">
        <color rgb="FF000000"/>
      </bottom>
      <diagonal/>
    </border>
    <border>
      <left style="hair">
        <color auto="1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auto="1"/>
      </right>
      <top style="hair">
        <color rgb="FF000000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rgb="FF000000"/>
      </top>
      <bottom style="thin">
        <color rgb="FF000000"/>
      </bottom>
      <diagonal/>
    </border>
    <border>
      <left style="hair">
        <color auto="1"/>
      </left>
      <right style="thin">
        <color indexed="64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double">
        <color rgb="FF000000"/>
      </right>
      <top style="thin">
        <color rgb="FF000000"/>
      </top>
      <bottom/>
      <diagonal/>
    </border>
    <border>
      <left style="hair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/>
      <right style="double">
        <color auto="1"/>
      </right>
      <top/>
      <bottom style="hair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auto="1"/>
      </top>
      <bottom/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</borders>
  <cellStyleXfs count="153">
    <xf numFmtId="0" fontId="0" fillId="0" borderId="0"/>
    <xf numFmtId="0" fontId="9" fillId="2" borderId="1" applyNumberFormat="0" applyFont="0" applyAlignment="0" applyProtection="0"/>
    <xf numFmtId="0" fontId="10" fillId="0" borderId="0"/>
    <xf numFmtId="0" fontId="10" fillId="9" borderId="11" applyNumberFormat="0" applyFont="0" applyAlignment="0" applyProtection="0"/>
    <xf numFmtId="9" fontId="11" fillId="0" borderId="0" applyFont="0" applyFill="0" applyBorder="0" applyAlignment="0" applyProtection="0"/>
    <xf numFmtId="0" fontId="10" fillId="9" borderId="12" applyNumberFormat="0" applyFont="0" applyAlignment="0" applyProtection="0"/>
    <xf numFmtId="0" fontId="18" fillId="0" borderId="0"/>
    <xf numFmtId="0" fontId="10" fillId="0" borderId="0"/>
    <xf numFmtId="164" fontId="10" fillId="0" borderId="0" applyFont="0" applyFill="0" applyBorder="0" applyAlignment="0" applyProtection="0"/>
    <xf numFmtId="0" fontId="20" fillId="13" borderId="0" applyNumberFormat="0" applyBorder="0" applyAlignment="0" applyProtection="0"/>
    <xf numFmtId="0" fontId="21" fillId="14" borderId="23" applyNumberFormat="0" applyAlignment="0" applyProtection="0"/>
    <xf numFmtId="0" fontId="10" fillId="9" borderId="83" applyNumberFormat="0" applyFont="0" applyAlignment="0" applyProtection="0"/>
    <xf numFmtId="0" fontId="10" fillId="9" borderId="84" applyNumberFormat="0" applyFont="0" applyAlignment="0" applyProtection="0"/>
    <xf numFmtId="0" fontId="10" fillId="9" borderId="84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0" fillId="0" borderId="0"/>
    <xf numFmtId="0" fontId="23" fillId="0" borderId="0" applyFont="0" applyBorder="0" applyAlignment="0" applyProtection="0"/>
    <xf numFmtId="165" fontId="10" fillId="0" borderId="0" applyFont="0" applyFill="0" applyBorder="0" applyAlignment="0" applyProtection="0"/>
    <xf numFmtId="0" fontId="24" fillId="0" borderId="0"/>
    <xf numFmtId="0" fontId="10" fillId="9" borderId="88" applyNumberFormat="0" applyFont="0" applyAlignment="0" applyProtection="0"/>
    <xf numFmtId="0" fontId="23" fillId="0" borderId="0" applyFont="0" applyBorder="0" applyAlignment="0" applyProtection="0"/>
    <xf numFmtId="0" fontId="10" fillId="9" borderId="89" applyNumberFormat="0" applyFont="0" applyAlignment="0" applyProtection="0"/>
    <xf numFmtId="0" fontId="10" fillId="9" borderId="90" applyNumberFormat="0" applyFont="0" applyAlignment="0" applyProtection="0"/>
    <xf numFmtId="164" fontId="11" fillId="0" borderId="0" applyFont="0" applyFill="0" applyBorder="0" applyAlignment="0" applyProtection="0"/>
    <xf numFmtId="0" fontId="10" fillId="9" borderId="91" applyNumberFormat="0" applyFont="0" applyAlignment="0" applyProtection="0"/>
    <xf numFmtId="0" fontId="10" fillId="9" borderId="91" applyNumberFormat="0" applyFont="0" applyAlignment="0" applyProtection="0"/>
    <xf numFmtId="0" fontId="10" fillId="9" borderId="92" applyNumberFormat="0" applyFont="0" applyAlignment="0" applyProtection="0"/>
    <xf numFmtId="0" fontId="19" fillId="0" borderId="0"/>
    <xf numFmtId="165" fontId="10" fillId="0" borderId="0" applyFont="0" applyFill="0" applyBorder="0" applyAlignment="0" applyProtection="0"/>
    <xf numFmtId="0" fontId="10" fillId="9" borderId="93" applyNumberFormat="0" applyFont="0" applyAlignment="0" applyProtection="0"/>
    <xf numFmtId="0" fontId="10" fillId="9" borderId="117" applyNumberFormat="0" applyFont="0" applyAlignment="0" applyProtection="0"/>
    <xf numFmtId="0" fontId="11" fillId="35" borderId="0" applyNumberFormat="0" applyBorder="0" applyAlignment="0" applyProtection="0"/>
    <xf numFmtId="0" fontId="19" fillId="0" borderId="0"/>
    <xf numFmtId="0" fontId="23" fillId="0" borderId="0" applyFont="0" applyBorder="0" applyAlignment="0" applyProtection="0"/>
    <xf numFmtId="0" fontId="10" fillId="41" borderId="138" applyNumberFormat="0">
      <protection locked="0"/>
    </xf>
    <xf numFmtId="0" fontId="10" fillId="41" borderId="139" applyBorder="0">
      <protection locked="0"/>
    </xf>
    <xf numFmtId="0" fontId="10" fillId="9" borderId="147" applyNumberFormat="0" applyFont="0" applyAlignment="0" applyProtection="0"/>
    <xf numFmtId="0" fontId="23" fillId="0" borderId="0" applyFont="0" applyBorder="0" applyAlignment="0" applyProtection="0"/>
    <xf numFmtId="0" fontId="10" fillId="41" borderId="169" applyNumberFormat="0">
      <protection locked="0"/>
    </xf>
    <xf numFmtId="0" fontId="10" fillId="9" borderId="188" applyNumberFormat="0" applyFont="0" applyAlignment="0" applyProtection="0"/>
    <xf numFmtId="0" fontId="10" fillId="9" borderId="188" applyNumberFormat="0" applyFont="0" applyAlignment="0" applyProtection="0"/>
    <xf numFmtId="0" fontId="10" fillId="9" borderId="188" applyNumberFormat="0" applyFont="0" applyAlignment="0" applyProtection="0"/>
    <xf numFmtId="0" fontId="10" fillId="9" borderId="188" applyNumberFormat="0" applyFont="0" applyAlignment="0" applyProtection="0"/>
    <xf numFmtId="0" fontId="10" fillId="9" borderId="188" applyNumberFormat="0" applyFont="0" applyAlignment="0" applyProtection="0"/>
    <xf numFmtId="0" fontId="10" fillId="9" borderId="188" applyNumberFormat="0" applyFont="0" applyAlignment="0" applyProtection="0"/>
    <xf numFmtId="0" fontId="10" fillId="9" borderId="188" applyNumberFormat="0" applyFont="0" applyAlignment="0" applyProtection="0"/>
    <xf numFmtId="0" fontId="10" fillId="9" borderId="188" applyNumberFormat="0" applyFont="0" applyAlignment="0" applyProtection="0"/>
    <xf numFmtId="0" fontId="10" fillId="9" borderId="188" applyNumberFormat="0" applyFont="0" applyAlignment="0" applyProtection="0"/>
    <xf numFmtId="0" fontId="10" fillId="9" borderId="188" applyNumberFormat="0" applyFont="0" applyAlignment="0" applyProtection="0"/>
    <xf numFmtId="0" fontId="10" fillId="9" borderId="188" applyNumberFormat="0" applyFont="0" applyAlignment="0" applyProtection="0"/>
    <xf numFmtId="0" fontId="10" fillId="9" borderId="188" applyNumberFormat="0" applyFont="0" applyAlignment="0" applyProtection="0"/>
    <xf numFmtId="0" fontId="10" fillId="9" borderId="188" applyNumberFormat="0" applyFont="0" applyAlignment="0" applyProtection="0"/>
    <xf numFmtId="0" fontId="10" fillId="41" borderId="190" applyNumberFormat="0">
      <protection locked="0"/>
    </xf>
    <xf numFmtId="0" fontId="10" fillId="41" borderId="189" applyBorder="0">
      <protection locked="0"/>
    </xf>
    <xf numFmtId="0" fontId="10" fillId="9" borderId="188" applyNumberFormat="0" applyFont="0" applyAlignment="0" applyProtection="0"/>
    <xf numFmtId="0" fontId="10" fillId="41" borderId="191" applyNumberFormat="0">
      <protection locked="0"/>
    </xf>
    <xf numFmtId="0" fontId="10" fillId="41" borderId="191" applyNumberFormat="0">
      <protection locked="0"/>
    </xf>
    <xf numFmtId="0" fontId="10" fillId="41" borderId="189" applyBorder="0">
      <protection locked="0"/>
    </xf>
    <xf numFmtId="0" fontId="10" fillId="41" borderId="191" applyNumberFormat="0">
      <protection locked="0"/>
    </xf>
    <xf numFmtId="0" fontId="10" fillId="41" borderId="191" applyNumberFormat="0">
      <protection locked="0"/>
    </xf>
    <xf numFmtId="0" fontId="10" fillId="41" borderId="189" applyBorder="0">
      <protection locked="0"/>
    </xf>
    <xf numFmtId="0" fontId="10" fillId="9" borderId="192" applyNumberFormat="0" applyFont="0" applyAlignment="0" applyProtection="0"/>
    <xf numFmtId="0" fontId="10" fillId="9" borderId="192" applyNumberFormat="0" applyFont="0" applyAlignment="0" applyProtection="0"/>
    <xf numFmtId="0" fontId="10" fillId="9" borderId="192" applyNumberFormat="0" applyFont="0" applyAlignment="0" applyProtection="0"/>
    <xf numFmtId="0" fontId="10" fillId="9" borderId="192" applyNumberFormat="0" applyFont="0" applyAlignment="0" applyProtection="0"/>
    <xf numFmtId="0" fontId="10" fillId="9" borderId="192" applyNumberFormat="0" applyFont="0" applyAlignment="0" applyProtection="0"/>
    <xf numFmtId="0" fontId="10" fillId="9" borderId="192" applyNumberFormat="0" applyFont="0" applyAlignment="0" applyProtection="0"/>
    <xf numFmtId="0" fontId="10" fillId="9" borderId="192" applyNumberFormat="0" applyFont="0" applyAlignment="0" applyProtection="0"/>
    <xf numFmtId="0" fontId="10" fillId="9" borderId="192" applyNumberFormat="0" applyFont="0" applyAlignment="0" applyProtection="0"/>
    <xf numFmtId="0" fontId="10" fillId="9" borderId="192" applyNumberFormat="0" applyFont="0" applyAlignment="0" applyProtection="0"/>
    <xf numFmtId="0" fontId="10" fillId="9" borderId="192" applyNumberFormat="0" applyFont="0" applyAlignment="0" applyProtection="0"/>
    <xf numFmtId="0" fontId="10" fillId="9" borderId="192" applyNumberFormat="0" applyFont="0" applyAlignment="0" applyProtection="0"/>
    <xf numFmtId="0" fontId="10" fillId="9" borderId="193" applyNumberFormat="0" applyFont="0" applyAlignment="0" applyProtection="0"/>
    <xf numFmtId="0" fontId="10" fillId="41" borderId="194" applyNumberFormat="0">
      <protection locked="0"/>
    </xf>
    <xf numFmtId="0" fontId="10" fillId="9" borderId="193" applyNumberFormat="0" applyFont="0" applyAlignment="0" applyProtection="0"/>
    <xf numFmtId="0" fontId="10" fillId="41" borderId="195" applyNumberFormat="0">
      <protection locked="0"/>
    </xf>
    <xf numFmtId="0" fontId="10" fillId="41" borderId="195" applyNumberFormat="0">
      <protection locked="0"/>
    </xf>
    <xf numFmtId="0" fontId="10" fillId="41" borderId="195" applyNumberFormat="0">
      <protection locked="0"/>
    </xf>
    <xf numFmtId="0" fontId="10" fillId="41" borderId="195" applyNumberFormat="0">
      <protection locked="0"/>
    </xf>
    <xf numFmtId="0" fontId="10" fillId="9" borderId="196" applyNumberFormat="0" applyFont="0" applyAlignment="0" applyProtection="0"/>
    <xf numFmtId="0" fontId="10" fillId="9" borderId="201" applyNumberFormat="0" applyFont="0" applyAlignment="0" applyProtection="0"/>
    <xf numFmtId="0" fontId="10" fillId="9" borderId="201" applyNumberFormat="0" applyFont="0" applyAlignment="0" applyProtection="0"/>
    <xf numFmtId="0" fontId="10" fillId="9" borderId="201" applyNumberFormat="0" applyFont="0" applyAlignment="0" applyProtection="0"/>
    <xf numFmtId="0" fontId="10" fillId="9" borderId="201" applyNumberFormat="0" applyFont="0" applyAlignment="0" applyProtection="0"/>
    <xf numFmtId="0" fontId="10" fillId="9" borderId="201" applyNumberFormat="0" applyFont="0" applyAlignment="0" applyProtection="0"/>
    <xf numFmtId="0" fontId="10" fillId="9" borderId="201" applyNumberFormat="0" applyFont="0" applyAlignment="0" applyProtection="0"/>
    <xf numFmtId="0" fontId="10" fillId="9" borderId="201" applyNumberFormat="0" applyFont="0" applyAlignment="0" applyProtection="0"/>
    <xf numFmtId="0" fontId="10" fillId="9" borderId="201" applyNumberFormat="0" applyFont="0" applyAlignment="0" applyProtection="0"/>
    <xf numFmtId="0" fontId="10" fillId="9" borderId="201" applyNumberFormat="0" applyFont="0" applyAlignment="0" applyProtection="0"/>
    <xf numFmtId="0" fontId="10" fillId="9" borderId="201" applyNumberFormat="0" applyFont="0" applyAlignment="0" applyProtection="0"/>
    <xf numFmtId="0" fontId="10" fillId="9" borderId="201" applyNumberFormat="0" applyFont="0" applyAlignment="0" applyProtection="0"/>
    <xf numFmtId="0" fontId="10" fillId="9" borderId="201" applyNumberFormat="0" applyFont="0" applyAlignment="0" applyProtection="0"/>
    <xf numFmtId="0" fontId="10" fillId="9" borderId="201" applyNumberFormat="0" applyFont="0" applyAlignment="0" applyProtection="0"/>
    <xf numFmtId="0" fontId="10" fillId="41" borderId="203" applyNumberFormat="0">
      <protection locked="0"/>
    </xf>
    <xf numFmtId="0" fontId="10" fillId="41" borderId="202" applyBorder="0">
      <protection locked="0"/>
    </xf>
    <xf numFmtId="0" fontId="10" fillId="9" borderId="201" applyNumberFormat="0" applyFont="0" applyAlignment="0" applyProtection="0"/>
    <xf numFmtId="0" fontId="10" fillId="41" borderId="203" applyNumberFormat="0">
      <protection locked="0"/>
    </xf>
    <xf numFmtId="0" fontId="10" fillId="9" borderId="227" applyNumberFormat="0" applyFont="0" applyAlignment="0" applyProtection="0"/>
    <xf numFmtId="0" fontId="10" fillId="9" borderId="228" applyNumberFormat="0" applyFont="0" applyAlignment="0" applyProtection="0"/>
    <xf numFmtId="0" fontId="10" fillId="9" borderId="228" applyNumberFormat="0" applyFont="0" applyAlignment="0" applyProtection="0"/>
    <xf numFmtId="0" fontId="10" fillId="9" borderId="228" applyNumberFormat="0" applyFont="0" applyAlignment="0" applyProtection="0"/>
    <xf numFmtId="0" fontId="10" fillId="9" borderId="228" applyNumberFormat="0" applyFont="0" applyAlignment="0" applyProtection="0"/>
    <xf numFmtId="0" fontId="10" fillId="9" borderId="228" applyNumberFormat="0" applyFont="0" applyAlignment="0" applyProtection="0"/>
    <xf numFmtId="0" fontId="10" fillId="9" borderId="228" applyNumberFormat="0" applyFont="0" applyAlignment="0" applyProtection="0"/>
    <xf numFmtId="0" fontId="10" fillId="9" borderId="228" applyNumberFormat="0" applyFont="0" applyAlignment="0" applyProtection="0"/>
    <xf numFmtId="0" fontId="10" fillId="9" borderId="228" applyNumberFormat="0" applyFont="0" applyAlignment="0" applyProtection="0"/>
    <xf numFmtId="0" fontId="10" fillId="9" borderId="228" applyNumberFormat="0" applyFont="0" applyAlignment="0" applyProtection="0"/>
    <xf numFmtId="0" fontId="10" fillId="9" borderId="228" applyNumberFormat="0" applyFont="0" applyAlignment="0" applyProtection="0"/>
    <xf numFmtId="0" fontId="10" fillId="9" borderId="230" applyNumberFormat="0" applyFont="0" applyAlignment="0" applyProtection="0"/>
    <xf numFmtId="0" fontId="10" fillId="9" borderId="230" applyNumberFormat="0" applyFont="0" applyAlignment="0" applyProtection="0"/>
    <xf numFmtId="0" fontId="10" fillId="9" borderId="230" applyNumberFormat="0" applyFont="0" applyAlignment="0" applyProtection="0"/>
    <xf numFmtId="0" fontId="10" fillId="9" borderId="230" applyNumberFormat="0" applyFont="0" applyAlignment="0" applyProtection="0"/>
    <xf numFmtId="0" fontId="10" fillId="9" borderId="230" applyNumberFormat="0" applyFont="0" applyAlignment="0" applyProtection="0"/>
    <xf numFmtId="0" fontId="10" fillId="9" borderId="230" applyNumberFormat="0" applyFont="0" applyAlignment="0" applyProtection="0"/>
    <xf numFmtId="0" fontId="10" fillId="9" borderId="230" applyNumberFormat="0" applyFont="0" applyAlignment="0" applyProtection="0"/>
    <xf numFmtId="0" fontId="10" fillId="9" borderId="230" applyNumberFormat="0" applyFont="0" applyAlignment="0" applyProtection="0"/>
    <xf numFmtId="0" fontId="10" fillId="9" borderId="230" applyNumberFormat="0" applyFont="0" applyAlignment="0" applyProtection="0"/>
    <xf numFmtId="0" fontId="10" fillId="9" borderId="230" applyNumberFormat="0" applyFont="0" applyAlignment="0" applyProtection="0"/>
    <xf numFmtId="0" fontId="10" fillId="9" borderId="230" applyNumberFormat="0" applyFont="0" applyAlignment="0" applyProtection="0"/>
    <xf numFmtId="0" fontId="10" fillId="9" borderId="230" applyNumberFormat="0" applyFont="0" applyAlignment="0" applyProtection="0"/>
    <xf numFmtId="0" fontId="10" fillId="9" borderId="230" applyNumberFormat="0" applyFont="0" applyAlignment="0" applyProtection="0"/>
    <xf numFmtId="0" fontId="10" fillId="41" borderId="231" applyNumberFormat="0">
      <protection locked="0"/>
    </xf>
    <xf numFmtId="0" fontId="10" fillId="41" borderId="229" applyBorder="0">
      <protection locked="0"/>
    </xf>
    <xf numFmtId="0" fontId="10" fillId="9" borderId="230" applyNumberFormat="0" applyFont="0" applyAlignment="0" applyProtection="0"/>
    <xf numFmtId="0" fontId="10" fillId="9" borderId="272" applyNumberFormat="0" applyFont="0" applyAlignment="0" applyProtection="0"/>
    <xf numFmtId="0" fontId="10" fillId="9" borderId="273" applyNumberFormat="0" applyFont="0" applyAlignment="0" applyProtection="0"/>
    <xf numFmtId="0" fontId="10" fillId="9" borderId="273" applyNumberFormat="0" applyFont="0" applyAlignment="0" applyProtection="0"/>
    <xf numFmtId="0" fontId="10" fillId="9" borderId="273" applyNumberFormat="0" applyFont="0" applyAlignment="0" applyProtection="0"/>
    <xf numFmtId="0" fontId="10" fillId="9" borderId="273" applyNumberFormat="0" applyFont="0" applyAlignment="0" applyProtection="0"/>
    <xf numFmtId="0" fontId="10" fillId="9" borderId="273" applyNumberFormat="0" applyFont="0" applyAlignment="0" applyProtection="0"/>
    <xf numFmtId="0" fontId="10" fillId="9" borderId="273" applyNumberFormat="0" applyFont="0" applyAlignment="0" applyProtection="0"/>
    <xf numFmtId="0" fontId="10" fillId="9" borderId="273" applyNumberFormat="0" applyFont="0" applyAlignment="0" applyProtection="0"/>
    <xf numFmtId="0" fontId="10" fillId="9" borderId="273" applyNumberFormat="0" applyFont="0" applyAlignment="0" applyProtection="0"/>
    <xf numFmtId="0" fontId="10" fillId="9" borderId="273" applyNumberFormat="0" applyFont="0" applyAlignment="0" applyProtection="0"/>
    <xf numFmtId="0" fontId="10" fillId="9" borderId="273" applyNumberFormat="0" applyFont="0" applyAlignment="0" applyProtection="0"/>
    <xf numFmtId="0" fontId="10" fillId="9" borderId="272" applyNumberFormat="0" applyFont="0" applyAlignment="0" applyProtection="0"/>
    <xf numFmtId="0" fontId="10" fillId="9" borderId="272" applyNumberFormat="0" applyFont="0" applyAlignment="0" applyProtection="0"/>
    <xf numFmtId="0" fontId="10" fillId="9" borderId="272" applyNumberFormat="0" applyFont="0" applyAlignment="0" applyProtection="0"/>
    <xf numFmtId="0" fontId="10" fillId="9" borderId="272" applyNumberFormat="0" applyFont="0" applyAlignment="0" applyProtection="0"/>
    <xf numFmtId="0" fontId="10" fillId="9" borderId="272" applyNumberFormat="0" applyFont="0" applyAlignment="0" applyProtection="0"/>
    <xf numFmtId="0" fontId="10" fillId="9" borderId="272" applyNumberFormat="0" applyFont="0" applyAlignment="0" applyProtection="0"/>
    <xf numFmtId="0" fontId="10" fillId="9" borderId="272" applyNumberFormat="0" applyFont="0" applyAlignment="0" applyProtection="0"/>
    <xf numFmtId="0" fontId="10" fillId="9" borderId="272" applyNumberFormat="0" applyFont="0" applyAlignment="0" applyProtection="0"/>
    <xf numFmtId="0" fontId="10" fillId="9" borderId="272" applyNumberFormat="0" applyFont="0" applyAlignment="0" applyProtection="0"/>
    <xf numFmtId="0" fontId="10" fillId="9" borderId="272" applyNumberFormat="0" applyFont="0" applyAlignment="0" applyProtection="0"/>
    <xf numFmtId="0" fontId="10" fillId="9" borderId="272" applyNumberFormat="0" applyFont="0" applyAlignment="0" applyProtection="0"/>
    <xf numFmtId="0" fontId="10" fillId="9" borderId="272" applyNumberFormat="0" applyFont="0" applyAlignment="0" applyProtection="0"/>
    <xf numFmtId="0" fontId="10" fillId="9" borderId="272" applyNumberFormat="0" applyFont="0" applyAlignment="0" applyProtection="0"/>
    <xf numFmtId="0" fontId="10" fillId="41" borderId="274" applyNumberFormat="0">
      <protection locked="0"/>
    </xf>
    <xf numFmtId="0" fontId="10" fillId="41" borderId="254" applyBorder="0">
      <protection locked="0"/>
    </xf>
    <xf numFmtId="0" fontId="10" fillId="9" borderId="272" applyNumberFormat="0" applyFont="0" applyAlignment="0" applyProtection="0"/>
  </cellStyleXfs>
  <cellXfs count="7742">
    <xf numFmtId="0" fontId="0" fillId="0" borderId="0" xfId="0"/>
    <xf numFmtId="1" fontId="2" fillId="3" borderId="0" xfId="0" applyNumberFormat="1" applyFont="1" applyFill="1"/>
    <xf numFmtId="1" fontId="3" fillId="4" borderId="2" xfId="0" applyNumberFormat="1" applyFont="1" applyFill="1" applyBorder="1" applyProtection="1">
      <protection locked="0"/>
    </xf>
    <xf numFmtId="1" fontId="2" fillId="0" borderId="0" xfId="0" applyNumberFormat="1" applyFont="1"/>
    <xf numFmtId="1" fontId="6" fillId="0" borderId="0" xfId="0" applyNumberFormat="1" applyFont="1"/>
    <xf numFmtId="1" fontId="6" fillId="5" borderId="0" xfId="0" applyNumberFormat="1" applyFont="1" applyFill="1"/>
    <xf numFmtId="0" fontId="7" fillId="0" borderId="0" xfId="0" applyFont="1"/>
    <xf numFmtId="1" fontId="3" fillId="3" borderId="0" xfId="0" applyNumberFormat="1" applyFont="1" applyFill="1"/>
    <xf numFmtId="1" fontId="6" fillId="3" borderId="0" xfId="0" applyNumberFormat="1" applyFont="1" applyFill="1"/>
    <xf numFmtId="1" fontId="8" fillId="3" borderId="0" xfId="0" applyNumberFormat="1" applyFont="1" applyFill="1"/>
    <xf numFmtId="1" fontId="3" fillId="0" borderId="2" xfId="0" applyNumberFormat="1" applyFont="1" applyBorder="1" applyAlignment="1">
      <alignment horizontal="right"/>
    </xf>
    <xf numFmtId="1" fontId="2" fillId="5" borderId="0" xfId="0" applyNumberFormat="1" applyFont="1" applyFill="1"/>
    <xf numFmtId="1" fontId="3" fillId="0" borderId="7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left"/>
    </xf>
    <xf numFmtId="1" fontId="2" fillId="3" borderId="0" xfId="0" applyNumberFormat="1" applyFont="1" applyFill="1" applyAlignment="1">
      <alignment wrapText="1"/>
    </xf>
    <xf numFmtId="1" fontId="2" fillId="3" borderId="0" xfId="0" applyNumberFormat="1" applyFont="1" applyFill="1" applyAlignment="1">
      <alignment horizontal="left"/>
    </xf>
    <xf numFmtId="1" fontId="6" fillId="3" borderId="0" xfId="0" applyNumberFormat="1" applyFont="1" applyFill="1" applyProtection="1">
      <protection hidden="1"/>
    </xf>
    <xf numFmtId="1" fontId="6" fillId="5" borderId="0" xfId="0" applyNumberFormat="1" applyFont="1" applyFill="1" applyProtection="1">
      <protection hidden="1"/>
    </xf>
    <xf numFmtId="1" fontId="13" fillId="0" borderId="0" xfId="0" applyNumberFormat="1" applyFont="1" applyAlignment="1">
      <alignment horizontal="center" vertical="center" wrapText="1"/>
    </xf>
    <xf numFmtId="0" fontId="3" fillId="0" borderId="0" xfId="0" applyFont="1"/>
    <xf numFmtId="1" fontId="3" fillId="4" borderId="9" xfId="0" applyNumberFormat="1" applyFont="1" applyFill="1" applyBorder="1" applyAlignment="1" applyProtection="1">
      <alignment horizontal="right"/>
      <protection locked="0"/>
    </xf>
    <xf numFmtId="1" fontId="3" fillId="0" borderId="34" xfId="0" applyNumberFormat="1" applyFont="1" applyBorder="1" applyAlignment="1">
      <alignment horizontal="center" vertical="center" wrapText="1"/>
    </xf>
    <xf numFmtId="1" fontId="3" fillId="4" borderId="22" xfId="0" applyNumberFormat="1" applyFont="1" applyFill="1" applyBorder="1" applyProtection="1">
      <protection locked="0"/>
    </xf>
    <xf numFmtId="1" fontId="3" fillId="0" borderId="20" xfId="0" applyNumberFormat="1" applyFont="1" applyBorder="1" applyAlignment="1">
      <alignment horizontal="center" vertical="center"/>
    </xf>
    <xf numFmtId="1" fontId="3" fillId="0" borderId="0" xfId="0" applyNumberFormat="1" applyFont="1"/>
    <xf numFmtId="0" fontId="6" fillId="0" borderId="0" xfId="0" applyFont="1"/>
    <xf numFmtId="1" fontId="3" fillId="0" borderId="9" xfId="0" applyNumberFormat="1" applyFont="1" applyBorder="1" applyAlignment="1">
      <alignment horizontal="right" vertical="center" wrapText="1"/>
    </xf>
    <xf numFmtId="1" fontId="3" fillId="0" borderId="3" xfId="0" applyNumberFormat="1" applyFont="1" applyBorder="1" applyAlignment="1">
      <alignment horizontal="right" vertical="center" wrapText="1"/>
    </xf>
    <xf numFmtId="1" fontId="3" fillId="0" borderId="20" xfId="0" applyNumberFormat="1" applyFont="1" applyBorder="1" applyAlignment="1">
      <alignment horizontal="right" vertical="center"/>
    </xf>
    <xf numFmtId="1" fontId="3" fillId="4" borderId="20" xfId="0" applyNumberFormat="1" applyFont="1" applyFill="1" applyBorder="1" applyAlignment="1" applyProtection="1">
      <alignment horizontal="right"/>
      <protection locked="0"/>
    </xf>
    <xf numFmtId="1" fontId="3" fillId="4" borderId="85" xfId="0" applyNumberFormat="1" applyFont="1" applyFill="1" applyBorder="1" applyAlignment="1" applyProtection="1">
      <alignment horizontal="right"/>
      <protection locked="0"/>
    </xf>
    <xf numFmtId="1" fontId="3" fillId="7" borderId="9" xfId="0" applyNumberFormat="1" applyFont="1" applyFill="1" applyBorder="1" applyAlignment="1">
      <alignment horizontal="right"/>
    </xf>
    <xf numFmtId="1" fontId="3" fillId="7" borderId="85" xfId="0" applyNumberFormat="1" applyFont="1" applyFill="1" applyBorder="1" applyAlignment="1">
      <alignment horizontal="right"/>
    </xf>
    <xf numFmtId="1" fontId="3" fillId="7" borderId="86" xfId="0" applyNumberFormat="1" applyFont="1" applyFill="1" applyBorder="1" applyAlignment="1">
      <alignment horizontal="right"/>
    </xf>
    <xf numFmtId="1" fontId="3" fillId="4" borderId="2" xfId="0" applyNumberFormat="1" applyFont="1" applyFill="1" applyBorder="1" applyAlignment="1" applyProtection="1">
      <alignment horizontal="right"/>
      <protection locked="0"/>
    </xf>
    <xf numFmtId="1" fontId="3" fillId="7" borderId="2" xfId="14" applyNumberFormat="1" applyFont="1" applyFill="1" applyBorder="1"/>
    <xf numFmtId="1" fontId="3" fillId="7" borderId="20" xfId="14" applyNumberFormat="1" applyFont="1" applyFill="1" applyBorder="1"/>
    <xf numFmtId="1" fontId="3" fillId="4" borderId="9" xfId="14" applyNumberFormat="1" applyFont="1" applyFill="1" applyBorder="1" applyProtection="1">
      <protection locked="0"/>
    </xf>
    <xf numFmtId="1" fontId="3" fillId="4" borderId="20" xfId="14" applyNumberFormat="1" applyFont="1" applyFill="1" applyBorder="1" applyProtection="1">
      <protection locked="0"/>
    </xf>
    <xf numFmtId="1" fontId="3" fillId="4" borderId="2" xfId="14" applyNumberFormat="1" applyFont="1" applyFill="1" applyBorder="1" applyProtection="1">
      <protection locked="0"/>
    </xf>
    <xf numFmtId="1" fontId="3" fillId="0" borderId="22" xfId="16" applyNumberFormat="1" applyFont="1" applyBorder="1" applyAlignment="1">
      <alignment horizontal="right" wrapText="1"/>
    </xf>
    <xf numFmtId="1" fontId="3" fillId="0" borderId="22" xfId="0" applyNumberFormat="1" applyFont="1" applyBorder="1" applyAlignment="1">
      <alignment horizontal="right"/>
    </xf>
    <xf numFmtId="1" fontId="3" fillId="4" borderId="20" xfId="0" applyNumberFormat="1" applyFont="1" applyFill="1" applyBorder="1" applyProtection="1">
      <protection locked="0"/>
    </xf>
    <xf numFmtId="1" fontId="3" fillId="0" borderId="20" xfId="0" applyNumberFormat="1" applyFont="1" applyBorder="1" applyAlignment="1">
      <alignment horizontal="right"/>
    </xf>
    <xf numFmtId="1" fontId="3" fillId="4" borderId="22" xfId="0" applyNumberFormat="1" applyFont="1" applyFill="1" applyBorder="1" applyAlignment="1" applyProtection="1">
      <alignment horizontal="right"/>
      <protection locked="0"/>
    </xf>
    <xf numFmtId="1" fontId="3" fillId="4" borderId="6" xfId="0" applyNumberFormat="1" applyFont="1" applyFill="1" applyBorder="1" applyAlignment="1" applyProtection="1">
      <alignment horizontal="right"/>
      <protection locked="0"/>
    </xf>
    <xf numFmtId="1" fontId="3" fillId="4" borderId="5" xfId="0" applyNumberFormat="1" applyFont="1" applyFill="1" applyBorder="1" applyAlignment="1" applyProtection="1">
      <alignment horizontal="right"/>
      <protection locked="0"/>
    </xf>
    <xf numFmtId="1" fontId="3" fillId="4" borderId="9" xfId="0" applyNumberFormat="1" applyFont="1" applyFill="1" applyBorder="1" applyProtection="1">
      <protection locked="0"/>
    </xf>
    <xf numFmtId="1" fontId="3" fillId="5" borderId="22" xfId="0" applyNumberFormat="1" applyFont="1" applyFill="1" applyBorder="1" applyAlignment="1">
      <alignment horizontal="right"/>
    </xf>
    <xf numFmtId="0" fontId="12" fillId="0" borderId="0" xfId="0" applyFont="1"/>
    <xf numFmtId="1" fontId="4" fillId="3" borderId="0" xfId="0" applyNumberFormat="1" applyFont="1" applyFill="1"/>
    <xf numFmtId="0" fontId="6" fillId="0" borderId="0" xfId="0" applyFont="1" applyAlignment="1">
      <alignment horizontal="left"/>
    </xf>
    <xf numFmtId="1" fontId="3" fillId="0" borderId="2" xfId="0" applyNumberFormat="1" applyFont="1" applyBorder="1" applyAlignment="1">
      <alignment wrapText="1"/>
    </xf>
    <xf numFmtId="1" fontId="3" fillId="0" borderId="0" xfId="0" applyNumberFormat="1" applyFont="1" applyAlignment="1">
      <alignment horizontal="center" vertical="center" wrapText="1"/>
    </xf>
    <xf numFmtId="0" fontId="7" fillId="22" borderId="0" xfId="0" applyFont="1" applyFill="1"/>
    <xf numFmtId="0" fontId="7" fillId="23" borderId="0" xfId="0" applyFont="1" applyFill="1"/>
    <xf numFmtId="1" fontId="2" fillId="0" borderId="0" xfId="0" applyNumberFormat="1" applyFont="1" applyAlignment="1">
      <alignment wrapText="1"/>
    </xf>
    <xf numFmtId="1" fontId="2" fillId="0" borderId="0" xfId="0" applyNumberFormat="1" applyFont="1" applyProtection="1">
      <protection hidden="1"/>
    </xf>
    <xf numFmtId="1" fontId="6" fillId="0" borderId="0" xfId="0" applyNumberFormat="1" applyFont="1" applyProtection="1">
      <protection hidden="1"/>
    </xf>
    <xf numFmtId="1" fontId="2" fillId="0" borderId="0" xfId="0" applyNumberFormat="1" applyFont="1" applyAlignment="1" applyProtection="1">
      <alignment wrapText="1"/>
      <protection hidden="1"/>
    </xf>
    <xf numFmtId="1" fontId="6" fillId="0" borderId="0" xfId="0" applyNumberFormat="1" applyFont="1" applyProtection="1">
      <protection locked="0"/>
    </xf>
    <xf numFmtId="1" fontId="3" fillId="4" borderId="21" xfId="0" applyNumberFormat="1" applyFont="1" applyFill="1" applyBorder="1" applyProtection="1">
      <protection locked="0"/>
    </xf>
    <xf numFmtId="1" fontId="3" fillId="0" borderId="2" xfId="0" applyNumberFormat="1" applyFont="1" applyBorder="1"/>
    <xf numFmtId="1" fontId="3" fillId="6" borderId="22" xfId="0" applyNumberFormat="1" applyFont="1" applyFill="1" applyBorder="1"/>
    <xf numFmtId="1" fontId="3" fillId="4" borderId="5" xfId="0" applyNumberFormat="1" applyFont="1" applyFill="1" applyBorder="1" applyProtection="1">
      <protection locked="0"/>
    </xf>
    <xf numFmtId="1" fontId="3" fillId="4" borderId="6" xfId="0" applyNumberFormat="1" applyFont="1" applyFill="1" applyBorder="1" applyProtection="1">
      <protection locked="0"/>
    </xf>
    <xf numFmtId="1" fontId="3" fillId="4" borderId="0" xfId="0" applyNumberFormat="1" applyFont="1" applyFill="1" applyProtection="1">
      <protection locked="0"/>
    </xf>
    <xf numFmtId="1" fontId="3" fillId="0" borderId="20" xfId="0" applyNumberFormat="1" applyFont="1" applyBorder="1" applyAlignment="1">
      <alignment wrapText="1"/>
    </xf>
    <xf numFmtId="1" fontId="3" fillId="0" borderId="6" xfId="2" applyNumberFormat="1" applyFont="1" applyBorder="1" applyAlignment="1">
      <alignment wrapText="1"/>
    </xf>
    <xf numFmtId="1" fontId="3" fillId="0" borderId="5" xfId="2" applyNumberFormat="1" applyFont="1" applyBorder="1" applyAlignment="1">
      <alignment wrapText="1"/>
    </xf>
    <xf numFmtId="1" fontId="3" fillId="7" borderId="0" xfId="0" applyNumberFormat="1" applyFont="1" applyFill="1"/>
    <xf numFmtId="1" fontId="3" fillId="7" borderId="7" xfId="0" applyNumberFormat="1" applyFont="1" applyFill="1" applyBorder="1"/>
    <xf numFmtId="1" fontId="3" fillId="7" borderId="20" xfId="0" applyNumberFormat="1" applyFont="1" applyFill="1" applyBorder="1"/>
    <xf numFmtId="1" fontId="3" fillId="0" borderId="9" xfId="0" applyNumberFormat="1" applyFont="1" applyBorder="1" applyAlignment="1">
      <alignment wrapText="1"/>
    </xf>
    <xf numFmtId="1" fontId="3" fillId="4" borderId="10" xfId="0" applyNumberFormat="1" applyFont="1" applyFill="1" applyBorder="1" applyProtection="1">
      <protection locked="0"/>
    </xf>
    <xf numFmtId="1" fontId="3" fillId="4" borderId="7" xfId="0" applyNumberFormat="1" applyFont="1" applyFill="1" applyBorder="1" applyProtection="1">
      <protection locked="0"/>
    </xf>
    <xf numFmtId="1" fontId="3" fillId="24" borderId="36" xfId="0" applyNumberFormat="1" applyFont="1" applyFill="1" applyBorder="1"/>
    <xf numFmtId="1" fontId="3" fillId="0" borderId="38" xfId="0" applyNumberFormat="1" applyFont="1" applyBorder="1" applyAlignment="1">
      <alignment horizontal="right" wrapText="1"/>
    </xf>
    <xf numFmtId="1" fontId="3" fillId="24" borderId="53" xfId="0" applyNumberFormat="1" applyFont="1" applyFill="1" applyBorder="1"/>
    <xf numFmtId="1" fontId="3" fillId="24" borderId="65" xfId="0" applyNumberFormat="1" applyFont="1" applyFill="1" applyBorder="1"/>
    <xf numFmtId="1" fontId="3" fillId="24" borderId="46" xfId="0" applyNumberFormat="1" applyFont="1" applyFill="1" applyBorder="1"/>
    <xf numFmtId="1" fontId="3" fillId="0" borderId="50" xfId="0" applyNumberFormat="1" applyFont="1" applyBorder="1" applyAlignment="1">
      <alignment horizontal="right" wrapText="1"/>
    </xf>
    <xf numFmtId="1" fontId="3" fillId="24" borderId="76" xfId="0" applyNumberFormat="1" applyFont="1" applyFill="1" applyBorder="1"/>
    <xf numFmtId="0" fontId="3" fillId="22" borderId="0" xfId="0" applyFont="1" applyFill="1"/>
    <xf numFmtId="0" fontId="3" fillId="23" borderId="0" xfId="0" applyFont="1" applyFill="1"/>
    <xf numFmtId="1" fontId="3" fillId="0" borderId="20" xfId="14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left" wrapText="1"/>
    </xf>
    <xf numFmtId="0" fontId="4" fillId="0" borderId="0" xfId="0" applyFont="1"/>
    <xf numFmtId="1" fontId="8" fillId="0" borderId="0" xfId="0" applyNumberFormat="1" applyFont="1"/>
    <xf numFmtId="1" fontId="8" fillId="0" borderId="0" xfId="0" applyNumberFormat="1" applyFont="1" applyProtection="1">
      <protection locked="0"/>
    </xf>
    <xf numFmtId="1" fontId="3" fillId="0" borderId="20" xfId="0" applyNumberFormat="1" applyFont="1" applyBorder="1" applyAlignment="1">
      <alignment horizontal="center" vertical="center" wrapText="1"/>
    </xf>
    <xf numFmtId="1" fontId="27" fillId="0" borderId="0" xfId="0" applyNumberFormat="1" applyFont="1"/>
    <xf numFmtId="1" fontId="4" fillId="0" borderId="0" xfId="0" applyNumberFormat="1" applyFont="1"/>
    <xf numFmtId="1" fontId="6" fillId="0" borderId="0" xfId="0" applyNumberFormat="1" applyFont="1" applyAlignment="1">
      <alignment wrapText="1"/>
    </xf>
    <xf numFmtId="1" fontId="6" fillId="0" borderId="0" xfId="0" applyNumberFormat="1" applyFont="1" applyAlignment="1">
      <alignment vertical="top" wrapText="1"/>
    </xf>
    <xf numFmtId="1" fontId="3" fillId="4" borderId="85" xfId="0" applyNumberFormat="1" applyFont="1" applyFill="1" applyBorder="1" applyProtection="1">
      <protection locked="0"/>
    </xf>
    <xf numFmtId="1" fontId="3" fillId="0" borderId="100" xfId="0" applyNumberFormat="1" applyFont="1" applyBorder="1" applyAlignment="1">
      <alignment horizontal="center" vertical="center"/>
    </xf>
    <xf numFmtId="1" fontId="3" fillId="0" borderId="100" xfId="0" applyNumberFormat="1" applyFont="1" applyBorder="1" applyAlignment="1">
      <alignment horizontal="center" vertical="center" wrapText="1"/>
    </xf>
    <xf numFmtId="1" fontId="3" fillId="0" borderId="9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0" xfId="0" applyFont="1"/>
    <xf numFmtId="1" fontId="3" fillId="9" borderId="21" xfId="24" applyNumberFormat="1" applyFont="1" applyBorder="1" applyProtection="1">
      <protection locked="0"/>
    </xf>
    <xf numFmtId="1" fontId="3" fillId="9" borderId="3" xfId="24" applyNumberFormat="1" applyFont="1" applyBorder="1" applyProtection="1">
      <protection locked="0"/>
    </xf>
    <xf numFmtId="1" fontId="3" fillId="9" borderId="7" xfId="24" applyNumberFormat="1" applyFont="1" applyBorder="1" applyProtection="1">
      <protection locked="0"/>
    </xf>
    <xf numFmtId="1" fontId="3" fillId="9" borderId="9" xfId="24" applyNumberFormat="1" applyFont="1" applyBorder="1" applyProtection="1">
      <protection locked="0"/>
    </xf>
    <xf numFmtId="1" fontId="31" fillId="31" borderId="0" xfId="0" applyNumberFormat="1" applyFont="1" applyFill="1"/>
    <xf numFmtId="0" fontId="8" fillId="0" borderId="0" xfId="0" applyFont="1"/>
    <xf numFmtId="1" fontId="3" fillId="4" borderId="134" xfId="0" applyNumberFormat="1" applyFont="1" applyFill="1" applyBorder="1" applyProtection="1">
      <protection locked="0"/>
    </xf>
    <xf numFmtId="1" fontId="3" fillId="0" borderId="134" xfId="0" applyNumberFormat="1" applyFont="1" applyBorder="1" applyAlignment="1">
      <alignment wrapText="1"/>
    </xf>
    <xf numFmtId="1" fontId="3" fillId="7" borderId="9" xfId="0" applyNumberFormat="1" applyFont="1" applyFill="1" applyBorder="1"/>
    <xf numFmtId="1" fontId="3" fillId="0" borderId="2" xfId="0" applyNumberFormat="1" applyFont="1" applyBorder="1" applyAlignment="1" applyProtection="1">
      <alignment horizontal="left" wrapText="1"/>
      <protection hidden="1"/>
    </xf>
    <xf numFmtId="1" fontId="8" fillId="37" borderId="0" xfId="0" applyNumberFormat="1" applyFont="1" applyFill="1"/>
    <xf numFmtId="0" fontId="28" fillId="38" borderId="0" xfId="0" applyFont="1" applyFill="1" applyAlignment="1">
      <alignment horizontal="center" vertical="center" wrapText="1"/>
    </xf>
    <xf numFmtId="0" fontId="26" fillId="0" borderId="0" xfId="0" applyFont="1"/>
    <xf numFmtId="0" fontId="5" fillId="3" borderId="0" xfId="0" applyFont="1" applyFill="1"/>
    <xf numFmtId="0" fontId="16" fillId="0" borderId="0" xfId="0" applyFont="1" applyAlignment="1">
      <alignment vertical="center"/>
    </xf>
    <xf numFmtId="0" fontId="17" fillId="3" borderId="0" xfId="0" applyFont="1" applyFill="1" applyAlignment="1">
      <alignment horizontal="center"/>
    </xf>
    <xf numFmtId="0" fontId="3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6" fillId="3" borderId="0" xfId="0" applyFont="1" applyFill="1" applyAlignment="1">
      <alignment horizontal="left"/>
    </xf>
    <xf numFmtId="0" fontId="26" fillId="3" borderId="0" xfId="0" applyFont="1" applyFill="1"/>
    <xf numFmtId="1" fontId="5" fillId="3" borderId="0" xfId="0" applyNumberFormat="1" applyFont="1" applyFill="1" applyAlignment="1">
      <alignment horizontal="right"/>
    </xf>
    <xf numFmtId="49" fontId="5" fillId="3" borderId="0" xfId="0" applyNumberFormat="1" applyFont="1" applyFill="1" applyAlignment="1">
      <alignment horizontal="center"/>
    </xf>
    <xf numFmtId="0" fontId="5" fillId="40" borderId="0" xfId="0" applyFont="1" applyFill="1"/>
    <xf numFmtId="0" fontId="5" fillId="3" borderId="0" xfId="0" applyFont="1" applyFill="1" applyAlignment="1">
      <alignment horizontal="left"/>
    </xf>
    <xf numFmtId="0" fontId="30" fillId="5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/>
    </xf>
    <xf numFmtId="0" fontId="36" fillId="3" borderId="0" xfId="0" applyFont="1" applyFill="1" applyAlignment="1">
      <alignment vertical="center" wrapText="1"/>
    </xf>
    <xf numFmtId="0" fontId="5" fillId="0" borderId="0" xfId="0" applyFont="1" applyAlignment="1">
      <alignment horizontal="left"/>
    </xf>
    <xf numFmtId="1" fontId="3" fillId="6" borderId="134" xfId="0" applyNumberFormat="1" applyFont="1" applyFill="1" applyBorder="1"/>
    <xf numFmtId="1" fontId="3" fillId="6" borderId="2" xfId="0" applyNumberFormat="1" applyFont="1" applyFill="1" applyBorder="1"/>
    <xf numFmtId="1" fontId="3" fillId="0" borderId="133" xfId="0" applyNumberFormat="1" applyFont="1" applyBorder="1" applyAlignment="1">
      <alignment horizontal="center" vertical="center"/>
    </xf>
    <xf numFmtId="1" fontId="3" fillId="4" borderId="6" xfId="14" applyNumberFormat="1" applyFont="1" applyFill="1" applyBorder="1" applyProtection="1">
      <protection locked="0"/>
    </xf>
    <xf numFmtId="1" fontId="3" fillId="0" borderId="133" xfId="14" applyNumberFormat="1" applyFont="1" applyBorder="1" applyAlignment="1">
      <alignment horizontal="center" vertical="center" wrapText="1"/>
    </xf>
    <xf numFmtId="0" fontId="3" fillId="15" borderId="0" xfId="0" applyFont="1" applyFill="1"/>
    <xf numFmtId="0" fontId="33" fillId="0" borderId="0" xfId="0" applyFont="1" applyAlignment="1">
      <alignment vertical="center"/>
    </xf>
    <xf numFmtId="0" fontId="16" fillId="23" borderId="0" xfId="0" applyFont="1" applyFill="1" applyAlignment="1">
      <alignment vertical="center"/>
    </xf>
    <xf numFmtId="0" fontId="5" fillId="22" borderId="0" xfId="0" applyFont="1" applyFill="1" applyAlignment="1">
      <alignment vertical="center" wrapText="1"/>
    </xf>
    <xf numFmtId="1" fontId="3" fillId="0" borderId="20" xfId="0" applyNumberFormat="1" applyFont="1" applyBorder="1" applyAlignment="1" applyProtection="1">
      <alignment horizontal="center" vertical="center" wrapText="1"/>
      <protection hidden="1"/>
    </xf>
    <xf numFmtId="1" fontId="3" fillId="0" borderId="22" xfId="0" applyNumberFormat="1" applyFont="1" applyBorder="1" applyAlignment="1">
      <alignment horizontal="right" wrapText="1"/>
    </xf>
    <xf numFmtId="1" fontId="3" fillId="0" borderId="134" xfId="0" applyNumberFormat="1" applyFont="1" applyBorder="1" applyAlignment="1">
      <alignment horizontal="right"/>
    </xf>
    <xf numFmtId="1" fontId="3" fillId="4" borderId="134" xfId="0" applyNumberFormat="1" applyFont="1" applyFill="1" applyBorder="1" applyAlignment="1" applyProtection="1">
      <alignment horizontal="right"/>
      <protection locked="0"/>
    </xf>
    <xf numFmtId="1" fontId="3" fillId="0" borderId="148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39" fillId="0" borderId="0" xfId="0" applyFont="1"/>
    <xf numFmtId="1" fontId="3" fillId="0" borderId="134" xfId="0" applyNumberFormat="1" applyFont="1" applyBorder="1"/>
    <xf numFmtId="0" fontId="28" fillId="0" borderId="0" xfId="0" applyFont="1"/>
    <xf numFmtId="0" fontId="17" fillId="0" borderId="0" xfId="35" applyFont="1" applyBorder="1" applyAlignment="1" applyProtection="1">
      <alignment horizontal="center"/>
      <protection locked="0"/>
    </xf>
    <xf numFmtId="0" fontId="28" fillId="0" borderId="0" xfId="0" applyFont="1" applyAlignment="1">
      <alignment horizontal="left" vertical="center"/>
    </xf>
    <xf numFmtId="0" fontId="28" fillId="0" borderId="0" xfId="37" applyFont="1" applyFill="1" applyBorder="1" applyAlignment="1">
      <alignment horizontal="center"/>
      <protection locked="0"/>
    </xf>
    <xf numFmtId="0" fontId="3" fillId="5" borderId="0" xfId="0" applyFont="1" applyFill="1"/>
    <xf numFmtId="1" fontId="3" fillId="0" borderId="151" xfId="0" applyNumberFormat="1" applyFont="1" applyBorder="1" applyAlignment="1" applyProtection="1">
      <alignment horizontal="left" wrapText="1"/>
      <protection hidden="1"/>
    </xf>
    <xf numFmtId="1" fontId="3" fillId="0" borderId="150" xfId="0" applyNumberFormat="1" applyFont="1" applyBorder="1"/>
    <xf numFmtId="1" fontId="3" fillId="4" borderId="152" xfId="0" applyNumberFormat="1" applyFont="1" applyFill="1" applyBorder="1" applyProtection="1">
      <protection locked="0"/>
    </xf>
    <xf numFmtId="1" fontId="3" fillId="6" borderId="153" xfId="0" applyNumberFormat="1" applyFont="1" applyFill="1" applyBorder="1"/>
    <xf numFmtId="1" fontId="3" fillId="6" borderId="152" xfId="0" applyNumberFormat="1" applyFont="1" applyFill="1" applyBorder="1"/>
    <xf numFmtId="1" fontId="3" fillId="6" borderId="154" xfId="0" applyNumberFormat="1" applyFont="1" applyFill="1" applyBorder="1"/>
    <xf numFmtId="1" fontId="3" fillId="0" borderId="98" xfId="0" applyNumberFormat="1" applyFont="1" applyBorder="1" applyProtection="1">
      <protection hidden="1"/>
    </xf>
    <xf numFmtId="1" fontId="3" fillId="4" borderId="22" xfId="14" applyNumberFormat="1" applyFont="1" applyFill="1" applyBorder="1" applyProtection="1">
      <protection locked="0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42" borderId="0" xfId="0" applyFont="1" applyFill="1" applyAlignment="1">
      <alignment vertical="center"/>
    </xf>
    <xf numFmtId="0" fontId="3" fillId="23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1" fontId="3" fillId="0" borderId="0" xfId="0" applyNumberFormat="1" applyFont="1" applyAlignment="1">
      <alignment vertical="center" wrapText="1"/>
    </xf>
    <xf numFmtId="1" fontId="3" fillId="0" borderId="0" xfId="0" applyNumberFormat="1" applyFont="1" applyAlignment="1">
      <alignment vertical="center"/>
    </xf>
    <xf numFmtId="0" fontId="3" fillId="46" borderId="0" xfId="0" applyFont="1" applyFill="1" applyAlignment="1">
      <alignment vertical="center"/>
    </xf>
    <xf numFmtId="1" fontId="3" fillId="4" borderId="6" xfId="0" applyNumberFormat="1" applyFont="1" applyFill="1" applyBorder="1" applyAlignment="1" applyProtection="1">
      <alignment vertical="center"/>
      <protection locked="0"/>
    </xf>
    <xf numFmtId="1" fontId="3" fillId="0" borderId="162" xfId="0" applyNumberFormat="1" applyFont="1" applyBorder="1" applyAlignment="1">
      <alignment vertical="center" wrapText="1"/>
    </xf>
    <xf numFmtId="1" fontId="3" fillId="0" borderId="22" xfId="0" applyNumberFormat="1" applyFont="1" applyBorder="1" applyAlignment="1">
      <alignment horizontal="right" vertical="center"/>
    </xf>
    <xf numFmtId="0" fontId="2" fillId="0" borderId="0" xfId="20" applyFont="1" applyAlignment="1">
      <alignment horizontal="left" vertical="center" wrapText="1"/>
    </xf>
    <xf numFmtId="1" fontId="3" fillId="8" borderId="21" xfId="0" applyNumberFormat="1" applyFont="1" applyFill="1" applyBorder="1" applyAlignment="1" applyProtection="1">
      <alignment vertical="center"/>
      <protection locked="0"/>
    </xf>
    <xf numFmtId="1" fontId="3" fillId="8" borderId="22" xfId="0" applyNumberFormat="1" applyFont="1" applyFill="1" applyBorder="1" applyAlignment="1" applyProtection="1">
      <alignment vertical="center"/>
      <protection locked="0"/>
    </xf>
    <xf numFmtId="0" fontId="2" fillId="5" borderId="0" xfId="0" applyFont="1" applyFill="1" applyAlignment="1">
      <alignment vertical="center"/>
    </xf>
    <xf numFmtId="166" fontId="3" fillId="37" borderId="0" xfId="0" applyNumberFormat="1" applyFont="1" applyFill="1" applyAlignment="1">
      <alignment vertical="center"/>
    </xf>
    <xf numFmtId="0" fontId="3" fillId="37" borderId="0" xfId="0" applyFont="1" applyFill="1" applyAlignment="1">
      <alignment vertical="center"/>
    </xf>
    <xf numFmtId="0" fontId="3" fillId="28" borderId="0" xfId="0" applyFont="1" applyFill="1"/>
    <xf numFmtId="0" fontId="3" fillId="16" borderId="0" xfId="0" applyFont="1" applyFill="1"/>
    <xf numFmtId="0" fontId="7" fillId="48" borderId="0" xfId="0" applyFont="1" applyFill="1"/>
    <xf numFmtId="0" fontId="3" fillId="21" borderId="0" xfId="0" applyFont="1" applyFill="1"/>
    <xf numFmtId="0" fontId="3" fillId="48" borderId="0" xfId="0" applyFont="1" applyFill="1"/>
    <xf numFmtId="1" fontId="1" fillId="3" borderId="0" xfId="0" applyNumberFormat="1" applyFont="1" applyFill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41" fillId="0" borderId="0" xfId="0" applyFont="1"/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42" fillId="0" borderId="0" xfId="0" applyFont="1"/>
    <xf numFmtId="0" fontId="43" fillId="0" borderId="0" xfId="0" applyFont="1"/>
    <xf numFmtId="1" fontId="3" fillId="4" borderId="85" xfId="0" applyNumberFormat="1" applyFont="1" applyFill="1" applyBorder="1" applyAlignment="1" applyProtection="1">
      <alignment horizontal="right" vertical="center"/>
      <protection locked="0"/>
    </xf>
    <xf numFmtId="1" fontId="3" fillId="4" borderId="133" xfId="0" applyNumberFormat="1" applyFont="1" applyFill="1" applyBorder="1" applyAlignment="1" applyProtection="1">
      <alignment horizontal="right" vertical="center"/>
      <protection locked="0"/>
    </xf>
    <xf numFmtId="1" fontId="3" fillId="4" borderId="204" xfId="0" applyNumberFormat="1" applyFont="1" applyFill="1" applyBorder="1" applyProtection="1">
      <protection locked="0"/>
    </xf>
    <xf numFmtId="1" fontId="3" fillId="0" borderId="232" xfId="0" applyNumberFormat="1" applyFont="1" applyBorder="1"/>
    <xf numFmtId="1" fontId="6" fillId="0" borderId="162" xfId="0" applyNumberFormat="1" applyFont="1" applyBorder="1"/>
    <xf numFmtId="1" fontId="3" fillId="0" borderId="162" xfId="0" applyNumberFormat="1" applyFont="1" applyBorder="1"/>
    <xf numFmtId="1" fontId="3" fillId="0" borderId="232" xfId="0" applyNumberFormat="1" applyFont="1" applyBorder="1" applyAlignment="1">
      <alignment wrapText="1"/>
    </xf>
    <xf numFmtId="1" fontId="3" fillId="0" borderId="204" xfId="0" applyNumberFormat="1" applyFont="1" applyBorder="1"/>
    <xf numFmtId="1" fontId="3" fillId="0" borderId="232" xfId="0" applyNumberFormat="1" applyFont="1" applyBorder="1" applyAlignment="1" applyProtection="1">
      <alignment wrapText="1"/>
      <protection hidden="1"/>
    </xf>
    <xf numFmtId="1" fontId="3" fillId="0" borderId="204" xfId="0" applyNumberFormat="1" applyFont="1" applyBorder="1" applyAlignment="1">
      <alignment horizontal="right"/>
    </xf>
    <xf numFmtId="1" fontId="3" fillId="0" borderId="204" xfId="0" applyNumberFormat="1" applyFont="1" applyBorder="1" applyAlignment="1">
      <alignment wrapText="1"/>
    </xf>
    <xf numFmtId="1" fontId="3" fillId="0" borderId="9" xfId="0" applyNumberFormat="1" applyFont="1" applyBorder="1" applyAlignment="1">
      <alignment horizontal="right" wrapText="1"/>
    </xf>
    <xf numFmtId="1" fontId="3" fillId="0" borderId="204" xfId="0" applyNumberFormat="1" applyFont="1" applyBorder="1" applyAlignment="1">
      <alignment horizontal="right" wrapText="1"/>
    </xf>
    <xf numFmtId="1" fontId="3" fillId="0" borderId="232" xfId="0" applyNumberFormat="1" applyFont="1" applyBorder="1" applyAlignment="1">
      <alignment horizontal="left" vertical="center" wrapText="1"/>
    </xf>
    <xf numFmtId="1" fontId="3" fillId="0" borderId="134" xfId="0" applyNumberFormat="1" applyFont="1" applyBorder="1" applyAlignment="1">
      <alignment horizontal="right" vertical="center"/>
    </xf>
    <xf numFmtId="1" fontId="3" fillId="0" borderId="232" xfId="0" applyNumberFormat="1" applyFont="1" applyBorder="1" applyAlignment="1">
      <alignment vertical="center" wrapText="1"/>
    </xf>
    <xf numFmtId="1" fontId="3" fillId="7" borderId="134" xfId="14" applyNumberFormat="1" applyFont="1" applyFill="1" applyBorder="1"/>
    <xf numFmtId="1" fontId="3" fillId="4" borderId="204" xfId="14" applyNumberFormat="1" applyFont="1" applyFill="1" applyBorder="1" applyProtection="1">
      <protection locked="0"/>
    </xf>
    <xf numFmtId="1" fontId="3" fillId="0" borderId="134" xfId="14" applyNumberFormat="1" applyFont="1" applyBorder="1" applyAlignment="1">
      <alignment horizontal="right"/>
    </xf>
    <xf numFmtId="1" fontId="3" fillId="4" borderId="134" xfId="14" applyNumberFormat="1" applyFont="1" applyFill="1" applyBorder="1" applyProtection="1">
      <protection locked="0"/>
    </xf>
    <xf numFmtId="1" fontId="3" fillId="0" borderId="133" xfId="0" applyNumberFormat="1" applyFont="1" applyBorder="1" applyAlignment="1">
      <alignment horizontal="right"/>
    </xf>
    <xf numFmtId="1" fontId="3" fillId="7" borderId="134" xfId="0" applyNumberFormat="1" applyFont="1" applyFill="1" applyBorder="1" applyAlignment="1">
      <alignment horizontal="right"/>
    </xf>
    <xf numFmtId="1" fontId="3" fillId="4" borderId="204" xfId="0" applyNumberFormat="1" applyFont="1" applyFill="1" applyBorder="1" applyAlignment="1" applyProtection="1">
      <alignment horizontal="right"/>
      <protection locked="0"/>
    </xf>
    <xf numFmtId="1" fontId="3" fillId="5" borderId="134" xfId="0" applyNumberFormat="1" applyFont="1" applyFill="1" applyBorder="1" applyAlignment="1">
      <alignment horizontal="right"/>
    </xf>
    <xf numFmtId="1" fontId="3" fillId="4" borderId="133" xfId="0" applyNumberFormat="1" applyFont="1" applyFill="1" applyBorder="1" applyAlignment="1" applyProtection="1">
      <alignment horizontal="right"/>
      <protection locked="0"/>
    </xf>
    <xf numFmtId="1" fontId="3" fillId="3" borderId="134" xfId="0" applyNumberFormat="1" applyFont="1" applyFill="1" applyBorder="1" applyAlignment="1">
      <alignment vertical="center" wrapText="1"/>
    </xf>
    <xf numFmtId="1" fontId="3" fillId="4" borderId="3" xfId="0" applyNumberFormat="1" applyFont="1" applyFill="1" applyBorder="1" applyAlignment="1" applyProtection="1">
      <alignment horizontal="right" vertical="center"/>
      <protection locked="0"/>
    </xf>
    <xf numFmtId="1" fontId="3" fillId="0" borderId="162" xfId="0" applyNumberFormat="1" applyFont="1" applyBorder="1" applyAlignment="1">
      <alignment wrapText="1"/>
    </xf>
    <xf numFmtId="1" fontId="3" fillId="9" borderId="134" xfId="24" applyNumberFormat="1" applyFont="1" applyBorder="1" applyProtection="1">
      <protection locked="0"/>
    </xf>
    <xf numFmtId="1" fontId="3" fillId="4" borderId="134" xfId="0" applyNumberFormat="1" applyFont="1" applyFill="1" applyBorder="1" applyAlignment="1" applyProtection="1">
      <alignment vertical="center"/>
      <protection locked="0"/>
    </xf>
    <xf numFmtId="1" fontId="3" fillId="0" borderId="134" xfId="0" applyNumberFormat="1" applyFont="1" applyBorder="1" applyAlignment="1">
      <alignment vertical="center"/>
    </xf>
    <xf numFmtId="1" fontId="3" fillId="3" borderId="134" xfId="23" applyNumberFormat="1" applyFont="1" applyFill="1" applyBorder="1" applyAlignment="1">
      <alignment horizontal="right" vertical="center"/>
    </xf>
    <xf numFmtId="1" fontId="3" fillId="8" borderId="134" xfId="0" applyNumberFormat="1" applyFont="1" applyFill="1" applyBorder="1" applyAlignment="1" applyProtection="1">
      <alignment vertical="center"/>
      <protection locked="0"/>
    </xf>
    <xf numFmtId="1" fontId="3" fillId="0" borderId="2" xfId="0" applyNumberFormat="1" applyFont="1" applyBorder="1" applyAlignment="1">
      <alignment horizontal="right" wrapText="1"/>
    </xf>
    <xf numFmtId="1" fontId="3" fillId="0" borderId="134" xfId="0" applyNumberFormat="1" applyFont="1" applyBorder="1" applyAlignment="1">
      <alignment horizontal="right" wrapText="1"/>
    </xf>
    <xf numFmtId="0" fontId="3" fillId="6" borderId="134" xfId="0" applyFont="1" applyFill="1" applyBorder="1" applyAlignment="1">
      <alignment vertical="center"/>
    </xf>
    <xf numFmtId="1" fontId="3" fillId="0" borderId="108" xfId="0" applyNumberFormat="1" applyFont="1" applyBorder="1" applyAlignment="1">
      <alignment horizontal="right" wrapText="1"/>
    </xf>
    <xf numFmtId="1" fontId="3" fillId="0" borderId="107" xfId="0" applyNumberFormat="1" applyFont="1" applyBorder="1" applyAlignment="1">
      <alignment horizontal="center" vertical="center"/>
    </xf>
    <xf numFmtId="1" fontId="3" fillId="0" borderId="67" xfId="0" applyNumberFormat="1" applyFont="1" applyBorder="1" applyAlignment="1">
      <alignment horizontal="right" wrapText="1"/>
    </xf>
    <xf numFmtId="1" fontId="3" fillId="0" borderId="78" xfId="0" applyNumberFormat="1" applyFont="1" applyBorder="1" applyAlignment="1">
      <alignment horizontal="right" wrapText="1"/>
    </xf>
    <xf numFmtId="1" fontId="3" fillId="0" borderId="236" xfId="0" applyNumberFormat="1" applyFont="1" applyBorder="1" applyAlignment="1">
      <alignment horizontal="right" wrapText="1"/>
    </xf>
    <xf numFmtId="1" fontId="3" fillId="0" borderId="9" xfId="0" applyNumberFormat="1" applyFont="1" applyBorder="1" applyAlignment="1">
      <alignment horizontal="right"/>
    </xf>
    <xf numFmtId="1" fontId="3" fillId="4" borderId="3" xfId="0" applyNumberFormat="1" applyFont="1" applyFill="1" applyBorder="1" applyAlignment="1" applyProtection="1">
      <alignment horizontal="right"/>
      <protection locked="0"/>
    </xf>
    <xf numFmtId="1" fontId="3" fillId="3" borderId="22" xfId="0" applyNumberFormat="1" applyFont="1" applyFill="1" applyBorder="1" applyAlignment="1">
      <alignment vertical="center" wrapText="1"/>
    </xf>
    <xf numFmtId="1" fontId="3" fillId="6" borderId="134" xfId="24" applyNumberFormat="1" applyFont="1" applyFill="1" applyBorder="1" applyProtection="1"/>
    <xf numFmtId="1" fontId="3" fillId="4" borderId="22" xfId="0" applyNumberFormat="1" applyFont="1" applyFill="1" applyBorder="1" applyAlignment="1" applyProtection="1">
      <alignment vertical="center"/>
      <protection locked="0"/>
    </xf>
    <xf numFmtId="1" fontId="3" fillId="6" borderId="21" xfId="24" applyNumberFormat="1" applyFont="1" applyFill="1" applyBorder="1"/>
    <xf numFmtId="1" fontId="3" fillId="6" borderId="7" xfId="24" applyNumberFormat="1" applyFont="1" applyFill="1" applyBorder="1"/>
    <xf numFmtId="1" fontId="3" fillId="6" borderId="10" xfId="24" applyNumberFormat="1" applyFont="1" applyFill="1" applyBorder="1"/>
    <xf numFmtId="1" fontId="3" fillId="6" borderId="3" xfId="24" applyNumberFormat="1" applyFont="1" applyFill="1" applyBorder="1"/>
    <xf numFmtId="1" fontId="3" fillId="6" borderId="21" xfId="0" applyNumberFormat="1" applyFont="1" applyFill="1" applyBorder="1"/>
    <xf numFmtId="1" fontId="3" fillId="4" borderId="10" xfId="0" applyNumberFormat="1" applyFont="1" applyFill="1" applyBorder="1" applyAlignment="1" applyProtection="1">
      <alignment horizontal="right" vertical="center"/>
      <protection locked="0"/>
    </xf>
    <xf numFmtId="1" fontId="3" fillId="4" borderId="3" xfId="0" applyNumberFormat="1" applyFont="1" applyFill="1" applyBorder="1" applyProtection="1">
      <protection locked="0"/>
    </xf>
    <xf numFmtId="1" fontId="3" fillId="7" borderId="10" xfId="0" applyNumberFormat="1" applyFont="1" applyFill="1" applyBorder="1"/>
    <xf numFmtId="1" fontId="3" fillId="6" borderId="3" xfId="0" applyNumberFormat="1" applyFont="1" applyFill="1" applyBorder="1"/>
    <xf numFmtId="1" fontId="3" fillId="4" borderId="237" xfId="0" applyNumberFormat="1" applyFont="1" applyFill="1" applyBorder="1" applyProtection="1">
      <protection locked="0"/>
    </xf>
    <xf numFmtId="1" fontId="3" fillId="0" borderId="3" xfId="0" applyNumberFormat="1" applyFont="1" applyBorder="1" applyAlignment="1">
      <alignment wrapText="1"/>
    </xf>
    <xf numFmtId="1" fontId="3" fillId="0" borderId="237" xfId="0" applyNumberFormat="1" applyFont="1" applyBorder="1" applyAlignment="1">
      <alignment wrapText="1"/>
    </xf>
    <xf numFmtId="1" fontId="3" fillId="0" borderId="3" xfId="0" applyNumberFormat="1" applyFont="1" applyBorder="1" applyAlignment="1">
      <alignment horizontal="right" wrapText="1"/>
    </xf>
    <xf numFmtId="1" fontId="3" fillId="7" borderId="3" xfId="0" applyNumberFormat="1" applyFont="1" applyFill="1" applyBorder="1" applyAlignment="1">
      <alignment wrapText="1"/>
    </xf>
    <xf numFmtId="1" fontId="3" fillId="0" borderId="237" xfId="0" applyNumberFormat="1" applyFont="1" applyBorder="1"/>
    <xf numFmtId="1" fontId="3" fillId="7" borderId="237" xfId="0" applyNumberFormat="1" applyFont="1" applyFill="1" applyBorder="1" applyAlignment="1">
      <alignment horizontal="right"/>
    </xf>
    <xf numFmtId="1" fontId="3" fillId="4" borderId="237" xfId="0" applyNumberFormat="1" applyFont="1" applyFill="1" applyBorder="1" applyAlignment="1" applyProtection="1">
      <alignment horizontal="right"/>
      <protection locked="0"/>
    </xf>
    <xf numFmtId="1" fontId="3" fillId="0" borderId="237" xfId="0" applyNumberFormat="1" applyFont="1" applyBorder="1" applyAlignment="1">
      <alignment vertical="center"/>
    </xf>
    <xf numFmtId="1" fontId="3" fillId="3" borderId="257" xfId="0" applyNumberFormat="1" applyFont="1" applyFill="1" applyBorder="1" applyAlignment="1">
      <alignment horizontal="right"/>
    </xf>
    <xf numFmtId="1" fontId="3" fillId="0" borderId="237" xfId="0" applyNumberFormat="1" applyFont="1" applyBorder="1" applyAlignment="1">
      <alignment vertical="center" wrapText="1"/>
    </xf>
    <xf numFmtId="1" fontId="3" fillId="4" borderId="264" xfId="0" applyNumberFormat="1" applyFont="1" applyFill="1" applyBorder="1" applyAlignment="1" applyProtection="1">
      <alignment horizontal="right"/>
      <protection locked="0"/>
    </xf>
    <xf numFmtId="1" fontId="3" fillId="4" borderId="256" xfId="0" applyNumberFormat="1" applyFont="1" applyFill="1" applyBorder="1" applyAlignment="1" applyProtection="1">
      <alignment horizontal="right" vertical="center"/>
      <protection locked="0"/>
    </xf>
    <xf numFmtId="1" fontId="3" fillId="4" borderId="257" xfId="0" applyNumberFormat="1" applyFont="1" applyFill="1" applyBorder="1" applyAlignment="1" applyProtection="1">
      <alignment horizontal="right" vertical="center"/>
      <protection locked="0"/>
    </xf>
    <xf numFmtId="1" fontId="3" fillId="4" borderId="263" xfId="0" applyNumberFormat="1" applyFont="1" applyFill="1" applyBorder="1" applyAlignment="1" applyProtection="1">
      <alignment horizontal="right" vertical="center"/>
      <protection locked="0"/>
    </xf>
    <xf numFmtId="1" fontId="3" fillId="4" borderId="259" xfId="0" applyNumberFormat="1" applyFont="1" applyFill="1" applyBorder="1" applyAlignment="1" applyProtection="1">
      <alignment horizontal="right" vertical="center"/>
      <protection locked="0"/>
    </xf>
    <xf numFmtId="1" fontId="3" fillId="0" borderId="256" xfId="0" applyNumberFormat="1" applyFont="1" applyBorder="1" applyAlignment="1">
      <alignment horizontal="right" vertical="center"/>
    </xf>
    <xf numFmtId="1" fontId="3" fillId="4" borderId="256" xfId="0" applyNumberFormat="1" applyFont="1" applyFill="1" applyBorder="1" applyProtection="1">
      <protection locked="0"/>
    </xf>
    <xf numFmtId="1" fontId="3" fillId="9" borderId="256" xfId="24" applyNumberFormat="1" applyFont="1" applyBorder="1" applyProtection="1">
      <protection locked="0"/>
    </xf>
    <xf numFmtId="1" fontId="3" fillId="6" borderId="259" xfId="24" applyNumberFormat="1" applyFont="1" applyFill="1" applyBorder="1"/>
    <xf numFmtId="1" fontId="3" fillId="6" borderId="256" xfId="24" applyNumberFormat="1" applyFont="1" applyFill="1" applyBorder="1"/>
    <xf numFmtId="1" fontId="3" fillId="4" borderId="259" xfId="0" applyNumberFormat="1" applyFont="1" applyFill="1" applyBorder="1" applyProtection="1">
      <protection locked="0"/>
    </xf>
    <xf numFmtId="1" fontId="3" fillId="4" borderId="256" xfId="0" applyNumberFormat="1" applyFont="1" applyFill="1" applyBorder="1" applyAlignment="1" applyProtection="1">
      <alignment vertical="center"/>
      <protection locked="0"/>
    </xf>
    <xf numFmtId="1" fontId="3" fillId="4" borderId="257" xfId="0" applyNumberFormat="1" applyFont="1" applyFill="1" applyBorder="1" applyAlignment="1" applyProtection="1">
      <alignment vertical="center"/>
      <protection locked="0"/>
    </xf>
    <xf numFmtId="1" fontId="3" fillId="4" borderId="237" xfId="0" applyNumberFormat="1" applyFont="1" applyFill="1" applyBorder="1" applyAlignment="1" applyProtection="1">
      <alignment vertical="center"/>
      <protection locked="0"/>
    </xf>
    <xf numFmtId="1" fontId="3" fillId="0" borderId="256" xfId="0" applyNumberFormat="1" applyFont="1" applyBorder="1" applyAlignment="1">
      <alignment vertical="center"/>
    </xf>
    <xf numFmtId="1" fontId="3" fillId="8" borderId="256" xfId="0" applyNumberFormat="1" applyFont="1" applyFill="1" applyBorder="1" applyAlignment="1" applyProtection="1">
      <alignment vertical="center"/>
      <protection locked="0"/>
    </xf>
    <xf numFmtId="1" fontId="3" fillId="8" borderId="259" xfId="0" applyNumberFormat="1" applyFont="1" applyFill="1" applyBorder="1" applyAlignment="1" applyProtection="1">
      <alignment vertical="center"/>
      <protection locked="0"/>
    </xf>
    <xf numFmtId="1" fontId="3" fillId="8" borderId="261" xfId="0" applyNumberFormat="1" applyFont="1" applyFill="1" applyBorder="1" applyAlignment="1" applyProtection="1">
      <alignment vertical="center"/>
      <protection locked="0"/>
    </xf>
    <xf numFmtId="1" fontId="3" fillId="0" borderId="256" xfId="23" applyNumberFormat="1" applyFont="1" applyFill="1" applyBorder="1" applyAlignment="1">
      <alignment horizontal="right" vertical="center"/>
    </xf>
    <xf numFmtId="1" fontId="3" fillId="0" borderId="263" xfId="0" applyNumberFormat="1" applyFont="1" applyBorder="1" applyAlignment="1">
      <alignment horizontal="right" vertical="center" wrapText="1"/>
    </xf>
    <xf numFmtId="1" fontId="3" fillId="0" borderId="257" xfId="0" applyNumberFormat="1" applyFont="1" applyBorder="1" applyAlignment="1">
      <alignment horizontal="right" vertical="center" wrapText="1"/>
    </xf>
    <xf numFmtId="1" fontId="3" fillId="0" borderId="256" xfId="0" applyNumberFormat="1" applyFont="1" applyBorder="1" applyAlignment="1">
      <alignment horizontal="right" vertical="center" wrapText="1"/>
    </xf>
    <xf numFmtId="1" fontId="3" fillId="0" borderId="259" xfId="0" applyNumberFormat="1" applyFont="1" applyBorder="1" applyAlignment="1">
      <alignment horizontal="right" vertical="center" wrapText="1"/>
    </xf>
    <xf numFmtId="1" fontId="3" fillId="6" borderId="257" xfId="0" applyNumberFormat="1" applyFont="1" applyFill="1" applyBorder="1" applyAlignment="1">
      <alignment vertical="center"/>
    </xf>
    <xf numFmtId="1" fontId="3" fillId="6" borderId="263" xfId="0" applyNumberFormat="1" applyFont="1" applyFill="1" applyBorder="1" applyAlignment="1">
      <alignment vertical="center"/>
    </xf>
    <xf numFmtId="1" fontId="3" fillId="4" borderId="261" xfId="0" applyNumberFormat="1" applyFont="1" applyFill="1" applyBorder="1" applyAlignment="1" applyProtection="1">
      <alignment vertical="center"/>
      <protection locked="0"/>
    </xf>
    <xf numFmtId="0" fontId="3" fillId="6" borderId="256" xfId="0" applyFont="1" applyFill="1" applyBorder="1" applyAlignment="1">
      <alignment vertical="center"/>
    </xf>
    <xf numFmtId="1" fontId="8" fillId="5" borderId="0" xfId="0" applyNumberFormat="1" applyFont="1" applyFill="1" applyProtection="1">
      <protection locked="0"/>
    </xf>
    <xf numFmtId="1" fontId="3" fillId="7" borderId="5" xfId="0" applyNumberFormat="1" applyFont="1" applyFill="1" applyBorder="1"/>
    <xf numFmtId="1" fontId="3" fillId="6" borderId="9" xfId="0" applyNumberFormat="1" applyFont="1" applyFill="1" applyBorder="1"/>
    <xf numFmtId="1" fontId="3" fillId="6" borderId="20" xfId="0" applyNumberFormat="1" applyFont="1" applyFill="1" applyBorder="1"/>
    <xf numFmtId="1" fontId="3" fillId="7" borderId="3" xfId="0" applyNumberFormat="1" applyFont="1" applyFill="1" applyBorder="1"/>
    <xf numFmtId="1" fontId="3" fillId="6" borderId="204" xfId="0" applyNumberFormat="1" applyFont="1" applyFill="1" applyBorder="1"/>
    <xf numFmtId="0" fontId="17" fillId="40" borderId="257" xfId="0" applyFont="1" applyFill="1" applyBorder="1" applyAlignment="1" applyProtection="1">
      <alignment horizontal="center"/>
      <protection locked="0"/>
    </xf>
    <xf numFmtId="1" fontId="3" fillId="4" borderId="276" xfId="0" applyNumberFormat="1" applyFont="1" applyFill="1" applyBorder="1" applyProtection="1">
      <protection locked="0"/>
    </xf>
    <xf numFmtId="1" fontId="6" fillId="0" borderId="278" xfId="0" applyNumberFormat="1" applyFont="1" applyBorder="1"/>
    <xf numFmtId="1" fontId="3" fillId="6" borderId="282" xfId="0" applyNumberFormat="1" applyFont="1" applyFill="1" applyBorder="1"/>
    <xf numFmtId="1" fontId="3" fillId="6" borderId="256" xfId="0" applyNumberFormat="1" applyFont="1" applyFill="1" applyBorder="1"/>
    <xf numFmtId="1" fontId="3" fillId="6" borderId="262" xfId="0" applyNumberFormat="1" applyFont="1" applyFill="1" applyBorder="1"/>
    <xf numFmtId="1" fontId="3" fillId="0" borderId="302" xfId="0" applyNumberFormat="1" applyFont="1" applyBorder="1"/>
    <xf numFmtId="1" fontId="3" fillId="4" borderId="301" xfId="0" applyNumberFormat="1" applyFont="1" applyFill="1" applyBorder="1" applyProtection="1">
      <protection locked="0"/>
    </xf>
    <xf numFmtId="1" fontId="3" fillId="4" borderId="262" xfId="0" applyNumberFormat="1" applyFont="1" applyFill="1" applyBorder="1" applyProtection="1">
      <protection locked="0"/>
    </xf>
    <xf numFmtId="1" fontId="2" fillId="0" borderId="306" xfId="0" applyNumberFormat="1" applyFont="1" applyBorder="1"/>
    <xf numFmtId="1" fontId="3" fillId="3" borderId="318" xfId="1" applyNumberFormat="1" applyFont="1" applyFill="1" applyBorder="1"/>
    <xf numFmtId="1" fontId="3" fillId="0" borderId="276" xfId="0" applyNumberFormat="1" applyFont="1" applyBorder="1"/>
    <xf numFmtId="1" fontId="3" fillId="0" borderId="256" xfId="0" applyNumberFormat="1" applyFont="1" applyBorder="1"/>
    <xf numFmtId="1" fontId="3" fillId="0" borderId="259" xfId="0" applyNumberFormat="1" applyFont="1" applyBorder="1"/>
    <xf numFmtId="1" fontId="3" fillId="0" borderId="276" xfId="0" applyNumberFormat="1" applyFont="1" applyBorder="1" applyAlignment="1">
      <alignment horizontal="right"/>
    </xf>
    <xf numFmtId="1" fontId="3" fillId="0" borderId="256" xfId="0" applyNumberFormat="1" applyFont="1" applyBorder="1" applyAlignment="1">
      <alignment horizontal="right"/>
    </xf>
    <xf numFmtId="1" fontId="3" fillId="0" borderId="259" xfId="0" applyNumberFormat="1" applyFont="1" applyBorder="1" applyAlignment="1">
      <alignment horizontal="right"/>
    </xf>
    <xf numFmtId="1" fontId="3" fillId="0" borderId="262" xfId="0" applyNumberFormat="1" applyFont="1" applyBorder="1"/>
    <xf numFmtId="1" fontId="3" fillId="4" borderId="278" xfId="0" applyNumberFormat="1" applyFont="1" applyFill="1" applyBorder="1" applyProtection="1">
      <protection locked="0"/>
    </xf>
    <xf numFmtId="1" fontId="3" fillId="0" borderId="276" xfId="0" applyNumberFormat="1" applyFont="1" applyBorder="1" applyAlignment="1">
      <alignment horizontal="right" vertical="center" wrapText="1"/>
    </xf>
    <xf numFmtId="1" fontId="3" fillId="0" borderId="276" xfId="0" applyNumberFormat="1" applyFont="1" applyBorder="1" applyAlignment="1">
      <alignment wrapText="1"/>
    </xf>
    <xf numFmtId="1" fontId="3" fillId="0" borderId="256" xfId="0" applyNumberFormat="1" applyFont="1" applyBorder="1" applyAlignment="1">
      <alignment wrapText="1"/>
    </xf>
    <xf numFmtId="1" fontId="3" fillId="4" borderId="257" xfId="0" applyNumberFormat="1" applyFont="1" applyFill="1" applyBorder="1" applyProtection="1">
      <protection locked="0"/>
    </xf>
    <xf numFmtId="1" fontId="3" fillId="7" borderId="278" xfId="0" applyNumberFormat="1" applyFont="1" applyFill="1" applyBorder="1"/>
    <xf numFmtId="1" fontId="3" fillId="7" borderId="259" xfId="0" applyNumberFormat="1" applyFont="1" applyFill="1" applyBorder="1"/>
    <xf numFmtId="1" fontId="3" fillId="6" borderId="276" xfId="0" applyNumberFormat="1" applyFont="1" applyFill="1" applyBorder="1"/>
    <xf numFmtId="1" fontId="3" fillId="7" borderId="256" xfId="0" applyNumberFormat="1" applyFont="1" applyFill="1" applyBorder="1" applyAlignment="1">
      <alignment wrapText="1"/>
    </xf>
    <xf numFmtId="1" fontId="3" fillId="4" borderId="263" xfId="0" applyNumberFormat="1" applyFont="1" applyFill="1" applyBorder="1" applyProtection="1">
      <protection locked="0"/>
    </xf>
    <xf numFmtId="1" fontId="3" fillId="0" borderId="276" xfId="0" applyNumberFormat="1" applyFont="1" applyBorder="1" applyAlignment="1">
      <alignment horizontal="right" wrapText="1"/>
    </xf>
    <xf numFmtId="1" fontId="3" fillId="0" borderId="256" xfId="0" applyNumberFormat="1" applyFont="1" applyBorder="1" applyAlignment="1">
      <alignment horizontal="right" wrapText="1"/>
    </xf>
    <xf numFmtId="1" fontId="3" fillId="0" borderId="302" xfId="0" applyNumberFormat="1" applyFont="1" applyBorder="1" applyAlignment="1">
      <alignment horizontal="left" vertical="center" wrapText="1"/>
    </xf>
    <xf numFmtId="1" fontId="3" fillId="4" borderId="259" xfId="0" applyNumberFormat="1" applyFont="1" applyFill="1" applyBorder="1" applyAlignment="1" applyProtection="1">
      <alignment wrapText="1"/>
      <protection locked="0"/>
    </xf>
    <xf numFmtId="1" fontId="3" fillId="4" borderId="256" xfId="0" applyNumberFormat="1" applyFont="1" applyFill="1" applyBorder="1" applyAlignment="1" applyProtection="1">
      <alignment wrapText="1"/>
      <protection locked="0"/>
    </xf>
    <xf numFmtId="1" fontId="3" fillId="0" borderId="282" xfId="0" applyNumberFormat="1" applyFont="1" applyBorder="1" applyAlignment="1">
      <alignment horizontal="center" vertical="center" wrapText="1"/>
    </xf>
    <xf numFmtId="1" fontId="3" fillId="0" borderId="302" xfId="0" applyNumberFormat="1" applyFont="1" applyBorder="1" applyAlignment="1" applyProtection="1">
      <alignment vertical="center" wrapText="1"/>
      <protection hidden="1"/>
    </xf>
    <xf numFmtId="1" fontId="3" fillId="0" borderId="321" xfId="0" applyNumberFormat="1" applyFont="1" applyBorder="1" applyAlignment="1">
      <alignment horizontal="right" wrapText="1"/>
    </xf>
    <xf numFmtId="1" fontId="3" fillId="4" borderId="257" xfId="0" applyNumberFormat="1" applyFont="1" applyFill="1" applyBorder="1" applyAlignment="1" applyProtection="1">
      <alignment horizontal="right"/>
      <protection locked="0"/>
    </xf>
    <xf numFmtId="1" fontId="3" fillId="4" borderId="262" xfId="0" applyNumberFormat="1" applyFont="1" applyFill="1" applyBorder="1" applyAlignment="1" applyProtection="1">
      <alignment horizontal="right"/>
      <protection locked="0"/>
    </xf>
    <xf numFmtId="1" fontId="3" fillId="4" borderId="276" xfId="0" applyNumberFormat="1" applyFont="1" applyFill="1" applyBorder="1" applyAlignment="1" applyProtection="1">
      <alignment horizontal="right"/>
      <protection locked="0"/>
    </xf>
    <xf numFmtId="0" fontId="3" fillId="0" borderId="327" xfId="0" applyFont="1" applyBorder="1" applyAlignment="1">
      <alignment vertical="center"/>
    </xf>
    <xf numFmtId="1" fontId="3" fillId="4" borderId="341" xfId="0" applyNumberFormat="1" applyFont="1" applyFill="1" applyBorder="1" applyAlignment="1" applyProtection="1">
      <alignment horizontal="right"/>
      <protection locked="0"/>
    </xf>
    <xf numFmtId="1" fontId="3" fillId="4" borderId="336" xfId="0" applyNumberFormat="1" applyFont="1" applyFill="1" applyBorder="1" applyAlignment="1" applyProtection="1">
      <alignment horizontal="right"/>
      <protection locked="0"/>
    </xf>
    <xf numFmtId="1" fontId="3" fillId="4" borderId="338" xfId="0" applyNumberFormat="1" applyFont="1" applyFill="1" applyBorder="1" applyAlignment="1" applyProtection="1">
      <alignment horizontal="right"/>
      <protection locked="0"/>
    </xf>
    <xf numFmtId="1" fontId="3" fillId="4" borderId="343" xfId="0" applyNumberFormat="1" applyFont="1" applyFill="1" applyBorder="1" applyAlignment="1" applyProtection="1">
      <alignment horizontal="right"/>
      <protection locked="0"/>
    </xf>
    <xf numFmtId="1" fontId="3" fillId="0" borderId="340" xfId="0" applyNumberFormat="1" applyFont="1" applyBorder="1" applyAlignment="1">
      <alignment vertical="center" wrapText="1"/>
    </xf>
    <xf numFmtId="1" fontId="3" fillId="7" borderId="276" xfId="0" applyNumberFormat="1" applyFont="1" applyFill="1" applyBorder="1" applyAlignment="1">
      <alignment horizontal="right"/>
    </xf>
    <xf numFmtId="1" fontId="3" fillId="7" borderId="313" xfId="0" applyNumberFormat="1" applyFont="1" applyFill="1" applyBorder="1" applyAlignment="1">
      <alignment horizontal="right"/>
    </xf>
    <xf numFmtId="1" fontId="3" fillId="0" borderId="276" xfId="0" applyNumberFormat="1" applyFont="1" applyBorder="1" applyAlignment="1">
      <alignment horizontal="right" vertical="center"/>
    </xf>
    <xf numFmtId="1" fontId="3" fillId="4" borderId="301" xfId="0" applyNumberFormat="1" applyFont="1" applyFill="1" applyBorder="1" applyAlignment="1" applyProtection="1">
      <alignment horizontal="right"/>
      <protection locked="0"/>
    </xf>
    <xf numFmtId="1" fontId="3" fillId="4" borderId="301" xfId="14" applyNumberFormat="1" applyFont="1" applyFill="1" applyBorder="1" applyProtection="1">
      <protection locked="0"/>
    </xf>
    <xf numFmtId="1" fontId="3" fillId="0" borderId="276" xfId="16" applyNumberFormat="1" applyFont="1" applyBorder="1" applyAlignment="1">
      <alignment horizontal="right" wrapText="1"/>
    </xf>
    <xf numFmtId="1" fontId="3" fillId="7" borderId="276" xfId="14" applyNumberFormat="1" applyFont="1" applyFill="1" applyBorder="1"/>
    <xf numFmtId="1" fontId="3" fillId="4" borderId="276" xfId="14" applyNumberFormat="1" applyFont="1" applyFill="1" applyBorder="1" applyProtection="1">
      <protection locked="0"/>
    </xf>
    <xf numFmtId="1" fontId="3" fillId="0" borderId="341" xfId="0" applyNumberFormat="1" applyFont="1" applyBorder="1" applyAlignment="1">
      <alignment horizontal="right"/>
    </xf>
    <xf numFmtId="1" fontId="3" fillId="0" borderId="321" xfId="0" applyNumberFormat="1" applyFont="1" applyBorder="1" applyAlignment="1">
      <alignment horizontal="right"/>
    </xf>
    <xf numFmtId="1" fontId="3" fillId="0" borderId="340" xfId="0" applyNumberFormat="1" applyFont="1" applyBorder="1"/>
    <xf numFmtId="1" fontId="3" fillId="0" borderId="336" xfId="0" applyNumberFormat="1" applyFont="1" applyBorder="1" applyAlignment="1">
      <alignment horizontal="right"/>
    </xf>
    <xf numFmtId="1" fontId="3" fillId="4" borderId="341" xfId="0" applyNumberFormat="1" applyFont="1" applyFill="1" applyBorder="1" applyProtection="1">
      <protection locked="0"/>
    </xf>
    <xf numFmtId="1" fontId="3" fillId="4" borderId="336" xfId="0" applyNumberFormat="1" applyFont="1" applyFill="1" applyBorder="1" applyProtection="1">
      <protection locked="0"/>
    </xf>
    <xf numFmtId="1" fontId="3" fillId="4" borderId="333" xfId="0" applyNumberFormat="1" applyFont="1" applyFill="1" applyBorder="1" applyProtection="1">
      <protection locked="0"/>
    </xf>
    <xf numFmtId="1" fontId="3" fillId="4" borderId="342" xfId="0" applyNumberFormat="1" applyFont="1" applyFill="1" applyBorder="1" applyProtection="1">
      <protection locked="0"/>
    </xf>
    <xf numFmtId="1" fontId="3" fillId="4" borderId="334" xfId="0" applyNumberFormat="1" applyFont="1" applyFill="1" applyBorder="1" applyProtection="1">
      <protection locked="0"/>
    </xf>
    <xf numFmtId="1" fontId="3" fillId="4" borderId="340" xfId="0" applyNumberFormat="1" applyFont="1" applyFill="1" applyBorder="1" applyProtection="1">
      <protection locked="0"/>
    </xf>
    <xf numFmtId="1" fontId="3" fillId="4" borderId="343" xfId="0" applyNumberFormat="1" applyFont="1" applyFill="1" applyBorder="1" applyProtection="1">
      <protection locked="0"/>
    </xf>
    <xf numFmtId="1" fontId="3" fillId="0" borderId="327" xfId="0" applyNumberFormat="1" applyFont="1" applyBorder="1"/>
    <xf numFmtId="1" fontId="3" fillId="6" borderId="302" xfId="0" applyNumberFormat="1" applyFont="1" applyFill="1" applyBorder="1"/>
    <xf numFmtId="1" fontId="3" fillId="4" borderId="327" xfId="0" applyNumberFormat="1" applyFont="1" applyFill="1" applyBorder="1" applyProtection="1">
      <protection locked="0"/>
    </xf>
    <xf numFmtId="1" fontId="3" fillId="3" borderId="340" xfId="0" applyNumberFormat="1" applyFont="1" applyFill="1" applyBorder="1"/>
    <xf numFmtId="1" fontId="3" fillId="0" borderId="331" xfId="0" applyNumberFormat="1" applyFont="1" applyBorder="1" applyAlignment="1">
      <alignment wrapText="1"/>
    </xf>
    <xf numFmtId="1" fontId="3" fillId="0" borderId="331" xfId="0" applyNumberFormat="1" applyFont="1" applyBorder="1"/>
    <xf numFmtId="1" fontId="3" fillId="3" borderId="276" xfId="0" applyNumberFormat="1" applyFont="1" applyFill="1" applyBorder="1" applyAlignment="1">
      <alignment horizontal="right" wrapText="1"/>
    </xf>
    <xf numFmtId="1" fontId="3" fillId="5" borderId="302" xfId="0" applyNumberFormat="1" applyFont="1" applyFill="1" applyBorder="1" applyAlignment="1">
      <alignment horizontal="right"/>
    </xf>
    <xf numFmtId="1" fontId="3" fillId="0" borderId="331" xfId="0" applyNumberFormat="1" applyFont="1" applyBorder="1" applyAlignment="1">
      <alignment horizontal="left" vertical="center" wrapText="1"/>
    </xf>
    <xf numFmtId="1" fontId="3" fillId="5" borderId="276" xfId="0" applyNumberFormat="1" applyFont="1" applyFill="1" applyBorder="1" applyAlignment="1">
      <alignment horizontal="right"/>
    </xf>
    <xf numFmtId="1" fontId="3" fillId="3" borderId="302" xfId="0" applyNumberFormat="1" applyFont="1" applyFill="1" applyBorder="1" applyAlignment="1">
      <alignment horizontal="left" vertical="center" wrapText="1"/>
    </xf>
    <xf numFmtId="1" fontId="3" fillId="3" borderId="276" xfId="0" applyNumberFormat="1" applyFont="1" applyFill="1" applyBorder="1" applyAlignment="1">
      <alignment vertical="center" wrapText="1"/>
    </xf>
    <xf numFmtId="1" fontId="3" fillId="4" borderId="348" xfId="0" applyNumberFormat="1" applyFont="1" applyFill="1" applyBorder="1" applyAlignment="1" applyProtection="1">
      <alignment horizontal="right"/>
      <protection locked="0"/>
    </xf>
    <xf numFmtId="1" fontId="3" fillId="0" borderId="302" xfId="0" applyNumberFormat="1" applyFont="1" applyBorder="1" applyAlignment="1">
      <alignment horizontal="right" vertical="center" wrapText="1"/>
    </xf>
    <xf numFmtId="1" fontId="3" fillId="4" borderId="301" xfId="0" applyNumberFormat="1" applyFont="1" applyFill="1" applyBorder="1" applyAlignment="1" applyProtection="1">
      <alignment horizontal="right" vertical="center"/>
      <protection locked="0"/>
    </xf>
    <xf numFmtId="1" fontId="3" fillId="7" borderId="336" xfId="0" applyNumberFormat="1" applyFont="1" applyFill="1" applyBorder="1"/>
    <xf numFmtId="1" fontId="3" fillId="4" borderId="345" xfId="0" applyNumberFormat="1" applyFont="1" applyFill="1" applyBorder="1" applyProtection="1">
      <protection locked="0"/>
    </xf>
    <xf numFmtId="1" fontId="3" fillId="4" borderId="303" xfId="0" applyNumberFormat="1" applyFont="1" applyFill="1" applyBorder="1" applyProtection="1">
      <protection locked="0"/>
    </xf>
    <xf numFmtId="1" fontId="3" fillId="4" borderId="281" xfId="0" applyNumberFormat="1" applyFont="1" applyFill="1" applyBorder="1" applyProtection="1">
      <protection locked="0"/>
    </xf>
    <xf numFmtId="1" fontId="3" fillId="4" borderId="335" xfId="0" applyNumberFormat="1" applyFont="1" applyFill="1" applyBorder="1" applyProtection="1">
      <protection locked="0"/>
    </xf>
    <xf numFmtId="1" fontId="3" fillId="4" borderId="321" xfId="0" applyNumberFormat="1" applyFont="1" applyFill="1" applyBorder="1" applyProtection="1">
      <protection locked="0"/>
    </xf>
    <xf numFmtId="166" fontId="3" fillId="5" borderId="302" xfId="18" applyNumberFormat="1" applyFont="1" applyFill="1" applyBorder="1" applyAlignment="1" applyProtection="1">
      <alignment horizontal="right"/>
    </xf>
    <xf numFmtId="1" fontId="3" fillId="0" borderId="357" xfId="0" applyNumberFormat="1" applyFont="1" applyBorder="1" applyAlignment="1">
      <alignment wrapText="1"/>
    </xf>
    <xf numFmtId="1" fontId="3" fillId="4" borderId="363" xfId="0" applyNumberFormat="1" applyFont="1" applyFill="1" applyBorder="1" applyProtection="1">
      <protection locked="0"/>
    </xf>
    <xf numFmtId="1" fontId="3" fillId="4" borderId="356" xfId="0" applyNumberFormat="1" applyFont="1" applyFill="1" applyBorder="1" applyProtection="1">
      <protection locked="0"/>
    </xf>
    <xf numFmtId="1" fontId="3" fillId="0" borderId="328" xfId="0" applyNumberFormat="1" applyFont="1" applyBorder="1" applyAlignment="1">
      <alignment wrapText="1"/>
    </xf>
    <xf numFmtId="1" fontId="3" fillId="4" borderId="358" xfId="0" applyNumberFormat="1" applyFont="1" applyFill="1" applyBorder="1" applyProtection="1">
      <protection locked="0"/>
    </xf>
    <xf numFmtId="1" fontId="3" fillId="4" borderId="328" xfId="0" applyNumberFormat="1" applyFont="1" applyFill="1" applyBorder="1" applyProtection="1">
      <protection locked="0"/>
    </xf>
    <xf numFmtId="1" fontId="3" fillId="6" borderId="363" xfId="0" applyNumberFormat="1" applyFont="1" applyFill="1" applyBorder="1"/>
    <xf numFmtId="0" fontId="3" fillId="0" borderId="367" xfId="0" applyFont="1" applyBorder="1"/>
    <xf numFmtId="1" fontId="3" fillId="4" borderId="361" xfId="0" applyNumberFormat="1" applyFont="1" applyFill="1" applyBorder="1" applyProtection="1">
      <protection locked="0"/>
    </xf>
    <xf numFmtId="1" fontId="3" fillId="4" borderId="362" xfId="0" applyNumberFormat="1" applyFont="1" applyFill="1" applyBorder="1" applyProtection="1">
      <protection locked="0"/>
    </xf>
    <xf numFmtId="1" fontId="3" fillId="6" borderId="328" xfId="0" applyNumberFormat="1" applyFont="1" applyFill="1" applyBorder="1"/>
    <xf numFmtId="1" fontId="3" fillId="0" borderId="321" xfId="0" applyNumberFormat="1" applyFont="1" applyBorder="1" applyAlignment="1">
      <alignment wrapText="1"/>
    </xf>
    <xf numFmtId="1" fontId="3" fillId="0" borderId="354" xfId="0" applyNumberFormat="1" applyFont="1" applyBorder="1" applyAlignment="1">
      <alignment wrapText="1"/>
    </xf>
    <xf numFmtId="1" fontId="3" fillId="4" borderId="354" xfId="0" applyNumberFormat="1" applyFont="1" applyFill="1" applyBorder="1" applyProtection="1">
      <protection locked="0"/>
    </xf>
    <xf numFmtId="1" fontId="3" fillId="4" borderId="366" xfId="0" applyNumberFormat="1" applyFont="1" applyFill="1" applyBorder="1" applyProtection="1">
      <protection locked="0"/>
    </xf>
    <xf numFmtId="1" fontId="3" fillId="4" borderId="329" xfId="0" applyNumberFormat="1" applyFont="1" applyFill="1" applyBorder="1" applyProtection="1">
      <protection locked="0"/>
    </xf>
    <xf numFmtId="1" fontId="3" fillId="6" borderId="354" xfId="0" applyNumberFormat="1" applyFont="1" applyFill="1" applyBorder="1"/>
    <xf numFmtId="1" fontId="3" fillId="4" borderId="359" xfId="0" applyNumberFormat="1" applyFont="1" applyFill="1" applyBorder="1" applyProtection="1">
      <protection locked="0"/>
    </xf>
    <xf numFmtId="1" fontId="3" fillId="0" borderId="302" xfId="0" applyNumberFormat="1" applyFont="1" applyBorder="1" applyAlignment="1">
      <alignment wrapText="1"/>
    </xf>
    <xf numFmtId="1" fontId="3" fillId="9" borderId="276" xfId="24" applyNumberFormat="1" applyFont="1" applyBorder="1" applyProtection="1">
      <protection locked="0"/>
    </xf>
    <xf numFmtId="1" fontId="3" fillId="6" borderId="301" xfId="24" applyNumberFormat="1" applyFont="1" applyFill="1" applyBorder="1"/>
    <xf numFmtId="1" fontId="3" fillId="9" borderId="354" xfId="24" applyNumberFormat="1" applyFont="1" applyBorder="1" applyProtection="1">
      <protection locked="0"/>
    </xf>
    <xf numFmtId="1" fontId="3" fillId="9" borderId="301" xfId="24" applyNumberFormat="1" applyFont="1" applyBorder="1" applyProtection="1">
      <protection locked="0"/>
    </xf>
    <xf numFmtId="1" fontId="3" fillId="0" borderId="370" xfId="0" applyNumberFormat="1" applyFont="1" applyBorder="1" applyAlignment="1">
      <alignment horizontal="left" vertical="center" wrapText="1"/>
    </xf>
    <xf numFmtId="1" fontId="3" fillId="0" borderId="370" xfId="0" applyNumberFormat="1" applyFont="1" applyBorder="1" applyAlignment="1">
      <alignment wrapText="1"/>
    </xf>
    <xf numFmtId="1" fontId="3" fillId="0" borderId="302" xfId="0" applyNumberFormat="1" applyFont="1" applyBorder="1" applyAlignment="1">
      <alignment vertical="center" wrapText="1"/>
    </xf>
    <xf numFmtId="1" fontId="3" fillId="9" borderId="359" xfId="24" applyNumberFormat="1" applyFont="1" applyBorder="1" applyProtection="1">
      <protection locked="0"/>
    </xf>
    <xf numFmtId="1" fontId="3" fillId="3" borderId="354" xfId="0" applyNumberFormat="1" applyFont="1" applyFill="1" applyBorder="1"/>
    <xf numFmtId="1" fontId="3" fillId="9" borderId="302" xfId="24" applyNumberFormat="1" applyFont="1" applyBorder="1" applyProtection="1">
      <protection locked="0"/>
    </xf>
    <xf numFmtId="1" fontId="3" fillId="6" borderId="354" xfId="24" applyNumberFormat="1" applyFont="1" applyFill="1" applyBorder="1" applyProtection="1"/>
    <xf numFmtId="1" fontId="3" fillId="6" borderId="276" xfId="24" applyNumberFormat="1" applyFont="1" applyFill="1" applyBorder="1" applyProtection="1"/>
    <xf numFmtId="166" fontId="3" fillId="5" borderId="302" xfId="18" applyNumberFormat="1" applyFont="1" applyFill="1" applyBorder="1" applyAlignment="1" applyProtection="1">
      <alignment horizontal="right" vertical="center"/>
    </xf>
    <xf numFmtId="1" fontId="3" fillId="4" borderId="276" xfId="0" applyNumberFormat="1" applyFont="1" applyFill="1" applyBorder="1" applyAlignment="1" applyProtection="1">
      <alignment vertical="center"/>
      <protection locked="0"/>
    </xf>
    <xf numFmtId="1" fontId="3" fillId="0" borderId="278" xfId="0" applyNumberFormat="1" applyFont="1" applyBorder="1" applyAlignment="1">
      <alignment vertical="center"/>
    </xf>
    <xf numFmtId="1" fontId="3" fillId="4" borderId="301" xfId="0" applyNumberFormat="1" applyFont="1" applyFill="1" applyBorder="1" applyAlignment="1" applyProtection="1">
      <alignment vertical="center"/>
      <protection locked="0"/>
    </xf>
    <xf numFmtId="1" fontId="3" fillId="7" borderId="354" xfId="0" applyNumberFormat="1" applyFont="1" applyFill="1" applyBorder="1" applyAlignment="1">
      <alignment vertical="center"/>
    </xf>
    <xf numFmtId="1" fontId="3" fillId="4" borderId="354" xfId="0" applyNumberFormat="1" applyFont="1" applyFill="1" applyBorder="1" applyAlignment="1" applyProtection="1">
      <alignment vertical="center"/>
      <protection locked="0"/>
    </xf>
    <xf numFmtId="1" fontId="3" fillId="7" borderId="359" xfId="0" applyNumberFormat="1" applyFont="1" applyFill="1" applyBorder="1" applyAlignment="1">
      <alignment vertical="center"/>
    </xf>
    <xf numFmtId="1" fontId="3" fillId="0" borderId="354" xfId="0" applyNumberFormat="1" applyFont="1" applyBorder="1" applyAlignment="1">
      <alignment vertical="center"/>
    </xf>
    <xf numFmtId="1" fontId="3" fillId="0" borderId="354" xfId="0" applyNumberFormat="1" applyFont="1" applyBorder="1" applyAlignment="1">
      <alignment horizontal="right" vertical="center"/>
    </xf>
    <xf numFmtId="1" fontId="3" fillId="4" borderId="303" xfId="0" applyNumberFormat="1" applyFont="1" applyFill="1" applyBorder="1" applyAlignment="1" applyProtection="1">
      <alignment vertical="center"/>
      <protection locked="0"/>
    </xf>
    <xf numFmtId="1" fontId="3" fillId="8" borderId="301" xfId="0" applyNumberFormat="1" applyFont="1" applyFill="1" applyBorder="1" applyAlignment="1" applyProtection="1">
      <alignment vertical="center"/>
      <protection locked="0"/>
    </xf>
    <xf numFmtId="1" fontId="3" fillId="0" borderId="354" xfId="0" applyNumberFormat="1" applyFont="1" applyBorder="1" applyAlignment="1">
      <alignment vertical="center" wrapText="1"/>
    </xf>
    <xf numFmtId="1" fontId="3" fillId="3" borderId="354" xfId="23" applyNumberFormat="1" applyFont="1" applyFill="1" applyBorder="1" applyAlignment="1">
      <alignment horizontal="right" vertical="center"/>
    </xf>
    <xf numFmtId="1" fontId="3" fillId="8" borderId="354" xfId="0" applyNumberFormat="1" applyFont="1" applyFill="1" applyBorder="1" applyAlignment="1" applyProtection="1">
      <alignment vertical="center"/>
      <protection locked="0"/>
    </xf>
    <xf numFmtId="1" fontId="3" fillId="3" borderId="276" xfId="23" applyNumberFormat="1" applyFont="1" applyFill="1" applyBorder="1" applyAlignment="1">
      <alignment horizontal="right" vertical="center"/>
    </xf>
    <xf numFmtId="1" fontId="3" fillId="8" borderId="276" xfId="0" applyNumberFormat="1" applyFont="1" applyFill="1" applyBorder="1" applyAlignment="1" applyProtection="1">
      <alignment vertical="center"/>
      <protection locked="0"/>
    </xf>
    <xf numFmtId="1" fontId="3" fillId="6" borderId="354" xfId="23" applyNumberFormat="1" applyFont="1" applyFill="1" applyBorder="1" applyAlignment="1">
      <alignment horizontal="right" vertical="center"/>
    </xf>
    <xf numFmtId="1" fontId="3" fillId="0" borderId="302" xfId="0" applyNumberFormat="1" applyFont="1" applyBorder="1" applyAlignment="1">
      <alignment vertical="center"/>
    </xf>
    <xf numFmtId="0" fontId="3" fillId="6" borderId="354" xfId="0" applyFont="1" applyFill="1" applyBorder="1" applyAlignment="1">
      <alignment vertical="center"/>
    </xf>
    <xf numFmtId="0" fontId="3" fillId="6" borderId="276" xfId="0" applyFont="1" applyFill="1" applyBorder="1" applyAlignment="1">
      <alignment vertical="center"/>
    </xf>
    <xf numFmtId="1" fontId="3" fillId="4" borderId="302" xfId="0" applyNumberFormat="1" applyFont="1" applyFill="1" applyBorder="1" applyAlignment="1" applyProtection="1">
      <alignment vertical="center"/>
      <protection locked="0"/>
    </xf>
    <xf numFmtId="1" fontId="3" fillId="0" borderId="370" xfId="0" applyNumberFormat="1" applyFont="1" applyBorder="1" applyAlignment="1">
      <alignment horizontal="right" vertical="center" wrapText="1"/>
    </xf>
    <xf numFmtId="0" fontId="3" fillId="6" borderId="0" xfId="0" applyFont="1" applyFill="1"/>
    <xf numFmtId="1" fontId="3" fillId="4" borderId="404" xfId="0" applyNumberFormat="1" applyFont="1" applyFill="1" applyBorder="1" applyProtection="1">
      <protection locked="0"/>
    </xf>
    <xf numFmtId="1" fontId="3" fillId="4" borderId="344" xfId="0" applyNumberFormat="1" applyFont="1" applyFill="1" applyBorder="1" applyProtection="1">
      <protection locked="0"/>
    </xf>
    <xf numFmtId="1" fontId="3" fillId="4" borderId="268" xfId="0" applyNumberFormat="1" applyFont="1" applyFill="1" applyBorder="1" applyProtection="1">
      <protection locked="0"/>
    </xf>
    <xf numFmtId="0" fontId="7" fillId="15" borderId="0" xfId="0" applyFont="1" applyFill="1"/>
    <xf numFmtId="0" fontId="7" fillId="21" borderId="0" xfId="0" applyFont="1" applyFill="1"/>
    <xf numFmtId="0" fontId="6" fillId="15" borderId="0" xfId="0" applyFont="1" applyFill="1"/>
    <xf numFmtId="0" fontId="6" fillId="23" borderId="0" xfId="0" applyFont="1" applyFill="1"/>
    <xf numFmtId="0" fontId="6" fillId="21" borderId="0" xfId="0" applyFont="1" applyFill="1"/>
    <xf numFmtId="0" fontId="6" fillId="48" borderId="0" xfId="0" applyFont="1" applyFill="1"/>
    <xf numFmtId="0" fontId="6" fillId="16" borderId="0" xfId="0" applyFont="1" applyFill="1"/>
    <xf numFmtId="0" fontId="6" fillId="52" borderId="0" xfId="0" applyFont="1" applyFill="1"/>
    <xf numFmtId="0" fontId="6" fillId="22" borderId="0" xfId="0" applyFont="1" applyFill="1"/>
    <xf numFmtId="1" fontId="3" fillId="0" borderId="340" xfId="0" applyNumberFormat="1" applyFont="1" applyBorder="1" applyAlignment="1">
      <alignment horizontal="left" vertical="center" wrapText="1"/>
    </xf>
    <xf numFmtId="1" fontId="3" fillId="0" borderId="370" xfId="0" applyNumberFormat="1" applyFont="1" applyBorder="1" applyAlignment="1">
      <alignment horizontal="center" vertical="center" wrapText="1"/>
    </xf>
    <xf numFmtId="0" fontId="28" fillId="0" borderId="330" xfId="0" applyFont="1" applyBorder="1" applyAlignment="1">
      <alignment horizontal="left" vertical="center"/>
    </xf>
    <xf numFmtId="0" fontId="28" fillId="4" borderId="385" xfId="0" applyFont="1" applyFill="1" applyBorder="1" applyAlignment="1" applyProtection="1">
      <alignment horizontal="center"/>
      <protection locked="0"/>
    </xf>
    <xf numFmtId="0" fontId="17" fillId="40" borderId="382" xfId="35" applyFont="1" applyFill="1" applyBorder="1" applyAlignment="1" applyProtection="1">
      <alignment horizontal="center"/>
      <protection locked="0"/>
    </xf>
    <xf numFmtId="0" fontId="17" fillId="40" borderId="381" xfId="35" applyFont="1" applyFill="1" applyBorder="1" applyAlignment="1" applyProtection="1">
      <alignment horizontal="center"/>
      <protection locked="0"/>
    </xf>
    <xf numFmtId="0" fontId="17" fillId="40" borderId="389" xfId="35" applyFont="1" applyFill="1" applyBorder="1" applyAlignment="1" applyProtection="1">
      <alignment horizontal="center"/>
      <protection locked="0"/>
    </xf>
    <xf numFmtId="0" fontId="5" fillId="3" borderId="376" xfId="0" applyFont="1" applyFill="1" applyBorder="1"/>
    <xf numFmtId="0" fontId="28" fillId="0" borderId="377" xfId="0" applyFont="1" applyBorder="1" applyAlignment="1">
      <alignment horizontal="left" vertical="center"/>
    </xf>
    <xf numFmtId="0" fontId="28" fillId="4" borderId="385" xfId="37" applyFont="1" applyFill="1" applyBorder="1" applyAlignment="1">
      <alignment horizontal="center"/>
      <protection locked="0"/>
    </xf>
    <xf numFmtId="0" fontId="33" fillId="0" borderId="313" xfId="0" applyFont="1" applyBorder="1" applyAlignment="1">
      <alignment vertical="center"/>
    </xf>
    <xf numFmtId="0" fontId="28" fillId="0" borderId="304" xfId="0" applyFont="1" applyBorder="1" applyAlignment="1">
      <alignment horizontal="left" vertical="center"/>
    </xf>
    <xf numFmtId="0" fontId="28" fillId="0" borderId="304" xfId="37" applyFont="1" applyFill="1" applyBorder="1" applyAlignment="1">
      <alignment horizontal="center"/>
      <protection locked="0"/>
    </xf>
    <xf numFmtId="0" fontId="17" fillId="0" borderId="304" xfId="35" applyFont="1" applyBorder="1" applyAlignment="1" applyProtection="1">
      <alignment horizontal="center"/>
      <protection locked="0"/>
    </xf>
    <xf numFmtId="0" fontId="28" fillId="4" borderId="370" xfId="37" applyFont="1" applyFill="1" applyBorder="1" applyAlignment="1">
      <alignment horizontal="center"/>
      <protection locked="0"/>
    </xf>
    <xf numFmtId="0" fontId="17" fillId="40" borderId="372" xfId="0" applyFont="1" applyFill="1" applyBorder="1" applyAlignment="1" applyProtection="1">
      <alignment horizontal="center"/>
      <protection locked="0"/>
    </xf>
    <xf numFmtId="0" fontId="15" fillId="0" borderId="385" xfId="0" applyFont="1" applyBorder="1" applyAlignment="1">
      <alignment horizontal="center"/>
    </xf>
    <xf numFmtId="0" fontId="28" fillId="3" borderId="330" xfId="0" applyFont="1" applyFill="1" applyBorder="1" applyAlignment="1">
      <alignment horizontal="left" vertical="center"/>
    </xf>
    <xf numFmtId="0" fontId="28" fillId="3" borderId="330" xfId="0" applyFont="1" applyFill="1" applyBorder="1" applyAlignment="1">
      <alignment horizontal="centerContinuous" vertical="center"/>
    </xf>
    <xf numFmtId="0" fontId="28" fillId="0" borderId="385" xfId="0" applyFont="1" applyBorder="1" applyAlignment="1">
      <alignment wrapText="1"/>
    </xf>
    <xf numFmtId="0" fontId="26" fillId="4" borderId="385" xfId="0" applyFont="1" applyFill="1" applyBorder="1" applyAlignment="1" applyProtection="1">
      <alignment horizontal="center"/>
      <protection locked="0"/>
    </xf>
    <xf numFmtId="0" fontId="28" fillId="0" borderId="370" xfId="0" applyFont="1" applyBorder="1"/>
    <xf numFmtId="0" fontId="26" fillId="3" borderId="330" xfId="0" applyFont="1" applyFill="1" applyBorder="1"/>
    <xf numFmtId="1" fontId="3" fillId="0" borderId="667" xfId="0" applyNumberFormat="1" applyFont="1" applyBorder="1" applyAlignment="1">
      <alignment horizontal="center" vertical="center" wrapText="1"/>
    </xf>
    <xf numFmtId="1" fontId="3" fillId="0" borderId="640" xfId="0" applyNumberFormat="1" applyFont="1" applyBorder="1" applyAlignment="1">
      <alignment horizontal="center" vertical="center" wrapText="1"/>
    </xf>
    <xf numFmtId="1" fontId="3" fillId="0" borderId="619" xfId="0" applyNumberFormat="1" applyFont="1" applyBorder="1" applyAlignment="1">
      <alignment horizontal="center" vertical="center" wrapText="1"/>
    </xf>
    <xf numFmtId="1" fontId="3" fillId="0" borderId="503" xfId="0" applyNumberFormat="1" applyFont="1" applyBorder="1" applyAlignment="1">
      <alignment horizontal="center" vertical="center" wrapText="1"/>
    </xf>
    <xf numFmtId="1" fontId="3" fillId="0" borderId="594" xfId="0" applyNumberFormat="1" applyFont="1" applyBorder="1" applyAlignment="1">
      <alignment horizontal="center" vertical="center" wrapText="1"/>
    </xf>
    <xf numFmtId="1" fontId="3" fillId="0" borderId="608" xfId="0" applyNumberFormat="1" applyFont="1" applyBorder="1" applyAlignment="1">
      <alignment horizontal="center" vertical="center" wrapText="1"/>
    </xf>
    <xf numFmtId="1" fontId="3" fillId="0" borderId="622" xfId="0" applyNumberFormat="1" applyFont="1" applyBorder="1" applyAlignment="1">
      <alignment horizontal="center" vertical="center" wrapText="1"/>
    </xf>
    <xf numFmtId="1" fontId="3" fillId="0" borderId="611" xfId="0" applyNumberFormat="1" applyFont="1" applyBorder="1"/>
    <xf numFmtId="1" fontId="3" fillId="0" borderId="612" xfId="0" applyNumberFormat="1" applyFont="1" applyBorder="1"/>
    <xf numFmtId="1" fontId="3" fillId="0" borderId="613" xfId="0" applyNumberFormat="1" applyFont="1" applyBorder="1"/>
    <xf numFmtId="1" fontId="3" fillId="4" borderId="611" xfId="0" applyNumberFormat="1" applyFont="1" applyFill="1" applyBorder="1" applyProtection="1">
      <protection locked="0"/>
    </xf>
    <xf numFmtId="1" fontId="3" fillId="4" borderId="613" xfId="0" applyNumberFormat="1" applyFont="1" applyFill="1" applyBorder="1" applyProtection="1">
      <protection locked="0"/>
    </xf>
    <xf numFmtId="1" fontId="3" fillId="4" borderId="633" xfId="0" applyNumberFormat="1" applyFont="1" applyFill="1" applyBorder="1" applyProtection="1">
      <protection locked="0"/>
    </xf>
    <xf numFmtId="1" fontId="3" fillId="4" borderId="612" xfId="0" applyNumberFormat="1" applyFont="1" applyFill="1" applyBorder="1" applyProtection="1">
      <protection locked="0"/>
    </xf>
    <xf numFmtId="1" fontId="3" fillId="0" borderId="341" xfId="0" applyNumberFormat="1" applyFont="1" applyBorder="1"/>
    <xf numFmtId="1" fontId="3" fillId="0" borderId="333" xfId="0" applyNumberFormat="1" applyFont="1" applyBorder="1"/>
    <xf numFmtId="1" fontId="3" fillId="0" borderId="336" xfId="0" applyNumberFormat="1" applyFont="1" applyBorder="1"/>
    <xf numFmtId="1" fontId="3" fillId="4" borderId="332" xfId="0" applyNumberFormat="1" applyFont="1" applyFill="1" applyBorder="1" applyProtection="1">
      <protection locked="0"/>
    </xf>
    <xf numFmtId="1" fontId="3" fillId="4" borderId="353" xfId="0" applyNumberFormat="1" applyFont="1" applyFill="1" applyBorder="1" applyProtection="1">
      <protection locked="0"/>
    </xf>
    <xf numFmtId="1" fontId="3" fillId="0" borderId="328" xfId="0" applyNumberFormat="1" applyFont="1" applyBorder="1"/>
    <xf numFmtId="1" fontId="3" fillId="0" borderId="404" xfId="0" applyNumberFormat="1" applyFont="1" applyBorder="1"/>
    <xf numFmtId="1" fontId="3" fillId="0" borderId="354" xfId="0" applyNumberFormat="1" applyFont="1" applyBorder="1"/>
    <xf numFmtId="1" fontId="3" fillId="0" borderId="353" xfId="0" applyNumberFormat="1" applyFont="1" applyBorder="1"/>
    <xf numFmtId="1" fontId="3" fillId="0" borderId="673" xfId="0" applyNumberFormat="1" applyFont="1" applyBorder="1" applyAlignment="1">
      <alignment horizontal="center" vertical="center" wrapText="1"/>
    </xf>
    <xf numFmtId="1" fontId="3" fillId="0" borderId="636" xfId="0" applyNumberFormat="1" applyFont="1" applyBorder="1" applyAlignment="1">
      <alignment horizontal="center" vertical="center" wrapText="1"/>
    </xf>
    <xf numFmtId="1" fontId="3" fillId="0" borderId="619" xfId="0" applyNumberFormat="1" applyFont="1" applyBorder="1" applyAlignment="1">
      <alignment horizontal="center" vertical="center"/>
    </xf>
    <xf numFmtId="1" fontId="3" fillId="0" borderId="671" xfId="0" applyNumberFormat="1" applyFont="1" applyBorder="1" applyAlignment="1">
      <alignment horizontal="center" vertical="center" wrapText="1"/>
    </xf>
    <xf numFmtId="1" fontId="3" fillId="0" borderId="624" xfId="0" applyNumberFormat="1" applyFont="1" applyBorder="1" applyAlignment="1">
      <alignment horizontal="center" vertical="center"/>
    </xf>
    <xf numFmtId="1" fontId="3" fillId="0" borderId="587" xfId="0" applyNumberFormat="1" applyFont="1" applyBorder="1"/>
    <xf numFmtId="1" fontId="3" fillId="3" borderId="587" xfId="0" applyNumberFormat="1" applyFont="1" applyFill="1" applyBorder="1"/>
    <xf numFmtId="1" fontId="3" fillId="4" borderId="512" xfId="0" applyNumberFormat="1" applyFont="1" applyFill="1" applyBorder="1" applyProtection="1">
      <protection locked="0"/>
    </xf>
    <xf numFmtId="1" fontId="3" fillId="4" borderId="615" xfId="0" applyNumberFormat="1" applyFont="1" applyFill="1" applyBorder="1" applyProtection="1">
      <protection locked="0"/>
    </xf>
    <xf numFmtId="1" fontId="3" fillId="4" borderId="564" xfId="0" applyNumberFormat="1" applyFont="1" applyFill="1" applyBorder="1" applyProtection="1">
      <protection locked="0"/>
    </xf>
    <xf numFmtId="1" fontId="3" fillId="4" borderId="632" xfId="0" applyNumberFormat="1" applyFont="1" applyFill="1" applyBorder="1" applyProtection="1">
      <protection locked="0"/>
    </xf>
    <xf numFmtId="1" fontId="3" fillId="3" borderId="331" xfId="0" applyNumberFormat="1" applyFont="1" applyFill="1" applyBorder="1"/>
    <xf numFmtId="1" fontId="3" fillId="0" borderId="340" xfId="0" applyNumberFormat="1" applyFont="1" applyBorder="1" applyAlignment="1">
      <alignment wrapText="1"/>
    </xf>
    <xf numFmtId="1" fontId="3" fillId="0" borderId="336" xfId="0" applyNumberFormat="1" applyFont="1" applyBorder="1" applyAlignment="1">
      <alignment wrapText="1"/>
    </xf>
    <xf numFmtId="1" fontId="3" fillId="3" borderId="406" xfId="0" applyNumberFormat="1" applyFont="1" applyFill="1" applyBorder="1"/>
    <xf numFmtId="1" fontId="3" fillId="4" borderId="369" xfId="0" applyNumberFormat="1" applyFont="1" applyFill="1" applyBorder="1" applyProtection="1">
      <protection locked="0"/>
    </xf>
    <xf numFmtId="1" fontId="3" fillId="0" borderId="674" xfId="0" applyNumberFormat="1" applyFont="1" applyBorder="1" applyAlignment="1">
      <alignment horizontal="center" vertical="center" wrapText="1"/>
    </xf>
    <xf numFmtId="1" fontId="3" fillId="0" borderId="668" xfId="0" applyNumberFormat="1" applyFont="1" applyBorder="1" applyAlignment="1">
      <alignment horizontal="center" vertical="center" wrapText="1"/>
    </xf>
    <xf numFmtId="1" fontId="3" fillId="4" borderId="594" xfId="0" applyNumberFormat="1" applyFont="1" applyFill="1" applyBorder="1" applyProtection="1">
      <protection locked="0"/>
    </xf>
    <xf numFmtId="1" fontId="3" fillId="4" borderId="622" xfId="0" applyNumberFormat="1" applyFont="1" applyFill="1" applyBorder="1" applyProtection="1">
      <protection locked="0"/>
    </xf>
    <xf numFmtId="1" fontId="3" fillId="4" borderId="595" xfId="0" applyNumberFormat="1" applyFont="1" applyFill="1" applyBorder="1" applyProtection="1">
      <protection locked="0"/>
    </xf>
    <xf numFmtId="1" fontId="3" fillId="4" borderId="640" xfId="0" applyNumberFormat="1" applyFont="1" applyFill="1" applyBorder="1" applyProtection="1">
      <protection locked="0"/>
    </xf>
    <xf numFmtId="1" fontId="3" fillId="0" borderId="595" xfId="0" applyNumberFormat="1" applyFont="1" applyBorder="1" applyAlignment="1">
      <alignment horizontal="center" vertical="center"/>
    </xf>
    <xf numFmtId="1" fontId="3" fillId="0" borderId="593" xfId="0" applyNumberFormat="1" applyFont="1" applyBorder="1"/>
    <xf numFmtId="1" fontId="3" fillId="0" borderId="594" xfId="0" applyNumberFormat="1" applyFont="1" applyBorder="1"/>
    <xf numFmtId="1" fontId="3" fillId="0" borderId="624" xfId="0" applyNumberFormat="1" applyFont="1" applyBorder="1"/>
    <xf numFmtId="1" fontId="3" fillId="0" borderId="622" xfId="0" applyNumberFormat="1" applyFont="1" applyBorder="1"/>
    <xf numFmtId="1" fontId="3" fillId="0" borderId="623" xfId="0" applyNumberFormat="1" applyFont="1" applyBorder="1"/>
    <xf numFmtId="1" fontId="3" fillId="0" borderId="640" xfId="0" applyNumberFormat="1" applyFont="1" applyBorder="1"/>
    <xf numFmtId="1" fontId="3" fillId="6" borderId="512" xfId="0" applyNumberFormat="1" applyFont="1" applyFill="1" applyBorder="1"/>
    <xf numFmtId="1" fontId="3" fillId="6" borderId="564" xfId="0" applyNumberFormat="1" applyFont="1" applyFill="1" applyBorder="1"/>
    <xf numFmtId="1" fontId="3" fillId="0" borderId="421" xfId="0" applyNumberFormat="1" applyFont="1" applyBorder="1"/>
    <xf numFmtId="1" fontId="3" fillId="0" borderId="406" xfId="0" applyNumberFormat="1" applyFont="1" applyBorder="1"/>
    <xf numFmtId="1" fontId="3" fillId="6" borderId="335" xfId="0" applyNumberFormat="1" applyFont="1" applyFill="1" applyBorder="1"/>
    <xf numFmtId="1" fontId="3" fillId="6" borderId="329" xfId="0" applyNumberFormat="1" applyFont="1" applyFill="1" applyBorder="1"/>
    <xf numFmtId="1" fontId="3" fillId="0" borderId="613" xfId="0" applyNumberFormat="1" applyFont="1" applyBorder="1" applyAlignment="1" applyProtection="1">
      <alignment horizontal="left" wrapText="1"/>
      <protection hidden="1"/>
    </xf>
    <xf numFmtId="1" fontId="3" fillId="0" borderId="336" xfId="0" applyNumberFormat="1" applyFont="1" applyBorder="1" applyAlignment="1" applyProtection="1">
      <alignment horizontal="left" wrapText="1"/>
      <protection hidden="1"/>
    </xf>
    <xf numFmtId="1" fontId="3" fillId="6" borderId="345" xfId="0" applyNumberFormat="1" applyFont="1" applyFill="1" applyBorder="1"/>
    <xf numFmtId="1" fontId="3" fillId="6" borderId="343" xfId="0" applyNumberFormat="1" applyFont="1" applyFill="1" applyBorder="1"/>
    <xf numFmtId="1" fontId="3" fillId="0" borderId="406" xfId="0" applyNumberFormat="1" applyFont="1" applyBorder="1" applyAlignment="1">
      <alignment horizontal="left" vertical="center" wrapText="1"/>
    </xf>
    <xf numFmtId="1" fontId="3" fillId="0" borderId="406" xfId="0" applyNumberFormat="1" applyFont="1" applyBorder="1" applyAlignment="1" applyProtection="1">
      <alignment horizontal="left" wrapText="1"/>
      <protection hidden="1"/>
    </xf>
    <xf numFmtId="1" fontId="3" fillId="0" borderId="491" xfId="0" applyNumberFormat="1" applyFont="1" applyBorder="1" applyAlignment="1" applyProtection="1">
      <alignment horizontal="left" wrapText="1"/>
      <protection hidden="1"/>
    </xf>
    <xf numFmtId="1" fontId="3" fillId="0" borderId="370" xfId="0" applyNumberFormat="1" applyFont="1" applyBorder="1"/>
    <xf numFmtId="1" fontId="3" fillId="4" borderId="491" xfId="0" applyNumberFormat="1" applyFont="1" applyFill="1" applyBorder="1" applyProtection="1">
      <protection locked="0"/>
    </xf>
    <xf numFmtId="1" fontId="3" fillId="4" borderId="624" xfId="0" applyNumberFormat="1" applyFont="1" applyFill="1" applyBorder="1" applyProtection="1">
      <protection locked="0"/>
    </xf>
    <xf numFmtId="1" fontId="3" fillId="6" borderId="624" xfId="0" applyNumberFormat="1" applyFont="1" applyFill="1" applyBorder="1"/>
    <xf numFmtId="1" fontId="3" fillId="6" borderId="622" xfId="0" applyNumberFormat="1" applyFont="1" applyFill="1" applyBorder="1"/>
    <xf numFmtId="1" fontId="3" fillId="4" borderId="623" xfId="0" applyNumberFormat="1" applyFont="1" applyFill="1" applyBorder="1" applyProtection="1">
      <protection locked="0"/>
    </xf>
    <xf numFmtId="1" fontId="3" fillId="4" borderId="280" xfId="0" applyNumberFormat="1" applyFont="1" applyFill="1" applyBorder="1" applyProtection="1">
      <protection locked="0"/>
    </xf>
    <xf numFmtId="1" fontId="3" fillId="6" borderId="280" xfId="0" applyNumberFormat="1" applyFont="1" applyFill="1" applyBorder="1"/>
    <xf numFmtId="1" fontId="3" fillId="6" borderId="268" xfId="0" applyNumberFormat="1" applyFont="1" applyFill="1" applyBorder="1"/>
    <xf numFmtId="1" fontId="3" fillId="0" borderId="601" xfId="0" applyNumberFormat="1" applyFont="1" applyBorder="1"/>
    <xf numFmtId="1" fontId="3" fillId="0" borderId="619" xfId="0" applyNumberFormat="1" applyFont="1" applyBorder="1"/>
    <xf numFmtId="1" fontId="3" fillId="6" borderId="612" xfId="0" applyNumberFormat="1" applyFont="1" applyFill="1" applyBorder="1"/>
    <xf numFmtId="1" fontId="3" fillId="6" borderId="404" xfId="0" applyNumberFormat="1" applyFont="1" applyFill="1" applyBorder="1"/>
    <xf numFmtId="1" fontId="3" fillId="6" borderId="333" xfId="0" applyNumberFormat="1" applyFont="1" applyFill="1" applyBorder="1"/>
    <xf numFmtId="1" fontId="3" fillId="6" borderId="405" xfId="0" applyNumberFormat="1" applyFont="1" applyFill="1" applyBorder="1"/>
    <xf numFmtId="1" fontId="3" fillId="4" borderId="417" xfId="0" applyNumberFormat="1" applyFont="1" applyFill="1" applyBorder="1" applyProtection="1">
      <protection locked="0"/>
    </xf>
    <xf numFmtId="1" fontId="3" fillId="4" borderId="675" xfId="0" applyNumberFormat="1" applyFont="1" applyFill="1" applyBorder="1" applyProtection="1">
      <protection locked="0"/>
    </xf>
    <xf numFmtId="1" fontId="3" fillId="6" borderId="503" xfId="0" applyNumberFormat="1" applyFont="1" applyFill="1" applyBorder="1"/>
    <xf numFmtId="1" fontId="3" fillId="4" borderId="503" xfId="0" applyNumberFormat="1" applyFont="1" applyFill="1" applyBorder="1" applyProtection="1">
      <protection locked="0"/>
    </xf>
    <xf numFmtId="1" fontId="3" fillId="0" borderId="587" xfId="0" applyNumberFormat="1" applyFont="1" applyBorder="1" applyAlignment="1" applyProtection="1">
      <alignment horizontal="left" wrapText="1"/>
      <protection hidden="1"/>
    </xf>
    <xf numFmtId="1" fontId="3" fillId="0" borderId="370" xfId="0" applyNumberFormat="1" applyFont="1" applyBorder="1" applyAlignment="1" applyProtection="1">
      <alignment horizontal="left" wrapText="1"/>
      <protection hidden="1"/>
    </xf>
    <xf numFmtId="1" fontId="3" fillId="0" borderId="593" xfId="0" applyNumberFormat="1" applyFont="1" applyBorder="1" applyAlignment="1">
      <alignment horizontal="center" vertical="center" wrapText="1"/>
    </xf>
    <xf numFmtId="1" fontId="3" fillId="0" borderId="625" xfId="0" applyNumberFormat="1" applyFont="1" applyBorder="1" applyAlignment="1">
      <alignment horizontal="center" vertical="center" wrapText="1"/>
    </xf>
    <xf numFmtId="1" fontId="3" fillId="4" borderId="625" xfId="0" applyNumberFormat="1" applyFont="1" applyFill="1" applyBorder="1" applyProtection="1">
      <protection locked="0"/>
    </xf>
    <xf numFmtId="1" fontId="8" fillId="3" borderId="498" xfId="0" applyNumberFormat="1" applyFont="1" applyFill="1" applyBorder="1"/>
    <xf numFmtId="1" fontId="3" fillId="0" borderId="595" xfId="0" applyNumberFormat="1" applyFont="1" applyBorder="1" applyAlignment="1">
      <alignment horizontal="center" vertical="center" wrapText="1"/>
    </xf>
    <xf numFmtId="1" fontId="3" fillId="0" borderId="624" xfId="0" applyNumberFormat="1" applyFont="1" applyBorder="1" applyAlignment="1">
      <alignment horizontal="center" vertical="center" wrapText="1"/>
    </xf>
    <xf numFmtId="1" fontId="3" fillId="0" borderId="687" xfId="0" applyNumberFormat="1" applyFont="1" applyBorder="1" applyAlignment="1">
      <alignment horizontal="center" vertical="center" wrapText="1"/>
    </xf>
    <xf numFmtId="1" fontId="3" fillId="0" borderId="623" xfId="0" applyNumberFormat="1" applyFont="1" applyBorder="1" applyAlignment="1">
      <alignment horizontal="center" vertical="center" wrapText="1"/>
    </xf>
    <xf numFmtId="1" fontId="3" fillId="0" borderId="614" xfId="0" applyNumberFormat="1" applyFont="1" applyBorder="1"/>
    <xf numFmtId="1" fontId="3" fillId="4" borderId="657" xfId="0" applyNumberFormat="1" applyFont="1" applyFill="1" applyBorder="1" applyProtection="1">
      <protection locked="0"/>
    </xf>
    <xf numFmtId="1" fontId="3" fillId="0" borderId="334" xfId="0" applyNumberFormat="1" applyFont="1" applyBorder="1"/>
    <xf numFmtId="1" fontId="3" fillId="4" borderId="338" xfId="0" applyNumberFormat="1" applyFont="1" applyFill="1" applyBorder="1" applyProtection="1">
      <protection locked="0"/>
    </xf>
    <xf numFmtId="1" fontId="3" fillId="0" borderId="321" xfId="0" applyNumberFormat="1" applyFont="1" applyBorder="1"/>
    <xf numFmtId="1" fontId="3" fillId="0" borderId="366" xfId="0" applyNumberFormat="1" applyFont="1" applyBorder="1"/>
    <xf numFmtId="1" fontId="3" fillId="4" borderId="367" xfId="0" applyNumberFormat="1" applyFont="1" applyFill="1" applyBorder="1" applyProtection="1">
      <protection locked="0"/>
    </xf>
    <xf numFmtId="1" fontId="3" fillId="7" borderId="321" xfId="0" applyNumberFormat="1" applyFont="1" applyFill="1" applyBorder="1"/>
    <xf numFmtId="1" fontId="3" fillId="7" borderId="687" xfId="0" applyNumberFormat="1" applyFont="1" applyFill="1" applyBorder="1"/>
    <xf numFmtId="1" fontId="3" fillId="0" borderId="667" xfId="0" applyNumberFormat="1" applyFont="1" applyBorder="1" applyAlignment="1">
      <alignment horizontal="center" vertical="center"/>
    </xf>
    <xf numFmtId="1" fontId="3" fillId="0" borderId="640" xfId="0" applyNumberFormat="1" applyFont="1" applyBorder="1" applyAlignment="1">
      <alignment wrapText="1"/>
    </xf>
    <xf numFmtId="1" fontId="3" fillId="3" borderId="594" xfId="1" applyNumberFormat="1" applyFont="1" applyFill="1" applyBorder="1"/>
    <xf numFmtId="1" fontId="3" fillId="3" borderId="624" xfId="1" applyNumberFormat="1" applyFont="1" applyFill="1" applyBorder="1"/>
    <xf numFmtId="1" fontId="3" fillId="3" borderId="691" xfId="1" applyNumberFormat="1" applyFont="1" applyFill="1" applyBorder="1"/>
    <xf numFmtId="1" fontId="3" fillId="0" borderId="595" xfId="0" applyNumberFormat="1" applyFont="1" applyBorder="1"/>
    <xf numFmtId="1" fontId="3" fillId="3" borderId="611" xfId="1" applyNumberFormat="1" applyFont="1" applyFill="1" applyBorder="1"/>
    <xf numFmtId="1" fontId="3" fillId="3" borderId="512" xfId="1" applyNumberFormat="1" applyFont="1" applyFill="1" applyBorder="1"/>
    <xf numFmtId="1" fontId="3" fillId="3" borderId="692" xfId="1" applyNumberFormat="1" applyFont="1" applyFill="1" applyBorder="1"/>
    <xf numFmtId="1" fontId="3" fillId="4" borderId="693" xfId="0" applyNumberFormat="1" applyFont="1" applyFill="1" applyBorder="1" applyProtection="1">
      <protection locked="0"/>
    </xf>
    <xf numFmtId="1" fontId="3" fillId="4" borderId="614" xfId="0" applyNumberFormat="1" applyFont="1" applyFill="1" applyBorder="1" applyProtection="1">
      <protection locked="0"/>
    </xf>
    <xf numFmtId="1" fontId="3" fillId="3" borderId="341" xfId="1" applyNumberFormat="1" applyFont="1" applyFill="1" applyBorder="1"/>
    <xf numFmtId="1" fontId="3" fillId="3" borderId="345" xfId="1" applyNumberFormat="1" applyFont="1" applyFill="1" applyBorder="1"/>
    <xf numFmtId="1" fontId="3" fillId="3" borderId="694" xfId="1" applyNumberFormat="1" applyFont="1" applyFill="1" applyBorder="1"/>
    <xf numFmtId="1" fontId="3" fillId="3" borderId="328" xfId="1" applyNumberFormat="1" applyFont="1" applyFill="1" applyBorder="1"/>
    <xf numFmtId="1" fontId="3" fillId="3" borderId="335" xfId="1" applyNumberFormat="1" applyFont="1" applyFill="1" applyBorder="1"/>
    <xf numFmtId="1" fontId="2" fillId="3" borderId="559" xfId="0" applyNumberFormat="1" applyFont="1" applyFill="1" applyBorder="1"/>
    <xf numFmtId="1" fontId="3" fillId="0" borderId="640" xfId="0" applyNumberFormat="1" applyFont="1" applyBorder="1" applyAlignment="1">
      <alignment horizontal="center" vertical="center"/>
    </xf>
    <xf numFmtId="1" fontId="3" fillId="0" borderId="669" xfId="0" applyNumberFormat="1" applyFont="1" applyBorder="1" applyAlignment="1">
      <alignment horizontal="center" vertical="center" wrapText="1"/>
    </xf>
    <xf numFmtId="1" fontId="3" fillId="0" borderId="608" xfId="0" applyNumberFormat="1" applyFont="1" applyBorder="1"/>
    <xf numFmtId="1" fontId="3" fillId="0" borderId="280" xfId="0" applyNumberFormat="1" applyFont="1" applyBorder="1"/>
    <xf numFmtId="1" fontId="3" fillId="0" borderId="271" xfId="0" applyNumberFormat="1" applyFont="1" applyBorder="1"/>
    <xf numFmtId="1" fontId="3" fillId="0" borderId="345" xfId="0" applyNumberFormat="1" applyFont="1" applyBorder="1"/>
    <xf numFmtId="1" fontId="3" fillId="0" borderId="357" xfId="0" applyNumberFormat="1" applyFont="1" applyBorder="1"/>
    <xf numFmtId="1" fontId="3" fillId="0" borderId="361" xfId="0" applyNumberFormat="1" applyFont="1" applyBorder="1"/>
    <xf numFmtId="1" fontId="6" fillId="0" borderId="695" xfId="0" applyNumberFormat="1" applyFont="1" applyBorder="1"/>
    <xf numFmtId="1" fontId="3" fillId="0" borderId="697" xfId="0" applyNumberFormat="1" applyFont="1" applyBorder="1" applyAlignment="1">
      <alignment horizontal="center" vertical="center" wrapText="1"/>
    </xf>
    <xf numFmtId="1" fontId="3" fillId="4" borderId="357" xfId="0" applyNumberFormat="1" applyFont="1" applyFill="1" applyBorder="1" applyProtection="1">
      <protection locked="0"/>
    </xf>
    <xf numFmtId="1" fontId="3" fillId="0" borderId="335" xfId="0" applyNumberFormat="1" applyFont="1" applyBorder="1"/>
    <xf numFmtId="1" fontId="3" fillId="0" borderId="593" xfId="0" applyNumberFormat="1" applyFont="1" applyBorder="1" applyAlignment="1">
      <alignment horizontal="center"/>
    </xf>
    <xf numFmtId="1" fontId="3" fillId="0" borderId="699" xfId="0" applyNumberFormat="1" applyFont="1" applyBorder="1"/>
    <xf numFmtId="1" fontId="3" fillId="0" borderId="693" xfId="0" applyNumberFormat="1" applyFont="1" applyBorder="1"/>
    <xf numFmtId="1" fontId="3" fillId="0" borderId="687" xfId="0" applyNumberFormat="1" applyFont="1" applyBorder="1"/>
    <xf numFmtId="1" fontId="3" fillId="4" borderId="630" xfId="0" applyNumberFormat="1" applyFont="1" applyFill="1" applyBorder="1" applyProtection="1">
      <protection locked="0"/>
    </xf>
    <xf numFmtId="1" fontId="6" fillId="0" borderId="639" xfId="0" applyNumberFormat="1" applyFont="1" applyBorder="1"/>
    <xf numFmtId="1" fontId="6" fillId="0" borderId="700" xfId="0" applyNumberFormat="1" applyFont="1" applyBorder="1"/>
    <xf numFmtId="1" fontId="6" fillId="0" borderId="701" xfId="0" applyNumberFormat="1" applyFont="1" applyBorder="1"/>
    <xf numFmtId="1" fontId="3" fillId="0" borderId="703" xfId="0" applyNumberFormat="1" applyFont="1" applyBorder="1" applyAlignment="1">
      <alignment horizontal="center" vertical="center" wrapText="1"/>
    </xf>
    <xf numFmtId="1" fontId="3" fillId="0" borderId="704" xfId="0" applyNumberFormat="1" applyFont="1" applyBorder="1" applyAlignment="1">
      <alignment horizontal="center" vertical="center" wrapText="1"/>
    </xf>
    <xf numFmtId="1" fontId="3" fillId="0" borderId="705" xfId="0" applyNumberFormat="1" applyFont="1" applyBorder="1" applyAlignment="1">
      <alignment horizontal="center" vertical="center" wrapText="1"/>
    </xf>
    <xf numFmtId="1" fontId="3" fillId="0" borderId="706" xfId="0" applyNumberFormat="1" applyFont="1" applyBorder="1" applyAlignment="1">
      <alignment horizontal="center" vertical="center" wrapText="1"/>
    </xf>
    <xf numFmtId="1" fontId="3" fillId="0" borderId="707" xfId="0" applyNumberFormat="1" applyFont="1" applyBorder="1" applyAlignment="1">
      <alignment horizontal="center" vertical="center" wrapText="1"/>
    </xf>
    <xf numFmtId="1" fontId="3" fillId="0" borderId="708" xfId="0" applyNumberFormat="1" applyFont="1" applyBorder="1"/>
    <xf numFmtId="1" fontId="3" fillId="0" borderId="709" xfId="0" applyNumberFormat="1" applyFont="1" applyBorder="1"/>
    <xf numFmtId="1" fontId="3" fillId="0" borderId="710" xfId="0" applyNumberFormat="1" applyFont="1" applyBorder="1"/>
    <xf numFmtId="1" fontId="3" fillId="0" borderId="711" xfId="0" applyNumberFormat="1" applyFont="1" applyBorder="1"/>
    <xf numFmtId="1" fontId="3" fillId="0" borderId="706" xfId="0" applyNumberFormat="1" applyFont="1" applyBorder="1"/>
    <xf numFmtId="1" fontId="3" fillId="0" borderId="707" xfId="0" applyNumberFormat="1" applyFont="1" applyBorder="1"/>
    <xf numFmtId="1" fontId="3" fillId="0" borderId="704" xfId="0" applyNumberFormat="1" applyFont="1" applyBorder="1"/>
    <xf numFmtId="1" fontId="3" fillId="0" borderId="705" xfId="0" applyNumberFormat="1" applyFont="1" applyBorder="1"/>
    <xf numFmtId="1" fontId="3" fillId="0" borderId="630" xfId="0" applyNumberFormat="1" applyFont="1" applyBorder="1"/>
    <xf numFmtId="1" fontId="3" fillId="0" borderId="714" xfId="0" applyNumberFormat="1" applyFont="1" applyBorder="1" applyAlignment="1">
      <alignment horizontal="center" vertical="center" wrapText="1"/>
    </xf>
    <xf numFmtId="1" fontId="3" fillId="0" borderId="715" xfId="0" applyNumberFormat="1" applyFont="1" applyBorder="1" applyAlignment="1">
      <alignment horizontal="right" vertical="center" wrapText="1"/>
    </xf>
    <xf numFmtId="1" fontId="3" fillId="0" borderId="699" xfId="0" applyNumberFormat="1" applyFont="1" applyBorder="1" applyAlignment="1">
      <alignment horizontal="right"/>
    </xf>
    <xf numFmtId="1" fontId="3" fillId="0" borderId="693" xfId="0" applyNumberFormat="1" applyFont="1" applyBorder="1" applyAlignment="1">
      <alignment horizontal="right"/>
    </xf>
    <xf numFmtId="1" fontId="3" fillId="0" borderId="345" xfId="0" applyNumberFormat="1" applyFont="1" applyBorder="1" applyAlignment="1">
      <alignment horizontal="right"/>
    </xf>
    <xf numFmtId="1" fontId="3" fillId="0" borderId="357" xfId="0" applyNumberFormat="1" applyFont="1" applyBorder="1" applyAlignment="1">
      <alignment horizontal="right"/>
    </xf>
    <xf numFmtId="1" fontId="3" fillId="0" borderId="594" xfId="0" applyNumberFormat="1" applyFont="1" applyBorder="1" applyAlignment="1">
      <alignment horizontal="right"/>
    </xf>
    <xf numFmtId="1" fontId="3" fillId="0" borderId="624" xfId="0" applyNumberFormat="1" applyFont="1" applyBorder="1" applyAlignment="1">
      <alignment horizontal="right"/>
    </xf>
    <xf numFmtId="1" fontId="3" fillId="0" borderId="640" xfId="0" applyNumberFormat="1" applyFont="1" applyBorder="1" applyAlignment="1">
      <alignment horizontal="right"/>
    </xf>
    <xf numFmtId="1" fontId="3" fillId="0" borderId="639" xfId="0" applyNumberFormat="1" applyFont="1" applyBorder="1" applyAlignment="1">
      <alignment horizontal="right"/>
    </xf>
    <xf numFmtId="1" fontId="3" fillId="0" borderId="623" xfId="0" applyNumberFormat="1" applyFont="1" applyBorder="1" applyAlignment="1">
      <alignment horizontal="right"/>
    </xf>
    <xf numFmtId="1" fontId="3" fillId="0" borderId="619" xfId="0" applyNumberFormat="1" applyFont="1" applyBorder="1" applyAlignment="1">
      <alignment horizontal="right"/>
    </xf>
    <xf numFmtId="1" fontId="3" fillId="0" borderId="280" xfId="0" applyNumberFormat="1" applyFont="1" applyBorder="1" applyAlignment="1">
      <alignment horizontal="right"/>
    </xf>
    <xf numFmtId="1" fontId="3" fillId="0" borderId="687" xfId="0" applyNumberFormat="1" applyFont="1" applyBorder="1" applyAlignment="1">
      <alignment horizontal="right"/>
    </xf>
    <xf numFmtId="1" fontId="3" fillId="0" borderId="498" xfId="0" applyNumberFormat="1" applyFont="1" applyBorder="1" applyAlignment="1">
      <alignment horizontal="right"/>
    </xf>
    <xf numFmtId="1" fontId="3" fillId="0" borderId="630" xfId="0" applyNumberFormat="1" applyFont="1" applyBorder="1" applyAlignment="1">
      <alignment horizontal="right"/>
    </xf>
    <xf numFmtId="1" fontId="3" fillId="7" borderId="341" xfId="0" applyNumberFormat="1" applyFont="1" applyFill="1" applyBorder="1"/>
    <xf numFmtId="1" fontId="3" fillId="7" borderId="328" xfId="0" applyNumberFormat="1" applyFont="1" applyFill="1" applyBorder="1"/>
    <xf numFmtId="1" fontId="3" fillId="7" borderId="354" xfId="0" applyNumberFormat="1" applyFont="1" applyFill="1" applyBorder="1"/>
    <xf numFmtId="1" fontId="3" fillId="4" borderId="271" xfId="0" applyNumberFormat="1" applyFont="1" applyFill="1" applyBorder="1" applyProtection="1">
      <protection locked="0"/>
    </xf>
    <xf numFmtId="1" fontId="3" fillId="0" borderId="328" xfId="0" applyNumberFormat="1" applyFont="1" applyBorder="1" applyAlignment="1">
      <alignment horizontal="right"/>
    </xf>
    <xf numFmtId="1" fontId="3" fillId="0" borderId="335" xfId="0" applyNumberFormat="1" applyFont="1" applyBorder="1" applyAlignment="1">
      <alignment horizontal="right"/>
    </xf>
    <xf numFmtId="1" fontId="3" fillId="0" borderId="354" xfId="0" applyNumberFormat="1" applyFont="1" applyBorder="1" applyAlignment="1">
      <alignment horizontal="right"/>
    </xf>
    <xf numFmtId="1" fontId="3" fillId="0" borderId="594" xfId="0" applyNumberFormat="1" applyFont="1" applyBorder="1" applyAlignment="1">
      <alignment horizontal="center" vertical="center"/>
    </xf>
    <xf numFmtId="1" fontId="3" fillId="0" borderId="687" xfId="0" applyNumberFormat="1" applyFont="1" applyBorder="1" applyAlignment="1">
      <alignment horizontal="center" vertical="center"/>
    </xf>
    <xf numFmtId="1" fontId="3" fillId="0" borderId="498" xfId="0" applyNumberFormat="1" applyFont="1" applyBorder="1" applyAlignment="1">
      <alignment horizontal="center" vertical="center"/>
    </xf>
    <xf numFmtId="1" fontId="2" fillId="0" borderId="639" xfId="0" applyNumberFormat="1" applyFont="1" applyBorder="1"/>
    <xf numFmtId="1" fontId="3" fillId="0" borderId="594" xfId="0" applyNumberFormat="1" applyFont="1" applyBorder="1" applyAlignment="1">
      <alignment wrapText="1"/>
    </xf>
    <xf numFmtId="1" fontId="3" fillId="0" borderId="624" xfId="0" applyNumberFormat="1" applyFont="1" applyBorder="1" applyAlignment="1">
      <alignment wrapText="1"/>
    </xf>
    <xf numFmtId="1" fontId="3" fillId="4" borderId="639" xfId="0" applyNumberFormat="1" applyFont="1" applyFill="1" applyBorder="1" applyProtection="1">
      <protection locked="0"/>
    </xf>
    <xf numFmtId="1" fontId="3" fillId="4" borderId="608" xfId="0" applyNumberFormat="1" applyFont="1" applyFill="1" applyBorder="1" applyProtection="1">
      <protection locked="0"/>
    </xf>
    <xf numFmtId="1" fontId="3" fillId="4" borderId="593" xfId="0" applyNumberFormat="1" applyFont="1" applyFill="1" applyBorder="1" applyProtection="1">
      <protection locked="0"/>
    </xf>
    <xf numFmtId="1" fontId="6" fillId="6" borderId="601" xfId="0" applyNumberFormat="1" applyFont="1" applyFill="1" applyBorder="1" applyAlignment="1">
      <alignment horizontal="center"/>
    </xf>
    <xf numFmtId="1" fontId="6" fillId="6" borderId="639" xfId="0" applyNumberFormat="1" applyFont="1" applyFill="1" applyBorder="1" applyAlignment="1">
      <alignment horizontal="center"/>
    </xf>
    <xf numFmtId="1" fontId="6" fillId="6" borderId="640" xfId="0" applyNumberFormat="1" applyFont="1" applyFill="1" applyBorder="1" applyAlignment="1">
      <alignment horizontal="center"/>
    </xf>
    <xf numFmtId="1" fontId="6" fillId="6" borderId="593" xfId="0" applyNumberFormat="1" applyFont="1" applyFill="1" applyBorder="1" applyAlignment="1">
      <alignment horizontal="center"/>
    </xf>
    <xf numFmtId="1" fontId="3" fillId="0" borderId="715" xfId="0" applyNumberFormat="1" applyFont="1" applyBorder="1" applyAlignment="1">
      <alignment wrapText="1"/>
    </xf>
    <xf numFmtId="1" fontId="3" fillId="0" borderId="699" xfId="0" applyNumberFormat="1" applyFont="1" applyBorder="1" applyAlignment="1">
      <alignment wrapText="1"/>
    </xf>
    <xf numFmtId="1" fontId="3" fillId="0" borderId="693" xfId="0" applyNumberFormat="1" applyFont="1" applyBorder="1" applyAlignment="1">
      <alignment wrapText="1"/>
    </xf>
    <xf numFmtId="1" fontId="3" fillId="0" borderId="280" xfId="0" applyNumberFormat="1" applyFont="1" applyBorder="1" applyAlignment="1">
      <alignment wrapText="1"/>
    </xf>
    <xf numFmtId="1" fontId="3" fillId="0" borderId="687" xfId="0" applyNumberFormat="1" applyFont="1" applyBorder="1" applyAlignment="1">
      <alignment wrapText="1"/>
    </xf>
    <xf numFmtId="1" fontId="3" fillId="4" borderId="498" xfId="0" applyNumberFormat="1" applyFont="1" applyFill="1" applyBorder="1" applyProtection="1">
      <protection locked="0"/>
    </xf>
    <xf numFmtId="1" fontId="3" fillId="6" borderId="715" xfId="0" applyNumberFormat="1" applyFont="1" applyFill="1" applyBorder="1"/>
    <xf numFmtId="1" fontId="3" fillId="6" borderId="693" xfId="0" applyNumberFormat="1" applyFont="1" applyFill="1" applyBorder="1"/>
    <xf numFmtId="1" fontId="2" fillId="0" borderId="601" xfId="0" applyNumberFormat="1" applyFont="1" applyBorder="1"/>
    <xf numFmtId="1" fontId="3" fillId="0" borderId="341" xfId="0" applyNumberFormat="1" applyFont="1" applyBorder="1" applyAlignment="1">
      <alignment wrapText="1"/>
    </xf>
    <xf numFmtId="1" fontId="3" fillId="0" borderId="345" xfId="0" applyNumberFormat="1" applyFont="1" applyBorder="1" applyAlignment="1">
      <alignment wrapText="1"/>
    </xf>
    <xf numFmtId="1" fontId="3" fillId="0" borderId="338" xfId="0" applyNumberFormat="1" applyFont="1" applyBorder="1" applyAlignment="1">
      <alignment wrapText="1"/>
    </xf>
    <xf numFmtId="1" fontId="3" fillId="0" borderId="338" xfId="2" applyNumberFormat="1" applyFont="1" applyBorder="1" applyAlignment="1">
      <alignment wrapText="1"/>
    </xf>
    <xf numFmtId="1" fontId="3" fillId="0" borderId="657" xfId="0" applyNumberFormat="1" applyFont="1" applyBorder="1" applyAlignment="1">
      <alignment wrapText="1"/>
    </xf>
    <xf numFmtId="1" fontId="3" fillId="4" borderId="673" xfId="0" applyNumberFormat="1" applyFont="1" applyFill="1" applyBorder="1" applyProtection="1">
      <protection locked="0"/>
    </xf>
    <xf numFmtId="1" fontId="3" fillId="4" borderId="667" xfId="0" applyNumberFormat="1" applyFont="1" applyFill="1" applyBorder="1" applyProtection="1">
      <protection locked="0"/>
    </xf>
    <xf numFmtId="1" fontId="3" fillId="4" borderId="672" xfId="0" applyNumberFormat="1" applyFont="1" applyFill="1" applyBorder="1" applyProtection="1">
      <protection locked="0"/>
    </xf>
    <xf numFmtId="1" fontId="3" fillId="4" borderId="669" xfId="0" applyNumberFormat="1" applyFont="1" applyFill="1" applyBorder="1" applyProtection="1">
      <protection locked="0"/>
    </xf>
    <xf numFmtId="1" fontId="3" fillId="0" borderId="335" xfId="0" applyNumberFormat="1" applyFont="1" applyBorder="1" applyAlignment="1">
      <alignment wrapText="1"/>
    </xf>
    <xf numFmtId="1" fontId="3" fillId="7" borderId="518" xfId="0" applyNumberFormat="1" applyFont="1" applyFill="1" applyBorder="1"/>
    <xf numFmtId="1" fontId="3" fillId="7" borderId="672" xfId="0" applyNumberFormat="1" applyFont="1" applyFill="1" applyBorder="1"/>
    <xf numFmtId="1" fontId="3" fillId="7" borderId="697" xfId="0" applyNumberFormat="1" applyFont="1" applyFill="1" applyBorder="1"/>
    <xf numFmtId="1" fontId="3" fillId="7" borderId="673" xfId="0" applyNumberFormat="1" applyFont="1" applyFill="1" applyBorder="1"/>
    <xf numFmtId="1" fontId="3" fillId="7" borderId="490" xfId="0" applyNumberFormat="1" applyFont="1" applyFill="1" applyBorder="1"/>
    <xf numFmtId="1" fontId="3" fillId="7" borderId="498" xfId="0" applyNumberFormat="1" applyFont="1" applyFill="1" applyBorder="1"/>
    <xf numFmtId="1" fontId="3" fillId="7" borderId="630" xfId="0" applyNumberFormat="1" applyFont="1" applyFill="1" applyBorder="1"/>
    <xf numFmtId="1" fontId="3" fillId="0" borderId="587" xfId="0" applyNumberFormat="1" applyFont="1" applyBorder="1" applyAlignment="1">
      <alignment wrapText="1"/>
    </xf>
    <xf numFmtId="1" fontId="3" fillId="0" borderId="498" xfId="0" applyNumberFormat="1" applyFont="1" applyBorder="1" applyAlignment="1">
      <alignment wrapText="1"/>
    </xf>
    <xf numFmtId="1" fontId="3" fillId="4" borderId="421" xfId="0" applyNumberFormat="1" applyFont="1" applyFill="1" applyBorder="1" applyProtection="1">
      <protection locked="0"/>
    </xf>
    <xf numFmtId="1" fontId="3" fillId="7" borderId="658" xfId="0" applyNumberFormat="1" applyFont="1" applyFill="1" applyBorder="1"/>
    <xf numFmtId="1" fontId="3" fillId="6" borderId="667" xfId="0" applyNumberFormat="1" applyFont="1" applyFill="1" applyBorder="1"/>
    <xf numFmtId="1" fontId="3" fillId="6" borderId="673" xfId="0" applyNumberFormat="1" applyFont="1" applyFill="1" applyBorder="1"/>
    <xf numFmtId="1" fontId="3" fillId="6" borderId="341" xfId="0" applyNumberFormat="1" applyFont="1" applyFill="1" applyBorder="1"/>
    <xf numFmtId="1" fontId="3" fillId="6" borderId="336" xfId="0" applyNumberFormat="1" applyFont="1" applyFill="1" applyBorder="1"/>
    <xf numFmtId="1" fontId="3" fillId="0" borderId="717" xfId="0" applyNumberFormat="1" applyFont="1" applyBorder="1" applyAlignment="1">
      <alignment wrapText="1"/>
    </xf>
    <xf numFmtId="1" fontId="3" fillId="0" borderId="334" xfId="0" applyNumberFormat="1" applyFont="1" applyBorder="1" applyAlignment="1">
      <alignment wrapText="1"/>
    </xf>
    <xf numFmtId="1" fontId="3" fillId="0" borderId="406" xfId="0" applyNumberFormat="1" applyFont="1" applyBorder="1" applyAlignment="1">
      <alignment wrapText="1"/>
    </xf>
    <xf numFmtId="1" fontId="3" fillId="0" borderId="366" xfId="0" applyNumberFormat="1" applyFont="1" applyBorder="1" applyAlignment="1">
      <alignment wrapText="1"/>
    </xf>
    <xf numFmtId="1" fontId="3" fillId="8" borderId="358" xfId="0" applyNumberFormat="1" applyFont="1" applyFill="1" applyBorder="1" applyProtection="1">
      <protection locked="0"/>
    </xf>
    <xf numFmtId="1" fontId="3" fillId="8" borderId="354" xfId="0" applyNumberFormat="1" applyFont="1" applyFill="1" applyBorder="1" applyProtection="1">
      <protection locked="0"/>
    </xf>
    <xf numFmtId="1" fontId="3" fillId="6" borderId="518" xfId="0" applyNumberFormat="1" applyFont="1" applyFill="1" applyBorder="1"/>
    <xf numFmtId="1" fontId="3" fillId="6" borderId="672" xfId="0" applyNumberFormat="1" applyFont="1" applyFill="1" applyBorder="1"/>
    <xf numFmtId="1" fontId="6" fillId="6" borderId="672" xfId="0" applyNumberFormat="1" applyFont="1" applyFill="1" applyBorder="1"/>
    <xf numFmtId="1" fontId="6" fillId="6" borderId="703" xfId="0" applyNumberFormat="1" applyFont="1" applyFill="1" applyBorder="1"/>
    <xf numFmtId="1" fontId="6" fillId="6" borderId="619" xfId="0" applyNumberFormat="1" applyFont="1" applyFill="1" applyBorder="1"/>
    <xf numFmtId="1" fontId="6" fillId="6" borderId="640" xfId="0" applyNumberFormat="1" applyFont="1" applyFill="1" applyBorder="1"/>
    <xf numFmtId="1" fontId="3" fillId="0" borderId="595" xfId="0" applyNumberFormat="1" applyFont="1" applyBorder="1" applyAlignment="1">
      <alignment wrapText="1"/>
    </xf>
    <xf numFmtId="1" fontId="6" fillId="4" borderId="594" xfId="0" applyNumberFormat="1" applyFont="1" applyFill="1" applyBorder="1" applyProtection="1">
      <protection locked="0"/>
    </xf>
    <xf numFmtId="1" fontId="6" fillId="4" borderId="640" xfId="0" applyNumberFormat="1" applyFont="1" applyFill="1" applyBorder="1" applyProtection="1">
      <protection locked="0"/>
    </xf>
    <xf numFmtId="1" fontId="3" fillId="7" borderId="345" xfId="0" applyNumberFormat="1" applyFont="1" applyFill="1" applyBorder="1"/>
    <xf numFmtId="1" fontId="3" fillId="4" borderId="405" xfId="0" applyNumberFormat="1" applyFont="1" applyFill="1" applyBorder="1" applyProtection="1">
      <protection locked="0"/>
    </xf>
    <xf numFmtId="1" fontId="3" fillId="7" borderId="668" xfId="0" applyNumberFormat="1" applyFont="1" applyFill="1" applyBorder="1"/>
    <xf numFmtId="1" fontId="3" fillId="7" borderId="405" xfId="0" applyNumberFormat="1" applyFont="1" applyFill="1" applyBorder="1"/>
    <xf numFmtId="1" fontId="3" fillId="6" borderId="321" xfId="0" applyNumberFormat="1" applyFont="1" applyFill="1" applyBorder="1"/>
    <xf numFmtId="1" fontId="3" fillId="6" borderId="687" xfId="0" applyNumberFormat="1" applyFont="1" applyFill="1" applyBorder="1"/>
    <xf numFmtId="1" fontId="3" fillId="7" borderId="503" xfId="0" applyNumberFormat="1" applyFont="1" applyFill="1" applyBorder="1"/>
    <xf numFmtId="1" fontId="3" fillId="8" borderId="404" xfId="0" applyNumberFormat="1" applyFont="1" applyFill="1" applyBorder="1" applyProtection="1">
      <protection locked="0"/>
    </xf>
    <xf numFmtId="1" fontId="3" fillId="0" borderId="636" xfId="0" applyNumberFormat="1" applyFont="1" applyBorder="1" applyAlignment="1" applyProtection="1">
      <alignment horizontal="center" vertical="center"/>
      <protection hidden="1"/>
    </xf>
    <xf numFmtId="1" fontId="3" fillId="0" borderId="636" xfId="0" applyNumberFormat="1" applyFont="1" applyBorder="1" applyAlignment="1" applyProtection="1">
      <alignment horizontal="center" vertical="center" wrapText="1"/>
      <protection hidden="1"/>
    </xf>
    <xf numFmtId="1" fontId="3" fillId="0" borderId="667" xfId="0" applyNumberFormat="1" applyFont="1" applyBorder="1" applyAlignment="1" applyProtection="1">
      <alignment horizontal="center" vertical="center" wrapText="1"/>
      <protection hidden="1"/>
    </xf>
    <xf numFmtId="1" fontId="3" fillId="0" borderId="718" xfId="0" applyNumberFormat="1" applyFont="1" applyBorder="1" applyAlignment="1" applyProtection="1">
      <alignment horizontal="center" vertical="center" wrapText="1"/>
      <protection hidden="1"/>
    </xf>
    <xf numFmtId="1" fontId="3" fillId="0" borderId="667" xfId="0" applyNumberFormat="1" applyFont="1" applyBorder="1" applyAlignment="1" applyProtection="1">
      <alignment horizontal="center" vertical="center"/>
      <protection hidden="1"/>
    </xf>
    <xf numFmtId="1" fontId="3" fillId="0" borderId="673" xfId="0" applyNumberFormat="1" applyFont="1" applyBorder="1" applyAlignment="1" applyProtection="1">
      <alignment horizontal="center" vertical="center"/>
      <protection hidden="1"/>
    </xf>
    <xf numFmtId="1" fontId="3" fillId="0" borderId="594" xfId="0" applyNumberFormat="1" applyFont="1" applyBorder="1" applyAlignment="1" applyProtection="1">
      <alignment horizontal="center" vertical="center"/>
      <protection hidden="1"/>
    </xf>
    <xf numFmtId="1" fontId="3" fillId="0" borderId="697" xfId="0" applyNumberFormat="1" applyFont="1" applyBorder="1" applyAlignment="1" applyProtection="1">
      <alignment horizontal="center" vertical="center"/>
      <protection hidden="1"/>
    </xf>
    <xf numFmtId="1" fontId="3" fillId="0" borderId="636" xfId="0" applyNumberFormat="1" applyFont="1" applyBorder="1" applyAlignment="1" applyProtection="1">
      <alignment wrapText="1"/>
      <protection hidden="1"/>
    </xf>
    <xf numFmtId="1" fontId="3" fillId="0" borderId="667" xfId="0" applyNumberFormat="1" applyFont="1" applyBorder="1" applyAlignment="1">
      <alignment horizontal="right" wrapText="1"/>
    </xf>
    <xf numFmtId="1" fontId="3" fillId="0" borderId="718" xfId="0" applyNumberFormat="1" applyFont="1" applyBorder="1" applyAlignment="1">
      <alignment horizontal="right" wrapText="1"/>
    </xf>
    <xf numFmtId="1" fontId="3" fillId="0" borderId="370" xfId="0" applyNumberFormat="1" applyFont="1" applyBorder="1" applyAlignment="1" applyProtection="1">
      <alignment horizontal="left" vertical="center" wrapText="1"/>
      <protection hidden="1"/>
    </xf>
    <xf numFmtId="1" fontId="3" fillId="0" borderId="406" xfId="0" applyNumberFormat="1" applyFont="1" applyBorder="1" applyAlignment="1" applyProtection="1">
      <alignment wrapText="1"/>
      <protection hidden="1"/>
    </xf>
    <xf numFmtId="1" fontId="3" fillId="0" borderId="328" xfId="0" applyNumberFormat="1" applyFont="1" applyBorder="1" applyAlignment="1">
      <alignment horizontal="right" wrapText="1"/>
    </xf>
    <xf numFmtId="1" fontId="3" fillId="0" borderId="335" xfId="0" applyNumberFormat="1" applyFont="1" applyBorder="1" applyAlignment="1">
      <alignment horizontal="right" wrapText="1"/>
    </xf>
    <xf numFmtId="1" fontId="3" fillId="0" borderId="608" xfId="0" applyNumberFormat="1" applyFont="1" applyBorder="1" applyAlignment="1">
      <alignment wrapText="1"/>
    </xf>
    <xf numFmtId="1" fontId="3" fillId="0" borderId="622" xfId="0" applyNumberFormat="1" applyFont="1" applyBorder="1" applyAlignment="1">
      <alignment wrapText="1"/>
    </xf>
    <xf numFmtId="1" fontId="3" fillId="0" borderId="703" xfId="0" applyNumberFormat="1" applyFont="1" applyBorder="1" applyAlignment="1">
      <alignment wrapText="1"/>
    </xf>
    <xf numFmtId="1" fontId="3" fillId="9" borderId="719" xfId="31" applyNumberFormat="1" applyFont="1" applyBorder="1" applyProtection="1">
      <protection locked="0"/>
    </xf>
    <xf numFmtId="1" fontId="3" fillId="9" borderId="720" xfId="31" applyNumberFormat="1" applyFont="1" applyBorder="1" applyProtection="1">
      <protection locked="0"/>
    </xf>
    <xf numFmtId="1" fontId="3" fillId="9" borderId="721" xfId="31" applyNumberFormat="1" applyFont="1" applyBorder="1" applyProtection="1">
      <protection locked="0"/>
    </xf>
    <xf numFmtId="1" fontId="3" fillId="9" borderId="722" xfId="31" applyNumberFormat="1" applyFont="1" applyBorder="1" applyProtection="1">
      <protection locked="0"/>
    </xf>
    <xf numFmtId="1" fontId="3" fillId="9" borderId="723" xfId="31" applyNumberFormat="1" applyFont="1" applyBorder="1" applyProtection="1">
      <protection locked="0"/>
    </xf>
    <xf numFmtId="1" fontId="3" fillId="9" borderId="724" xfId="31" applyNumberFormat="1" applyFont="1" applyBorder="1" applyProtection="1">
      <protection locked="0"/>
    </xf>
    <xf numFmtId="1" fontId="3" fillId="4" borderId="289" xfId="0" applyNumberFormat="1" applyFont="1" applyFill="1" applyBorder="1" applyProtection="1">
      <protection locked="0"/>
    </xf>
    <xf numFmtId="1" fontId="6" fillId="0" borderId="498" xfId="0" applyNumberFormat="1" applyFont="1" applyBorder="1"/>
    <xf numFmtId="1" fontId="3" fillId="0" borderId="672" xfId="0" applyNumberFormat="1" applyFont="1" applyBorder="1" applyAlignment="1">
      <alignment horizontal="center" vertical="center"/>
    </xf>
    <xf numFmtId="1" fontId="3" fillId="0" borderId="673" xfId="0" applyNumberFormat="1" applyFont="1" applyBorder="1" applyAlignment="1">
      <alignment horizontal="center" vertical="center"/>
    </xf>
    <xf numFmtId="1" fontId="3" fillId="0" borderId="718" xfId="0" applyNumberFormat="1" applyFont="1" applyBorder="1" applyAlignment="1">
      <alignment horizontal="center" vertical="center" wrapText="1"/>
    </xf>
    <xf numFmtId="1" fontId="3" fillId="6" borderId="631" xfId="0" applyNumberFormat="1" applyFont="1" applyFill="1" applyBorder="1"/>
    <xf numFmtId="1" fontId="3" fillId="6" borderId="657" xfId="0" applyNumberFormat="1" applyFont="1" applyFill="1" applyBorder="1"/>
    <xf numFmtId="1" fontId="3" fillId="6" borderId="633" xfId="0" applyNumberFormat="1" applyFont="1" applyFill="1" applyBorder="1"/>
    <xf numFmtId="1" fontId="3" fillId="4" borderId="619" xfId="0" applyNumberFormat="1" applyFont="1" applyFill="1" applyBorder="1" applyProtection="1">
      <protection locked="0"/>
    </xf>
    <xf numFmtId="1" fontId="3" fillId="7" borderId="421" xfId="0" applyNumberFormat="1" applyFont="1" applyFill="1" applyBorder="1"/>
    <xf numFmtId="1" fontId="3" fillId="7" borderId="367" xfId="0" applyNumberFormat="1" applyFont="1" applyFill="1" applyBorder="1"/>
    <xf numFmtId="1" fontId="3" fillId="7" borderId="571" xfId="0" applyNumberFormat="1" applyFont="1" applyFill="1" applyBorder="1"/>
    <xf numFmtId="1" fontId="3" fillId="4" borderId="687" xfId="0" applyNumberFormat="1" applyFont="1" applyFill="1" applyBorder="1" applyProtection="1">
      <protection locked="0"/>
    </xf>
    <xf numFmtId="1" fontId="2" fillId="0" borderId="725" xfId="0" applyNumberFormat="1" applyFont="1" applyBorder="1"/>
    <xf numFmtId="1" fontId="6" fillId="0" borderId="726" xfId="0" applyNumberFormat="1" applyFont="1" applyBorder="1"/>
    <xf numFmtId="1" fontId="3" fillId="0" borderId="727" xfId="0" applyNumberFormat="1" applyFont="1" applyBorder="1" applyAlignment="1">
      <alignment horizontal="center" vertical="center"/>
    </xf>
    <xf numFmtId="1" fontId="3" fillId="0" borderId="612" xfId="0" applyNumberFormat="1" applyFont="1" applyBorder="1" applyAlignment="1">
      <alignment horizontal="right" wrapText="1"/>
    </xf>
    <xf numFmtId="1" fontId="3" fillId="4" borderId="631" xfId="0" applyNumberFormat="1" applyFont="1" applyFill="1" applyBorder="1" applyProtection="1">
      <protection locked="0"/>
    </xf>
    <xf numFmtId="1" fontId="3" fillId="7" borderId="624" xfId="0" applyNumberFormat="1" applyFont="1" applyFill="1" applyBorder="1"/>
    <xf numFmtId="1" fontId="3" fillId="7" borderId="640" xfId="0" applyNumberFormat="1" applyFont="1" applyFill="1" applyBorder="1"/>
    <xf numFmtId="1" fontId="3" fillId="0" borderId="503" xfId="0" applyNumberFormat="1" applyFont="1" applyBorder="1" applyAlignment="1">
      <alignment horizontal="right" wrapText="1"/>
    </xf>
    <xf numFmtId="1" fontId="3" fillId="0" borderId="715" xfId="0" applyNumberFormat="1" applyFont="1" applyBorder="1" applyAlignment="1">
      <alignment horizontal="right" wrapText="1"/>
    </xf>
    <xf numFmtId="1" fontId="3" fillId="0" borderId="693" xfId="0" applyNumberFormat="1" applyFont="1" applyBorder="1" applyAlignment="1">
      <alignment horizontal="right" wrapText="1"/>
    </xf>
    <xf numFmtId="1" fontId="3" fillId="4" borderId="716" xfId="0" applyNumberFormat="1" applyFont="1" applyFill="1" applyBorder="1" applyProtection="1">
      <protection locked="0"/>
    </xf>
    <xf numFmtId="1" fontId="3" fillId="4" borderId="728" xfId="0" applyNumberFormat="1" applyFont="1" applyFill="1" applyBorder="1" applyProtection="1">
      <protection locked="0"/>
    </xf>
    <xf numFmtId="1" fontId="3" fillId="0" borderId="341" xfId="0" applyNumberFormat="1" applyFont="1" applyBorder="1" applyAlignment="1">
      <alignment horizontal="right" wrapText="1"/>
    </xf>
    <xf numFmtId="1" fontId="3" fillId="0" borderId="333" xfId="0" applyNumberFormat="1" applyFont="1" applyBorder="1" applyAlignment="1">
      <alignment horizontal="right" wrapText="1"/>
    </xf>
    <xf numFmtId="1" fontId="3" fillId="0" borderId="336" xfId="0" applyNumberFormat="1" applyFont="1" applyBorder="1" applyAlignment="1">
      <alignment horizontal="right" wrapText="1"/>
    </xf>
    <xf numFmtId="1" fontId="3" fillId="0" borderId="353" xfId="0" applyNumberFormat="1" applyFont="1" applyBorder="1" applyAlignment="1">
      <alignment horizontal="right" wrapText="1"/>
    </xf>
    <xf numFmtId="1" fontId="3" fillId="0" borderId="404" xfId="0" applyNumberFormat="1" applyFont="1" applyBorder="1" applyAlignment="1">
      <alignment horizontal="right" wrapText="1"/>
    </xf>
    <xf numFmtId="1" fontId="3" fillId="0" borderId="354" xfId="0" applyNumberFormat="1" applyFont="1" applyBorder="1" applyAlignment="1">
      <alignment horizontal="right" wrapText="1"/>
    </xf>
    <xf numFmtId="1" fontId="3" fillId="0" borderId="636" xfId="0" applyNumberFormat="1" applyFont="1" applyBorder="1" applyAlignment="1">
      <alignment horizontal="center" vertical="center"/>
    </xf>
    <xf numFmtId="1" fontId="3" fillId="0" borderId="736" xfId="0" applyNumberFormat="1" applyFont="1" applyBorder="1" applyAlignment="1">
      <alignment horizontal="center" vertical="center" wrapText="1"/>
    </xf>
    <xf numFmtId="1" fontId="3" fillId="0" borderId="737" xfId="0" applyNumberFormat="1" applyFont="1" applyBorder="1" applyAlignment="1">
      <alignment vertical="center" wrapText="1"/>
    </xf>
    <xf numFmtId="1" fontId="3" fillId="0" borderId="699" xfId="0" applyNumberFormat="1" applyFont="1" applyBorder="1" applyAlignment="1">
      <alignment horizontal="right" wrapText="1"/>
    </xf>
    <xf numFmtId="1" fontId="3" fillId="4" borderId="715" xfId="0" applyNumberFormat="1" applyFont="1" applyFill="1" applyBorder="1" applyProtection="1">
      <protection locked="0"/>
    </xf>
    <xf numFmtId="1" fontId="3" fillId="4" borderId="717" xfId="0" applyNumberFormat="1" applyFont="1" applyFill="1" applyBorder="1" applyProtection="1">
      <protection locked="0"/>
    </xf>
    <xf numFmtId="1" fontId="3" fillId="4" borderId="737" xfId="0" applyNumberFormat="1" applyFont="1" applyFill="1" applyBorder="1" applyProtection="1">
      <protection locked="0"/>
    </xf>
    <xf numFmtId="1" fontId="3" fillId="4" borderId="699" xfId="0" applyNumberFormat="1" applyFont="1" applyFill="1" applyBorder="1" applyProtection="1">
      <protection locked="0"/>
    </xf>
    <xf numFmtId="1" fontId="3" fillId="0" borderId="345" xfId="0" applyNumberFormat="1" applyFont="1" applyBorder="1" applyAlignment="1">
      <alignment horizontal="right" wrapText="1"/>
    </xf>
    <xf numFmtId="1" fontId="3" fillId="0" borderId="357" xfId="0" applyNumberFormat="1" applyFont="1" applyBorder="1" applyAlignment="1">
      <alignment horizontal="right" wrapText="1"/>
    </xf>
    <xf numFmtId="1" fontId="3" fillId="4" borderId="394" xfId="0" applyNumberFormat="1" applyFont="1" applyFill="1" applyBorder="1" applyProtection="1">
      <protection locked="0"/>
    </xf>
    <xf numFmtId="1" fontId="3" fillId="0" borderId="735" xfId="0" applyNumberFormat="1" applyFont="1" applyBorder="1" applyAlignment="1">
      <alignment horizontal="center"/>
    </xf>
    <xf numFmtId="1" fontId="3" fillId="0" borderId="736" xfId="0" applyNumberFormat="1" applyFont="1" applyBorder="1" applyAlignment="1">
      <alignment horizontal="right"/>
    </xf>
    <xf numFmtId="1" fontId="3" fillId="0" borderId="736" xfId="0" applyNumberFormat="1" applyFont="1" applyBorder="1"/>
    <xf numFmtId="1" fontId="3" fillId="0" borderId="740" xfId="0" applyNumberFormat="1" applyFont="1" applyBorder="1"/>
    <xf numFmtId="1" fontId="3" fillId="0" borderId="736" xfId="0" applyNumberFormat="1" applyFont="1" applyBorder="1" applyAlignment="1">
      <alignment horizontal="right" wrapText="1"/>
    </xf>
    <xf numFmtId="1" fontId="3" fillId="0" borderId="624" xfId="0" applyNumberFormat="1" applyFont="1" applyBorder="1" applyAlignment="1">
      <alignment horizontal="right" wrapText="1"/>
    </xf>
    <xf numFmtId="1" fontId="3" fillId="4" borderId="736" xfId="0" applyNumberFormat="1" applyFont="1" applyFill="1" applyBorder="1" applyProtection="1">
      <protection locked="0"/>
    </xf>
    <xf numFmtId="1" fontId="3" fillId="4" borderId="740" xfId="0" applyNumberFormat="1" applyFont="1" applyFill="1" applyBorder="1" applyProtection="1">
      <protection locked="0"/>
    </xf>
    <xf numFmtId="1" fontId="3" fillId="0" borderId="735" xfId="0" applyNumberFormat="1" applyFont="1" applyBorder="1" applyAlignment="1">
      <alignment horizontal="left" vertical="center" wrapText="1"/>
    </xf>
    <xf numFmtId="1" fontId="3" fillId="0" borderId="518" xfId="0" applyNumberFormat="1" applyFont="1" applyBorder="1" applyAlignment="1">
      <alignment horizontal="left" vertical="center" wrapText="1"/>
    </xf>
    <xf numFmtId="1" fontId="3" fillId="0" borderId="673" xfId="0" applyNumberFormat="1" applyFont="1" applyBorder="1" applyAlignment="1">
      <alignment horizontal="right"/>
    </xf>
    <xf numFmtId="1" fontId="3" fillId="4" borderId="518" xfId="0" applyNumberFormat="1" applyFont="1" applyFill="1" applyBorder="1" applyProtection="1">
      <protection locked="0"/>
    </xf>
    <xf numFmtId="1" fontId="3" fillId="4" borderId="674" xfId="0" applyNumberFormat="1" applyFont="1" applyFill="1" applyBorder="1" applyProtection="1">
      <protection locked="0"/>
    </xf>
    <xf numFmtId="1" fontId="3" fillId="4" borderId="658" xfId="0" applyNumberFormat="1" applyFont="1" applyFill="1" applyBorder="1" applyProtection="1">
      <protection locked="0"/>
    </xf>
    <xf numFmtId="1" fontId="3" fillId="4" borderId="718" xfId="0" applyNumberFormat="1" applyFont="1" applyFill="1" applyBorder="1" applyProtection="1">
      <protection locked="0"/>
    </xf>
    <xf numFmtId="1" fontId="3" fillId="4" borderId="668" xfId="0" applyNumberFormat="1" applyFont="1" applyFill="1" applyBorder="1" applyProtection="1">
      <protection locked="0"/>
    </xf>
    <xf numFmtId="1" fontId="3" fillId="0" borderId="731" xfId="0" applyNumberFormat="1" applyFont="1" applyBorder="1" applyAlignment="1">
      <alignment horizontal="left" vertical="center" wrapText="1"/>
    </xf>
    <xf numFmtId="1" fontId="3" fillId="0" borderId="490" xfId="0" applyNumberFormat="1" applyFont="1" applyBorder="1" applyAlignment="1">
      <alignment horizontal="left" vertical="center" wrapText="1"/>
    </xf>
    <xf numFmtId="1" fontId="3" fillId="4" borderId="490" xfId="0" applyNumberFormat="1" applyFont="1" applyFill="1" applyBorder="1" applyProtection="1">
      <protection locked="0"/>
    </xf>
    <xf numFmtId="1" fontId="3" fillId="0" borderId="731" xfId="0" applyNumberFormat="1" applyFont="1" applyBorder="1" applyAlignment="1">
      <alignment horizontal="right" vertical="center" wrapText="1"/>
    </xf>
    <xf numFmtId="1" fontId="3" fillId="4" borderId="731" xfId="0" applyNumberFormat="1" applyFont="1" applyFill="1" applyBorder="1" applyProtection="1">
      <protection locked="0"/>
    </xf>
    <xf numFmtId="1" fontId="3" fillId="0" borderId="406" xfId="0" applyNumberFormat="1" applyFont="1" applyBorder="1" applyAlignment="1">
      <alignment horizontal="right" vertical="center" wrapText="1"/>
    </xf>
    <xf numFmtId="1" fontId="3" fillId="4" borderId="406" xfId="0" applyNumberFormat="1" applyFont="1" applyFill="1" applyBorder="1" applyProtection="1">
      <protection locked="0"/>
    </xf>
    <xf numFmtId="0" fontId="3" fillId="0" borderId="735" xfId="0" applyFont="1" applyBorder="1" applyAlignment="1">
      <alignment horizontal="center"/>
    </xf>
    <xf numFmtId="1" fontId="3" fillId="0" borderId="735" xfId="0" applyNumberFormat="1" applyFont="1" applyBorder="1"/>
    <xf numFmtId="9" fontId="3" fillId="0" borderId="640" xfId="4" applyFont="1" applyBorder="1" applyAlignment="1">
      <alignment horizontal="center" vertical="center" wrapText="1"/>
    </xf>
    <xf numFmtId="0" fontId="3" fillId="0" borderId="736" xfId="0" applyFont="1" applyBorder="1" applyAlignment="1">
      <alignment horizontal="center" vertical="center" wrapText="1"/>
    </xf>
    <xf numFmtId="0" fontId="3" fillId="0" borderId="624" xfId="0" applyFont="1" applyBorder="1" applyAlignment="1">
      <alignment horizontal="center" vertical="center" wrapText="1"/>
    </xf>
    <xf numFmtId="0" fontId="3" fillId="0" borderId="640" xfId="0" applyFont="1" applyBorder="1" applyAlignment="1">
      <alignment horizontal="center" vertical="center" wrapText="1"/>
    </xf>
    <xf numFmtId="1" fontId="3" fillId="0" borderId="715" xfId="0" applyNumberFormat="1" applyFont="1" applyBorder="1"/>
    <xf numFmtId="1" fontId="3" fillId="5" borderId="736" xfId="0" applyNumberFormat="1" applyFont="1" applyFill="1" applyBorder="1"/>
    <xf numFmtId="1" fontId="3" fillId="5" borderId="640" xfId="0" applyNumberFormat="1" applyFont="1" applyFill="1" applyBorder="1"/>
    <xf numFmtId="1" fontId="3" fillId="5" borderId="595" xfId="0" applyNumberFormat="1" applyFont="1" applyFill="1" applyBorder="1"/>
    <xf numFmtId="1" fontId="3" fillId="5" borderId="624" xfId="0" applyNumberFormat="1" applyFont="1" applyFill="1" applyBorder="1"/>
    <xf numFmtId="1" fontId="3" fillId="5" borderId="608" xfId="0" applyNumberFormat="1" applyFont="1" applyFill="1" applyBorder="1"/>
    <xf numFmtId="1" fontId="3" fillId="4" borderId="636" xfId="0" applyNumberFormat="1" applyFont="1" applyFill="1" applyBorder="1" applyProtection="1">
      <protection locked="0"/>
    </xf>
    <xf numFmtId="1" fontId="3" fillId="4" borderId="331" xfId="0" applyNumberFormat="1" applyFont="1" applyFill="1" applyBorder="1" applyProtection="1">
      <protection locked="0"/>
    </xf>
    <xf numFmtId="1" fontId="2" fillId="3" borderId="703" xfId="0" applyNumberFormat="1" applyFont="1" applyFill="1" applyBorder="1" applyAlignment="1" applyProtection="1">
      <alignment horizontal="left"/>
      <protection hidden="1"/>
    </xf>
    <xf numFmtId="1" fontId="2" fillId="3" borderId="498" xfId="0" applyNumberFormat="1" applyFont="1" applyFill="1" applyBorder="1" applyAlignment="1" applyProtection="1">
      <alignment horizontal="left"/>
      <protection hidden="1"/>
    </xf>
    <xf numFmtId="1" fontId="2" fillId="3" borderId="498" xfId="0" applyNumberFormat="1" applyFont="1" applyFill="1" applyBorder="1" applyAlignment="1">
      <alignment horizontal="left" wrapText="1"/>
    </xf>
    <xf numFmtId="1" fontId="2" fillId="3" borderId="498" xfId="0" applyNumberFormat="1" applyFont="1" applyFill="1" applyBorder="1" applyAlignment="1" applyProtection="1">
      <alignment horizontal="left" wrapText="1"/>
      <protection hidden="1"/>
    </xf>
    <xf numFmtId="1" fontId="2" fillId="3" borderId="498" xfId="0" applyNumberFormat="1" applyFont="1" applyFill="1" applyBorder="1" applyProtection="1">
      <protection hidden="1"/>
    </xf>
    <xf numFmtId="1" fontId="6" fillId="3" borderId="498" xfId="0" applyNumberFormat="1" applyFont="1" applyFill="1" applyBorder="1" applyProtection="1">
      <protection hidden="1"/>
    </xf>
    <xf numFmtId="1" fontId="2" fillId="3" borderId="498" xfId="0" applyNumberFormat="1" applyFont="1" applyFill="1" applyBorder="1" applyAlignment="1" applyProtection="1">
      <alignment wrapText="1"/>
      <protection hidden="1"/>
    </xf>
    <xf numFmtId="1" fontId="3" fillId="0" borderId="687" xfId="0" applyNumberFormat="1" applyFont="1" applyBorder="1" applyAlignment="1" applyProtection="1">
      <alignment horizontal="center" vertical="center" wrapText="1"/>
      <protection hidden="1"/>
    </xf>
    <xf numFmtId="1" fontId="3" fillId="0" borderId="718" xfId="0" applyNumberFormat="1" applyFont="1" applyBorder="1" applyAlignment="1" applyProtection="1">
      <alignment horizontal="center" vertical="center"/>
      <protection hidden="1"/>
    </xf>
    <xf numFmtId="1" fontId="3" fillId="0" borderId="731" xfId="0" applyNumberFormat="1" applyFont="1" applyBorder="1" applyAlignment="1" applyProtection="1">
      <alignment horizontal="left" vertical="center" wrapText="1"/>
      <protection hidden="1"/>
    </xf>
    <xf numFmtId="1" fontId="3" fillId="4" borderId="716" xfId="0" applyNumberFormat="1" applyFont="1" applyFill="1" applyBorder="1" applyAlignment="1" applyProtection="1">
      <alignment wrapText="1"/>
      <protection locked="0"/>
    </xf>
    <xf numFmtId="1" fontId="3" fillId="4" borderId="699" xfId="0" applyNumberFormat="1" applyFont="1" applyFill="1" applyBorder="1" applyAlignment="1" applyProtection="1">
      <alignment wrapText="1"/>
      <protection locked="0"/>
    </xf>
    <xf numFmtId="1" fontId="3" fillId="4" borderId="693" xfId="0" applyNumberFormat="1" applyFont="1" applyFill="1" applyBorder="1" applyAlignment="1" applyProtection="1">
      <alignment wrapText="1"/>
      <protection locked="0"/>
    </xf>
    <xf numFmtId="1" fontId="3" fillId="4" borderId="687" xfId="0" applyNumberFormat="1" applyFont="1" applyFill="1" applyBorder="1" applyAlignment="1" applyProtection="1">
      <alignment wrapText="1"/>
      <protection locked="0"/>
    </xf>
    <xf numFmtId="1" fontId="2" fillId="0" borderId="703" xfId="0" applyNumberFormat="1" applyFont="1" applyBorder="1" applyAlignment="1" applyProtection="1">
      <alignment horizontal="left" wrapText="1"/>
      <protection hidden="1"/>
    </xf>
    <xf numFmtId="1" fontId="3" fillId="0" borderId="740" xfId="0" applyNumberFormat="1" applyFont="1" applyBorder="1" applyAlignment="1" applyProtection="1">
      <alignment horizontal="center" vertical="center" wrapText="1"/>
      <protection hidden="1"/>
    </xf>
    <xf numFmtId="1" fontId="3" fillId="0" borderId="736" xfId="0" applyNumberFormat="1" applyFont="1" applyBorder="1" applyAlignment="1" applyProtection="1">
      <alignment horizontal="center" vertical="center"/>
      <protection hidden="1"/>
    </xf>
    <xf numFmtId="1" fontId="3" fillId="0" borderId="624" xfId="0" applyNumberFormat="1" applyFont="1" applyBorder="1" applyAlignment="1" applyProtection="1">
      <alignment horizontal="center" vertical="center"/>
      <protection hidden="1"/>
    </xf>
    <xf numFmtId="1" fontId="3" fillId="0" borderId="737" xfId="0" applyNumberFormat="1" applyFont="1" applyBorder="1" applyAlignment="1" applyProtection="1">
      <alignment horizontal="left" vertical="center" wrapText="1"/>
      <protection hidden="1"/>
    </xf>
    <xf numFmtId="1" fontId="3" fillId="0" borderId="331" xfId="0" applyNumberFormat="1" applyFont="1" applyBorder="1" applyAlignment="1" applyProtection="1">
      <alignment horizontal="left" vertical="center" wrapText="1"/>
      <protection hidden="1"/>
    </xf>
    <xf numFmtId="1" fontId="3" fillId="4" borderId="344" xfId="0" applyNumberFormat="1" applyFont="1" applyFill="1" applyBorder="1" applyAlignment="1" applyProtection="1">
      <alignment wrapText="1"/>
      <protection locked="0"/>
    </xf>
    <xf numFmtId="1" fontId="3" fillId="4" borderId="336" xfId="0" applyNumberFormat="1" applyFont="1" applyFill="1" applyBorder="1" applyAlignment="1" applyProtection="1">
      <alignment wrapText="1"/>
      <protection locked="0"/>
    </xf>
    <xf numFmtId="1" fontId="3" fillId="0" borderId="406" xfId="0" applyNumberFormat="1" applyFont="1" applyBorder="1" applyAlignment="1" applyProtection="1">
      <alignment horizontal="left" vertical="center" wrapText="1"/>
      <protection hidden="1"/>
    </xf>
    <xf numFmtId="1" fontId="3" fillId="4" borderId="358" xfId="0" applyNumberFormat="1" applyFont="1" applyFill="1" applyBorder="1" applyAlignment="1" applyProtection="1">
      <alignment wrapText="1"/>
      <protection locked="0"/>
    </xf>
    <xf numFmtId="1" fontId="3" fillId="4" borderId="354" xfId="0" applyNumberFormat="1" applyFont="1" applyFill="1" applyBorder="1" applyAlignment="1" applyProtection="1">
      <alignment wrapText="1"/>
      <protection locked="0"/>
    </xf>
    <xf numFmtId="1" fontId="3" fillId="7" borderId="715" xfId="0" applyNumberFormat="1" applyFont="1" applyFill="1" applyBorder="1"/>
    <xf numFmtId="1" fontId="3" fillId="7" borderId="693" xfId="0" applyNumberFormat="1" applyFont="1" applyFill="1" applyBorder="1"/>
    <xf numFmtId="1" fontId="3" fillId="7" borderId="737" xfId="0" applyNumberFormat="1" applyFont="1" applyFill="1" applyBorder="1"/>
    <xf numFmtId="1" fontId="3" fillId="7" borderId="717" xfId="0" applyNumberFormat="1" applyFont="1" applyFill="1" applyBorder="1"/>
    <xf numFmtId="1" fontId="3" fillId="7" borderId="728" xfId="0" applyNumberFormat="1" applyFont="1" applyFill="1" applyBorder="1"/>
    <xf numFmtId="1" fontId="3" fillId="7" borderId="366" xfId="0" applyNumberFormat="1" applyFont="1" applyFill="1" applyBorder="1"/>
    <xf numFmtId="1" fontId="3" fillId="7" borderId="329" xfId="0" applyNumberFormat="1" applyFont="1" applyFill="1" applyBorder="1"/>
    <xf numFmtId="1" fontId="3" fillId="7" borderId="340" xfId="0" applyNumberFormat="1" applyFont="1" applyFill="1" applyBorder="1"/>
    <xf numFmtId="1" fontId="3" fillId="7" borderId="334" xfId="0" applyNumberFormat="1" applyFont="1" applyFill="1" applyBorder="1"/>
    <xf numFmtId="1" fontId="3" fillId="7" borderId="343" xfId="0" applyNumberFormat="1" applyFont="1" applyFill="1" applyBorder="1"/>
    <xf numFmtId="1" fontId="2" fillId="0" borderId="703" xfId="0" applyNumberFormat="1" applyFont="1" applyBorder="1" applyAlignment="1" applyProtection="1">
      <alignment horizontal="left"/>
      <protection hidden="1"/>
    </xf>
    <xf numFmtId="1" fontId="2" fillId="0" borderId="498" xfId="0" applyNumberFormat="1" applyFont="1" applyBorder="1" applyAlignment="1" applyProtection="1">
      <alignment horizontal="left" wrapText="1"/>
      <protection hidden="1"/>
    </xf>
    <xf numFmtId="1" fontId="3" fillId="0" borderId="735" xfId="0" applyNumberFormat="1" applyFont="1" applyBorder="1" applyAlignment="1" applyProtection="1">
      <alignment horizontal="center" vertical="center" wrapText="1"/>
      <protection hidden="1"/>
    </xf>
    <xf numFmtId="1" fontId="3" fillId="0" borderId="640" xfId="0" applyNumberFormat="1" applyFont="1" applyBorder="1" applyAlignment="1" applyProtection="1">
      <alignment horizontal="center" vertical="center" wrapText="1"/>
      <protection hidden="1"/>
    </xf>
    <xf numFmtId="1" fontId="3" fillId="0" borderId="736" xfId="0" applyNumberFormat="1" applyFont="1" applyBorder="1" applyAlignment="1" applyProtection="1">
      <alignment horizontal="center" vertical="center" wrapText="1"/>
      <protection hidden="1"/>
    </xf>
    <xf numFmtId="1" fontId="3" fillId="0" borderId="608" xfId="0" applyNumberFormat="1" applyFont="1" applyBorder="1" applyAlignment="1" applyProtection="1">
      <alignment horizontal="center" vertical="center" wrapText="1"/>
      <protection hidden="1"/>
    </xf>
    <xf numFmtId="1" fontId="3" fillId="0" borderId="622" xfId="0" applyNumberFormat="1" applyFont="1" applyBorder="1" applyAlignment="1" applyProtection="1">
      <alignment horizontal="center" vertical="center" wrapText="1"/>
      <protection hidden="1"/>
    </xf>
    <xf numFmtId="1" fontId="3" fillId="0" borderId="595" xfId="0" applyNumberFormat="1" applyFont="1" applyBorder="1" applyAlignment="1" applyProtection="1">
      <alignment horizontal="center" vertical="center" wrapText="1"/>
      <protection hidden="1"/>
    </xf>
    <xf numFmtId="1" fontId="3" fillId="0" borderId="731" xfId="0" applyNumberFormat="1" applyFont="1" applyBorder="1" applyAlignment="1" applyProtection="1">
      <alignment vertical="center" wrapText="1"/>
      <protection hidden="1"/>
    </xf>
    <xf numFmtId="1" fontId="3" fillId="4" borderId="715" xfId="0" applyNumberFormat="1" applyFont="1" applyFill="1" applyBorder="1" applyAlignment="1" applyProtection="1">
      <alignment wrapText="1"/>
      <protection locked="0"/>
    </xf>
    <xf numFmtId="1" fontId="3" fillId="4" borderId="717" xfId="0" applyNumberFormat="1" applyFont="1" applyFill="1" applyBorder="1" applyAlignment="1" applyProtection="1">
      <alignment wrapText="1"/>
      <protection locked="0"/>
    </xf>
    <xf numFmtId="1" fontId="3" fillId="4" borderId="728" xfId="0" applyNumberFormat="1" applyFont="1" applyFill="1" applyBorder="1" applyAlignment="1" applyProtection="1">
      <alignment wrapText="1"/>
      <protection locked="0"/>
    </xf>
    <xf numFmtId="1" fontId="3" fillId="4" borderId="612" xfId="0" applyNumberFormat="1" applyFont="1" applyFill="1" applyBorder="1" applyAlignment="1" applyProtection="1">
      <alignment wrapText="1"/>
      <protection locked="0"/>
    </xf>
    <xf numFmtId="1" fontId="3" fillId="0" borderId="331" xfId="0" applyNumberFormat="1" applyFont="1" applyBorder="1" applyAlignment="1" applyProtection="1">
      <alignment vertical="center" wrapText="1"/>
      <protection hidden="1"/>
    </xf>
    <xf numFmtId="1" fontId="3" fillId="4" borderId="341" xfId="0" applyNumberFormat="1" applyFont="1" applyFill="1" applyBorder="1" applyAlignment="1" applyProtection="1">
      <alignment wrapText="1"/>
      <protection locked="0"/>
    </xf>
    <xf numFmtId="1" fontId="3" fillId="4" borderId="334" xfId="0" applyNumberFormat="1" applyFont="1" applyFill="1" applyBorder="1" applyAlignment="1" applyProtection="1">
      <alignment wrapText="1"/>
      <protection locked="0"/>
    </xf>
    <xf numFmtId="1" fontId="3" fillId="4" borderId="343" xfId="0" applyNumberFormat="1" applyFont="1" applyFill="1" applyBorder="1" applyAlignment="1" applyProtection="1">
      <alignment wrapText="1"/>
      <protection locked="0"/>
    </xf>
    <xf numFmtId="1" fontId="3" fillId="4" borderId="333" xfId="0" applyNumberFormat="1" applyFont="1" applyFill="1" applyBorder="1" applyAlignment="1" applyProtection="1">
      <alignment wrapText="1"/>
      <protection locked="0"/>
    </xf>
    <xf numFmtId="1" fontId="3" fillId="0" borderId="406" xfId="0" applyNumberFormat="1" applyFont="1" applyBorder="1" applyAlignment="1" applyProtection="1">
      <alignment vertical="center" wrapText="1"/>
      <protection hidden="1"/>
    </xf>
    <xf numFmtId="1" fontId="3" fillId="0" borderId="669" xfId="0" applyNumberFormat="1" applyFont="1" applyBorder="1" applyAlignment="1" applyProtection="1">
      <alignment horizontal="center" vertical="center" wrapText="1"/>
      <protection hidden="1"/>
    </xf>
    <xf numFmtId="1" fontId="3" fillId="4" borderId="731" xfId="0" applyNumberFormat="1" applyFont="1" applyFill="1" applyBorder="1" applyAlignment="1" applyProtection="1">
      <alignment horizontal="right" wrapText="1"/>
      <protection locked="0"/>
    </xf>
    <xf numFmtId="1" fontId="3" fillId="4" borderId="715" xfId="0" applyNumberFormat="1" applyFont="1" applyFill="1" applyBorder="1" applyAlignment="1" applyProtection="1">
      <alignment horizontal="right"/>
      <protection locked="0"/>
    </xf>
    <xf numFmtId="1" fontId="3" fillId="4" borderId="693" xfId="0" applyNumberFormat="1" applyFont="1" applyFill="1" applyBorder="1" applyAlignment="1" applyProtection="1">
      <alignment horizontal="right"/>
      <protection locked="0"/>
    </xf>
    <xf numFmtId="1" fontId="3" fillId="4" borderId="331" xfId="0" applyNumberFormat="1" applyFont="1" applyFill="1" applyBorder="1" applyAlignment="1" applyProtection="1">
      <alignment horizontal="right" wrapText="1"/>
      <protection locked="0"/>
    </xf>
    <xf numFmtId="1" fontId="3" fillId="3" borderId="331" xfId="0" applyNumberFormat="1" applyFont="1" applyFill="1" applyBorder="1" applyAlignment="1" applyProtection="1">
      <alignment vertical="center" wrapText="1"/>
      <protection hidden="1"/>
    </xf>
    <xf numFmtId="1" fontId="3" fillId="4" borderId="336" xfId="0" applyNumberFormat="1" applyFont="1" applyFill="1" applyBorder="1" applyAlignment="1" applyProtection="1">
      <alignment horizontal="right" wrapText="1"/>
      <protection locked="0"/>
    </xf>
    <xf numFmtId="1" fontId="3" fillId="4" borderId="406" xfId="0" applyNumberFormat="1" applyFont="1" applyFill="1" applyBorder="1" applyAlignment="1" applyProtection="1">
      <alignment horizontal="right" wrapText="1"/>
      <protection locked="0"/>
    </xf>
    <xf numFmtId="1" fontId="3" fillId="4" borderId="328" xfId="0" applyNumberFormat="1" applyFont="1" applyFill="1" applyBorder="1" applyAlignment="1" applyProtection="1">
      <alignment horizontal="right"/>
      <protection locked="0"/>
    </xf>
    <xf numFmtId="1" fontId="3" fillId="4" borderId="354" xfId="0" applyNumberFormat="1" applyFont="1" applyFill="1" applyBorder="1" applyAlignment="1" applyProtection="1">
      <alignment horizontal="right"/>
      <protection locked="0"/>
    </xf>
    <xf numFmtId="1" fontId="3" fillId="0" borderId="737" xfId="0" applyNumberFormat="1" applyFont="1" applyBorder="1" applyAlignment="1">
      <alignment horizontal="left" vertical="center" wrapText="1"/>
    </xf>
    <xf numFmtId="1" fontId="3" fillId="0" borderId="736" xfId="0" applyNumberFormat="1" applyFont="1" applyBorder="1" applyAlignment="1">
      <alignment horizontal="right" vertical="center" wrapText="1"/>
    </xf>
    <xf numFmtId="1" fontId="3" fillId="0" borderId="624" xfId="0" applyNumberFormat="1" applyFont="1" applyBorder="1" applyAlignment="1">
      <alignment horizontal="right" vertical="center" wrapText="1"/>
    </xf>
    <xf numFmtId="1" fontId="3" fillId="0" borderId="703" xfId="0" applyNumberFormat="1" applyFont="1" applyBorder="1" applyAlignment="1">
      <alignment horizontal="right" vertical="center" wrapText="1"/>
    </xf>
    <xf numFmtId="1" fontId="3" fillId="0" borderId="608" xfId="0" applyNumberFormat="1" applyFont="1" applyBorder="1" applyAlignment="1">
      <alignment horizontal="right" vertical="center" wrapText="1"/>
    </xf>
    <xf numFmtId="1" fontId="2" fillId="0" borderId="743" xfId="0" applyNumberFormat="1" applyFont="1" applyBorder="1" applyAlignment="1">
      <alignment horizontal="left"/>
    </xf>
    <xf numFmtId="1" fontId="6" fillId="0" borderId="252" xfId="0" applyNumberFormat="1" applyFont="1" applyBorder="1"/>
    <xf numFmtId="1" fontId="3" fillId="3" borderId="619" xfId="0" applyNumberFormat="1" applyFont="1" applyFill="1" applyBorder="1" applyProtection="1">
      <protection hidden="1"/>
    </xf>
    <xf numFmtId="1" fontId="3" fillId="0" borderId="252" xfId="0" applyNumberFormat="1" applyFont="1" applyBorder="1" applyAlignment="1">
      <alignment horizontal="center" vertical="center" wrapText="1"/>
    </xf>
    <xf numFmtId="1" fontId="3" fillId="0" borderId="253" xfId="0" applyNumberFormat="1" applyFont="1" applyBorder="1" applyAlignment="1">
      <alignment horizontal="center" vertical="center" wrapText="1"/>
    </xf>
    <xf numFmtId="1" fontId="3" fillId="0" borderId="299" xfId="0" applyNumberFormat="1" applyFont="1" applyBorder="1" applyAlignment="1">
      <alignment horizontal="center" vertical="center"/>
    </xf>
    <xf numFmtId="1" fontId="3" fillId="0" borderId="736" xfId="0" applyNumberFormat="1" applyFont="1" applyBorder="1" applyAlignment="1">
      <alignment horizontal="center" vertical="center"/>
    </xf>
    <xf numFmtId="1" fontId="3" fillId="4" borderId="717" xfId="0" applyNumberFormat="1" applyFont="1" applyFill="1" applyBorder="1" applyAlignment="1" applyProtection="1">
      <alignment horizontal="right"/>
      <protection locked="0"/>
    </xf>
    <xf numFmtId="1" fontId="3" fillId="4" borderId="737" xfId="0" applyNumberFormat="1" applyFont="1" applyFill="1" applyBorder="1" applyAlignment="1" applyProtection="1">
      <alignment horizontal="right"/>
      <protection locked="0"/>
    </xf>
    <xf numFmtId="1" fontId="3" fillId="4" borderId="728" xfId="0" applyNumberFormat="1" applyFont="1" applyFill="1" applyBorder="1" applyAlignment="1" applyProtection="1">
      <alignment horizontal="right"/>
      <protection locked="0"/>
    </xf>
    <xf numFmtId="1" fontId="3" fillId="0" borderId="299" xfId="0" applyNumberFormat="1" applyFont="1" applyBorder="1" applyAlignment="1">
      <alignment horizontal="left" vertical="center" wrapText="1"/>
    </xf>
    <xf numFmtId="1" fontId="3" fillId="0" borderId="255" xfId="0" applyNumberFormat="1" applyFont="1" applyBorder="1" applyAlignment="1">
      <alignment horizontal="right" wrapText="1"/>
    </xf>
    <xf numFmtId="1" fontId="3" fillId="0" borderId="251" xfId="0" applyNumberFormat="1" applyFont="1" applyBorder="1" applyAlignment="1">
      <alignment horizontal="right" wrapText="1"/>
    </xf>
    <xf numFmtId="1" fontId="3" fillId="0" borderId="253" xfId="0" applyNumberFormat="1" applyFont="1" applyBorder="1" applyAlignment="1">
      <alignment horizontal="right"/>
    </xf>
    <xf numFmtId="1" fontId="3" fillId="4" borderId="255" xfId="0" applyNumberFormat="1" applyFont="1" applyFill="1" applyBorder="1" applyAlignment="1" applyProtection="1">
      <alignment horizontal="right"/>
      <protection locked="0"/>
    </xf>
    <xf numFmtId="1" fontId="3" fillId="4" borderId="253" xfId="0" applyNumberFormat="1" applyFont="1" applyFill="1" applyBorder="1" applyAlignment="1" applyProtection="1">
      <alignment horizontal="right"/>
      <protection locked="0"/>
    </xf>
    <xf numFmtId="1" fontId="3" fillId="4" borderId="252" xfId="0" applyNumberFormat="1" applyFont="1" applyFill="1" applyBorder="1" applyAlignment="1" applyProtection="1">
      <alignment horizontal="right"/>
      <protection locked="0"/>
    </xf>
    <xf numFmtId="1" fontId="3" fillId="4" borderId="736" xfId="0" applyNumberFormat="1" applyFont="1" applyFill="1" applyBorder="1" applyAlignment="1" applyProtection="1">
      <alignment horizontal="right"/>
      <protection locked="0"/>
    </xf>
    <xf numFmtId="1" fontId="3" fillId="4" borderId="624" xfId="0" applyNumberFormat="1" applyFont="1" applyFill="1" applyBorder="1" applyAlignment="1" applyProtection="1">
      <alignment horizontal="right"/>
      <protection locked="0"/>
    </xf>
    <xf numFmtId="1" fontId="3" fillId="4" borderId="619" xfId="0" applyNumberFormat="1" applyFont="1" applyFill="1" applyBorder="1" applyAlignment="1" applyProtection="1">
      <alignment horizontal="right"/>
      <protection locked="0"/>
    </xf>
    <xf numFmtId="1" fontId="3" fillId="4" borderId="698" xfId="0" applyNumberFormat="1" applyFont="1" applyFill="1" applyBorder="1" applyAlignment="1" applyProtection="1">
      <alignment horizontal="right"/>
      <protection locked="0"/>
    </xf>
    <xf numFmtId="1" fontId="6" fillId="3" borderId="252" xfId="0" applyNumberFormat="1" applyFont="1" applyFill="1" applyBorder="1" applyProtection="1">
      <protection hidden="1"/>
    </xf>
    <xf numFmtId="1" fontId="3" fillId="4" borderId="271" xfId="0" applyNumberFormat="1" applyFont="1" applyFill="1" applyBorder="1" applyAlignment="1" applyProtection="1">
      <alignment horizontal="right"/>
      <protection locked="0"/>
    </xf>
    <xf numFmtId="1" fontId="13" fillId="0" borderId="732" xfId="0" applyNumberFormat="1" applyFont="1" applyBorder="1" applyAlignment="1">
      <alignment horizontal="center" vertical="center" wrapText="1"/>
    </xf>
    <xf numFmtId="1" fontId="13" fillId="0" borderId="252" xfId="0" applyNumberFormat="1" applyFont="1" applyBorder="1" applyAlignment="1">
      <alignment horizontal="center" vertical="center" wrapText="1"/>
    </xf>
    <xf numFmtId="1" fontId="13" fillId="3" borderId="252" xfId="0" applyNumberFormat="1" applyFont="1" applyFill="1" applyBorder="1" applyAlignment="1" applyProtection="1">
      <alignment horizontal="center" vertical="center" wrapText="1"/>
      <protection hidden="1"/>
    </xf>
    <xf numFmtId="1" fontId="3" fillId="0" borderId="735" xfId="0" applyNumberFormat="1" applyFont="1" applyBorder="1" applyAlignment="1">
      <alignment vertical="center" wrapText="1"/>
    </xf>
    <xf numFmtId="1" fontId="3" fillId="0" borderId="735" xfId="0" applyNumberFormat="1" applyFont="1" applyBorder="1" applyAlignment="1">
      <alignment horizontal="right" vertical="center" wrapText="1"/>
    </xf>
    <xf numFmtId="1" fontId="3" fillId="4" borderId="595" xfId="0" applyNumberFormat="1" applyFont="1" applyFill="1" applyBorder="1" applyAlignment="1" applyProtection="1">
      <alignment horizontal="right"/>
      <protection locked="0"/>
    </xf>
    <xf numFmtId="1" fontId="3" fillId="4" borderId="608" xfId="0" applyNumberFormat="1" applyFont="1" applyFill="1" applyBorder="1" applyAlignment="1" applyProtection="1">
      <alignment horizontal="right"/>
      <protection locked="0"/>
    </xf>
    <xf numFmtId="1" fontId="3" fillId="4" borderId="640" xfId="0" applyNumberFormat="1" applyFont="1" applyFill="1" applyBorder="1" applyAlignment="1" applyProtection="1">
      <alignment horizontal="right"/>
      <protection locked="0"/>
    </xf>
    <xf numFmtId="1" fontId="3" fillId="5" borderId="737" xfId="0" applyNumberFormat="1" applyFont="1" applyFill="1" applyBorder="1" applyAlignment="1">
      <alignment vertical="center" wrapText="1"/>
    </xf>
    <xf numFmtId="1" fontId="3" fillId="5" borderId="715" xfId="0" applyNumberFormat="1" applyFont="1" applyFill="1" applyBorder="1" applyAlignment="1">
      <alignment horizontal="right" wrapText="1"/>
    </xf>
    <xf numFmtId="1" fontId="3" fillId="5" borderId="699" xfId="0" applyNumberFormat="1" applyFont="1" applyFill="1" applyBorder="1" applyAlignment="1">
      <alignment horizontal="right" wrapText="1"/>
    </xf>
    <xf numFmtId="1" fontId="3" fillId="5" borderId="693" xfId="0" applyNumberFormat="1" applyFont="1" applyFill="1" applyBorder="1" applyAlignment="1">
      <alignment horizontal="right"/>
    </xf>
    <xf numFmtId="1" fontId="3" fillId="5" borderId="340" xfId="0" applyNumberFormat="1" applyFont="1" applyFill="1" applyBorder="1" applyAlignment="1">
      <alignment vertical="center" wrapText="1"/>
    </xf>
    <xf numFmtId="1" fontId="3" fillId="5" borderId="341" xfId="0" applyNumberFormat="1" applyFont="1" applyFill="1" applyBorder="1" applyAlignment="1">
      <alignment horizontal="right" wrapText="1"/>
    </xf>
    <xf numFmtId="1" fontId="3" fillId="5" borderId="345" xfId="0" applyNumberFormat="1" applyFont="1" applyFill="1" applyBorder="1" applyAlignment="1">
      <alignment horizontal="right" wrapText="1"/>
    </xf>
    <xf numFmtId="1" fontId="3" fillId="5" borderId="336" xfId="0" applyNumberFormat="1" applyFont="1" applyFill="1" applyBorder="1" applyAlignment="1">
      <alignment horizontal="right"/>
    </xf>
    <xf numFmtId="1" fontId="2" fillId="0" borderId="252" xfId="0" applyNumberFormat="1" applyFont="1" applyBorder="1"/>
    <xf numFmtId="1" fontId="3" fillId="0" borderId="300" xfId="0" applyNumberFormat="1" applyFont="1" applyBorder="1" applyAlignment="1">
      <alignment horizontal="center" vertical="center"/>
    </xf>
    <xf numFmtId="1" fontId="3" fillId="0" borderId="340" xfId="0" quotePrefix="1" applyNumberFormat="1" applyFont="1" applyBorder="1"/>
    <xf numFmtId="1" fontId="3" fillId="3" borderId="394" xfId="0" applyNumberFormat="1" applyFont="1" applyFill="1" applyBorder="1"/>
    <xf numFmtId="1" fontId="3" fillId="0" borderId="300" xfId="0" applyNumberFormat="1" applyFont="1" applyBorder="1"/>
    <xf numFmtId="1" fontId="3" fillId="3" borderId="421" xfId="0" applyNumberFormat="1" applyFont="1" applyFill="1" applyBorder="1"/>
    <xf numFmtId="1" fontId="2" fillId="3" borderId="252" xfId="0" applyNumberFormat="1" applyFont="1" applyFill="1" applyBorder="1"/>
    <xf numFmtId="0" fontId="3" fillId="0" borderId="636" xfId="0" applyFont="1" applyBorder="1" applyAlignment="1">
      <alignment horizontal="center" vertical="center"/>
    </xf>
    <xf numFmtId="0" fontId="3" fillId="0" borderId="735" xfId="0" applyFont="1" applyBorder="1" applyAlignment="1">
      <alignment horizontal="center" vertical="center" wrapText="1"/>
    </xf>
    <xf numFmtId="1" fontId="3" fillId="3" borderId="253" xfId="0" applyNumberFormat="1" applyFont="1" applyFill="1" applyBorder="1"/>
    <xf numFmtId="1" fontId="3" fillId="0" borderId="750" xfId="0" applyNumberFormat="1" applyFont="1" applyBorder="1" applyAlignment="1">
      <alignment horizontal="right" wrapText="1"/>
    </xf>
    <xf numFmtId="1" fontId="3" fillId="0" borderId="751" xfId="0" applyNumberFormat="1" applyFont="1" applyBorder="1" applyAlignment="1">
      <alignment horizontal="right" wrapText="1"/>
    </xf>
    <xf numFmtId="1" fontId="3" fillId="0" borderId="761" xfId="0" applyNumberFormat="1" applyFont="1" applyBorder="1" applyAlignment="1">
      <alignment horizontal="left" vertical="center"/>
    </xf>
    <xf numFmtId="1" fontId="3" fillId="0" borderId="331" xfId="0" applyNumberFormat="1" applyFont="1" applyBorder="1" applyAlignment="1">
      <alignment horizontal="left" vertical="center"/>
    </xf>
    <xf numFmtId="1" fontId="3" fillId="0" borderId="367" xfId="0" applyNumberFormat="1" applyFont="1" applyBorder="1" applyAlignment="1">
      <alignment horizontal="left" vertical="center"/>
    </xf>
    <xf numFmtId="0" fontId="3" fillId="0" borderId="849" xfId="0" applyFont="1" applyBorder="1" applyAlignment="1">
      <alignment vertical="center"/>
    </xf>
    <xf numFmtId="0" fontId="3" fillId="0" borderId="299" xfId="0" applyFont="1" applyBorder="1" applyAlignment="1">
      <alignment vertical="center"/>
    </xf>
    <xf numFmtId="0" fontId="3" fillId="0" borderId="299" xfId="0" applyFont="1" applyBorder="1" applyAlignment="1">
      <alignment vertical="center" wrapText="1"/>
    </xf>
    <xf numFmtId="1" fontId="3" fillId="0" borderId="908" xfId="0" applyNumberFormat="1" applyFont="1" applyBorder="1" applyAlignment="1">
      <alignment horizontal="center" vertical="center"/>
    </xf>
    <xf numFmtId="1" fontId="3" fillId="3" borderId="908" xfId="0" applyNumberFormat="1" applyFont="1" applyFill="1" applyBorder="1" applyAlignment="1">
      <alignment horizontal="center" vertical="center"/>
    </xf>
    <xf numFmtId="1" fontId="3" fillId="0" borderId="977" xfId="0" applyNumberFormat="1" applyFont="1" applyBorder="1" applyAlignment="1">
      <alignment horizontal="center" vertical="center" wrapText="1"/>
    </xf>
    <xf numFmtId="1" fontId="3" fillId="0" borderId="897" xfId="0" applyNumberFormat="1" applyFont="1" applyBorder="1" applyAlignment="1">
      <alignment horizontal="center" vertical="center" wrapText="1"/>
    </xf>
    <xf numFmtId="1" fontId="3" fillId="0" borderId="895" xfId="0" applyNumberFormat="1" applyFont="1" applyBorder="1" applyAlignment="1">
      <alignment horizontal="center" vertical="center" wrapText="1"/>
    </xf>
    <xf numFmtId="1" fontId="3" fillId="0" borderId="978" xfId="0" applyNumberFormat="1" applyFont="1" applyBorder="1" applyAlignment="1">
      <alignment horizontal="center" vertical="center"/>
    </xf>
    <xf numFmtId="1" fontId="3" fillId="0" borderId="770" xfId="0" applyNumberFormat="1" applyFont="1" applyBorder="1" applyAlignment="1">
      <alignment horizontal="center" vertical="center"/>
    </xf>
    <xf numFmtId="1" fontId="3" fillId="0" borderId="979" xfId="0" applyNumberFormat="1" applyFont="1" applyBorder="1" applyAlignment="1">
      <alignment horizontal="center" vertical="center"/>
    </xf>
    <xf numFmtId="1" fontId="3" fillId="0" borderId="971" xfId="0" applyNumberFormat="1" applyFont="1" applyBorder="1" applyAlignment="1">
      <alignment horizontal="center" vertical="center"/>
    </xf>
    <xf numFmtId="1" fontId="3" fillId="0" borderId="980" xfId="0" applyNumberFormat="1" applyFont="1" applyBorder="1" applyAlignment="1">
      <alignment horizontal="center" vertical="center"/>
    </xf>
    <xf numFmtId="1" fontId="3" fillId="0" borderId="918" xfId="0" applyNumberFormat="1" applyFont="1" applyBorder="1" applyAlignment="1">
      <alignment vertical="center"/>
    </xf>
    <xf numFmtId="1" fontId="3" fillId="0" borderId="918" xfId="0" applyNumberFormat="1" applyFont="1" applyBorder="1" applyAlignment="1">
      <alignment horizontal="right" vertical="center"/>
    </xf>
    <xf numFmtId="1" fontId="3" fillId="0" borderId="926" xfId="0" applyNumberFormat="1" applyFont="1" applyBorder="1" applyAlignment="1">
      <alignment horizontal="right" vertical="center"/>
    </xf>
    <xf numFmtId="1" fontId="3" fillId="0" borderId="917" xfId="0" applyNumberFormat="1" applyFont="1" applyBorder="1" applyAlignment="1">
      <alignment horizontal="right" vertical="center"/>
    </xf>
    <xf numFmtId="1" fontId="3" fillId="4" borderId="918" xfId="0" applyNumberFormat="1" applyFont="1" applyFill="1" applyBorder="1" applyAlignment="1" applyProtection="1">
      <alignment horizontal="right"/>
      <protection locked="0"/>
    </xf>
    <xf numFmtId="1" fontId="3" fillId="4" borderId="917" xfId="0" applyNumberFormat="1" applyFont="1" applyFill="1" applyBorder="1" applyAlignment="1" applyProtection="1">
      <alignment horizontal="right"/>
      <protection locked="0"/>
    </xf>
    <xf numFmtId="1" fontId="3" fillId="4" borderId="926" xfId="0" applyNumberFormat="1" applyFont="1" applyFill="1" applyBorder="1" applyAlignment="1" applyProtection="1">
      <alignment horizontal="right"/>
      <protection locked="0"/>
    </xf>
    <xf numFmtId="1" fontId="3" fillId="4" borderId="981" xfId="0" applyNumberFormat="1" applyFont="1" applyFill="1" applyBorder="1" applyAlignment="1" applyProtection="1">
      <alignment horizontal="right"/>
      <protection locked="0"/>
    </xf>
    <xf numFmtId="1" fontId="3" fillId="4" borderId="934" xfId="0" applyNumberFormat="1" applyFont="1" applyFill="1" applyBorder="1" applyAlignment="1" applyProtection="1">
      <alignment horizontal="right"/>
      <protection locked="0"/>
    </xf>
    <xf numFmtId="1" fontId="3" fillId="4" borderId="965" xfId="0" applyNumberFormat="1" applyFont="1" applyFill="1" applyBorder="1" applyAlignment="1" applyProtection="1">
      <alignment horizontal="right"/>
      <protection locked="0"/>
    </xf>
    <xf numFmtId="1" fontId="3" fillId="4" borderId="699" xfId="0" applyNumberFormat="1" applyFont="1" applyFill="1" applyBorder="1" applyAlignment="1" applyProtection="1">
      <alignment horizontal="right"/>
      <protection locked="0"/>
    </xf>
    <xf numFmtId="1" fontId="3" fillId="0" borderId="982" xfId="0" applyNumberFormat="1" applyFont="1" applyBorder="1" applyAlignment="1">
      <alignment vertical="center"/>
    </xf>
    <xf numFmtId="1" fontId="3" fillId="0" borderId="983" xfId="0" applyNumberFormat="1" applyFont="1" applyBorder="1" applyAlignment="1">
      <alignment horizontal="right" vertical="center"/>
    </xf>
    <xf numFmtId="1" fontId="3" fillId="0" borderId="960" xfId="0" applyNumberFormat="1" applyFont="1" applyBorder="1" applyAlignment="1">
      <alignment horizontal="right" vertical="center"/>
    </xf>
    <xf numFmtId="1" fontId="3" fillId="0" borderId="970" xfId="0" applyNumberFormat="1" applyFont="1" applyBorder="1" applyAlignment="1">
      <alignment horizontal="right" vertical="center"/>
    </xf>
    <xf numFmtId="1" fontId="3" fillId="4" borderId="983" xfId="0" applyNumberFormat="1" applyFont="1" applyFill="1" applyBorder="1" applyAlignment="1" applyProtection="1">
      <alignment horizontal="right"/>
      <protection locked="0"/>
    </xf>
    <xf numFmtId="1" fontId="3" fillId="4" borderId="970" xfId="0" applyNumberFormat="1" applyFont="1" applyFill="1" applyBorder="1" applyAlignment="1" applyProtection="1">
      <alignment horizontal="right"/>
      <protection locked="0"/>
    </xf>
    <xf numFmtId="1" fontId="3" fillId="4" borderId="966" xfId="0" applyNumberFormat="1" applyFont="1" applyFill="1" applyBorder="1" applyAlignment="1" applyProtection="1">
      <alignment horizontal="right"/>
      <protection locked="0"/>
    </xf>
    <xf numFmtId="1" fontId="3" fillId="4" borderId="960" xfId="0" applyNumberFormat="1" applyFont="1" applyFill="1" applyBorder="1" applyAlignment="1" applyProtection="1">
      <alignment horizontal="right"/>
      <protection locked="0"/>
    </xf>
    <xf numFmtId="1" fontId="3" fillId="4" borderId="984" xfId="0" applyNumberFormat="1" applyFont="1" applyFill="1" applyBorder="1" applyAlignment="1" applyProtection="1">
      <alignment horizontal="right"/>
      <protection locked="0"/>
    </xf>
    <xf numFmtId="1" fontId="3" fillId="4" borderId="973" xfId="0" applyNumberFormat="1" applyFont="1" applyFill="1" applyBorder="1" applyAlignment="1" applyProtection="1">
      <alignment horizontal="right"/>
      <protection locked="0"/>
    </xf>
    <xf numFmtId="1" fontId="3" fillId="4" borderId="985" xfId="0" applyNumberFormat="1" applyFont="1" applyFill="1" applyBorder="1" applyAlignment="1" applyProtection="1">
      <alignment horizontal="right"/>
      <protection locked="0"/>
    </xf>
    <xf numFmtId="1" fontId="3" fillId="4" borderId="986" xfId="0" applyNumberFormat="1" applyFont="1" applyFill="1" applyBorder="1" applyAlignment="1" applyProtection="1">
      <alignment horizontal="right"/>
      <protection locked="0"/>
    </xf>
    <xf numFmtId="1" fontId="3" fillId="4" borderId="987" xfId="0" applyNumberFormat="1" applyFont="1" applyFill="1" applyBorder="1" applyAlignment="1" applyProtection="1">
      <alignment horizontal="right"/>
      <protection locked="0"/>
    </xf>
    <xf numFmtId="1" fontId="3" fillId="0" borderId="982" xfId="0" applyNumberFormat="1" applyFont="1" applyBorder="1" applyAlignment="1">
      <alignment vertical="center" wrapText="1"/>
    </xf>
    <xf numFmtId="1" fontId="3" fillId="0" borderId="983" xfId="0" applyNumberFormat="1" applyFont="1" applyBorder="1" applyAlignment="1">
      <alignment horizontal="right" vertical="center" wrapText="1"/>
    </xf>
    <xf numFmtId="1" fontId="3" fillId="0" borderId="960" xfId="0" applyNumberFormat="1" applyFont="1" applyBorder="1" applyAlignment="1">
      <alignment horizontal="right" vertical="center" wrapText="1"/>
    </xf>
    <xf numFmtId="1" fontId="3" fillId="0" borderId="983" xfId="0" applyNumberFormat="1" applyFont="1" applyBorder="1" applyAlignment="1">
      <alignment vertical="center"/>
    </xf>
    <xf numFmtId="1" fontId="3" fillId="0" borderId="983" xfId="0" applyNumberFormat="1" applyFont="1" applyBorder="1" applyAlignment="1">
      <alignment vertical="center" wrapText="1"/>
    </xf>
    <xf numFmtId="1" fontId="3" fillId="7" borderId="983" xfId="0" applyNumberFormat="1" applyFont="1" applyFill="1" applyBorder="1" applyAlignment="1">
      <alignment horizontal="right"/>
    </xf>
    <xf numFmtId="1" fontId="3" fillId="7" borderId="966" xfId="0" applyNumberFormat="1" applyFont="1" applyFill="1" applyBorder="1" applyAlignment="1">
      <alignment horizontal="right"/>
    </xf>
    <xf numFmtId="1" fontId="3" fillId="7" borderId="960" xfId="0" applyNumberFormat="1" applyFont="1" applyFill="1" applyBorder="1" applyAlignment="1">
      <alignment horizontal="right"/>
    </xf>
    <xf numFmtId="1" fontId="3" fillId="7" borderId="984" xfId="0" applyNumberFormat="1" applyFont="1" applyFill="1" applyBorder="1" applyAlignment="1">
      <alignment horizontal="right"/>
    </xf>
    <xf numFmtId="1" fontId="3" fillId="7" borderId="973" xfId="0" applyNumberFormat="1" applyFont="1" applyFill="1" applyBorder="1" applyAlignment="1">
      <alignment horizontal="right"/>
    </xf>
    <xf numFmtId="1" fontId="3" fillId="7" borderId="985" xfId="0" applyNumberFormat="1" applyFont="1" applyFill="1" applyBorder="1" applyAlignment="1">
      <alignment horizontal="right"/>
    </xf>
    <xf numFmtId="1" fontId="3" fillId="7" borderId="970" xfId="0" applyNumberFormat="1" applyFont="1" applyFill="1" applyBorder="1" applyAlignment="1">
      <alignment horizontal="right"/>
    </xf>
    <xf numFmtId="1" fontId="3" fillId="0" borderId="988" xfId="0" applyNumberFormat="1" applyFont="1" applyBorder="1" applyAlignment="1">
      <alignment vertical="center" wrapText="1"/>
    </xf>
    <xf numFmtId="1" fontId="3" fillId="0" borderId="988" xfId="0" applyNumberFormat="1" applyFont="1" applyBorder="1" applyAlignment="1">
      <alignment horizontal="right" vertical="center" wrapText="1"/>
    </xf>
    <xf numFmtId="1" fontId="3" fillId="0" borderId="969" xfId="0" applyNumberFormat="1" applyFont="1" applyBorder="1" applyAlignment="1">
      <alignment horizontal="right" vertical="center" wrapText="1"/>
    </xf>
    <xf numFmtId="1" fontId="3" fillId="4" borderId="988" xfId="0" applyNumberFormat="1" applyFont="1" applyFill="1" applyBorder="1" applyAlignment="1" applyProtection="1">
      <alignment horizontal="right"/>
      <protection locked="0"/>
    </xf>
    <xf numFmtId="1" fontId="3" fillId="4" borderId="961" xfId="0" applyNumberFormat="1" applyFont="1" applyFill="1" applyBorder="1" applyAlignment="1" applyProtection="1">
      <alignment horizontal="right"/>
      <protection locked="0"/>
    </xf>
    <xf numFmtId="1" fontId="3" fillId="4" borderId="969" xfId="0" applyNumberFormat="1" applyFont="1" applyFill="1" applyBorder="1" applyAlignment="1" applyProtection="1">
      <alignment horizontal="right"/>
      <protection locked="0"/>
    </xf>
    <xf numFmtId="1" fontId="3" fillId="4" borderId="989" xfId="0" applyNumberFormat="1" applyFont="1" applyFill="1" applyBorder="1" applyAlignment="1" applyProtection="1">
      <alignment horizontal="right"/>
      <protection locked="0"/>
    </xf>
    <xf numFmtId="1" fontId="3" fillId="4" borderId="367" xfId="0" applyNumberFormat="1" applyFont="1" applyFill="1" applyBorder="1" applyAlignment="1" applyProtection="1">
      <alignment horizontal="right"/>
      <protection locked="0"/>
    </xf>
    <xf numFmtId="1" fontId="3" fillId="4" borderId="990" xfId="0" applyNumberFormat="1" applyFont="1" applyFill="1" applyBorder="1" applyAlignment="1" applyProtection="1">
      <alignment horizontal="right"/>
      <protection locked="0"/>
    </xf>
    <xf numFmtId="1" fontId="3" fillId="0" borderId="255" xfId="0" applyNumberFormat="1" applyFont="1" applyBorder="1" applyAlignment="1">
      <alignment horizontal="right" vertical="center"/>
    </xf>
    <xf numFmtId="1" fontId="3" fillId="0" borderId="251" xfId="0" applyNumberFormat="1" applyFont="1" applyBorder="1" applyAlignment="1">
      <alignment horizontal="right" vertical="center"/>
    </xf>
    <xf numFmtId="1" fontId="3" fillId="0" borderId="770" xfId="0" applyNumberFormat="1" applyFont="1" applyBorder="1" applyAlignment="1">
      <alignment horizontal="right" vertical="center"/>
    </xf>
    <xf numFmtId="1" fontId="3" fillId="0" borderId="914" xfId="0" applyNumberFormat="1" applyFont="1" applyBorder="1" applyAlignment="1">
      <alignment horizontal="right"/>
    </xf>
    <xf numFmtId="1" fontId="3" fillId="0" borderId="913" xfId="0" applyNumberFormat="1" applyFont="1" applyBorder="1" applyAlignment="1">
      <alignment horizontal="right"/>
    </xf>
    <xf numFmtId="1" fontId="3" fillId="0" borderId="964" xfId="0" applyNumberFormat="1" applyFont="1" applyBorder="1" applyAlignment="1">
      <alignment horizontal="right"/>
    </xf>
    <xf numFmtId="1" fontId="3" fillId="0" borderId="924" xfId="0" applyNumberFormat="1" applyFont="1" applyBorder="1" applyAlignment="1">
      <alignment horizontal="right"/>
    </xf>
    <xf numFmtId="1" fontId="3" fillId="0" borderId="991" xfId="0" applyNumberFormat="1" applyFont="1" applyBorder="1" applyAlignment="1">
      <alignment horizontal="right"/>
    </xf>
    <xf numFmtId="1" fontId="3" fillId="0" borderId="925" xfId="0" applyNumberFormat="1" applyFont="1" applyBorder="1" applyAlignment="1">
      <alignment horizontal="right"/>
    </xf>
    <xf numFmtId="1" fontId="3" fillId="0" borderId="963" xfId="0" applyNumberFormat="1" applyFont="1" applyBorder="1" applyAlignment="1">
      <alignment horizontal="right"/>
    </xf>
    <xf numFmtId="1" fontId="3" fillId="0" borderId="915" xfId="0" applyNumberFormat="1" applyFont="1" applyBorder="1" applyAlignment="1">
      <alignment horizontal="right"/>
    </xf>
    <xf numFmtId="1" fontId="3" fillId="0" borderId="914" xfId="0" applyNumberFormat="1" applyFont="1" applyBorder="1" applyAlignment="1">
      <alignment horizontal="center" vertical="center"/>
    </xf>
    <xf numFmtId="1" fontId="3" fillId="0" borderId="915" xfId="0" applyNumberFormat="1" applyFont="1" applyBorder="1" applyAlignment="1">
      <alignment horizontal="center" vertical="center"/>
    </xf>
    <xf numFmtId="1" fontId="3" fillId="0" borderId="913" xfId="0" applyNumberFormat="1" applyFont="1" applyBorder="1" applyAlignment="1">
      <alignment horizontal="center" vertical="center"/>
    </xf>
    <xf numFmtId="1" fontId="3" fillId="0" borderId="911" xfId="0" applyNumberFormat="1" applyFont="1" applyBorder="1" applyAlignment="1">
      <alignment horizontal="center" vertical="center"/>
    </xf>
    <xf numFmtId="1" fontId="3" fillId="0" borderId="900" xfId="0" applyNumberFormat="1" applyFont="1" applyBorder="1" applyAlignment="1">
      <alignment vertical="center" wrapText="1"/>
    </xf>
    <xf numFmtId="1" fontId="3" fillId="0" borderId="280" xfId="0" applyNumberFormat="1" applyFont="1" applyBorder="1" applyAlignment="1">
      <alignment horizontal="right" vertical="center" wrapText="1"/>
    </xf>
    <xf numFmtId="1" fontId="3" fillId="7" borderId="271" xfId="0" applyNumberFormat="1" applyFont="1" applyFill="1" applyBorder="1" applyAlignment="1">
      <alignment horizontal="right"/>
    </xf>
    <xf numFmtId="1" fontId="3" fillId="7" borderId="979" xfId="0" applyNumberFormat="1" applyFont="1" applyFill="1" applyBorder="1" applyAlignment="1">
      <alignment horizontal="right"/>
    </xf>
    <xf numFmtId="1" fontId="3" fillId="7" borderId="728" xfId="0" applyNumberFormat="1" applyFont="1" applyFill="1" applyBorder="1" applyAlignment="1">
      <alignment horizontal="right"/>
    </xf>
    <xf numFmtId="1" fontId="3" fillId="0" borderId="958" xfId="0" applyNumberFormat="1" applyFont="1" applyBorder="1" applyAlignment="1">
      <alignment vertical="center" wrapText="1"/>
    </xf>
    <xf numFmtId="1" fontId="3" fillId="7" borderId="268" xfId="0" applyNumberFormat="1" applyFont="1" applyFill="1" applyBorder="1" applyAlignment="1">
      <alignment horizontal="right"/>
    </xf>
    <xf numFmtId="1" fontId="3" fillId="4" borderId="356" xfId="0" applyNumberFormat="1" applyFont="1" applyFill="1" applyBorder="1" applyAlignment="1" applyProtection="1">
      <alignment horizontal="right"/>
      <protection locked="0"/>
    </xf>
    <xf numFmtId="1" fontId="3" fillId="4" borderId="357" xfId="0" applyNumberFormat="1" applyFont="1" applyFill="1" applyBorder="1" applyAlignment="1" applyProtection="1">
      <alignment horizontal="right"/>
      <protection locked="0"/>
    </xf>
    <xf numFmtId="1" fontId="3" fillId="0" borderId="918" xfId="0" applyNumberFormat="1" applyFont="1" applyBorder="1" applyAlignment="1">
      <alignment horizontal="right" vertical="center" wrapText="1"/>
    </xf>
    <xf numFmtId="1" fontId="3" fillId="0" borderId="699" xfId="0" applyNumberFormat="1" applyFont="1" applyBorder="1" applyAlignment="1">
      <alignment horizontal="right" vertical="center" wrapText="1"/>
    </xf>
    <xf numFmtId="1" fontId="3" fillId="7" borderId="918" xfId="14" applyNumberFormat="1" applyFont="1" applyFill="1" applyBorder="1"/>
    <xf numFmtId="1" fontId="3" fillId="7" borderId="917" xfId="14" applyNumberFormat="1" applyFont="1" applyFill="1" applyBorder="1"/>
    <xf numFmtId="1" fontId="3" fillId="4" borderId="899" xfId="0" applyNumberFormat="1" applyFont="1" applyFill="1" applyBorder="1" applyAlignment="1" applyProtection="1">
      <alignment horizontal="right"/>
      <protection locked="0"/>
    </xf>
    <xf numFmtId="1" fontId="3" fillId="7" borderId="983" xfId="14" applyNumberFormat="1" applyFont="1" applyFill="1" applyBorder="1"/>
    <xf numFmtId="1" fontId="3" fillId="7" borderId="970" xfId="14" applyNumberFormat="1" applyFont="1" applyFill="1" applyBorder="1"/>
    <xf numFmtId="1" fontId="3" fillId="4" borderId="268" xfId="0" applyNumberFormat="1" applyFont="1" applyFill="1" applyBorder="1" applyAlignment="1" applyProtection="1">
      <alignment horizontal="right"/>
      <protection locked="0"/>
    </xf>
    <xf numFmtId="1" fontId="3" fillId="0" borderId="299" xfId="0" applyNumberFormat="1" applyFont="1" applyBorder="1" applyAlignment="1">
      <alignment horizontal="left" vertical="center"/>
    </xf>
    <xf numFmtId="1" fontId="3" fillId="0" borderId="962" xfId="0" applyNumberFormat="1" applyFont="1" applyBorder="1" applyAlignment="1">
      <alignment vertical="center" wrapText="1"/>
    </xf>
    <xf numFmtId="1" fontId="3" fillId="4" borderId="992" xfId="0" applyNumberFormat="1" applyFont="1" applyFill="1" applyBorder="1" applyAlignment="1" applyProtection="1">
      <alignment horizontal="right"/>
      <protection locked="0"/>
    </xf>
    <xf numFmtId="1" fontId="3" fillId="4" borderId="968" xfId="0" applyNumberFormat="1" applyFont="1" applyFill="1" applyBorder="1" applyAlignment="1" applyProtection="1">
      <alignment horizontal="right"/>
      <protection locked="0"/>
    </xf>
    <xf numFmtId="1" fontId="3" fillId="4" borderId="967" xfId="0" applyNumberFormat="1" applyFont="1" applyFill="1" applyBorder="1" applyAlignment="1" applyProtection="1">
      <alignment horizontal="right"/>
      <protection locked="0"/>
    </xf>
    <xf numFmtId="1" fontId="3" fillId="7" borderId="918" xfId="0" applyNumberFormat="1" applyFont="1" applyFill="1" applyBorder="1" applyAlignment="1">
      <alignment horizontal="right"/>
    </xf>
    <xf numFmtId="1" fontId="3" fillId="7" borderId="717" xfId="0" applyNumberFormat="1" applyFont="1" applyFill="1" applyBorder="1" applyAlignment="1">
      <alignment horizontal="right"/>
    </xf>
    <xf numFmtId="1" fontId="3" fillId="0" borderId="967" xfId="0" applyNumberFormat="1" applyFont="1" applyBorder="1" applyAlignment="1">
      <alignment horizontal="right" vertical="center" wrapText="1"/>
    </xf>
    <xf numFmtId="1" fontId="3" fillId="7" borderId="988" xfId="0" applyNumberFormat="1" applyFont="1" applyFill="1" applyBorder="1" applyAlignment="1">
      <alignment horizontal="right"/>
    </xf>
    <xf numFmtId="1" fontId="3" fillId="7" borderId="961" xfId="0" applyNumberFormat="1" applyFont="1" applyFill="1" applyBorder="1" applyAlignment="1">
      <alignment horizontal="right"/>
    </xf>
    <xf numFmtId="1" fontId="3" fillId="0" borderId="899" xfId="0" applyNumberFormat="1" applyFont="1" applyBorder="1" applyAlignment="1">
      <alignment horizontal="left" vertical="center"/>
    </xf>
    <xf numFmtId="1" fontId="3" fillId="0" borderId="280" xfId="0" applyNumberFormat="1" applyFont="1" applyBorder="1" applyAlignment="1">
      <alignment horizontal="right" vertical="center"/>
    </xf>
    <xf numFmtId="1" fontId="3" fillId="4" borderId="280" xfId="0" applyNumberFormat="1" applyFont="1" applyFill="1" applyBorder="1" applyAlignment="1" applyProtection="1">
      <alignment horizontal="right"/>
      <protection locked="0"/>
    </xf>
    <xf numFmtId="1" fontId="3" fillId="0" borderId="982" xfId="0" applyNumberFormat="1" applyFont="1" applyBorder="1" applyAlignment="1">
      <alignment horizontal="left" vertical="center"/>
    </xf>
    <xf numFmtId="1" fontId="3" fillId="0" borderId="987" xfId="0" applyNumberFormat="1" applyFont="1" applyBorder="1" applyAlignment="1">
      <alignment horizontal="right" vertical="center"/>
    </xf>
    <xf numFmtId="1" fontId="3" fillId="4" borderId="982" xfId="0" applyNumberFormat="1" applyFont="1" applyFill="1" applyBorder="1" applyAlignment="1" applyProtection="1">
      <alignment horizontal="right"/>
      <protection locked="0"/>
    </xf>
    <xf numFmtId="1" fontId="3" fillId="0" borderId="982" xfId="0" applyNumberFormat="1" applyFont="1" applyBorder="1" applyAlignment="1">
      <alignment horizontal="left" vertical="center" wrapText="1"/>
    </xf>
    <xf numFmtId="1" fontId="3" fillId="0" borderId="987" xfId="0" applyNumberFormat="1" applyFont="1" applyBorder="1" applyAlignment="1">
      <alignment horizontal="right" vertical="center" wrapText="1"/>
    </xf>
    <xf numFmtId="1" fontId="3" fillId="0" borderId="988" xfId="0" applyNumberFormat="1" applyFont="1" applyBorder="1" applyAlignment="1">
      <alignment horizontal="right" vertical="center"/>
    </xf>
    <xf numFmtId="1" fontId="3" fillId="0" borderId="357" xfId="0" applyNumberFormat="1" applyFont="1" applyBorder="1" applyAlignment="1">
      <alignment horizontal="right" vertical="center"/>
    </xf>
    <xf numFmtId="1" fontId="3" fillId="0" borderId="909" xfId="0" applyNumberFormat="1" applyFont="1" applyBorder="1" applyAlignment="1">
      <alignment horizontal="right"/>
    </xf>
    <xf numFmtId="1" fontId="3" fillId="0" borderId="910" xfId="0" applyNumberFormat="1" applyFont="1" applyBorder="1" applyAlignment="1">
      <alignment horizontal="right"/>
    </xf>
    <xf numFmtId="1" fontId="3" fillId="0" borderId="916" xfId="0" applyNumberFormat="1" applyFont="1" applyBorder="1" applyAlignment="1">
      <alignment horizontal="right"/>
    </xf>
    <xf numFmtId="1" fontId="3" fillId="0" borderId="909" xfId="0" applyNumberFormat="1" applyFont="1" applyBorder="1" applyAlignment="1">
      <alignment horizontal="center"/>
    </xf>
    <xf numFmtId="1" fontId="3" fillId="0" borderId="909" xfId="0" applyNumberFormat="1" applyFont="1" applyBorder="1" applyAlignment="1">
      <alignment horizontal="center" vertical="center"/>
    </xf>
    <xf numFmtId="1" fontId="3" fillId="0" borderId="979" xfId="14" applyNumberFormat="1" applyFont="1" applyBorder="1" applyAlignment="1">
      <alignment horizontal="center" vertical="center" wrapText="1"/>
    </xf>
    <xf numFmtId="1" fontId="3" fillId="0" borderId="910" xfId="0" applyNumberFormat="1" applyFont="1" applyBorder="1" applyAlignment="1">
      <alignment horizontal="center" vertical="center"/>
    </xf>
    <xf numFmtId="1" fontId="3" fillId="0" borderId="963" xfId="14" applyNumberFormat="1" applyFont="1" applyBorder="1" applyAlignment="1" applyProtection="1">
      <alignment horizontal="center" vertical="center"/>
      <protection hidden="1"/>
    </xf>
    <xf numFmtId="1" fontId="3" fillId="0" borderId="964" xfId="14" applyNumberFormat="1" applyFont="1" applyBorder="1" applyAlignment="1" applyProtection="1">
      <alignment horizontal="center" vertical="center"/>
      <protection hidden="1"/>
    </xf>
    <xf numFmtId="1" fontId="3" fillId="0" borderId="899" xfId="15" applyNumberFormat="1" applyFont="1" applyBorder="1" applyAlignment="1">
      <alignment wrapText="1"/>
    </xf>
    <xf numFmtId="1" fontId="3" fillId="0" borderId="918" xfId="15" applyNumberFormat="1" applyFont="1" applyBorder="1" applyAlignment="1">
      <alignment horizontal="right" wrapText="1"/>
    </xf>
    <xf numFmtId="1" fontId="3" fillId="0" borderId="926" xfId="15" applyNumberFormat="1" applyFont="1" applyBorder="1" applyAlignment="1">
      <alignment horizontal="right" wrapText="1"/>
    </xf>
    <xf numFmtId="1" fontId="3" fillId="0" borderId="917" xfId="14" applyNumberFormat="1" applyFont="1" applyBorder="1" applyAlignment="1">
      <alignment horizontal="right"/>
    </xf>
    <xf numFmtId="1" fontId="3" fillId="4" borderId="918" xfId="14" applyNumberFormat="1" applyFont="1" applyFill="1" applyBorder="1" applyProtection="1">
      <protection locked="0"/>
    </xf>
    <xf numFmtId="1" fontId="3" fillId="4" borderId="917" xfId="14" applyNumberFormat="1" applyFont="1" applyFill="1" applyBorder="1" applyProtection="1">
      <protection locked="0"/>
    </xf>
    <xf numFmtId="1" fontId="3" fillId="7" borderId="934" xfId="14" applyNumberFormat="1" applyFont="1" applyFill="1" applyBorder="1"/>
    <xf numFmtId="1" fontId="3" fillId="4" borderId="271" xfId="14" applyNumberFormat="1" applyFont="1" applyFill="1" applyBorder="1" applyProtection="1">
      <protection locked="0"/>
    </xf>
    <xf numFmtId="1" fontId="3" fillId="0" borderId="982" xfId="16" applyNumberFormat="1" applyFont="1" applyBorder="1" applyAlignment="1">
      <alignment vertical="center" wrapText="1"/>
    </xf>
    <xf numFmtId="1" fontId="3" fillId="0" borderId="983" xfId="16" applyNumberFormat="1" applyFont="1" applyBorder="1" applyAlignment="1">
      <alignment horizontal="right" wrapText="1"/>
    </xf>
    <xf numFmtId="1" fontId="3" fillId="0" borderId="960" xfId="16" applyNumberFormat="1" applyFont="1" applyBorder="1" applyAlignment="1">
      <alignment horizontal="right" wrapText="1"/>
    </xf>
    <xf numFmtId="1" fontId="3" fillId="0" borderId="970" xfId="14" applyNumberFormat="1" applyFont="1" applyBorder="1" applyAlignment="1">
      <alignment horizontal="right"/>
    </xf>
    <xf numFmtId="1" fontId="3" fillId="4" borderId="983" xfId="14" applyNumberFormat="1" applyFont="1" applyFill="1" applyBorder="1" applyProtection="1">
      <protection locked="0"/>
    </xf>
    <xf numFmtId="1" fontId="3" fillId="4" borderId="970" xfId="14" applyNumberFormat="1" applyFont="1" applyFill="1" applyBorder="1" applyProtection="1">
      <protection locked="0"/>
    </xf>
    <xf numFmtId="1" fontId="3" fillId="4" borderId="973" xfId="14" applyNumberFormat="1" applyFont="1" applyFill="1" applyBorder="1" applyProtection="1">
      <protection locked="0"/>
    </xf>
    <xf numFmtId="1" fontId="3" fillId="4" borderId="986" xfId="14" applyNumberFormat="1" applyFont="1" applyFill="1" applyBorder="1" applyProtection="1">
      <protection locked="0"/>
    </xf>
    <xf numFmtId="1" fontId="3" fillId="4" borderId="966" xfId="14" applyNumberFormat="1" applyFont="1" applyFill="1" applyBorder="1" applyProtection="1">
      <protection locked="0"/>
    </xf>
    <xf numFmtId="1" fontId="3" fillId="4" borderId="960" xfId="14" applyNumberFormat="1" applyFont="1" applyFill="1" applyBorder="1" applyProtection="1">
      <protection locked="0"/>
    </xf>
    <xf numFmtId="1" fontId="3" fillId="0" borderId="982" xfId="15" applyNumberFormat="1" applyFont="1" applyBorder="1" applyAlignment="1">
      <alignment vertical="center" wrapText="1"/>
    </xf>
    <xf numFmtId="1" fontId="3" fillId="0" borderId="983" xfId="0" applyNumberFormat="1" applyFont="1" applyBorder="1" applyAlignment="1">
      <alignment horizontal="right"/>
    </xf>
    <xf numFmtId="1" fontId="3" fillId="0" borderId="960" xfId="0" applyNumberFormat="1" applyFont="1" applyBorder="1" applyAlignment="1">
      <alignment horizontal="right"/>
    </xf>
    <xf numFmtId="1" fontId="3" fillId="0" borderId="958" xfId="15" applyNumberFormat="1" applyFont="1" applyBorder="1" applyAlignment="1">
      <alignment vertical="center" wrapText="1"/>
    </xf>
    <xf numFmtId="1" fontId="3" fillId="4" borderId="356" xfId="14" applyNumberFormat="1" applyFont="1" applyFill="1" applyBorder="1" applyProtection="1">
      <protection locked="0"/>
    </xf>
    <xf numFmtId="1" fontId="3" fillId="4" borderId="361" xfId="14" applyNumberFormat="1" applyFont="1" applyFill="1" applyBorder="1" applyProtection="1">
      <protection locked="0"/>
    </xf>
    <xf numFmtId="1" fontId="3" fillId="4" borderId="353" xfId="14" applyNumberFormat="1" applyFont="1" applyFill="1" applyBorder="1" applyProtection="1">
      <protection locked="0"/>
    </xf>
    <xf numFmtId="1" fontId="3" fillId="0" borderId="973" xfId="0" applyNumberFormat="1" applyFont="1" applyBorder="1" applyAlignment="1">
      <alignment vertical="center" wrapText="1"/>
    </xf>
    <xf numFmtId="1" fontId="3" fillId="0" borderId="962" xfId="15" applyNumberFormat="1" applyFont="1" applyBorder="1" applyAlignment="1">
      <alignment vertical="center" wrapText="1"/>
    </xf>
    <xf numFmtId="1" fontId="3" fillId="0" borderId="255" xfId="0" applyNumberFormat="1" applyFont="1" applyBorder="1" applyAlignment="1">
      <alignment horizontal="right"/>
    </xf>
    <xf numFmtId="1" fontId="3" fillId="0" borderId="251" xfId="0" applyNumberFormat="1" applyFont="1" applyBorder="1" applyAlignment="1">
      <alignment horizontal="right"/>
    </xf>
    <xf numFmtId="1" fontId="3" fillId="0" borderId="354" xfId="14" applyNumberFormat="1" applyFont="1" applyBorder="1" applyAlignment="1">
      <alignment horizontal="right"/>
    </xf>
    <xf numFmtId="1" fontId="3" fillId="4" borderId="988" xfId="14" applyNumberFormat="1" applyFont="1" applyFill="1" applyBorder="1" applyProtection="1">
      <protection locked="0"/>
    </xf>
    <xf numFmtId="1" fontId="3" fillId="4" borderId="354" xfId="14" applyNumberFormat="1" applyFont="1" applyFill="1" applyBorder="1" applyProtection="1">
      <protection locked="0"/>
    </xf>
    <xf numFmtId="1" fontId="3" fillId="4" borderId="367" xfId="14" applyNumberFormat="1" applyFont="1" applyFill="1" applyBorder="1" applyProtection="1">
      <protection locked="0"/>
    </xf>
    <xf numFmtId="1" fontId="3" fillId="4" borderId="968" xfId="14" applyNumberFormat="1" applyFont="1" applyFill="1" applyBorder="1" applyProtection="1">
      <protection locked="0"/>
    </xf>
    <xf numFmtId="1" fontId="3" fillId="4" borderId="961" xfId="14" applyNumberFormat="1" applyFont="1" applyFill="1" applyBorder="1" applyProtection="1">
      <protection locked="0"/>
    </xf>
    <xf numFmtId="1" fontId="3" fillId="4" borderId="969" xfId="14" applyNumberFormat="1" applyFont="1" applyFill="1" applyBorder="1" applyProtection="1">
      <protection locked="0"/>
    </xf>
    <xf numFmtId="1" fontId="3" fillId="0" borderId="913" xfId="0" applyNumberFormat="1" applyFont="1" applyBorder="1" applyAlignment="1">
      <alignment horizontal="center" vertical="center" wrapText="1"/>
    </xf>
    <xf numFmtId="1" fontId="3" fillId="0" borderId="924" xfId="0" applyNumberFormat="1" applyFont="1" applyBorder="1" applyAlignment="1">
      <alignment horizontal="center" vertical="center"/>
    </xf>
    <xf numFmtId="1" fontId="3" fillId="0" borderId="916" xfId="0" applyNumberFormat="1" applyFont="1" applyBorder="1"/>
    <xf numFmtId="1" fontId="3" fillId="4" borderId="914" xfId="0" applyNumberFormat="1" applyFont="1" applyFill="1" applyBorder="1" applyProtection="1">
      <protection locked="0"/>
    </xf>
    <xf numFmtId="1" fontId="3" fillId="4" borderId="913" xfId="0" applyNumberFormat="1" applyFont="1" applyFill="1" applyBorder="1" applyProtection="1">
      <protection locked="0"/>
    </xf>
    <xf numFmtId="1" fontId="3" fillId="4" borderId="924" xfId="0" applyNumberFormat="1" applyFont="1" applyFill="1" applyBorder="1" applyProtection="1">
      <protection locked="0"/>
    </xf>
    <xf numFmtId="1" fontId="3" fillId="4" borderId="991" xfId="0" applyNumberFormat="1" applyFont="1" applyFill="1" applyBorder="1" applyProtection="1">
      <protection locked="0"/>
    </xf>
    <xf numFmtId="1" fontId="3" fillId="4" borderId="964" xfId="0" applyNumberFormat="1" applyFont="1" applyFill="1" applyBorder="1" applyProtection="1">
      <protection locked="0"/>
    </xf>
    <xf numFmtId="1" fontId="3" fillId="4" borderId="925" xfId="0" applyNumberFormat="1" applyFont="1" applyFill="1" applyBorder="1" applyProtection="1">
      <protection locked="0"/>
    </xf>
    <xf numFmtId="1" fontId="3" fillId="0" borderId="910" xfId="0" applyNumberFormat="1" applyFont="1" applyBorder="1" applyAlignment="1">
      <alignment horizontal="center" vertical="center" wrapText="1"/>
    </xf>
    <xf numFmtId="1" fontId="3" fillId="0" borderId="896" xfId="0" applyNumberFormat="1" applyFont="1" applyBorder="1"/>
    <xf numFmtId="1" fontId="3" fillId="0" borderId="918" xfId="0" applyNumberFormat="1" applyFont="1" applyBorder="1" applyAlignment="1">
      <alignment horizontal="right"/>
    </xf>
    <xf numFmtId="1" fontId="3" fillId="0" borderId="926" xfId="0" applyNumberFormat="1" applyFont="1" applyBorder="1" applyAlignment="1">
      <alignment horizontal="right"/>
    </xf>
    <xf numFmtId="1" fontId="3" fillId="0" borderId="917" xfId="0" applyNumberFormat="1" applyFont="1" applyBorder="1" applyAlignment="1">
      <alignment horizontal="right"/>
    </xf>
    <xf numFmtId="1" fontId="3" fillId="4" borderId="918" xfId="0" applyNumberFormat="1" applyFont="1" applyFill="1" applyBorder="1" applyProtection="1">
      <protection locked="0"/>
    </xf>
    <xf numFmtId="1" fontId="3" fillId="4" borderId="917" xfId="0" applyNumberFormat="1" applyFont="1" applyFill="1" applyBorder="1" applyProtection="1">
      <protection locked="0"/>
    </xf>
    <xf numFmtId="1" fontId="3" fillId="4" borderId="926" xfId="0" applyNumberFormat="1" applyFont="1" applyFill="1" applyBorder="1" applyProtection="1">
      <protection locked="0"/>
    </xf>
    <xf numFmtId="1" fontId="3" fillId="4" borderId="981" xfId="0" applyNumberFormat="1" applyFont="1" applyFill="1" applyBorder="1" applyProtection="1">
      <protection locked="0"/>
    </xf>
    <xf numFmtId="1" fontId="3" fillId="4" borderId="899" xfId="0" applyNumberFormat="1" applyFont="1" applyFill="1" applyBorder="1" applyProtection="1">
      <protection locked="0"/>
    </xf>
    <xf numFmtId="1" fontId="3" fillId="4" borderId="908" xfId="0" applyNumberFormat="1" applyFont="1" applyFill="1" applyBorder="1" applyProtection="1">
      <protection locked="0"/>
    </xf>
    <xf numFmtId="1" fontId="3" fillId="0" borderId="982" xfId="0" applyNumberFormat="1" applyFont="1" applyBorder="1"/>
    <xf numFmtId="1" fontId="3" fillId="0" borderId="970" xfId="0" applyNumberFormat="1" applyFont="1" applyBorder="1" applyAlignment="1">
      <alignment horizontal="right"/>
    </xf>
    <xf numFmtId="1" fontId="3" fillId="4" borderId="983" xfId="0" applyNumberFormat="1" applyFont="1" applyFill="1" applyBorder="1" applyProtection="1">
      <protection locked="0"/>
    </xf>
    <xf numFmtId="1" fontId="3" fillId="4" borderId="970" xfId="0" applyNumberFormat="1" applyFont="1" applyFill="1" applyBorder="1" applyProtection="1">
      <protection locked="0"/>
    </xf>
    <xf numFmtId="1" fontId="3" fillId="4" borderId="960" xfId="0" applyNumberFormat="1" applyFont="1" applyFill="1" applyBorder="1" applyProtection="1">
      <protection locked="0"/>
    </xf>
    <xf numFmtId="1" fontId="3" fillId="4" borderId="984" xfId="0" applyNumberFormat="1" applyFont="1" applyFill="1" applyBorder="1" applyProtection="1">
      <protection locked="0"/>
    </xf>
    <xf numFmtId="1" fontId="3" fillId="4" borderId="966" xfId="0" applyNumberFormat="1" applyFont="1" applyFill="1" applyBorder="1" applyProtection="1">
      <protection locked="0"/>
    </xf>
    <xf numFmtId="1" fontId="3" fillId="4" borderId="982" xfId="0" applyNumberFormat="1" applyFont="1" applyFill="1" applyBorder="1" applyProtection="1">
      <protection locked="0"/>
    </xf>
    <xf numFmtId="1" fontId="3" fillId="4" borderId="985" xfId="0" applyNumberFormat="1" applyFont="1" applyFill="1" applyBorder="1" applyProtection="1">
      <protection locked="0"/>
    </xf>
    <xf numFmtId="1" fontId="3" fillId="0" borderId="988" xfId="0" applyNumberFormat="1" applyFont="1" applyBorder="1" applyAlignment="1">
      <alignment horizontal="right"/>
    </xf>
    <xf numFmtId="1" fontId="3" fillId="0" borderId="969" xfId="0" applyNumberFormat="1" applyFont="1" applyBorder="1" applyAlignment="1">
      <alignment horizontal="right"/>
    </xf>
    <xf numFmtId="1" fontId="3" fillId="4" borderId="364" xfId="0" applyNumberFormat="1" applyFont="1" applyFill="1" applyBorder="1" applyProtection="1">
      <protection locked="0"/>
    </xf>
    <xf numFmtId="1" fontId="3" fillId="0" borderId="916" xfId="0" applyNumberFormat="1" applyFont="1" applyBorder="1" applyAlignment="1">
      <alignment horizontal="center"/>
    </xf>
    <xf numFmtId="1" fontId="3" fillId="0" borderId="914" xfId="0" applyNumberFormat="1" applyFont="1" applyBorder="1"/>
    <xf numFmtId="1" fontId="3" fillId="0" borderId="913" xfId="0" applyNumberFormat="1" applyFont="1" applyBorder="1"/>
    <xf numFmtId="1" fontId="3" fillId="0" borderId="924" xfId="0" applyNumberFormat="1" applyFont="1" applyBorder="1"/>
    <xf numFmtId="1" fontId="3" fillId="0" borderId="991" xfId="0" applyNumberFormat="1" applyFont="1" applyBorder="1"/>
    <xf numFmtId="1" fontId="3" fillId="0" borderId="964" xfId="0" applyNumberFormat="1" applyFont="1" applyBorder="1"/>
    <xf numFmtId="1" fontId="3" fillId="0" borderId="909" xfId="0" applyNumberFormat="1" applyFont="1" applyBorder="1"/>
    <xf numFmtId="1" fontId="3" fillId="0" borderId="925" xfId="0" applyNumberFormat="1" applyFont="1" applyBorder="1"/>
    <xf numFmtId="1" fontId="3" fillId="0" borderId="896" xfId="0" applyNumberFormat="1" applyFont="1" applyBorder="1" applyAlignment="1">
      <alignment horizontal="center" vertical="center" wrapText="1"/>
    </xf>
    <xf numFmtId="1" fontId="3" fillId="0" borderId="909" xfId="0" applyNumberFormat="1" applyFont="1" applyBorder="1" applyAlignment="1">
      <alignment horizontal="center" vertical="center" wrapText="1"/>
    </xf>
    <xf numFmtId="1" fontId="3" fillId="0" borderId="914" xfId="0" applyNumberFormat="1" applyFont="1" applyBorder="1" applyAlignment="1">
      <alignment horizontal="center" vertical="center" wrapText="1"/>
    </xf>
    <xf numFmtId="1" fontId="3" fillId="0" borderId="924" xfId="0" applyNumberFormat="1" applyFont="1" applyBorder="1" applyAlignment="1">
      <alignment horizontal="center" vertical="center" wrapText="1"/>
    </xf>
    <xf numFmtId="1" fontId="3" fillId="0" borderId="911" xfId="0" applyNumberFormat="1" applyFont="1" applyBorder="1" applyAlignment="1">
      <alignment horizontal="center" vertical="center" wrapText="1"/>
    </xf>
    <xf numFmtId="1" fontId="3" fillId="0" borderId="899" xfId="0" applyNumberFormat="1" applyFont="1" applyBorder="1"/>
    <xf numFmtId="1" fontId="3" fillId="0" borderId="992" xfId="0" applyNumberFormat="1" applyFont="1" applyBorder="1"/>
    <xf numFmtId="1" fontId="3" fillId="4" borderId="988" xfId="0" applyNumberFormat="1" applyFont="1" applyFill="1" applyBorder="1" applyProtection="1">
      <protection locked="0"/>
    </xf>
    <xf numFmtId="1" fontId="3" fillId="4" borderId="961" xfId="0" applyNumberFormat="1" applyFont="1" applyFill="1" applyBorder="1" applyProtection="1">
      <protection locked="0"/>
    </xf>
    <xf numFmtId="1" fontId="3" fillId="0" borderId="915" xfId="0" applyNumberFormat="1" applyFont="1" applyBorder="1"/>
    <xf numFmtId="1" fontId="3" fillId="0" borderId="899" xfId="0" applyNumberFormat="1" applyFont="1" applyBorder="1" applyAlignment="1">
      <alignment vertical="center"/>
    </xf>
    <xf numFmtId="1" fontId="3" fillId="7" borderId="717" xfId="14" applyNumberFormat="1" applyFont="1" applyFill="1" applyBorder="1"/>
    <xf numFmtId="1" fontId="3" fillId="7" borderId="926" xfId="14" applyNumberFormat="1" applyFont="1" applyFill="1" applyBorder="1"/>
    <xf numFmtId="1" fontId="3" fillId="7" borderId="981" xfId="14" applyNumberFormat="1" applyFont="1" applyFill="1" applyBorder="1"/>
    <xf numFmtId="1" fontId="3" fillId="7" borderId="899" xfId="14" applyNumberFormat="1" applyFont="1" applyFill="1" applyBorder="1"/>
    <xf numFmtId="1" fontId="3" fillId="7" borderId="960" xfId="14" applyNumberFormat="1" applyFont="1" applyFill="1" applyBorder="1"/>
    <xf numFmtId="1" fontId="3" fillId="7" borderId="984" xfId="14" applyNumberFormat="1" applyFont="1" applyFill="1" applyBorder="1"/>
    <xf numFmtId="1" fontId="3" fillId="7" borderId="966" xfId="14" applyNumberFormat="1" applyFont="1" applyFill="1" applyBorder="1"/>
    <xf numFmtId="1" fontId="3" fillId="0" borderId="394" xfId="0" applyNumberFormat="1" applyFont="1" applyBorder="1" applyAlignment="1">
      <alignment vertical="center"/>
    </xf>
    <xf numFmtId="1" fontId="3" fillId="0" borderId="353" xfId="0" applyNumberFormat="1" applyFont="1" applyBorder="1" applyAlignment="1">
      <alignment horizontal="right"/>
    </xf>
    <xf numFmtId="1" fontId="3" fillId="4" borderId="969" xfId="0" applyNumberFormat="1" applyFont="1" applyFill="1" applyBorder="1" applyProtection="1">
      <protection locked="0"/>
    </xf>
    <xf numFmtId="1" fontId="3" fillId="4" borderId="989" xfId="0" applyNumberFormat="1" applyFont="1" applyFill="1" applyBorder="1" applyProtection="1">
      <protection locked="0"/>
    </xf>
    <xf numFmtId="1" fontId="3" fillId="4" borderId="992" xfId="0" applyNumberFormat="1" applyFont="1" applyFill="1" applyBorder="1" applyProtection="1">
      <protection locked="0"/>
    </xf>
    <xf numFmtId="1" fontId="3" fillId="0" borderId="914" xfId="0" applyNumberFormat="1" applyFont="1" applyBorder="1" applyAlignment="1">
      <alignment horizontal="right" vertical="center"/>
    </xf>
    <xf numFmtId="1" fontId="3" fillId="3" borderId="913" xfId="0" applyNumberFormat="1" applyFont="1" applyFill="1" applyBorder="1" applyAlignment="1">
      <alignment horizontal="center" vertical="center"/>
    </xf>
    <xf numFmtId="1" fontId="3" fillId="7" borderId="917" xfId="0" applyNumberFormat="1" applyFont="1" applyFill="1" applyBorder="1" applyAlignment="1">
      <alignment horizontal="right"/>
    </xf>
    <xf numFmtId="1" fontId="3" fillId="4" borderId="289" xfId="0" applyNumberFormat="1" applyFont="1" applyFill="1" applyBorder="1" applyAlignment="1" applyProtection="1">
      <alignment horizontal="right"/>
      <protection locked="0"/>
    </xf>
    <xf numFmtId="1" fontId="3" fillId="3" borderId="982" xfId="0" applyNumberFormat="1" applyFont="1" applyFill="1" applyBorder="1" applyAlignment="1">
      <alignment vertical="center" wrapText="1"/>
    </xf>
    <xf numFmtId="1" fontId="3" fillId="3" borderId="960" xfId="0" applyNumberFormat="1" applyFont="1" applyFill="1" applyBorder="1" applyAlignment="1">
      <alignment horizontal="right" wrapText="1"/>
    </xf>
    <xf numFmtId="1" fontId="3" fillId="4" borderId="361" xfId="0" applyNumberFormat="1" applyFont="1" applyFill="1" applyBorder="1" applyAlignment="1" applyProtection="1">
      <alignment horizontal="right"/>
      <protection locked="0"/>
    </xf>
    <xf numFmtId="1" fontId="3" fillId="4" borderId="353" xfId="0" applyNumberFormat="1" applyFont="1" applyFill="1" applyBorder="1" applyAlignment="1" applyProtection="1">
      <alignment horizontal="right"/>
      <protection locked="0"/>
    </xf>
    <xf numFmtId="1" fontId="3" fillId="4" borderId="364" xfId="0" applyNumberFormat="1" applyFont="1" applyFill="1" applyBorder="1" applyAlignment="1" applyProtection="1">
      <alignment horizontal="right"/>
      <protection locked="0"/>
    </xf>
    <xf numFmtId="1" fontId="3" fillId="3" borderId="992" xfId="0" applyNumberFormat="1" applyFont="1" applyFill="1" applyBorder="1" applyAlignment="1">
      <alignment vertical="center" wrapText="1"/>
    </xf>
    <xf numFmtId="1" fontId="3" fillId="3" borderId="988" xfId="0" applyNumberFormat="1" applyFont="1" applyFill="1" applyBorder="1" applyAlignment="1">
      <alignment horizontal="right" wrapText="1"/>
    </xf>
    <xf numFmtId="1" fontId="3" fillId="3" borderId="969" xfId="0" applyNumberFormat="1" applyFont="1" applyFill="1" applyBorder="1" applyAlignment="1">
      <alignment horizontal="right" wrapText="1"/>
    </xf>
    <xf numFmtId="1" fontId="3" fillId="0" borderId="899" xfId="0" applyNumberFormat="1" applyFont="1" applyBorder="1" applyAlignment="1">
      <alignment vertical="center" wrapText="1"/>
    </xf>
    <xf numFmtId="1" fontId="3" fillId="0" borderId="969" xfId="0" applyNumberFormat="1" applyFont="1" applyBorder="1" applyAlignment="1">
      <alignment horizontal="right" vertical="center"/>
    </xf>
    <xf numFmtId="1" fontId="3" fillId="3" borderId="982" xfId="0" applyNumberFormat="1" applyFont="1" applyFill="1" applyBorder="1"/>
    <xf numFmtId="1" fontId="3" fillId="0" borderId="992" xfId="0" applyNumberFormat="1" applyFont="1" applyBorder="1" applyAlignment="1">
      <alignment vertical="center" wrapText="1"/>
    </xf>
    <xf numFmtId="1" fontId="3" fillId="3" borderId="988" xfId="0" applyNumberFormat="1" applyFont="1" applyFill="1" applyBorder="1" applyAlignment="1">
      <alignment horizontal="right" vertical="center"/>
    </xf>
    <xf numFmtId="1" fontId="3" fillId="3" borderId="899" xfId="0" applyNumberFormat="1" applyFont="1" applyFill="1" applyBorder="1" applyAlignment="1">
      <alignment vertical="center" wrapText="1"/>
    </xf>
    <xf numFmtId="1" fontId="3" fillId="3" borderId="983" xfId="0" applyNumberFormat="1" applyFont="1" applyFill="1" applyBorder="1" applyAlignment="1">
      <alignment horizontal="right" wrapText="1"/>
    </xf>
    <xf numFmtId="1" fontId="3" fillId="3" borderId="970" xfId="0" applyNumberFormat="1" applyFont="1" applyFill="1" applyBorder="1" applyAlignment="1">
      <alignment horizontal="right"/>
    </xf>
    <xf numFmtId="1" fontId="3" fillId="4" borderId="995" xfId="0" applyNumberFormat="1" applyFont="1" applyFill="1" applyBorder="1" applyAlignment="1" applyProtection="1">
      <alignment horizontal="right"/>
      <protection locked="0"/>
    </xf>
    <xf numFmtId="1" fontId="3" fillId="3" borderId="982" xfId="0" applyNumberFormat="1" applyFont="1" applyFill="1" applyBorder="1" applyAlignment="1">
      <alignment vertical="center"/>
    </xf>
    <xf numFmtId="1" fontId="3" fillId="3" borderId="983" xfId="0" applyNumberFormat="1" applyFont="1" applyFill="1" applyBorder="1" applyAlignment="1">
      <alignment horizontal="right"/>
    </xf>
    <xf numFmtId="1" fontId="3" fillId="3" borderId="960" xfId="0" applyNumberFormat="1" applyFont="1" applyFill="1" applyBorder="1" applyAlignment="1">
      <alignment horizontal="right"/>
    </xf>
    <xf numFmtId="1" fontId="3" fillId="7" borderId="982" xfId="0" applyNumberFormat="1" applyFont="1" applyFill="1" applyBorder="1" applyAlignment="1">
      <alignment horizontal="right"/>
    </xf>
    <xf numFmtId="1" fontId="3" fillId="4" borderId="996" xfId="0" applyNumberFormat="1" applyFont="1" applyFill="1" applyBorder="1" applyAlignment="1" applyProtection="1">
      <alignment horizontal="right"/>
      <protection locked="0"/>
    </xf>
    <xf numFmtId="1" fontId="3" fillId="3" borderId="992" xfId="0" applyNumberFormat="1" applyFont="1" applyFill="1" applyBorder="1" applyAlignment="1">
      <alignment vertical="center"/>
    </xf>
    <xf numFmtId="1" fontId="3" fillId="4" borderId="997" xfId="0" applyNumberFormat="1" applyFont="1" applyFill="1" applyBorder="1" applyAlignment="1" applyProtection="1">
      <alignment horizontal="right"/>
      <protection locked="0"/>
    </xf>
    <xf numFmtId="1" fontId="3" fillId="0" borderId="998" xfId="0" applyNumberFormat="1" applyFont="1" applyBorder="1" applyAlignment="1">
      <alignment horizontal="right"/>
    </xf>
    <xf numFmtId="1" fontId="3" fillId="0" borderId="900" xfId="0" applyNumberFormat="1" applyFont="1" applyBorder="1"/>
    <xf numFmtId="1" fontId="3" fillId="0" borderId="918" xfId="0" applyNumberFormat="1" applyFont="1" applyBorder="1"/>
    <xf numFmtId="1" fontId="3" fillId="0" borderId="958" xfId="0" applyNumberFormat="1" applyFont="1" applyBorder="1" applyAlignment="1">
      <alignment wrapText="1"/>
    </xf>
    <xf numFmtId="1" fontId="3" fillId="0" borderId="958" xfId="0" applyNumberFormat="1" applyFont="1" applyBorder="1"/>
    <xf numFmtId="1" fontId="3" fillId="0" borderId="962" xfId="0" applyNumberFormat="1" applyFont="1" applyBorder="1"/>
    <xf numFmtId="1" fontId="3" fillId="3" borderId="913" xfId="0" applyNumberFormat="1" applyFont="1" applyFill="1" applyBorder="1" applyAlignment="1">
      <alignment horizontal="center" vertical="center" wrapText="1"/>
    </xf>
    <xf numFmtId="1" fontId="3" fillId="3" borderId="914" xfId="0" applyNumberFormat="1" applyFont="1" applyFill="1" applyBorder="1" applyAlignment="1">
      <alignment horizontal="center" vertical="center" wrapText="1"/>
    </xf>
    <xf numFmtId="1" fontId="3" fillId="3" borderId="964" xfId="0" applyNumberFormat="1" applyFont="1" applyFill="1" applyBorder="1" applyAlignment="1">
      <alignment horizontal="center" vertical="center" wrapText="1"/>
    </xf>
    <xf numFmtId="1" fontId="3" fillId="3" borderId="900" xfId="0" applyNumberFormat="1" applyFont="1" applyFill="1" applyBorder="1" applyAlignment="1">
      <alignment horizontal="left" vertical="center" wrapText="1"/>
    </xf>
    <xf numFmtId="1" fontId="3" fillId="3" borderId="926" xfId="0" applyNumberFormat="1" applyFont="1" applyFill="1" applyBorder="1" applyAlignment="1">
      <alignment vertical="center" wrapText="1"/>
    </xf>
    <xf numFmtId="1" fontId="3" fillId="3" borderId="958" xfId="0" applyNumberFormat="1" applyFont="1" applyFill="1" applyBorder="1" applyAlignment="1">
      <alignment horizontal="left" vertical="center" wrapText="1"/>
    </xf>
    <xf numFmtId="1" fontId="3" fillId="3" borderId="960" xfId="0" applyNumberFormat="1" applyFont="1" applyFill="1" applyBorder="1" applyAlignment="1">
      <alignment vertical="center" wrapText="1"/>
    </xf>
    <xf numFmtId="1" fontId="3" fillId="3" borderId="962" xfId="0" applyNumberFormat="1" applyFont="1" applyFill="1" applyBorder="1" applyAlignment="1">
      <alignment horizontal="left" vertical="center" wrapText="1"/>
    </xf>
    <xf numFmtId="1" fontId="3" fillId="3" borderId="969" xfId="0" applyNumberFormat="1" applyFont="1" applyFill="1" applyBorder="1" applyAlignment="1">
      <alignment vertical="center" wrapText="1"/>
    </xf>
    <xf numFmtId="1" fontId="3" fillId="3" borderId="255" xfId="0" applyNumberFormat="1" applyFont="1" applyFill="1" applyBorder="1" applyAlignment="1">
      <alignment horizontal="right"/>
    </xf>
    <xf numFmtId="1" fontId="3" fillId="3" borderId="908" xfId="0" applyNumberFormat="1" applyFont="1" applyFill="1" applyBorder="1" applyAlignment="1">
      <alignment horizontal="center" vertical="center" wrapText="1"/>
    </xf>
    <xf numFmtId="1" fontId="3" fillId="3" borderId="914" xfId="0" applyNumberFormat="1" applyFont="1" applyFill="1" applyBorder="1" applyAlignment="1">
      <alignment horizontal="center" vertical="center"/>
    </xf>
    <xf numFmtId="1" fontId="3" fillId="3" borderId="924" xfId="0" applyNumberFormat="1" applyFont="1" applyFill="1" applyBorder="1" applyAlignment="1">
      <alignment horizontal="center" vertical="center"/>
    </xf>
    <xf numFmtId="1" fontId="3" fillId="3" borderId="964" xfId="0" applyNumberFormat="1" applyFont="1" applyFill="1" applyBorder="1" applyAlignment="1">
      <alignment horizontal="center" vertical="center"/>
    </xf>
    <xf numFmtId="1" fontId="3" fillId="0" borderId="964" xfId="0" applyNumberFormat="1" applyFont="1" applyBorder="1" applyAlignment="1">
      <alignment horizontal="center" vertical="center"/>
    </xf>
    <xf numFmtId="1" fontId="3" fillId="3" borderId="900" xfId="0" applyNumberFormat="1" applyFont="1" applyFill="1" applyBorder="1" applyAlignment="1">
      <alignment vertical="center" wrapText="1"/>
    </xf>
    <xf numFmtId="1" fontId="3" fillId="3" borderId="918" xfId="0" applyNumberFormat="1" applyFont="1" applyFill="1" applyBorder="1" applyAlignment="1">
      <alignment horizontal="right" vertical="center" wrapText="1"/>
    </xf>
    <xf numFmtId="1" fontId="3" fillId="5" borderId="271" xfId="0" applyNumberFormat="1" applyFont="1" applyFill="1" applyBorder="1" applyAlignment="1">
      <alignment horizontal="right"/>
    </xf>
    <xf numFmtId="1" fontId="3" fillId="5" borderId="960" xfId="0" applyNumberFormat="1" applyFont="1" applyFill="1" applyBorder="1" applyAlignment="1">
      <alignment horizontal="right"/>
    </xf>
    <xf numFmtId="1" fontId="3" fillId="5" borderId="966" xfId="0" applyNumberFormat="1" applyFont="1" applyFill="1" applyBorder="1" applyAlignment="1">
      <alignment horizontal="right"/>
    </xf>
    <xf numFmtId="1" fontId="3" fillId="5" borderId="353" xfId="0" applyNumberFormat="1" applyFont="1" applyFill="1" applyBorder="1" applyAlignment="1">
      <alignment horizontal="right"/>
    </xf>
    <xf numFmtId="1" fontId="3" fillId="5" borderId="361" xfId="0" applyNumberFormat="1" applyFont="1" applyFill="1" applyBorder="1" applyAlignment="1">
      <alignment horizontal="right"/>
    </xf>
    <xf numFmtId="1" fontId="3" fillId="5" borderId="969" xfId="0" applyNumberFormat="1" applyFont="1" applyFill="1" applyBorder="1" applyAlignment="1">
      <alignment horizontal="right"/>
    </xf>
    <xf numFmtId="1" fontId="3" fillId="5" borderId="961" xfId="0" applyNumberFormat="1" applyFont="1" applyFill="1" applyBorder="1" applyAlignment="1">
      <alignment horizontal="right"/>
    </xf>
    <xf numFmtId="1" fontId="3" fillId="3" borderId="979" xfId="0" applyNumberFormat="1" applyFont="1" applyFill="1" applyBorder="1" applyAlignment="1">
      <alignment horizontal="center" vertical="center"/>
    </xf>
    <xf numFmtId="1" fontId="3" fillId="3" borderId="897" xfId="0" applyNumberFormat="1" applyFont="1" applyFill="1" applyBorder="1" applyAlignment="1">
      <alignment horizontal="center" vertical="center"/>
    </xf>
    <xf numFmtId="1" fontId="3" fillId="5" borderId="900" xfId="0" applyNumberFormat="1" applyFont="1" applyFill="1" applyBorder="1" applyAlignment="1">
      <alignment horizontal="right"/>
    </xf>
    <xf numFmtId="1" fontId="3" fillId="4" borderId="979" xfId="0" applyNumberFormat="1" applyFont="1" applyFill="1" applyBorder="1" applyAlignment="1" applyProtection="1">
      <alignment horizontal="right"/>
      <protection locked="0"/>
    </xf>
    <xf numFmtId="1" fontId="3" fillId="4" borderId="897" xfId="0" applyNumberFormat="1" applyFont="1" applyFill="1" applyBorder="1" applyAlignment="1" applyProtection="1">
      <alignment horizontal="right"/>
      <protection locked="0"/>
    </xf>
    <xf numFmtId="1" fontId="3" fillId="4" borderId="908" xfId="0" applyNumberFormat="1" applyFont="1" applyFill="1" applyBorder="1" applyAlignment="1" applyProtection="1">
      <alignment horizontal="right"/>
      <protection locked="0"/>
    </xf>
    <xf numFmtId="1" fontId="3" fillId="5" borderId="958" xfId="0" applyNumberFormat="1" applyFont="1" applyFill="1" applyBorder="1" applyAlignment="1">
      <alignment horizontal="right"/>
    </xf>
    <xf numFmtId="1" fontId="3" fillId="3" borderId="299" xfId="0" applyNumberFormat="1" applyFont="1" applyFill="1" applyBorder="1" applyAlignment="1">
      <alignment horizontal="left" vertical="center" wrapText="1"/>
    </xf>
    <xf numFmtId="1" fontId="3" fillId="5" borderId="962" xfId="0" applyNumberFormat="1" applyFont="1" applyFill="1" applyBorder="1" applyAlignment="1">
      <alignment horizontal="right"/>
    </xf>
    <xf numFmtId="1" fontId="3" fillId="3" borderId="924" xfId="0" applyNumberFormat="1" applyFont="1" applyFill="1" applyBorder="1" applyAlignment="1">
      <alignment horizontal="center" vertical="center" wrapText="1"/>
    </xf>
    <xf numFmtId="1" fontId="3" fillId="0" borderId="958" xfId="0" applyNumberFormat="1" applyFont="1" applyBorder="1" applyAlignment="1">
      <alignment horizontal="left" vertical="center" wrapText="1"/>
    </xf>
    <xf numFmtId="1" fontId="3" fillId="0" borderId="962" xfId="0" applyNumberFormat="1" applyFont="1" applyBorder="1" applyAlignment="1">
      <alignment horizontal="left" vertical="center" wrapText="1"/>
    </xf>
    <xf numFmtId="1" fontId="3" fillId="5" borderId="988" xfId="0" applyNumberFormat="1" applyFont="1" applyFill="1" applyBorder="1" applyAlignment="1">
      <alignment horizontal="right"/>
    </xf>
    <xf numFmtId="1" fontId="3" fillId="5" borderId="354" xfId="0" applyNumberFormat="1" applyFont="1" applyFill="1" applyBorder="1" applyAlignment="1">
      <alignment horizontal="right"/>
    </xf>
    <xf numFmtId="1" fontId="3" fillId="0" borderId="900" xfId="0" applyNumberFormat="1" applyFont="1" applyBorder="1" applyAlignment="1">
      <alignment horizontal="left" vertical="center" wrapText="1"/>
    </xf>
    <xf numFmtId="1" fontId="3" fillId="3" borderId="918" xfId="0" applyNumberFormat="1" applyFont="1" applyFill="1" applyBorder="1" applyAlignment="1">
      <alignment vertical="center" wrapText="1"/>
    </xf>
    <xf numFmtId="1" fontId="3" fillId="3" borderId="917" xfId="0" applyNumberFormat="1" applyFont="1" applyFill="1" applyBorder="1" applyAlignment="1">
      <alignment vertical="center" wrapText="1"/>
    </xf>
    <xf numFmtId="1" fontId="3" fillId="3" borderId="988" xfId="0" applyNumberFormat="1" applyFont="1" applyFill="1" applyBorder="1" applyAlignment="1">
      <alignment vertical="center" wrapText="1"/>
    </xf>
    <xf numFmtId="1" fontId="3" fillId="3" borderId="354" xfId="0" applyNumberFormat="1" applyFont="1" applyFill="1" applyBorder="1" applyAlignment="1">
      <alignment vertical="center" wrapText="1"/>
    </xf>
    <xf numFmtId="0" fontId="3" fillId="0" borderId="913" xfId="0" applyFont="1" applyBorder="1" applyAlignment="1">
      <alignment horizontal="center" vertical="center"/>
    </xf>
    <xf numFmtId="0" fontId="3" fillId="0" borderId="914" xfId="0" applyFont="1" applyBorder="1" applyAlignment="1">
      <alignment horizontal="center" vertical="center" wrapText="1"/>
    </xf>
    <xf numFmtId="0" fontId="3" fillId="0" borderId="924" xfId="0" applyFont="1" applyBorder="1" applyAlignment="1">
      <alignment horizontal="center" vertical="center" wrapText="1"/>
    </xf>
    <xf numFmtId="0" fontId="3" fillId="0" borderId="913" xfId="0" applyFont="1" applyBorder="1" applyAlignment="1">
      <alignment horizontal="center" vertical="center" wrapText="1"/>
    </xf>
    <xf numFmtId="0" fontId="3" fillId="0" borderId="914" xfId="0" applyFont="1" applyBorder="1" applyAlignment="1">
      <alignment horizontal="center" vertical="center"/>
    </xf>
    <xf numFmtId="1" fontId="3" fillId="0" borderId="916" xfId="0" applyNumberFormat="1" applyFont="1" applyBorder="1" applyAlignment="1">
      <alignment horizontal="center" vertical="center" wrapText="1"/>
    </xf>
    <xf numFmtId="1" fontId="3" fillId="0" borderId="915" xfId="0" applyNumberFormat="1" applyFont="1" applyBorder="1" applyAlignment="1">
      <alignment horizontal="center" vertical="center" wrapText="1"/>
    </xf>
    <xf numFmtId="1" fontId="3" fillId="0" borderId="991" xfId="0" applyNumberFormat="1" applyFont="1" applyBorder="1" applyAlignment="1">
      <alignment horizontal="center" vertical="center" wrapText="1"/>
    </xf>
    <xf numFmtId="1" fontId="3" fillId="0" borderId="1006" xfId="0" applyNumberFormat="1" applyFont="1" applyBorder="1" applyAlignment="1">
      <alignment horizontal="center" vertical="center" wrapText="1"/>
    </xf>
    <xf numFmtId="1" fontId="3" fillId="0" borderId="925" xfId="0" applyNumberFormat="1" applyFont="1" applyBorder="1" applyAlignment="1">
      <alignment horizontal="center" vertical="center" wrapText="1"/>
    </xf>
    <xf numFmtId="1" fontId="3" fillId="0" borderId="963" xfId="0" applyNumberFormat="1" applyFont="1" applyBorder="1" applyAlignment="1">
      <alignment horizontal="center" vertical="center" wrapText="1"/>
    </xf>
    <xf numFmtId="1" fontId="3" fillId="0" borderId="958" xfId="0" applyNumberFormat="1" applyFont="1" applyBorder="1" applyAlignment="1">
      <alignment horizontal="right" vertical="center" wrapText="1"/>
    </xf>
    <xf numFmtId="1" fontId="3" fillId="4" borderId="987" xfId="0" applyNumberFormat="1" applyFont="1" applyFill="1" applyBorder="1" applyAlignment="1" applyProtection="1">
      <alignment horizontal="right" vertical="center"/>
      <protection locked="0"/>
    </xf>
    <xf numFmtId="1" fontId="3" fillId="7" borderId="965" xfId="0" applyNumberFormat="1" applyFont="1" applyFill="1" applyBorder="1" applyAlignment="1">
      <alignment horizontal="right"/>
    </xf>
    <xf numFmtId="1" fontId="3" fillId="6" borderId="699" xfId="0" applyNumberFormat="1" applyFont="1" applyFill="1" applyBorder="1" applyAlignment="1">
      <alignment horizontal="right"/>
    </xf>
    <xf numFmtId="1" fontId="3" fillId="7" borderId="986" xfId="0" applyNumberFormat="1" applyFont="1" applyFill="1" applyBorder="1" applyAlignment="1">
      <alignment horizontal="right"/>
    </xf>
    <xf numFmtId="1" fontId="3" fillId="6" borderId="987" xfId="0" applyNumberFormat="1" applyFont="1" applyFill="1" applyBorder="1" applyAlignment="1">
      <alignment horizontal="right"/>
    </xf>
    <xf numFmtId="1" fontId="3" fillId="7" borderId="987" xfId="0" applyNumberFormat="1" applyFont="1" applyFill="1" applyBorder="1" applyAlignment="1">
      <alignment horizontal="right"/>
    </xf>
    <xf numFmtId="1" fontId="3" fillId="0" borderId="962" xfId="0" applyNumberFormat="1" applyFont="1" applyBorder="1" applyAlignment="1">
      <alignment horizontal="right" vertical="center" wrapText="1"/>
    </xf>
    <xf numFmtId="1" fontId="3" fillId="7" borderId="967" xfId="0" applyNumberFormat="1" applyFont="1" applyFill="1" applyBorder="1" applyAlignment="1">
      <alignment horizontal="right"/>
    </xf>
    <xf numFmtId="1" fontId="3" fillId="0" borderId="964" xfId="0" applyNumberFormat="1" applyFont="1" applyBorder="1" applyAlignment="1">
      <alignment horizontal="center" vertical="center" wrapText="1"/>
    </xf>
    <xf numFmtId="1" fontId="3" fillId="4" borderId="966" xfId="0" applyNumberFormat="1" applyFont="1" applyFill="1" applyBorder="1" applyAlignment="1" applyProtection="1">
      <alignment horizontal="right" vertical="center"/>
      <protection locked="0"/>
    </xf>
    <xf numFmtId="1" fontId="3" fillId="4" borderId="357" xfId="0" applyNumberFormat="1" applyFont="1" applyFill="1" applyBorder="1" applyAlignment="1" applyProtection="1">
      <alignment horizontal="right" vertical="center"/>
      <protection locked="0"/>
    </xf>
    <xf numFmtId="1" fontId="3" fillId="4" borderId="356" xfId="0" applyNumberFormat="1" applyFont="1" applyFill="1" applyBorder="1" applyAlignment="1" applyProtection="1">
      <alignment horizontal="right" vertical="center"/>
      <protection locked="0"/>
    </xf>
    <xf numFmtId="1" fontId="3" fillId="4" borderId="970" xfId="0" applyNumberFormat="1" applyFont="1" applyFill="1" applyBorder="1" applyAlignment="1" applyProtection="1">
      <alignment horizontal="right" vertical="center"/>
      <protection locked="0"/>
    </xf>
    <xf numFmtId="1" fontId="3" fillId="4" borderId="967" xfId="0" applyNumberFormat="1" applyFont="1" applyFill="1" applyBorder="1" applyAlignment="1" applyProtection="1">
      <alignment horizontal="right" vertical="center"/>
      <protection locked="0"/>
    </xf>
    <xf numFmtId="1" fontId="3" fillId="4" borderId="968" xfId="0" applyNumberFormat="1" applyFont="1" applyFill="1" applyBorder="1" applyAlignment="1" applyProtection="1">
      <alignment horizontal="right" vertical="center"/>
      <protection locked="0"/>
    </xf>
    <xf numFmtId="1" fontId="3" fillId="4" borderId="280" xfId="0" applyNumberFormat="1" applyFont="1" applyFill="1" applyBorder="1" applyAlignment="1" applyProtection="1">
      <alignment horizontal="right" vertical="center"/>
      <protection locked="0"/>
    </xf>
    <xf numFmtId="1" fontId="3" fillId="4" borderId="983" xfId="0" applyNumberFormat="1" applyFont="1" applyFill="1" applyBorder="1" applyAlignment="1" applyProtection="1">
      <alignment horizontal="right" vertical="center"/>
      <protection locked="0"/>
    </xf>
    <xf numFmtId="1" fontId="3" fillId="4" borderId="353" xfId="0" applyNumberFormat="1" applyFont="1" applyFill="1" applyBorder="1" applyAlignment="1" applyProtection="1">
      <alignment horizontal="right" vertical="center"/>
      <protection locked="0"/>
    </xf>
    <xf numFmtId="1" fontId="3" fillId="4" borderId="985" xfId="0" applyNumberFormat="1" applyFont="1" applyFill="1" applyBorder="1" applyAlignment="1" applyProtection="1">
      <alignment horizontal="right" vertical="center"/>
      <protection locked="0"/>
    </xf>
    <xf numFmtId="1" fontId="3" fillId="4" borderId="986" xfId="0" applyNumberFormat="1" applyFont="1" applyFill="1" applyBorder="1" applyAlignment="1" applyProtection="1">
      <alignment horizontal="right" vertical="center"/>
      <protection locked="0"/>
    </xf>
    <xf numFmtId="1" fontId="3" fillId="7" borderId="970" xfId="0" applyNumberFormat="1" applyFont="1" applyFill="1" applyBorder="1"/>
    <xf numFmtId="1" fontId="3" fillId="4" borderId="271" xfId="0" applyNumberFormat="1" applyFont="1" applyFill="1" applyBorder="1" applyAlignment="1" applyProtection="1">
      <alignment horizontal="right" vertical="center"/>
      <protection locked="0"/>
    </xf>
    <xf numFmtId="1" fontId="3" fillId="4" borderId="268" xfId="0" applyNumberFormat="1" applyFont="1" applyFill="1" applyBorder="1" applyAlignment="1" applyProtection="1">
      <alignment horizontal="right" vertical="center"/>
      <protection locked="0"/>
    </xf>
    <xf numFmtId="1" fontId="3" fillId="4" borderId="988" xfId="0" applyNumberFormat="1" applyFont="1" applyFill="1" applyBorder="1" applyAlignment="1" applyProtection="1">
      <alignment horizontal="right" vertical="center"/>
      <protection locked="0"/>
    </xf>
    <xf numFmtId="1" fontId="3" fillId="0" borderId="964" xfId="0" applyNumberFormat="1" applyFont="1" applyBorder="1" applyAlignment="1">
      <alignment horizontal="right" vertical="center"/>
    </xf>
    <xf numFmtId="1" fontId="3" fillId="0" borderId="925" xfId="0" applyNumberFormat="1" applyFont="1" applyBorder="1" applyAlignment="1">
      <alignment horizontal="right" vertical="center"/>
    </xf>
    <xf numFmtId="1" fontId="2" fillId="0" borderId="252" xfId="0" applyNumberFormat="1" applyFont="1" applyBorder="1" applyAlignment="1">
      <alignment horizontal="left"/>
    </xf>
    <xf numFmtId="1" fontId="3" fillId="0" borderId="998" xfId="0" applyNumberFormat="1" applyFont="1" applyBorder="1" applyAlignment="1">
      <alignment horizontal="center" vertical="center" wrapText="1"/>
    </xf>
    <xf numFmtId="1" fontId="3" fillId="0" borderId="931" xfId="0" applyNumberFormat="1" applyFont="1" applyBorder="1" applyAlignment="1">
      <alignment horizontal="center" vertical="center" wrapText="1"/>
    </xf>
    <xf numFmtId="1" fontId="3" fillId="3" borderId="899" xfId="0" applyNumberFormat="1" applyFont="1" applyFill="1" applyBorder="1" applyAlignment="1">
      <alignment horizontal="right"/>
    </xf>
    <xf numFmtId="1" fontId="3" fillId="7" borderId="934" xfId="0" applyNumberFormat="1" applyFont="1" applyFill="1" applyBorder="1"/>
    <xf numFmtId="1" fontId="3" fillId="4" borderId="996" xfId="0" applyNumberFormat="1" applyFont="1" applyFill="1" applyBorder="1" applyProtection="1">
      <protection locked="0"/>
    </xf>
    <xf numFmtId="1" fontId="3" fillId="4" borderId="1004" xfId="0" applyNumberFormat="1" applyFont="1" applyFill="1" applyBorder="1" applyProtection="1">
      <protection locked="0"/>
    </xf>
    <xf numFmtId="1" fontId="3" fillId="3" borderId="982" xfId="0" applyNumberFormat="1" applyFont="1" applyFill="1" applyBorder="1" applyAlignment="1">
      <alignment horizontal="right"/>
    </xf>
    <xf numFmtId="1" fontId="3" fillId="4" borderId="987" xfId="0" applyNumberFormat="1" applyFont="1" applyFill="1" applyBorder="1" applyProtection="1">
      <protection locked="0"/>
    </xf>
    <xf numFmtId="1" fontId="3" fillId="7" borderId="973" xfId="0" applyNumberFormat="1" applyFont="1" applyFill="1" applyBorder="1"/>
    <xf numFmtId="1" fontId="3" fillId="4" borderId="997" xfId="0" applyNumberFormat="1" applyFont="1" applyFill="1" applyBorder="1" applyProtection="1">
      <protection locked="0"/>
    </xf>
    <xf numFmtId="1" fontId="3" fillId="4" borderId="1005" xfId="0" applyNumberFormat="1" applyFont="1" applyFill="1" applyBorder="1" applyProtection="1">
      <protection locked="0"/>
    </xf>
    <xf numFmtId="1" fontId="3" fillId="0" borderId="900" xfId="0" applyNumberFormat="1" applyFont="1" applyBorder="1" applyAlignment="1">
      <alignment horizontal="right" vertical="center" wrapText="1"/>
    </xf>
    <xf numFmtId="1" fontId="3" fillId="4" borderId="967" xfId="0" applyNumberFormat="1" applyFont="1" applyFill="1" applyBorder="1" applyProtection="1">
      <protection locked="0"/>
    </xf>
    <xf numFmtId="1" fontId="3" fillId="4" borderId="933" xfId="0" applyNumberFormat="1" applyFont="1" applyFill="1" applyBorder="1" applyProtection="1">
      <protection locked="0"/>
    </xf>
    <xf numFmtId="1" fontId="3" fillId="4" borderId="995" xfId="0" applyNumberFormat="1" applyFont="1" applyFill="1" applyBorder="1" applyProtection="1">
      <protection locked="0"/>
    </xf>
    <xf numFmtId="1" fontId="3" fillId="4" borderId="1003" xfId="0" applyNumberFormat="1" applyFont="1" applyFill="1" applyBorder="1" applyProtection="1">
      <protection locked="0"/>
    </xf>
    <xf numFmtId="1" fontId="3" fillId="4" borderId="354" xfId="0" applyNumberFormat="1" applyFont="1" applyFill="1" applyBorder="1" applyAlignment="1" applyProtection="1">
      <alignment horizontal="right" vertical="center"/>
      <protection locked="0"/>
    </xf>
    <xf numFmtId="1" fontId="3" fillId="3" borderId="962" xfId="0" applyNumberFormat="1" applyFont="1" applyFill="1" applyBorder="1"/>
    <xf numFmtId="1" fontId="3" fillId="4" borderId="255" xfId="0" applyNumberFormat="1" applyFont="1" applyFill="1" applyBorder="1" applyProtection="1">
      <protection locked="0"/>
    </xf>
    <xf numFmtId="1" fontId="3" fillId="4" borderId="900" xfId="0" applyNumberFormat="1" applyFont="1" applyFill="1" applyBorder="1" applyAlignment="1" applyProtection="1">
      <alignment horizontal="right"/>
      <protection locked="0"/>
    </xf>
    <xf numFmtId="1" fontId="3" fillId="0" borderId="982" xfId="0" applyNumberFormat="1" applyFont="1" applyBorder="1" applyAlignment="1">
      <alignment horizontal="left"/>
    </xf>
    <xf numFmtId="1" fontId="3" fillId="4" borderId="958" xfId="0" applyNumberFormat="1" applyFont="1" applyFill="1" applyBorder="1" applyAlignment="1" applyProtection="1">
      <alignment horizontal="right"/>
      <protection locked="0"/>
    </xf>
    <xf numFmtId="1" fontId="3" fillId="0" borderId="982" xfId="0" quotePrefix="1" applyNumberFormat="1" applyFont="1" applyBorder="1" applyAlignment="1">
      <alignment horizontal="left"/>
    </xf>
    <xf numFmtId="1" fontId="3" fillId="3" borderId="992" xfId="0" applyNumberFormat="1" applyFont="1" applyFill="1" applyBorder="1" applyAlignment="1">
      <alignment horizontal="right"/>
    </xf>
    <xf numFmtId="1" fontId="3" fillId="4" borderId="962" xfId="0" applyNumberFormat="1" applyFont="1" applyFill="1" applyBorder="1" applyAlignment="1" applyProtection="1">
      <alignment horizontal="right"/>
      <protection locked="0"/>
    </xf>
    <xf numFmtId="1" fontId="3" fillId="0" borderId="896" xfId="0" applyNumberFormat="1" applyFont="1" applyBorder="1" applyAlignment="1" applyProtection="1">
      <alignment horizontal="center" vertical="center" wrapText="1"/>
      <protection hidden="1"/>
    </xf>
    <xf numFmtId="1" fontId="3" fillId="0" borderId="908" xfId="0" applyNumberFormat="1" applyFont="1" applyBorder="1"/>
    <xf numFmtId="1" fontId="3" fillId="0" borderId="900" xfId="0" applyNumberFormat="1" applyFont="1" applyBorder="1" applyAlignment="1">
      <alignment horizontal="right"/>
    </xf>
    <xf numFmtId="1" fontId="3" fillId="0" borderId="962" xfId="0" applyNumberFormat="1" applyFont="1" applyBorder="1" applyAlignment="1" applyProtection="1">
      <alignment vertical="center" wrapText="1"/>
      <protection hidden="1"/>
    </xf>
    <xf numFmtId="1" fontId="3" fillId="0" borderId="999" xfId="0" applyNumberFormat="1" applyFont="1" applyBorder="1" applyAlignment="1">
      <alignment horizontal="right"/>
    </xf>
    <xf numFmtId="1" fontId="3" fillId="0" borderId="910" xfId="0" applyNumberFormat="1" applyFont="1" applyBorder="1" applyAlignment="1">
      <alignment wrapText="1"/>
    </xf>
    <xf numFmtId="1" fontId="3" fillId="4" borderId="916" xfId="0" applyNumberFormat="1" applyFont="1" applyFill="1" applyBorder="1" applyAlignment="1" applyProtection="1">
      <alignment horizontal="right"/>
      <protection locked="0"/>
    </xf>
    <xf numFmtId="164" fontId="3" fillId="0" borderId="909" xfId="18" applyNumberFormat="1" applyFont="1" applyBorder="1" applyAlignment="1" applyProtection="1">
      <alignment horizontal="center" vertical="center" wrapText="1"/>
    </xf>
    <xf numFmtId="164" fontId="3" fillId="0" borderId="914" xfId="18" applyNumberFormat="1" applyFont="1" applyBorder="1" applyAlignment="1" applyProtection="1">
      <alignment horizontal="center" vertical="center" wrapText="1"/>
    </xf>
    <xf numFmtId="164" fontId="3" fillId="0" borderId="913" xfId="18" applyNumberFormat="1" applyFont="1" applyBorder="1" applyAlignment="1" applyProtection="1">
      <alignment horizontal="center" vertical="center"/>
    </xf>
    <xf numFmtId="1" fontId="3" fillId="0" borderId="982" xfId="0" quotePrefix="1" applyNumberFormat="1" applyFont="1" applyBorder="1" applyAlignment="1">
      <alignment horizontal="left" wrapText="1"/>
    </xf>
    <xf numFmtId="166" fontId="3" fillId="0" borderId="916" xfId="19" applyNumberFormat="1" applyFont="1" applyFill="1" applyBorder="1" applyAlignment="1" applyProtection="1">
      <alignment horizontal="right"/>
    </xf>
    <xf numFmtId="166" fontId="3" fillId="0" borderId="914" xfId="19" applyNumberFormat="1" applyFont="1" applyFill="1" applyBorder="1" applyAlignment="1" applyProtection="1">
      <alignment horizontal="right"/>
    </xf>
    <xf numFmtId="166" fontId="3" fillId="0" borderId="915" xfId="19" applyNumberFormat="1" applyFont="1" applyFill="1" applyBorder="1" applyAlignment="1" applyProtection="1">
      <alignment horizontal="right"/>
    </xf>
    <xf numFmtId="166" fontId="3" fillId="0" borderId="924" xfId="19" applyNumberFormat="1" applyFont="1" applyFill="1" applyBorder="1" applyAlignment="1" applyProtection="1">
      <alignment horizontal="right"/>
    </xf>
    <xf numFmtId="166" fontId="3" fillId="0" borderId="913" xfId="19" applyNumberFormat="1" applyFont="1" applyFill="1" applyBorder="1" applyAlignment="1" applyProtection="1">
      <alignment horizontal="right"/>
    </xf>
    <xf numFmtId="1" fontId="3" fillId="0" borderId="1016" xfId="0" applyNumberFormat="1" applyFont="1" applyBorder="1" applyAlignment="1">
      <alignment horizontal="center" vertical="center"/>
    </xf>
    <xf numFmtId="1" fontId="3" fillId="0" borderId="1019" xfId="0" applyNumberFormat="1" applyFont="1" applyBorder="1" applyAlignment="1">
      <alignment horizontal="center" vertical="center" wrapText="1"/>
    </xf>
    <xf numFmtId="1" fontId="3" fillId="0" borderId="1019" xfId="0" applyNumberFormat="1" applyFont="1" applyBorder="1" applyAlignment="1">
      <alignment horizontal="center" vertical="center"/>
    </xf>
    <xf numFmtId="0" fontId="3" fillId="0" borderId="963" xfId="0" applyFont="1" applyBorder="1" applyAlignment="1">
      <alignment horizontal="center" vertical="center" wrapText="1"/>
    </xf>
    <xf numFmtId="0" fontId="3" fillId="0" borderId="1019" xfId="0" applyFont="1" applyBorder="1" applyAlignment="1">
      <alignment horizontal="center" vertical="center" wrapText="1"/>
    </xf>
    <xf numFmtId="0" fontId="3" fillId="0" borderId="1038" xfId="0" applyFont="1" applyBorder="1" applyAlignment="1">
      <alignment horizontal="center" vertical="center" wrapText="1"/>
    </xf>
    <xf numFmtId="1" fontId="4" fillId="0" borderId="909" xfId="0" applyNumberFormat="1" applyFont="1" applyBorder="1" applyAlignment="1">
      <alignment vertical="center"/>
    </xf>
    <xf numFmtId="1" fontId="3" fillId="0" borderId="918" xfId="0" applyNumberFormat="1" applyFont="1" applyBorder="1" applyAlignment="1">
      <alignment wrapText="1"/>
    </xf>
    <xf numFmtId="1" fontId="3" fillId="0" borderId="917" xfId="0" applyNumberFormat="1" applyFont="1" applyBorder="1" applyAlignment="1">
      <alignment wrapText="1"/>
    </xf>
    <xf numFmtId="1" fontId="3" fillId="4" borderId="965" xfId="0" applyNumberFormat="1" applyFont="1" applyFill="1" applyBorder="1" applyProtection="1">
      <protection locked="0"/>
    </xf>
    <xf numFmtId="1" fontId="3" fillId="4" borderId="959" xfId="0" applyNumberFormat="1" applyFont="1" applyFill="1" applyBorder="1" applyProtection="1">
      <protection locked="0"/>
    </xf>
    <xf numFmtId="1" fontId="3" fillId="0" borderId="983" xfId="0" applyNumberFormat="1" applyFont="1" applyBorder="1" applyAlignment="1">
      <alignment wrapText="1"/>
    </xf>
    <xf numFmtId="1" fontId="3" fillId="0" borderId="987" xfId="0" applyNumberFormat="1" applyFont="1" applyBorder="1" applyAlignment="1">
      <alignment wrapText="1"/>
    </xf>
    <xf numFmtId="1" fontId="3" fillId="0" borderId="970" xfId="0" applyNumberFormat="1" applyFont="1" applyBorder="1" applyAlignment="1">
      <alignment wrapText="1"/>
    </xf>
    <xf numFmtId="1" fontId="3" fillId="4" borderId="986" xfId="0" applyNumberFormat="1" applyFont="1" applyFill="1" applyBorder="1" applyProtection="1">
      <protection locked="0"/>
    </xf>
    <xf numFmtId="1" fontId="3" fillId="6" borderId="959" xfId="0" applyNumberFormat="1" applyFont="1" applyFill="1" applyBorder="1"/>
    <xf numFmtId="1" fontId="3" fillId="0" borderId="988" xfId="0" applyNumberFormat="1" applyFont="1" applyBorder="1" applyAlignment="1">
      <alignment wrapText="1"/>
    </xf>
    <xf numFmtId="1" fontId="3" fillId="0" borderId="967" xfId="0" applyNumberFormat="1" applyFont="1" applyBorder="1" applyAlignment="1">
      <alignment wrapText="1"/>
    </xf>
    <xf numFmtId="1" fontId="3" fillId="4" borderId="968" xfId="0" applyNumberFormat="1" applyFont="1" applyFill="1" applyBorder="1" applyProtection="1">
      <protection locked="0"/>
    </xf>
    <xf numFmtId="1" fontId="3" fillId="6" borderId="965" xfId="0" applyNumberFormat="1" applyFont="1" applyFill="1" applyBorder="1"/>
    <xf numFmtId="1" fontId="3" fillId="6" borderId="918" xfId="0" applyNumberFormat="1" applyFont="1" applyFill="1" applyBorder="1"/>
    <xf numFmtId="1" fontId="3" fillId="3" borderId="973" xfId="0" applyNumberFormat="1" applyFont="1" applyFill="1" applyBorder="1"/>
    <xf numFmtId="1" fontId="3" fillId="6" borderId="986" xfId="0" applyNumberFormat="1" applyFont="1" applyFill="1" applyBorder="1"/>
    <xf numFmtId="1" fontId="3" fillId="6" borderId="970" xfId="0" applyNumberFormat="1" applyFont="1" applyFill="1" applyBorder="1"/>
    <xf numFmtId="1" fontId="3" fillId="6" borderId="983" xfId="0" applyNumberFormat="1" applyFont="1" applyFill="1" applyBorder="1"/>
    <xf numFmtId="1" fontId="3" fillId="0" borderId="973" xfId="0" applyNumberFormat="1" applyFont="1" applyBorder="1" applyAlignment="1">
      <alignment wrapText="1"/>
    </xf>
    <xf numFmtId="1" fontId="3" fillId="4" borderId="973" xfId="0" applyNumberFormat="1" applyFont="1" applyFill="1" applyBorder="1" applyProtection="1">
      <protection locked="0"/>
    </xf>
    <xf numFmtId="0" fontId="3" fillId="0" borderId="973" xfId="0" applyFont="1" applyBorder="1"/>
    <xf numFmtId="1" fontId="3" fillId="6" borderId="968" xfId="0" applyNumberFormat="1" applyFont="1" applyFill="1" applyBorder="1"/>
    <xf numFmtId="1" fontId="3" fillId="6" borderId="988" xfId="0" applyNumberFormat="1" applyFont="1" applyFill="1" applyBorder="1"/>
    <xf numFmtId="1" fontId="4" fillId="3" borderId="910" xfId="0" applyNumberFormat="1" applyFont="1" applyFill="1" applyBorder="1"/>
    <xf numFmtId="1" fontId="3" fillId="3" borderId="934" xfId="0" applyNumberFormat="1" applyFont="1" applyFill="1" applyBorder="1"/>
    <xf numFmtId="1" fontId="3" fillId="0" borderId="1037" xfId="0" applyNumberFormat="1" applyFont="1" applyBorder="1" applyAlignment="1">
      <alignment wrapText="1"/>
    </xf>
    <xf numFmtId="1" fontId="3" fillId="0" borderId="897" xfId="0" applyNumberFormat="1" applyFont="1" applyBorder="1" applyAlignment="1">
      <alignment wrapText="1"/>
    </xf>
    <xf numFmtId="1" fontId="3" fillId="0" borderId="1027" xfId="0" applyNumberFormat="1" applyFont="1" applyBorder="1" applyAlignment="1">
      <alignment wrapText="1"/>
    </xf>
    <xf numFmtId="1" fontId="3" fillId="4" borderId="1037" xfId="0" applyNumberFormat="1" applyFont="1" applyFill="1" applyBorder="1" applyProtection="1">
      <protection locked="0"/>
    </xf>
    <xf numFmtId="1" fontId="3" fillId="4" borderId="1027" xfId="0" applyNumberFormat="1" applyFont="1" applyFill="1" applyBorder="1" applyProtection="1">
      <protection locked="0"/>
    </xf>
    <xf numFmtId="1" fontId="3" fillId="4" borderId="1038" xfId="0" applyNumberFormat="1" applyFont="1" applyFill="1" applyBorder="1" applyProtection="1">
      <protection locked="0"/>
    </xf>
    <xf numFmtId="1" fontId="3" fillId="0" borderId="255" xfId="0" applyNumberFormat="1" applyFont="1" applyBorder="1" applyAlignment="1">
      <alignment wrapText="1"/>
    </xf>
    <xf numFmtId="1" fontId="3" fillId="4" borderId="990" xfId="0" applyNumberFormat="1" applyFont="1" applyFill="1" applyBorder="1" applyProtection="1">
      <protection locked="0"/>
    </xf>
    <xf numFmtId="1" fontId="3" fillId="0" borderId="1027" xfId="0" applyNumberFormat="1" applyFont="1" applyBorder="1" applyAlignment="1">
      <alignment horizontal="center" vertical="center"/>
    </xf>
    <xf numFmtId="1" fontId="3" fillId="0" borderId="1038" xfId="0" applyNumberFormat="1" applyFont="1" applyBorder="1" applyAlignment="1">
      <alignment horizontal="center" vertical="center" wrapText="1"/>
    </xf>
    <xf numFmtId="1" fontId="3" fillId="0" borderId="1016" xfId="0" applyNumberFormat="1" applyFont="1" applyBorder="1" applyAlignment="1">
      <alignment wrapText="1"/>
    </xf>
    <xf numFmtId="1" fontId="3" fillId="9" borderId="1019" xfId="24" applyNumberFormat="1" applyFont="1" applyBorder="1" applyProtection="1">
      <protection locked="0"/>
    </xf>
    <xf numFmtId="1" fontId="3" fillId="9" borderId="915" xfId="24" applyNumberFormat="1" applyFont="1" applyBorder="1" applyProtection="1">
      <protection locked="0"/>
    </xf>
    <xf numFmtId="1" fontId="3" fillId="9" borderId="911" xfId="24" applyNumberFormat="1" applyFont="1" applyBorder="1" applyProtection="1">
      <protection locked="0"/>
    </xf>
    <xf numFmtId="1" fontId="3" fillId="6" borderId="963" xfId="24" applyNumberFormat="1" applyFont="1" applyFill="1" applyBorder="1"/>
    <xf numFmtId="1" fontId="3" fillId="6" borderId="915" xfId="24" applyNumberFormat="1" applyFont="1" applyFill="1" applyBorder="1"/>
    <xf numFmtId="1" fontId="3" fillId="6" borderId="911" xfId="24" applyNumberFormat="1" applyFont="1" applyFill="1" applyBorder="1"/>
    <xf numFmtId="1" fontId="3" fillId="9" borderId="986" xfId="24" applyNumberFormat="1" applyFont="1" applyBorder="1" applyProtection="1">
      <protection locked="0"/>
    </xf>
    <xf numFmtId="1" fontId="3" fillId="9" borderId="970" xfId="24" applyNumberFormat="1" applyFont="1" applyBorder="1" applyProtection="1">
      <protection locked="0"/>
    </xf>
    <xf numFmtId="1" fontId="3" fillId="0" borderId="1016" xfId="0" applyNumberFormat="1" applyFont="1" applyBorder="1"/>
    <xf numFmtId="1" fontId="3" fillId="0" borderId="1019" xfId="24" applyNumberFormat="1" applyFont="1" applyFill="1" applyBorder="1"/>
    <xf numFmtId="1" fontId="3" fillId="0" borderId="915" xfId="24" applyNumberFormat="1" applyFont="1" applyFill="1" applyBorder="1"/>
    <xf numFmtId="1" fontId="3" fillId="0" borderId="911" xfId="24" applyNumberFormat="1" applyFont="1" applyFill="1" applyBorder="1"/>
    <xf numFmtId="1" fontId="3" fillId="9" borderId="987" xfId="24" applyNumberFormat="1" applyFont="1" applyBorder="1" applyProtection="1">
      <protection locked="0"/>
    </xf>
    <xf numFmtId="1" fontId="3" fillId="9" borderId="959" xfId="24" applyNumberFormat="1" applyFont="1" applyBorder="1" applyProtection="1">
      <protection locked="0"/>
    </xf>
    <xf numFmtId="1" fontId="3" fillId="9" borderId="280" xfId="24" applyNumberFormat="1" applyFont="1" applyBorder="1" applyProtection="1">
      <protection locked="0"/>
    </xf>
    <xf numFmtId="1" fontId="3" fillId="6" borderId="280" xfId="24" applyNumberFormat="1" applyFont="1" applyFill="1" applyBorder="1"/>
    <xf numFmtId="1" fontId="3" fillId="9" borderId="983" xfId="24" applyNumberFormat="1" applyFont="1" applyBorder="1" applyProtection="1">
      <protection locked="0"/>
    </xf>
    <xf numFmtId="1" fontId="3" fillId="6" borderId="986" xfId="24" applyNumberFormat="1" applyFont="1" applyFill="1" applyBorder="1"/>
    <xf numFmtId="1" fontId="3" fillId="6" borderId="987" xfId="24" applyNumberFormat="1" applyFont="1" applyFill="1" applyBorder="1"/>
    <xf numFmtId="1" fontId="3" fillId="6" borderId="959" xfId="24" applyNumberFormat="1" applyFont="1" applyFill="1" applyBorder="1"/>
    <xf numFmtId="1" fontId="3" fillId="9" borderId="1039" xfId="24" applyNumberFormat="1" applyFont="1" applyBorder="1" applyProtection="1">
      <protection locked="0"/>
    </xf>
    <xf numFmtId="1" fontId="3" fillId="9" borderId="1040" xfId="24" applyNumberFormat="1" applyFont="1" applyBorder="1" applyProtection="1">
      <protection locked="0"/>
    </xf>
    <xf numFmtId="1" fontId="3" fillId="9" borderId="1041" xfId="24" applyNumberFormat="1" applyFont="1" applyBorder="1" applyProtection="1">
      <protection locked="0"/>
    </xf>
    <xf numFmtId="1" fontId="3" fillId="6" borderId="1042" xfId="24" applyNumberFormat="1" applyFont="1" applyFill="1" applyBorder="1"/>
    <xf numFmtId="1" fontId="3" fillId="6" borderId="1040" xfId="24" applyNumberFormat="1" applyFont="1" applyFill="1" applyBorder="1"/>
    <xf numFmtId="1" fontId="3" fillId="6" borderId="1041" xfId="24" applyNumberFormat="1" applyFont="1" applyFill="1" applyBorder="1"/>
    <xf numFmtId="1" fontId="3" fillId="9" borderId="1043" xfId="24" applyNumberFormat="1" applyFont="1" applyBorder="1" applyProtection="1">
      <protection locked="0"/>
    </xf>
    <xf numFmtId="1" fontId="3" fillId="9" borderId="1044" xfId="24" applyNumberFormat="1" applyFont="1" applyBorder="1" applyProtection="1">
      <protection locked="0"/>
    </xf>
    <xf numFmtId="1" fontId="3" fillId="9" borderId="1045" xfId="24" applyNumberFormat="1" applyFont="1" applyBorder="1" applyProtection="1">
      <protection locked="0"/>
    </xf>
    <xf numFmtId="1" fontId="3" fillId="6" borderId="1046" xfId="24" applyNumberFormat="1" applyFont="1" applyFill="1" applyBorder="1"/>
    <xf numFmtId="1" fontId="3" fillId="6" borderId="1044" xfId="24" applyNumberFormat="1" applyFont="1" applyFill="1" applyBorder="1"/>
    <xf numFmtId="1" fontId="3" fillId="6" borderId="1045" xfId="24" applyNumberFormat="1" applyFont="1" applyFill="1" applyBorder="1"/>
    <xf numFmtId="1" fontId="3" fillId="9" borderId="988" xfId="24" applyNumberFormat="1" applyFont="1" applyBorder="1" applyProtection="1">
      <protection locked="0"/>
    </xf>
    <xf numFmtId="1" fontId="3" fillId="9" borderId="968" xfId="24" applyNumberFormat="1" applyFont="1" applyBorder="1" applyProtection="1">
      <protection locked="0"/>
    </xf>
    <xf numFmtId="1" fontId="3" fillId="0" borderId="900" xfId="0" applyNumberFormat="1" applyFont="1" applyBorder="1" applyAlignment="1">
      <alignment wrapText="1"/>
    </xf>
    <xf numFmtId="1" fontId="3" fillId="9" borderId="699" xfId="24" applyNumberFormat="1" applyFont="1" applyBorder="1" applyProtection="1">
      <protection locked="0"/>
    </xf>
    <xf numFmtId="1" fontId="3" fillId="9" borderId="933" xfId="24" applyNumberFormat="1" applyFont="1" applyBorder="1" applyProtection="1">
      <protection locked="0"/>
    </xf>
    <xf numFmtId="1" fontId="3" fillId="6" borderId="965" xfId="24" applyNumberFormat="1" applyFont="1" applyFill="1" applyBorder="1"/>
    <xf numFmtId="1" fontId="3" fillId="6" borderId="699" xfId="24" applyNumberFormat="1" applyFont="1" applyFill="1" applyBorder="1"/>
    <xf numFmtId="1" fontId="3" fillId="6" borderId="933" xfId="24" applyNumberFormat="1" applyFont="1" applyFill="1" applyBorder="1"/>
    <xf numFmtId="1" fontId="3" fillId="0" borderId="299" xfId="0" applyNumberFormat="1" applyFont="1" applyBorder="1" applyAlignment="1">
      <alignment vertical="center" wrapText="1"/>
    </xf>
    <xf numFmtId="1" fontId="3" fillId="0" borderId="962" xfId="0" applyNumberFormat="1" applyFont="1" applyBorder="1" applyAlignment="1">
      <alignment wrapText="1"/>
    </xf>
    <xf numFmtId="1" fontId="3" fillId="9" borderId="255" xfId="24" applyNumberFormat="1" applyFont="1" applyBorder="1" applyProtection="1">
      <protection locked="0"/>
    </xf>
    <xf numFmtId="1" fontId="3" fillId="9" borderId="746" xfId="24" applyNumberFormat="1" applyFont="1" applyBorder="1" applyProtection="1">
      <protection locked="0"/>
    </xf>
    <xf numFmtId="1" fontId="3" fillId="6" borderId="746" xfId="24" applyNumberFormat="1" applyFont="1" applyFill="1" applyBorder="1"/>
    <xf numFmtId="1" fontId="3" fillId="0" borderId="1026" xfId="0" applyNumberFormat="1" applyFont="1" applyBorder="1"/>
    <xf numFmtId="1" fontId="3" fillId="9" borderId="918" xfId="24" applyNumberFormat="1" applyFont="1" applyBorder="1" applyProtection="1">
      <protection locked="0"/>
    </xf>
    <xf numFmtId="1" fontId="3" fillId="0" borderId="299" xfId="0" applyNumberFormat="1" applyFont="1" applyBorder="1" applyAlignment="1">
      <alignment wrapText="1"/>
    </xf>
    <xf numFmtId="1" fontId="3" fillId="9" borderId="1047" xfId="24" applyNumberFormat="1" applyFont="1" applyBorder="1" applyProtection="1">
      <protection locked="0"/>
    </xf>
    <xf numFmtId="1" fontId="3" fillId="9" borderId="1048" xfId="24" applyNumberFormat="1" applyFont="1" applyBorder="1" applyProtection="1">
      <protection locked="0"/>
    </xf>
    <xf numFmtId="1" fontId="3" fillId="9" borderId="1049" xfId="24" applyNumberFormat="1" applyFont="1" applyBorder="1" applyProtection="1">
      <protection locked="0"/>
    </xf>
    <xf numFmtId="1" fontId="3" fillId="6" borderId="1050" xfId="24" applyNumberFormat="1" applyFont="1" applyFill="1" applyBorder="1"/>
    <xf numFmtId="1" fontId="3" fillId="6" borderId="1048" xfId="24" applyNumberFormat="1" applyFont="1" applyFill="1" applyBorder="1"/>
    <xf numFmtId="1" fontId="3" fillId="6" borderId="1049" xfId="24" applyNumberFormat="1" applyFont="1" applyFill="1" applyBorder="1"/>
    <xf numFmtId="1" fontId="3" fillId="9" borderId="1051" xfId="24" applyNumberFormat="1" applyFont="1" applyBorder="1" applyProtection="1">
      <protection locked="0"/>
    </xf>
    <xf numFmtId="1" fontId="3" fillId="0" borderId="1052" xfId="0" applyNumberFormat="1" applyFont="1" applyBorder="1"/>
    <xf numFmtId="1" fontId="3" fillId="3" borderId="962" xfId="0" applyNumberFormat="1" applyFont="1" applyFill="1" applyBorder="1" applyAlignment="1">
      <alignment wrapText="1"/>
    </xf>
    <xf numFmtId="1" fontId="3" fillId="9" borderId="204" xfId="24" applyNumberFormat="1" applyFont="1" applyBorder="1" applyProtection="1">
      <protection locked="0"/>
    </xf>
    <xf numFmtId="1" fontId="3" fillId="6" borderId="1053" xfId="24" applyNumberFormat="1" applyFont="1" applyFill="1" applyBorder="1"/>
    <xf numFmtId="1" fontId="3" fillId="6" borderId="1054" xfId="24" applyNumberFormat="1" applyFont="1" applyFill="1" applyBorder="1"/>
    <xf numFmtId="1" fontId="3" fillId="6" borderId="1038" xfId="24" applyNumberFormat="1" applyFont="1" applyFill="1" applyBorder="1"/>
    <xf numFmtId="1" fontId="3" fillId="6" borderId="1055" xfId="24" applyNumberFormat="1" applyFont="1" applyFill="1" applyBorder="1"/>
    <xf numFmtId="1" fontId="3" fillId="9" borderId="963" xfId="24" applyNumberFormat="1" applyFont="1" applyBorder="1" applyProtection="1">
      <protection locked="0"/>
    </xf>
    <xf numFmtId="1" fontId="3" fillId="6" borderId="918" xfId="24" applyNumberFormat="1" applyFont="1" applyFill="1" applyBorder="1"/>
    <xf numFmtId="1" fontId="3" fillId="6" borderId="988" xfId="24" applyNumberFormat="1" applyFont="1" applyFill="1" applyBorder="1"/>
    <xf numFmtId="1" fontId="3" fillId="6" borderId="967" xfId="24" applyNumberFormat="1" applyFont="1" applyFill="1" applyBorder="1"/>
    <xf numFmtId="1" fontId="3" fillId="6" borderId="990" xfId="24" applyNumberFormat="1" applyFont="1" applyFill="1" applyBorder="1"/>
    <xf numFmtId="1" fontId="3" fillId="9" borderId="967" xfId="24" applyNumberFormat="1" applyFont="1" applyBorder="1" applyProtection="1">
      <protection locked="0"/>
    </xf>
    <xf numFmtId="1" fontId="3" fillId="3" borderId="917" xfId="0" applyNumberFormat="1" applyFont="1" applyFill="1" applyBorder="1"/>
    <xf numFmtId="1" fontId="3" fillId="0" borderId="1052" xfId="0" applyNumberFormat="1" applyFont="1" applyBorder="1" applyAlignment="1">
      <alignment horizontal="center" vertical="center" wrapText="1"/>
    </xf>
    <xf numFmtId="0" fontId="3" fillId="0" borderId="1052" xfId="0" applyFont="1" applyBorder="1" applyAlignment="1">
      <alignment horizontal="center" vertical="center" wrapText="1"/>
    </xf>
    <xf numFmtId="1" fontId="3" fillId="0" borderId="899" xfId="0" applyNumberFormat="1" applyFont="1" applyBorder="1" applyAlignment="1">
      <alignment horizontal="left" wrapText="1"/>
    </xf>
    <xf numFmtId="1" fontId="3" fillId="9" borderId="1056" xfId="24" applyNumberFormat="1" applyFont="1" applyBorder="1" applyAlignment="1" applyProtection="1">
      <alignment horizontal="right" vertical="center"/>
      <protection locked="0"/>
    </xf>
    <xf numFmtId="1" fontId="3" fillId="0" borderId="982" xfId="0" applyNumberFormat="1" applyFont="1" applyBorder="1" applyAlignment="1">
      <alignment horizontal="left" wrapText="1"/>
    </xf>
    <xf numFmtId="1" fontId="3" fillId="9" borderId="1057" xfId="24" applyNumberFormat="1" applyFont="1" applyBorder="1" applyAlignment="1" applyProtection="1">
      <alignment horizontal="right" vertical="center"/>
      <protection locked="0"/>
    </xf>
    <xf numFmtId="1" fontId="3" fillId="9" borderId="1058" xfId="24" applyNumberFormat="1" applyFont="1" applyBorder="1" applyAlignment="1" applyProtection="1">
      <alignment horizontal="right" vertical="center"/>
      <protection locked="0"/>
    </xf>
    <xf numFmtId="1" fontId="3" fillId="0" borderId="992" xfId="0" applyNumberFormat="1" applyFont="1" applyBorder="1" applyAlignment="1">
      <alignment horizontal="left" wrapText="1"/>
    </xf>
    <xf numFmtId="1" fontId="3" fillId="9" borderId="1059" xfId="24" applyNumberFormat="1" applyFont="1" applyBorder="1" applyAlignment="1" applyProtection="1">
      <alignment horizontal="right" vertical="center"/>
      <protection locked="0"/>
    </xf>
    <xf numFmtId="1" fontId="3" fillId="9" borderId="1061" xfId="24" applyNumberFormat="1" applyFont="1" applyBorder="1" applyAlignment="1" applyProtection="1">
      <alignment horizontal="right" vertical="center"/>
      <protection locked="0"/>
    </xf>
    <xf numFmtId="1" fontId="3" fillId="9" borderId="1062" xfId="24" applyNumberFormat="1" applyFont="1" applyBorder="1" applyAlignment="1" applyProtection="1">
      <alignment horizontal="right" vertical="center"/>
      <protection locked="0"/>
    </xf>
    <xf numFmtId="1" fontId="3" fillId="9" borderId="958" xfId="24" applyNumberFormat="1" applyFont="1" applyBorder="1" applyAlignment="1" applyProtection="1">
      <alignment horizontal="right" vertical="center"/>
      <protection locked="0"/>
    </xf>
    <xf numFmtId="1" fontId="3" fillId="9" borderId="970" xfId="24" applyNumberFormat="1" applyFont="1" applyBorder="1" applyAlignment="1" applyProtection="1">
      <alignment horizontal="right" vertical="center"/>
      <protection locked="0"/>
    </xf>
    <xf numFmtId="1" fontId="3" fillId="9" borderId="299" xfId="24" applyNumberFormat="1" applyFont="1" applyBorder="1" applyAlignment="1" applyProtection="1">
      <alignment horizontal="right" vertical="center"/>
      <protection locked="0"/>
    </xf>
    <xf numFmtId="1" fontId="3" fillId="9" borderId="962" xfId="24" applyNumberFormat="1" applyFont="1" applyBorder="1" applyAlignment="1" applyProtection="1">
      <alignment horizontal="right" vertical="center"/>
      <protection locked="0"/>
    </xf>
    <xf numFmtId="1" fontId="3" fillId="0" borderId="1064" xfId="0" applyNumberFormat="1" applyFont="1" applyBorder="1" applyAlignment="1">
      <alignment horizontal="center" vertical="center"/>
    </xf>
    <xf numFmtId="1" fontId="3" fillId="9" borderId="918" xfId="24" applyNumberFormat="1" applyFont="1" applyBorder="1" applyAlignment="1" applyProtection="1">
      <alignment wrapText="1"/>
      <protection locked="0"/>
    </xf>
    <xf numFmtId="1" fontId="3" fillId="9" borderId="917" xfId="24" applyNumberFormat="1" applyFont="1" applyBorder="1" applyAlignment="1" applyProtection="1">
      <alignment wrapText="1"/>
      <protection locked="0"/>
    </xf>
    <xf numFmtId="1" fontId="3" fillId="0" borderId="992" xfId="0" applyNumberFormat="1" applyFont="1" applyBorder="1" applyAlignment="1">
      <alignment vertical="center"/>
    </xf>
    <xf numFmtId="1" fontId="3" fillId="9" borderId="770" xfId="24" applyNumberFormat="1" applyFont="1" applyBorder="1" applyProtection="1">
      <protection locked="0"/>
    </xf>
    <xf numFmtId="1" fontId="3" fillId="0" borderId="1016" xfId="0" applyNumberFormat="1" applyFont="1" applyBorder="1" applyAlignment="1">
      <alignment horizontal="center" vertical="center" wrapText="1"/>
    </xf>
    <xf numFmtId="1" fontId="3" fillId="0" borderId="900" xfId="0" applyNumberFormat="1" applyFont="1" applyBorder="1" applyAlignment="1">
      <alignment vertical="center"/>
    </xf>
    <xf numFmtId="1" fontId="3" fillId="9" borderId="900" xfId="24" applyNumberFormat="1" applyFont="1" applyBorder="1" applyProtection="1">
      <protection locked="0"/>
    </xf>
    <xf numFmtId="1" fontId="3" fillId="0" borderId="958" xfId="0" applyNumberFormat="1" applyFont="1" applyBorder="1" applyAlignment="1">
      <alignment vertical="center"/>
    </xf>
    <xf numFmtId="1" fontId="3" fillId="9" borderId="958" xfId="24" applyNumberFormat="1" applyFont="1" applyBorder="1" applyProtection="1">
      <protection locked="0"/>
    </xf>
    <xf numFmtId="1" fontId="3" fillId="0" borderId="962" xfId="0" applyNumberFormat="1" applyFont="1" applyBorder="1" applyAlignment="1">
      <alignment vertical="center"/>
    </xf>
    <xf numFmtId="1" fontId="3" fillId="9" borderId="962" xfId="24" applyNumberFormat="1" applyFont="1" applyBorder="1" applyProtection="1">
      <protection locked="0"/>
    </xf>
    <xf numFmtId="164" fontId="3" fillId="0" borderId="299" xfId="25" applyFont="1" applyBorder="1" applyAlignment="1">
      <alignment horizontal="center" vertical="center" wrapText="1"/>
    </xf>
    <xf numFmtId="1" fontId="3" fillId="5" borderId="962" xfId="24" applyNumberFormat="1" applyFont="1" applyFill="1" applyBorder="1" applyProtection="1"/>
    <xf numFmtId="1" fontId="3" fillId="6" borderId="918" xfId="24" applyNumberFormat="1" applyFont="1" applyFill="1" applyBorder="1" applyProtection="1"/>
    <xf numFmtId="1" fontId="3" fillId="6" borderId="917" xfId="24" applyNumberFormat="1" applyFont="1" applyFill="1" applyBorder="1" applyProtection="1"/>
    <xf numFmtId="1" fontId="3" fillId="6" borderId="988" xfId="24" applyNumberFormat="1" applyFont="1" applyFill="1" applyBorder="1" applyProtection="1"/>
    <xf numFmtId="1" fontId="3" fillId="0" borderId="1016" xfId="0" applyNumberFormat="1" applyFont="1" applyBorder="1" applyAlignment="1">
      <alignment horizontal="left" vertical="center" wrapText="1"/>
    </xf>
    <xf numFmtId="1" fontId="3" fillId="6" borderId="983" xfId="24" applyNumberFormat="1" applyFont="1" applyFill="1" applyBorder="1" applyProtection="1"/>
    <xf numFmtId="1" fontId="3" fillId="6" borderId="970" xfId="24" applyNumberFormat="1" applyFont="1" applyFill="1" applyBorder="1" applyProtection="1"/>
    <xf numFmtId="1" fontId="3" fillId="0" borderId="900" xfId="0" applyNumberFormat="1" applyFont="1" applyBorder="1" applyAlignment="1">
      <alignment horizontal="left" vertical="center"/>
    </xf>
    <xf numFmtId="1" fontId="3" fillId="0" borderId="1064" xfId="0" applyNumberFormat="1" applyFont="1" applyBorder="1" applyAlignment="1">
      <alignment horizontal="center" vertical="center" wrapText="1"/>
    </xf>
    <xf numFmtId="1" fontId="3" fillId="9" borderId="917" xfId="24" applyNumberFormat="1" applyFont="1" applyBorder="1" applyProtection="1">
      <protection locked="0"/>
    </xf>
    <xf numFmtId="1" fontId="3" fillId="0" borderId="958" xfId="0" applyNumberFormat="1" applyFont="1" applyBorder="1" applyAlignment="1">
      <alignment horizontal="left" vertical="center"/>
    </xf>
    <xf numFmtId="1" fontId="3" fillId="9" borderId="299" xfId="24" applyNumberFormat="1" applyFont="1" applyBorder="1" applyProtection="1">
      <protection locked="0"/>
    </xf>
    <xf numFmtId="0" fontId="3" fillId="0" borderId="963" xfId="0" applyFont="1" applyBorder="1" applyAlignment="1">
      <alignment horizontal="center" vertical="center"/>
    </xf>
    <xf numFmtId="0" fontId="3" fillId="0" borderId="915" xfId="0" applyFont="1" applyBorder="1" applyAlignment="1">
      <alignment horizontal="center" vertical="center"/>
    </xf>
    <xf numFmtId="0" fontId="3" fillId="0" borderId="1064" xfId="0" applyFont="1" applyBorder="1" applyAlignment="1">
      <alignment horizontal="center" vertical="center"/>
    </xf>
    <xf numFmtId="1" fontId="3" fillId="6" borderId="900" xfId="0" applyNumberFormat="1" applyFont="1" applyFill="1" applyBorder="1" applyAlignment="1">
      <alignment horizontal="center" vertical="center"/>
    </xf>
    <xf numFmtId="1" fontId="3" fillId="7" borderId="918" xfId="0" applyNumberFormat="1" applyFont="1" applyFill="1" applyBorder="1"/>
    <xf numFmtId="1" fontId="3" fillId="7" borderId="917" xfId="0" applyNumberFormat="1" applyFont="1" applyFill="1" applyBorder="1"/>
    <xf numFmtId="1" fontId="3" fillId="7" borderId="933" xfId="0" applyNumberFormat="1" applyFont="1" applyFill="1" applyBorder="1"/>
    <xf numFmtId="1" fontId="3" fillId="5" borderId="958" xfId="26" applyNumberFormat="1" applyFont="1" applyFill="1" applyBorder="1" applyAlignment="1" applyProtection="1">
      <alignment wrapText="1"/>
    </xf>
    <xf numFmtId="1" fontId="3" fillId="0" borderId="300" xfId="0" applyNumberFormat="1" applyFont="1" applyBorder="1" applyAlignment="1">
      <alignment vertical="center"/>
    </xf>
    <xf numFmtId="1" fontId="3" fillId="5" borderId="299" xfId="26" applyNumberFormat="1" applyFont="1" applyFill="1" applyBorder="1" applyAlignment="1" applyProtection="1">
      <alignment wrapText="1"/>
    </xf>
    <xf numFmtId="1" fontId="3" fillId="4" borderId="770" xfId="0" applyNumberFormat="1" applyFont="1" applyFill="1" applyBorder="1" applyProtection="1">
      <protection locked="0"/>
    </xf>
    <xf numFmtId="1" fontId="3" fillId="4" borderId="746" xfId="0" applyNumberFormat="1" applyFont="1" applyFill="1" applyBorder="1" applyProtection="1">
      <protection locked="0"/>
    </xf>
    <xf numFmtId="1" fontId="3" fillId="0" borderId="977" xfId="0" applyNumberFormat="1" applyFont="1" applyBorder="1" applyAlignment="1">
      <alignment horizontal="center" vertical="center"/>
    </xf>
    <xf numFmtId="1" fontId="3" fillId="5" borderId="900" xfId="0" applyNumberFormat="1" applyFont="1" applyFill="1" applyBorder="1" applyAlignment="1">
      <alignment horizontal="right" vertical="center"/>
    </xf>
    <xf numFmtId="1" fontId="3" fillId="5" borderId="958" xfId="27" applyNumberFormat="1" applyFont="1" applyFill="1" applyBorder="1" applyAlignment="1" applyProtection="1">
      <alignment horizontal="right" wrapText="1"/>
    </xf>
    <xf numFmtId="1" fontId="3" fillId="7" borderId="966" xfId="0" applyNumberFormat="1" applyFont="1" applyFill="1" applyBorder="1"/>
    <xf numFmtId="1" fontId="3" fillId="0" borderId="252" xfId="0" applyNumberFormat="1" applyFont="1" applyBorder="1" applyAlignment="1">
      <alignment vertical="center"/>
    </xf>
    <xf numFmtId="1" fontId="3" fillId="5" borderId="299" xfId="27" applyNumberFormat="1" applyFont="1" applyFill="1" applyBorder="1" applyAlignment="1" applyProtection="1">
      <alignment horizontal="right" wrapText="1"/>
    </xf>
    <xf numFmtId="1" fontId="3" fillId="7" borderId="770" xfId="0" applyNumberFormat="1" applyFont="1" applyFill="1" applyBorder="1"/>
    <xf numFmtId="1" fontId="3" fillId="3" borderId="1064" xfId="0" applyNumberFormat="1" applyFont="1" applyFill="1" applyBorder="1"/>
    <xf numFmtId="0" fontId="3" fillId="0" borderId="900" xfId="0" applyFont="1" applyBorder="1" applyAlignment="1">
      <alignment vertical="center"/>
    </xf>
    <xf numFmtId="0" fontId="3" fillId="0" borderId="958" xfId="0" applyFont="1" applyBorder="1" applyAlignment="1">
      <alignment vertical="center"/>
    </xf>
    <xf numFmtId="0" fontId="3" fillId="0" borderId="962" xfId="0" applyFont="1" applyBorder="1" applyAlignment="1">
      <alignment vertical="center"/>
    </xf>
    <xf numFmtId="1" fontId="3" fillId="0" borderId="1064" xfId="0" applyNumberFormat="1" applyFont="1" applyBorder="1" applyAlignment="1">
      <alignment vertical="center" wrapText="1"/>
    </xf>
    <xf numFmtId="1" fontId="3" fillId="0" borderId="1016" xfId="0" applyNumberFormat="1" applyFont="1" applyBorder="1" applyAlignment="1">
      <alignment vertical="center" wrapText="1"/>
    </xf>
    <xf numFmtId="1" fontId="3" fillId="4" borderId="1016" xfId="0" applyNumberFormat="1" applyFont="1" applyFill="1" applyBorder="1" applyProtection="1">
      <protection locked="0"/>
    </xf>
    <xf numFmtId="1" fontId="3" fillId="0" borderId="1027" xfId="0" applyNumberFormat="1" applyFont="1" applyBorder="1" applyAlignment="1">
      <alignment horizontal="center" vertical="center" wrapText="1"/>
    </xf>
    <xf numFmtId="164" fontId="3" fillId="0" borderId="1016" xfId="18" applyNumberFormat="1" applyFont="1" applyBorder="1" applyAlignment="1" applyProtection="1">
      <alignment horizontal="center" vertical="center" wrapText="1"/>
    </xf>
    <xf numFmtId="164" fontId="3" fillId="0" borderId="911" xfId="18" applyNumberFormat="1" applyFont="1" applyBorder="1" applyAlignment="1" applyProtection="1">
      <alignment horizontal="center" vertical="center"/>
    </xf>
    <xf numFmtId="0" fontId="3" fillId="0" borderId="958" xfId="20" applyFont="1" applyBorder="1" applyAlignment="1">
      <alignment horizontal="left" vertical="center" wrapText="1"/>
    </xf>
    <xf numFmtId="1" fontId="3" fillId="4" borderId="983" xfId="0" applyNumberFormat="1" applyFont="1" applyFill="1" applyBorder="1" applyAlignment="1" applyProtection="1">
      <alignment vertical="center"/>
      <protection locked="0"/>
    </xf>
    <xf numFmtId="1" fontId="3" fillId="4" borderId="987" xfId="0" applyNumberFormat="1" applyFont="1" applyFill="1" applyBorder="1" applyAlignment="1" applyProtection="1">
      <alignment vertical="center"/>
      <protection locked="0"/>
    </xf>
    <xf numFmtId="1" fontId="3" fillId="4" borderId="926" xfId="0" applyNumberFormat="1" applyFont="1" applyFill="1" applyBorder="1" applyAlignment="1" applyProtection="1">
      <alignment vertical="center"/>
      <protection locked="0"/>
    </xf>
    <xf numFmtId="1" fontId="3" fillId="4" borderId="699" xfId="0" applyNumberFormat="1" applyFont="1" applyFill="1" applyBorder="1" applyAlignment="1" applyProtection="1">
      <alignment vertical="center"/>
      <protection locked="0"/>
    </xf>
    <xf numFmtId="1" fontId="3" fillId="4" borderId="717" xfId="0" applyNumberFormat="1" applyFont="1" applyFill="1" applyBorder="1" applyAlignment="1" applyProtection="1">
      <alignment vertical="center"/>
      <protection locked="0"/>
    </xf>
    <xf numFmtId="1" fontId="3" fillId="4" borderId="900" xfId="0" applyNumberFormat="1" applyFont="1" applyFill="1" applyBorder="1" applyAlignment="1" applyProtection="1">
      <alignment vertical="center"/>
      <protection locked="0"/>
    </xf>
    <xf numFmtId="1" fontId="3" fillId="4" borderId="933" xfId="0" applyNumberFormat="1" applyFont="1" applyFill="1" applyBorder="1" applyAlignment="1" applyProtection="1">
      <alignment vertical="center"/>
      <protection locked="0"/>
    </xf>
    <xf numFmtId="1" fontId="3" fillId="4" borderId="917" xfId="0" applyNumberFormat="1" applyFont="1" applyFill="1" applyBorder="1" applyAlignment="1" applyProtection="1">
      <alignment vertical="center"/>
      <protection locked="0"/>
    </xf>
    <xf numFmtId="1" fontId="3" fillId="4" borderId="960" xfId="0" applyNumberFormat="1" applyFont="1" applyFill="1" applyBorder="1" applyAlignment="1" applyProtection="1">
      <alignment vertical="center"/>
      <protection locked="0"/>
    </xf>
    <xf numFmtId="1" fontId="3" fillId="4" borderId="966" xfId="0" applyNumberFormat="1" applyFont="1" applyFill="1" applyBorder="1" applyAlignment="1" applyProtection="1">
      <alignment vertical="center"/>
      <protection locked="0"/>
    </xf>
    <xf numFmtId="1" fontId="3" fillId="4" borderId="958" xfId="0" applyNumberFormat="1" applyFont="1" applyFill="1" applyBorder="1" applyAlignment="1" applyProtection="1">
      <alignment vertical="center"/>
      <protection locked="0"/>
    </xf>
    <xf numFmtId="1" fontId="3" fillId="4" borderId="959" xfId="0" applyNumberFormat="1" applyFont="1" applyFill="1" applyBorder="1" applyAlignment="1" applyProtection="1">
      <alignment vertical="center"/>
      <protection locked="0"/>
    </xf>
    <xf numFmtId="1" fontId="3" fillId="4" borderId="970" xfId="0" applyNumberFormat="1" applyFont="1" applyFill="1" applyBorder="1" applyAlignment="1" applyProtection="1">
      <alignment vertical="center"/>
      <protection locked="0"/>
    </xf>
    <xf numFmtId="1" fontId="3" fillId="6" borderId="983" xfId="0" applyNumberFormat="1" applyFont="1" applyFill="1" applyBorder="1" applyAlignment="1">
      <alignment vertical="center"/>
    </xf>
    <xf numFmtId="1" fontId="3" fillId="6" borderId="987" xfId="0" applyNumberFormat="1" applyFont="1" applyFill="1" applyBorder="1" applyAlignment="1">
      <alignment vertical="center"/>
    </xf>
    <xf numFmtId="164" fontId="3" fillId="0" borderId="909" xfId="18" applyNumberFormat="1" applyFont="1" applyBorder="1" applyAlignment="1" applyProtection="1">
      <alignment horizontal="center" vertical="center"/>
    </xf>
    <xf numFmtId="166" fontId="3" fillId="0" borderId="1016" xfId="18" applyNumberFormat="1" applyFont="1" applyBorder="1" applyAlignment="1" applyProtection="1">
      <alignment horizontal="right" vertical="center"/>
    </xf>
    <xf numFmtId="166" fontId="3" fillId="0" borderId="1019" xfId="18" applyNumberFormat="1" applyFont="1" applyBorder="1" applyAlignment="1" applyProtection="1">
      <alignment horizontal="right" vertical="center"/>
    </xf>
    <xf numFmtId="166" fontId="3" fillId="0" borderId="924" xfId="18" applyNumberFormat="1" applyFont="1" applyBorder="1" applyAlignment="1" applyProtection="1">
      <alignment horizontal="right" vertical="center"/>
    </xf>
    <xf numFmtId="166" fontId="3" fillId="0" borderId="915" xfId="18" applyNumberFormat="1" applyFont="1" applyBorder="1" applyAlignment="1" applyProtection="1">
      <alignment horizontal="right" vertical="center"/>
    </xf>
    <xf numFmtId="166" fontId="3" fillId="0" borderId="964" xfId="18" applyNumberFormat="1" applyFont="1" applyBorder="1" applyAlignment="1" applyProtection="1">
      <alignment horizontal="right" vertical="center"/>
    </xf>
    <xf numFmtId="166" fontId="3" fillId="0" borderId="911" xfId="18" applyNumberFormat="1" applyFont="1" applyBorder="1" applyAlignment="1" applyProtection="1">
      <alignment horizontal="right" vertical="center"/>
    </xf>
    <xf numFmtId="166" fontId="3" fillId="0" borderId="1064" xfId="18" applyNumberFormat="1" applyFont="1" applyBorder="1" applyAlignment="1" applyProtection="1">
      <alignment horizontal="right" vertical="center"/>
    </xf>
    <xf numFmtId="0" fontId="3" fillId="0" borderId="1019" xfId="20" applyFont="1" applyBorder="1" applyAlignment="1">
      <alignment horizontal="center" vertical="center" wrapText="1"/>
    </xf>
    <xf numFmtId="0" fontId="3" fillId="0" borderId="915" xfId="20" applyFont="1" applyBorder="1" applyAlignment="1">
      <alignment horizontal="center" vertical="center" wrapText="1"/>
    </xf>
    <xf numFmtId="0" fontId="3" fillId="0" borderId="1064" xfId="20" applyFont="1" applyBorder="1" applyAlignment="1">
      <alignment horizontal="center" vertical="center" wrapText="1"/>
    </xf>
    <xf numFmtId="164" fontId="3" fillId="0" borderId="1019" xfId="18" applyNumberFormat="1" applyFont="1" applyBorder="1" applyAlignment="1" applyProtection="1">
      <alignment horizontal="center" vertical="center" wrapText="1"/>
    </xf>
    <xf numFmtId="0" fontId="3" fillId="0" borderId="900" xfId="20" applyFont="1" applyBorder="1" applyAlignment="1">
      <alignment horizontal="left" vertical="center" wrapText="1"/>
    </xf>
    <xf numFmtId="166" fontId="3" fillId="5" borderId="900" xfId="18" applyNumberFormat="1" applyFont="1" applyFill="1" applyBorder="1" applyAlignment="1" applyProtection="1">
      <alignment vertical="center"/>
    </xf>
    <xf numFmtId="1" fontId="3" fillId="4" borderId="918" xfId="0" applyNumberFormat="1" applyFont="1" applyFill="1" applyBorder="1" applyAlignment="1" applyProtection="1">
      <alignment vertical="center"/>
      <protection locked="0"/>
    </xf>
    <xf numFmtId="166" fontId="3" fillId="5" borderId="299" xfId="18" applyNumberFormat="1" applyFont="1" applyFill="1" applyBorder="1" applyAlignment="1" applyProtection="1">
      <alignment horizontal="right" vertical="center"/>
    </xf>
    <xf numFmtId="1" fontId="3" fillId="4" borderId="255" xfId="0" applyNumberFormat="1" applyFont="1" applyFill="1" applyBorder="1" applyAlignment="1" applyProtection="1">
      <alignment vertical="center"/>
      <protection locked="0"/>
    </xf>
    <xf numFmtId="1" fontId="3" fillId="4" borderId="746" xfId="0" applyNumberFormat="1" applyFont="1" applyFill="1" applyBorder="1" applyAlignment="1" applyProtection="1">
      <alignment vertical="center"/>
      <protection locked="0"/>
    </xf>
    <xf numFmtId="1" fontId="3" fillId="4" borderId="770" xfId="0" applyNumberFormat="1" applyFont="1" applyFill="1" applyBorder="1" applyAlignment="1" applyProtection="1">
      <alignment vertical="center"/>
      <protection locked="0"/>
    </xf>
    <xf numFmtId="1" fontId="3" fillId="4" borderId="299" xfId="0" applyNumberFormat="1" applyFont="1" applyFill="1" applyBorder="1" applyAlignment="1" applyProtection="1">
      <alignment vertical="center"/>
      <protection locked="0"/>
    </xf>
    <xf numFmtId="164" fontId="3" fillId="0" borderId="1064" xfId="18" applyNumberFormat="1" applyFont="1" applyBorder="1" applyAlignment="1" applyProtection="1">
      <alignment horizontal="center" vertical="center"/>
    </xf>
    <xf numFmtId="1" fontId="3" fillId="0" borderId="1068" xfId="0" applyNumberFormat="1" applyFont="1" applyBorder="1" applyAlignment="1">
      <alignment horizontal="center" vertical="center" wrapText="1"/>
    </xf>
    <xf numFmtId="1" fontId="3" fillId="0" borderId="255" xfId="0" applyNumberFormat="1" applyFont="1" applyBorder="1" applyAlignment="1">
      <alignment horizontal="center" vertical="center"/>
    </xf>
    <xf numFmtId="1" fontId="3" fillId="9" borderId="699" xfId="21" applyNumberFormat="1" applyFont="1" applyBorder="1" applyAlignment="1" applyProtection="1">
      <alignment vertical="center"/>
      <protection locked="0"/>
    </xf>
    <xf numFmtId="1" fontId="3" fillId="9" borderId="717" xfId="21" applyNumberFormat="1" applyFont="1" applyBorder="1" applyAlignment="1" applyProtection="1">
      <alignment vertical="center"/>
      <protection locked="0"/>
    </xf>
    <xf numFmtId="1" fontId="3" fillId="4" borderId="728" xfId="0" applyNumberFormat="1" applyFont="1" applyFill="1" applyBorder="1" applyAlignment="1" applyProtection="1">
      <alignment vertical="center"/>
      <protection locked="0"/>
    </xf>
    <xf numFmtId="1" fontId="3" fillId="4" borderId="271" xfId="0" applyNumberFormat="1" applyFont="1" applyFill="1" applyBorder="1" applyAlignment="1" applyProtection="1">
      <alignment vertical="center"/>
      <protection locked="0"/>
    </xf>
    <xf numFmtId="1" fontId="3" fillId="4" borderId="280" xfId="0" applyNumberFormat="1" applyFont="1" applyFill="1" applyBorder="1" applyAlignment="1" applyProtection="1">
      <alignment vertical="center"/>
      <protection locked="0"/>
    </xf>
    <xf numFmtId="1" fontId="3" fillId="4" borderId="268" xfId="0" applyNumberFormat="1" applyFont="1" applyFill="1" applyBorder="1" applyAlignment="1" applyProtection="1">
      <alignment vertical="center"/>
      <protection locked="0"/>
    </xf>
    <xf numFmtId="1" fontId="3" fillId="7" borderId="987" xfId="0" applyNumberFormat="1" applyFont="1" applyFill="1" applyBorder="1" applyAlignment="1">
      <alignment vertical="center"/>
    </xf>
    <xf numFmtId="1" fontId="3" fillId="7" borderId="966" xfId="0" applyNumberFormat="1" applyFont="1" applyFill="1" applyBorder="1" applyAlignment="1">
      <alignment vertical="center"/>
    </xf>
    <xf numFmtId="1" fontId="3" fillId="7" borderId="983" xfId="0" applyNumberFormat="1" applyFont="1" applyFill="1" applyBorder="1" applyAlignment="1">
      <alignment vertical="center"/>
    </xf>
    <xf numFmtId="1" fontId="3" fillId="9" borderId="987" xfId="21" applyNumberFormat="1" applyFont="1" applyBorder="1" applyAlignment="1" applyProtection="1">
      <alignment vertical="center"/>
      <protection locked="0"/>
    </xf>
    <xf numFmtId="1" fontId="3" fillId="9" borderId="983" xfId="21" applyNumberFormat="1" applyFont="1" applyBorder="1" applyAlignment="1" applyProtection="1">
      <alignment vertical="center"/>
      <protection locked="0"/>
    </xf>
    <xf numFmtId="1" fontId="3" fillId="4" borderId="985" xfId="0" applyNumberFormat="1" applyFont="1" applyFill="1" applyBorder="1" applyAlignment="1" applyProtection="1">
      <alignment vertical="center"/>
      <protection locked="0"/>
    </xf>
    <xf numFmtId="1" fontId="3" fillId="4" borderId="988" xfId="0" applyNumberFormat="1" applyFont="1" applyFill="1" applyBorder="1" applyAlignment="1" applyProtection="1">
      <alignment vertical="center"/>
      <protection locked="0"/>
    </xf>
    <xf numFmtId="1" fontId="3" fillId="4" borderId="967" xfId="0" applyNumberFormat="1" applyFont="1" applyFill="1" applyBorder="1" applyAlignment="1" applyProtection="1">
      <alignment vertical="center"/>
      <protection locked="0"/>
    </xf>
    <xf numFmtId="1" fontId="3" fillId="4" borderId="961" xfId="0" applyNumberFormat="1" applyFont="1" applyFill="1" applyBorder="1" applyAlignment="1" applyProtection="1">
      <alignment vertical="center"/>
      <protection locked="0"/>
    </xf>
    <xf numFmtId="166" fontId="3" fillId="0" borderId="1016" xfId="19" applyNumberFormat="1" applyFont="1" applyFill="1" applyBorder="1" applyAlignment="1" applyProtection="1">
      <alignment horizontal="right" vertical="center"/>
    </xf>
    <xf numFmtId="166" fontId="3" fillId="0" borderId="1019" xfId="19" applyNumberFormat="1" applyFont="1" applyFill="1" applyBorder="1" applyAlignment="1" applyProtection="1">
      <alignment horizontal="right" vertical="center"/>
    </xf>
    <xf numFmtId="166" fontId="3" fillId="0" borderId="915" xfId="19" applyNumberFormat="1" applyFont="1" applyFill="1" applyBorder="1" applyAlignment="1" applyProtection="1">
      <alignment horizontal="right" vertical="center"/>
    </xf>
    <xf numFmtId="166" fontId="3" fillId="0" borderId="924" xfId="19" applyNumberFormat="1" applyFont="1" applyFill="1" applyBorder="1" applyAlignment="1" applyProtection="1">
      <alignment horizontal="right" vertical="center"/>
    </xf>
    <xf numFmtId="166" fontId="3" fillId="0" borderId="1064" xfId="19" applyNumberFormat="1" applyFont="1" applyFill="1" applyBorder="1" applyAlignment="1" applyProtection="1">
      <alignment horizontal="right" vertical="center"/>
    </xf>
    <xf numFmtId="166" fontId="3" fillId="0" borderId="911" xfId="19" applyNumberFormat="1" applyFont="1" applyFill="1" applyBorder="1" applyAlignment="1" applyProtection="1">
      <alignment horizontal="right" vertical="center"/>
    </xf>
    <xf numFmtId="1" fontId="3" fillId="0" borderId="1072" xfId="0" applyNumberFormat="1" applyFont="1" applyBorder="1" applyAlignment="1">
      <alignment horizontal="center" vertical="center" wrapText="1"/>
    </xf>
    <xf numFmtId="164" fontId="3" fillId="0" borderId="963" xfId="18" applyNumberFormat="1" applyFont="1" applyBorder="1" applyAlignment="1" applyProtection="1">
      <alignment horizontal="center" vertical="center" wrapText="1"/>
    </xf>
    <xf numFmtId="164" fontId="3" fillId="0" borderId="1038" xfId="18" applyNumberFormat="1" applyFont="1" applyBorder="1" applyAlignment="1" applyProtection="1">
      <alignment horizontal="center" vertical="center" wrapText="1"/>
    </xf>
    <xf numFmtId="1" fontId="3" fillId="0" borderId="1025" xfId="0" applyNumberFormat="1" applyFont="1" applyBorder="1" applyAlignment="1">
      <alignment vertical="center"/>
    </xf>
    <xf numFmtId="1" fontId="3" fillId="0" borderId="1027" xfId="0" applyNumberFormat="1" applyFont="1" applyBorder="1" applyAlignment="1">
      <alignment vertical="center"/>
    </xf>
    <xf numFmtId="1" fontId="3" fillId="0" borderId="1019" xfId="0" applyNumberFormat="1" applyFont="1" applyBorder="1" applyAlignment="1">
      <alignment horizontal="right" vertical="center"/>
    </xf>
    <xf numFmtId="1" fontId="3" fillId="0" borderId="1029" xfId="0" applyNumberFormat="1" applyFont="1" applyBorder="1" applyAlignment="1">
      <alignment horizontal="right" vertical="center"/>
    </xf>
    <xf numFmtId="1" fontId="3" fillId="0" borderId="1027" xfId="0" applyNumberFormat="1" applyFont="1" applyBorder="1" applyAlignment="1">
      <alignment horizontal="right" vertical="center"/>
    </xf>
    <xf numFmtId="1" fontId="3" fillId="4" borderId="1072" xfId="0" applyNumberFormat="1" applyFont="1" applyFill="1" applyBorder="1" applyAlignment="1" applyProtection="1">
      <alignment vertical="center"/>
      <protection locked="0"/>
    </xf>
    <xf numFmtId="1" fontId="3" fillId="4" borderId="1027" xfId="0" applyNumberFormat="1" applyFont="1" applyFill="1" applyBorder="1" applyAlignment="1" applyProtection="1">
      <alignment vertical="center"/>
      <protection locked="0"/>
    </xf>
    <xf numFmtId="1" fontId="3" fillId="4" borderId="1038" xfId="0" applyNumberFormat="1" applyFont="1" applyFill="1" applyBorder="1" applyAlignment="1" applyProtection="1">
      <alignment vertical="center"/>
      <protection locked="0"/>
    </xf>
    <xf numFmtId="1" fontId="3" fillId="4" borderId="963" xfId="0" applyNumberFormat="1" applyFont="1" applyFill="1" applyBorder="1" applyAlignment="1" applyProtection="1">
      <alignment vertical="center"/>
      <protection locked="0"/>
    </xf>
    <xf numFmtId="1" fontId="3" fillId="4" borderId="925" xfId="0" applyNumberFormat="1" applyFont="1" applyFill="1" applyBorder="1" applyAlignment="1" applyProtection="1">
      <alignment vertical="center"/>
      <protection locked="0"/>
    </xf>
    <xf numFmtId="1" fontId="3" fillId="4" borderId="924" xfId="0" applyNumberFormat="1" applyFont="1" applyFill="1" applyBorder="1" applyAlignment="1" applyProtection="1">
      <alignment vertical="center"/>
      <protection locked="0"/>
    </xf>
    <xf numFmtId="1" fontId="3" fillId="4" borderId="915" xfId="0" applyNumberFormat="1" applyFont="1" applyFill="1" applyBorder="1" applyAlignment="1" applyProtection="1">
      <alignment vertical="center"/>
      <protection locked="0"/>
    </xf>
    <xf numFmtId="1" fontId="3" fillId="4" borderId="1064" xfId="0" applyNumberFormat="1" applyFont="1" applyFill="1" applyBorder="1" applyAlignment="1" applyProtection="1">
      <alignment vertical="center"/>
      <protection locked="0"/>
    </xf>
    <xf numFmtId="1" fontId="3" fillId="0" borderId="1063" xfId="0" applyNumberFormat="1" applyFont="1" applyBorder="1" applyAlignment="1">
      <alignment vertical="center" wrapText="1"/>
    </xf>
    <xf numFmtId="1" fontId="3" fillId="7" borderId="926" xfId="0" applyNumberFormat="1" applyFont="1" applyFill="1" applyBorder="1" applyAlignment="1">
      <alignment horizontal="right" vertical="center"/>
    </xf>
    <xf numFmtId="1" fontId="3" fillId="7" borderId="918" xfId="0" applyNumberFormat="1" applyFont="1" applyFill="1" applyBorder="1" applyAlignment="1">
      <alignment vertical="center"/>
    </xf>
    <xf numFmtId="1" fontId="3" fillId="7" borderId="917" xfId="0" applyNumberFormat="1" applyFont="1" applyFill="1" applyBorder="1" applyAlignment="1">
      <alignment vertical="center"/>
    </xf>
    <xf numFmtId="1" fontId="3" fillId="4" borderId="982" xfId="0" applyNumberFormat="1" applyFont="1" applyFill="1" applyBorder="1" applyAlignment="1" applyProtection="1">
      <alignment vertical="center"/>
      <protection locked="0"/>
    </xf>
    <xf numFmtId="1" fontId="3" fillId="4" borderId="986" xfId="0" applyNumberFormat="1" applyFont="1" applyFill="1" applyBorder="1" applyAlignment="1" applyProtection="1">
      <alignment vertical="center"/>
      <protection locked="0"/>
    </xf>
    <xf numFmtId="1" fontId="3" fillId="0" borderId="1028" xfId="0" applyNumberFormat="1" applyFont="1" applyBorder="1" applyAlignment="1">
      <alignment horizontal="right" vertical="center"/>
    </xf>
    <xf numFmtId="1" fontId="3" fillId="7" borderId="988" xfId="0" applyNumberFormat="1" applyFont="1" applyFill="1" applyBorder="1" applyAlignment="1">
      <alignment vertical="center"/>
    </xf>
    <xf numFmtId="1" fontId="3" fillId="4" borderId="968" xfId="0" applyNumberFormat="1" applyFont="1" applyFill="1" applyBorder="1" applyAlignment="1" applyProtection="1">
      <alignment vertical="center"/>
      <protection locked="0"/>
    </xf>
    <xf numFmtId="1" fontId="3" fillId="4" borderId="990" xfId="0" applyNumberFormat="1" applyFont="1" applyFill="1" applyBorder="1" applyAlignment="1" applyProtection="1">
      <alignment vertical="center"/>
      <protection locked="0"/>
    </xf>
    <xf numFmtId="1" fontId="3" fillId="4" borderId="969" xfId="0" applyNumberFormat="1" applyFont="1" applyFill="1" applyBorder="1" applyAlignment="1" applyProtection="1">
      <alignment vertical="center"/>
      <protection locked="0"/>
    </xf>
    <xf numFmtId="1" fontId="3" fillId="0" borderId="970" xfId="0" applyNumberFormat="1" applyFont="1" applyBorder="1" applyAlignment="1">
      <alignment vertical="center"/>
    </xf>
    <xf numFmtId="1" fontId="3" fillId="0" borderId="982" xfId="0" applyNumberFormat="1" applyFont="1" applyBorder="1" applyAlignment="1">
      <alignment vertical="center" shrinkToFit="1"/>
    </xf>
    <xf numFmtId="1" fontId="3" fillId="0" borderId="970" xfId="0" applyNumberFormat="1" applyFont="1" applyBorder="1" applyAlignment="1">
      <alignment vertical="center" shrinkToFit="1"/>
    </xf>
    <xf numFmtId="1" fontId="3" fillId="0" borderId="983" xfId="0" applyNumberFormat="1" applyFont="1" applyBorder="1" applyAlignment="1">
      <alignment horizontal="right" vertical="center" shrinkToFit="1"/>
    </xf>
    <xf numFmtId="1" fontId="3" fillId="0" borderId="960" xfId="0" applyNumberFormat="1" applyFont="1" applyBorder="1" applyAlignment="1">
      <alignment horizontal="right" vertical="center" shrinkToFit="1"/>
    </xf>
    <xf numFmtId="1" fontId="3" fillId="4" borderId="992" xfId="0" applyNumberFormat="1" applyFont="1" applyFill="1" applyBorder="1" applyAlignment="1" applyProtection="1">
      <alignment vertical="center"/>
      <protection locked="0"/>
    </xf>
    <xf numFmtId="1" fontId="3" fillId="0" borderId="255" xfId="0" applyNumberFormat="1" applyFont="1" applyBorder="1" applyAlignment="1">
      <alignment horizontal="right" vertical="center" wrapText="1"/>
    </xf>
    <xf numFmtId="1" fontId="3" fillId="0" borderId="1028" xfId="0" applyNumberFormat="1" applyFont="1" applyBorder="1" applyAlignment="1">
      <alignment horizontal="right" vertical="center" wrapText="1"/>
    </xf>
    <xf numFmtId="1" fontId="3" fillId="0" borderId="255" xfId="0" applyNumberFormat="1" applyFont="1" applyBorder="1" applyAlignment="1">
      <alignment vertical="center"/>
    </xf>
    <xf numFmtId="1" fontId="3" fillId="0" borderId="770" xfId="0" applyNumberFormat="1" applyFont="1" applyBorder="1" applyAlignment="1">
      <alignment vertical="center"/>
    </xf>
    <xf numFmtId="1" fontId="3" fillId="0" borderId="1019" xfId="0" applyNumberFormat="1" applyFont="1" applyBorder="1" applyAlignment="1">
      <alignment vertical="center"/>
    </xf>
    <xf numFmtId="1" fontId="3" fillId="0" borderId="964" xfId="0" applyNumberFormat="1" applyFont="1" applyBorder="1" applyAlignment="1">
      <alignment vertical="center"/>
    </xf>
    <xf numFmtId="1" fontId="3" fillId="0" borderId="909" xfId="0" applyNumberFormat="1" applyFont="1" applyBorder="1" applyAlignment="1">
      <alignment vertical="center"/>
    </xf>
    <xf numFmtId="1" fontId="3" fillId="0" borderId="925" xfId="0" applyNumberFormat="1" applyFont="1" applyBorder="1" applyAlignment="1">
      <alignment vertical="center"/>
    </xf>
    <xf numFmtId="1" fontId="3" fillId="0" borderId="963" xfId="0" applyNumberFormat="1" applyFont="1" applyBorder="1" applyAlignment="1">
      <alignment vertical="center"/>
    </xf>
    <xf numFmtId="1" fontId="3" fillId="0" borderId="746" xfId="0" applyNumberFormat="1" applyFont="1" applyBorder="1" applyAlignment="1">
      <alignment vertical="center"/>
    </xf>
    <xf numFmtId="1" fontId="3" fillId="0" borderId="1028" xfId="0" applyNumberFormat="1" applyFont="1" applyBorder="1" applyAlignment="1">
      <alignment vertical="center"/>
    </xf>
    <xf numFmtId="1" fontId="3" fillId="0" borderId="1019" xfId="0" applyNumberFormat="1" applyFont="1" applyBorder="1" applyAlignment="1">
      <alignment horizontal="right" vertical="center" wrapText="1"/>
    </xf>
    <xf numFmtId="1" fontId="3" fillId="0" borderId="1068" xfId="0" applyNumberFormat="1" applyFont="1" applyBorder="1" applyAlignment="1">
      <alignment horizontal="right" vertical="center" wrapText="1"/>
    </xf>
    <xf numFmtId="1" fontId="3" fillId="0" borderId="915" xfId="0" applyNumberFormat="1" applyFont="1" applyBorder="1" applyAlignment="1">
      <alignment horizontal="right" vertical="center"/>
    </xf>
    <xf numFmtId="1" fontId="3" fillId="0" borderId="998" xfId="0" applyNumberFormat="1" applyFont="1" applyBorder="1" applyAlignment="1">
      <alignment horizontal="right" vertical="center"/>
    </xf>
    <xf numFmtId="1" fontId="3" fillId="0" borderId="1064" xfId="0" applyNumberFormat="1" applyFont="1" applyBorder="1" applyAlignment="1">
      <alignment horizontal="right" vertical="center"/>
    </xf>
    <xf numFmtId="1" fontId="3" fillId="4" borderId="973" xfId="0" applyNumberFormat="1" applyFont="1" applyFill="1" applyBorder="1" applyAlignment="1" applyProtection="1">
      <alignment vertical="center"/>
      <protection locked="0"/>
    </xf>
    <xf numFmtId="1" fontId="3" fillId="0" borderId="991" xfId="0" applyNumberFormat="1" applyFont="1" applyBorder="1" applyAlignment="1">
      <alignment horizontal="center" vertical="center"/>
    </xf>
    <xf numFmtId="1" fontId="3" fillId="0" borderId="934" xfId="0" applyNumberFormat="1" applyFont="1" applyBorder="1" applyAlignment="1">
      <alignment vertical="center" wrapText="1"/>
    </xf>
    <xf numFmtId="1" fontId="3" fillId="3" borderId="900" xfId="0" applyNumberFormat="1" applyFont="1" applyFill="1" applyBorder="1" applyAlignment="1">
      <alignment horizontal="right" vertical="center"/>
    </xf>
    <xf numFmtId="1" fontId="3" fillId="8" borderId="983" xfId="0" applyNumberFormat="1" applyFont="1" applyFill="1" applyBorder="1" applyAlignment="1" applyProtection="1">
      <alignment vertical="center"/>
      <protection locked="0"/>
    </xf>
    <xf numFmtId="1" fontId="3" fillId="8" borderId="987" xfId="0" applyNumberFormat="1" applyFont="1" applyFill="1" applyBorder="1" applyAlignment="1" applyProtection="1">
      <alignment vertical="center"/>
      <protection locked="0"/>
    </xf>
    <xf numFmtId="1" fontId="3" fillId="8" borderId="973" xfId="0" applyNumberFormat="1" applyFont="1" applyFill="1" applyBorder="1" applyAlignment="1" applyProtection="1">
      <alignment vertical="center"/>
      <protection locked="0"/>
    </xf>
    <xf numFmtId="1" fontId="3" fillId="8" borderId="996" xfId="0" applyNumberFormat="1" applyFont="1" applyFill="1" applyBorder="1" applyAlignment="1" applyProtection="1">
      <alignment vertical="center"/>
      <protection locked="0"/>
    </xf>
    <xf numFmtId="1" fontId="3" fillId="8" borderId="958" xfId="0" applyNumberFormat="1" applyFont="1" applyFill="1" applyBorder="1" applyAlignment="1" applyProtection="1">
      <alignment vertical="center"/>
      <protection locked="0"/>
    </xf>
    <xf numFmtId="1" fontId="3" fillId="8" borderId="970" xfId="0" applyNumberFormat="1" applyFont="1" applyFill="1" applyBorder="1" applyAlignment="1" applyProtection="1">
      <alignment vertical="center"/>
      <protection locked="0"/>
    </xf>
    <xf numFmtId="1" fontId="3" fillId="3" borderId="958" xfId="0" applyNumberFormat="1" applyFont="1" applyFill="1" applyBorder="1" applyAlignment="1">
      <alignment horizontal="right" vertical="center"/>
    </xf>
    <xf numFmtId="1" fontId="3" fillId="8" borderId="986" xfId="0" applyNumberFormat="1" applyFont="1" applyFill="1" applyBorder="1" applyAlignment="1" applyProtection="1">
      <alignment vertical="center"/>
      <protection locked="0"/>
    </xf>
    <xf numFmtId="1" fontId="3" fillId="8" borderId="959" xfId="0" applyNumberFormat="1" applyFont="1" applyFill="1" applyBorder="1" applyAlignment="1" applyProtection="1">
      <alignment vertical="center"/>
      <protection locked="0"/>
    </xf>
    <xf numFmtId="1" fontId="3" fillId="3" borderId="299" xfId="0" applyNumberFormat="1" applyFont="1" applyFill="1" applyBorder="1" applyAlignment="1">
      <alignment horizontal="right" vertical="center"/>
    </xf>
    <xf numFmtId="1" fontId="3" fillId="8" borderId="255" xfId="0" applyNumberFormat="1" applyFont="1" applyFill="1" applyBorder="1" applyAlignment="1" applyProtection="1">
      <alignment vertical="center"/>
      <protection locked="0"/>
    </xf>
    <xf numFmtId="1" fontId="3" fillId="8" borderId="252" xfId="0" applyNumberFormat="1" applyFont="1" applyFill="1" applyBorder="1" applyAlignment="1" applyProtection="1">
      <alignment vertical="center"/>
      <protection locked="0"/>
    </xf>
    <xf numFmtId="1" fontId="3" fillId="8" borderId="746" xfId="0" applyNumberFormat="1" applyFont="1" applyFill="1" applyBorder="1" applyAlignment="1" applyProtection="1">
      <alignment vertical="center"/>
      <protection locked="0"/>
    </xf>
    <xf numFmtId="1" fontId="3" fillId="8" borderId="299" xfId="0" applyNumberFormat="1" applyFont="1" applyFill="1" applyBorder="1" applyAlignment="1" applyProtection="1">
      <alignment vertical="center"/>
      <protection locked="0"/>
    </xf>
    <xf numFmtId="1" fontId="3" fillId="8" borderId="770" xfId="0" applyNumberFormat="1" applyFont="1" applyFill="1" applyBorder="1" applyAlignment="1" applyProtection="1">
      <alignment vertical="center"/>
      <protection locked="0"/>
    </xf>
    <xf numFmtId="1" fontId="3" fillId="3" borderId="918" xfId="23" applyNumberFormat="1" applyFont="1" applyFill="1" applyBorder="1" applyAlignment="1">
      <alignment horizontal="right" vertical="center"/>
    </xf>
    <xf numFmtId="1" fontId="3" fillId="3" borderId="699" xfId="23" applyNumberFormat="1" applyFont="1" applyFill="1" applyBorder="1" applyAlignment="1">
      <alignment horizontal="right" vertical="center"/>
    </xf>
    <xf numFmtId="1" fontId="3" fillId="3" borderId="917" xfId="23" applyNumberFormat="1" applyFont="1" applyFill="1" applyBorder="1" applyAlignment="1">
      <alignment horizontal="right" vertical="center"/>
    </xf>
    <xf numFmtId="1" fontId="3" fillId="8" borderId="918" xfId="0" applyNumberFormat="1" applyFont="1" applyFill="1" applyBorder="1" applyAlignment="1" applyProtection="1">
      <alignment vertical="center"/>
      <protection locked="0"/>
    </xf>
    <xf numFmtId="1" fontId="3" fillId="8" borderId="917" xfId="0" applyNumberFormat="1" applyFont="1" applyFill="1" applyBorder="1" applyAlignment="1" applyProtection="1">
      <alignment vertical="center"/>
      <protection locked="0"/>
    </xf>
    <xf numFmtId="1" fontId="3" fillId="8" borderId="926" xfId="0" applyNumberFormat="1" applyFont="1" applyFill="1" applyBorder="1" applyAlignment="1" applyProtection="1">
      <alignment vertical="center"/>
      <protection locked="0"/>
    </xf>
    <xf numFmtId="1" fontId="3" fillId="8" borderId="981" xfId="0" applyNumberFormat="1" applyFont="1" applyFill="1" applyBorder="1" applyAlignment="1" applyProtection="1">
      <alignment vertical="center"/>
      <protection locked="0"/>
    </xf>
    <xf numFmtId="1" fontId="3" fillId="8" borderId="717" xfId="0" applyNumberFormat="1" applyFont="1" applyFill="1" applyBorder="1" applyAlignment="1" applyProtection="1">
      <alignment vertical="center"/>
      <protection locked="0"/>
    </xf>
    <xf numFmtId="1" fontId="3" fillId="8" borderId="965" xfId="0" applyNumberFormat="1" applyFont="1" applyFill="1" applyBorder="1" applyAlignment="1" applyProtection="1">
      <alignment vertical="center"/>
      <protection locked="0"/>
    </xf>
    <xf numFmtId="1" fontId="3" fillId="8" borderId="699" xfId="0" applyNumberFormat="1" applyFont="1" applyFill="1" applyBorder="1" applyAlignment="1" applyProtection="1">
      <alignment vertical="center"/>
      <protection locked="0"/>
    </xf>
    <xf numFmtId="1" fontId="3" fillId="3" borderId="983" xfId="23" applyNumberFormat="1" applyFont="1" applyFill="1" applyBorder="1" applyAlignment="1">
      <alignment horizontal="right" vertical="center"/>
    </xf>
    <xf numFmtId="1" fontId="3" fillId="3" borderId="987" xfId="23" applyNumberFormat="1" applyFont="1" applyFill="1" applyBorder="1" applyAlignment="1">
      <alignment horizontal="right" vertical="center"/>
    </xf>
    <xf numFmtId="1" fontId="3" fillId="3" borderId="970" xfId="23" applyNumberFormat="1" applyFont="1" applyFill="1" applyBorder="1" applyAlignment="1">
      <alignment horizontal="right" vertical="center"/>
    </xf>
    <xf numFmtId="1" fontId="3" fillId="8" borderId="960" xfId="0" applyNumberFormat="1" applyFont="1" applyFill="1" applyBorder="1" applyAlignment="1" applyProtection="1">
      <alignment vertical="center"/>
      <protection locked="0"/>
    </xf>
    <xf numFmtId="1" fontId="3" fillId="8" borderId="984" xfId="0" applyNumberFormat="1" applyFont="1" applyFill="1" applyBorder="1" applyAlignment="1" applyProtection="1">
      <alignment vertical="center"/>
      <protection locked="0"/>
    </xf>
    <xf numFmtId="1" fontId="3" fillId="8" borderId="966" xfId="0" applyNumberFormat="1" applyFont="1" applyFill="1" applyBorder="1" applyAlignment="1" applyProtection="1">
      <alignment vertical="center"/>
      <protection locked="0"/>
    </xf>
    <xf numFmtId="1" fontId="3" fillId="3" borderId="988" xfId="23" applyNumberFormat="1" applyFont="1" applyFill="1" applyBorder="1" applyAlignment="1">
      <alignment horizontal="right" vertical="center"/>
    </xf>
    <xf numFmtId="1" fontId="3" fillId="3" borderId="967" xfId="23" applyNumberFormat="1" applyFont="1" applyFill="1" applyBorder="1" applyAlignment="1">
      <alignment horizontal="right" vertical="center"/>
    </xf>
    <xf numFmtId="1" fontId="3" fillId="8" borderId="988" xfId="0" applyNumberFormat="1" applyFont="1" applyFill="1" applyBorder="1" applyAlignment="1" applyProtection="1">
      <alignment vertical="center"/>
      <protection locked="0"/>
    </xf>
    <xf numFmtId="1" fontId="3" fillId="8" borderId="969" xfId="0" applyNumberFormat="1" applyFont="1" applyFill="1" applyBorder="1" applyAlignment="1" applyProtection="1">
      <alignment vertical="center"/>
      <protection locked="0"/>
    </xf>
    <xf numFmtId="1" fontId="3" fillId="8" borderId="989" xfId="0" applyNumberFormat="1" applyFont="1" applyFill="1" applyBorder="1" applyAlignment="1" applyProtection="1">
      <alignment vertical="center"/>
      <protection locked="0"/>
    </xf>
    <xf numFmtId="1" fontId="3" fillId="8" borderId="961" xfId="0" applyNumberFormat="1" applyFont="1" applyFill="1" applyBorder="1" applyAlignment="1" applyProtection="1">
      <alignment vertical="center"/>
      <protection locked="0"/>
    </xf>
    <xf numFmtId="1" fontId="3" fillId="8" borderId="968" xfId="0" applyNumberFormat="1" applyFont="1" applyFill="1" applyBorder="1" applyAlignment="1" applyProtection="1">
      <alignment vertical="center"/>
      <protection locked="0"/>
    </xf>
    <xf numFmtId="1" fontId="3" fillId="8" borderId="967" xfId="0" applyNumberFormat="1" applyFont="1" applyFill="1" applyBorder="1" applyAlignment="1" applyProtection="1">
      <alignment vertical="center"/>
      <protection locked="0"/>
    </xf>
    <xf numFmtId="1" fontId="3" fillId="0" borderId="255" xfId="23" applyNumberFormat="1" applyFont="1" applyFill="1" applyBorder="1" applyAlignment="1">
      <alignment horizontal="right" vertical="center"/>
    </xf>
    <xf numFmtId="1" fontId="3" fillId="0" borderId="770" xfId="23" applyNumberFormat="1" applyFont="1" applyFill="1" applyBorder="1" applyAlignment="1">
      <alignment horizontal="right" vertical="center"/>
    </xf>
    <xf numFmtId="1" fontId="3" fillId="0" borderId="770" xfId="0" applyNumberFormat="1" applyFont="1" applyBorder="1" applyAlignment="1">
      <alignment horizontal="right" vertical="center" wrapText="1"/>
    </xf>
    <xf numFmtId="1" fontId="3" fillId="0" borderId="252" xfId="0" applyNumberFormat="1" applyFont="1" applyBorder="1" applyAlignment="1">
      <alignment horizontal="right" vertical="center" wrapText="1"/>
    </xf>
    <xf numFmtId="1" fontId="3" fillId="3" borderId="280" xfId="23" applyNumberFormat="1" applyFont="1" applyFill="1" applyBorder="1" applyAlignment="1">
      <alignment horizontal="right" vertical="center"/>
    </xf>
    <xf numFmtId="1" fontId="3" fillId="8" borderId="289" xfId="0" applyNumberFormat="1" applyFont="1" applyFill="1" applyBorder="1" applyAlignment="1" applyProtection="1">
      <alignment vertical="center"/>
      <protection locked="0"/>
    </xf>
    <xf numFmtId="1" fontId="3" fillId="8" borderId="271" xfId="0" applyNumberFormat="1" applyFont="1" applyFill="1" applyBorder="1" applyAlignment="1" applyProtection="1">
      <alignment vertical="center"/>
      <protection locked="0"/>
    </xf>
    <xf numFmtId="1" fontId="3" fillId="8" borderId="280" xfId="0" applyNumberFormat="1" applyFont="1" applyFill="1" applyBorder="1" applyAlignment="1" applyProtection="1">
      <alignment vertical="center"/>
      <protection locked="0"/>
    </xf>
    <xf numFmtId="1" fontId="3" fillId="3" borderId="1077" xfId="23" applyNumberFormat="1" applyFont="1" applyFill="1" applyBorder="1" applyAlignment="1">
      <alignment horizontal="right" vertical="center"/>
    </xf>
    <xf numFmtId="1" fontId="3" fillId="4" borderId="965" xfId="0" applyNumberFormat="1" applyFont="1" applyFill="1" applyBorder="1" applyAlignment="1" applyProtection="1">
      <alignment vertical="center"/>
      <protection locked="0"/>
    </xf>
    <xf numFmtId="1" fontId="3" fillId="3" borderId="1078" xfId="23" applyNumberFormat="1" applyFont="1" applyFill="1" applyBorder="1" applyAlignment="1">
      <alignment horizontal="right" vertical="center"/>
    </xf>
    <xf numFmtId="1" fontId="3" fillId="3" borderId="1079" xfId="23" applyNumberFormat="1" applyFont="1" applyFill="1" applyBorder="1" applyAlignment="1">
      <alignment horizontal="right" vertical="center"/>
    </xf>
    <xf numFmtId="1" fontId="3" fillId="0" borderId="1081" xfId="0" applyNumberFormat="1" applyFont="1" applyBorder="1" applyAlignment="1">
      <alignment vertical="center"/>
    </xf>
    <xf numFmtId="1" fontId="3" fillId="3" borderId="1082" xfId="23" applyNumberFormat="1" applyFont="1" applyFill="1" applyBorder="1" applyAlignment="1">
      <alignment horizontal="right" vertical="center"/>
    </xf>
    <xf numFmtId="1" fontId="3" fillId="3" borderId="1083" xfId="23" applyNumberFormat="1" applyFont="1" applyFill="1" applyBorder="1" applyAlignment="1">
      <alignment horizontal="right" vertical="center"/>
    </xf>
    <xf numFmtId="1" fontId="3" fillId="4" borderId="1083" xfId="0" applyNumberFormat="1" applyFont="1" applyFill="1" applyBorder="1" applyAlignment="1" applyProtection="1">
      <alignment vertical="center"/>
      <protection locked="0"/>
    </xf>
    <xf numFmtId="1" fontId="3" fillId="3" borderId="1084" xfId="23" applyNumberFormat="1" applyFont="1" applyFill="1" applyBorder="1" applyAlignment="1">
      <alignment horizontal="right" vertical="center"/>
    </xf>
    <xf numFmtId="1" fontId="3" fillId="3" borderId="1085" xfId="23" applyNumberFormat="1" applyFont="1" applyFill="1" applyBorder="1" applyAlignment="1">
      <alignment horizontal="right" vertical="center"/>
    </xf>
    <xf numFmtId="1" fontId="3" fillId="0" borderId="1092" xfId="0" applyNumberFormat="1" applyFont="1" applyBorder="1" applyAlignment="1">
      <alignment horizontal="center" vertical="center" wrapText="1"/>
    </xf>
    <xf numFmtId="1" fontId="3" fillId="0" borderId="1093" xfId="0" applyNumberFormat="1" applyFont="1" applyBorder="1" applyAlignment="1">
      <alignment horizontal="center" vertical="center" wrapText="1"/>
    </xf>
    <xf numFmtId="1" fontId="3" fillId="0" borderId="1094" xfId="0" applyNumberFormat="1" applyFont="1" applyBorder="1" applyAlignment="1">
      <alignment horizontal="center" vertical="center" wrapText="1"/>
    </xf>
    <xf numFmtId="1" fontId="3" fillId="3" borderId="1095" xfId="23" applyNumberFormat="1" applyFont="1" applyFill="1" applyBorder="1" applyAlignment="1">
      <alignment horizontal="right" vertical="center"/>
    </xf>
    <xf numFmtId="1" fontId="3" fillId="4" borderId="1096" xfId="0" applyNumberFormat="1" applyFont="1" applyFill="1" applyBorder="1" applyAlignment="1" applyProtection="1">
      <alignment vertical="center"/>
      <protection locked="0"/>
    </xf>
    <xf numFmtId="1" fontId="3" fillId="4" borderId="1097" xfId="0" applyNumberFormat="1" applyFont="1" applyFill="1" applyBorder="1" applyAlignment="1" applyProtection="1">
      <alignment vertical="center"/>
      <protection locked="0"/>
    </xf>
    <xf numFmtId="1" fontId="3" fillId="4" borderId="1098" xfId="0" applyNumberFormat="1" applyFont="1" applyFill="1" applyBorder="1" applyAlignment="1" applyProtection="1">
      <alignment vertical="center"/>
      <protection locked="0"/>
    </xf>
    <xf numFmtId="1" fontId="3" fillId="4" borderId="984" xfId="0" applyNumberFormat="1" applyFont="1" applyFill="1" applyBorder="1" applyAlignment="1" applyProtection="1">
      <alignment vertical="center"/>
      <protection locked="0"/>
    </xf>
    <xf numFmtId="1" fontId="3" fillId="4" borderId="996" xfId="0" applyNumberFormat="1" applyFont="1" applyFill="1" applyBorder="1" applyAlignment="1" applyProtection="1">
      <alignment vertical="center"/>
      <protection locked="0"/>
    </xf>
    <xf numFmtId="1" fontId="3" fillId="4" borderId="289" xfId="0" applyNumberFormat="1" applyFont="1" applyFill="1" applyBorder="1" applyAlignment="1" applyProtection="1">
      <alignment vertical="center"/>
      <protection locked="0"/>
    </xf>
    <xf numFmtId="1" fontId="3" fillId="6" borderId="988" xfId="23" applyNumberFormat="1" applyFont="1" applyFill="1" applyBorder="1" applyAlignment="1">
      <alignment horizontal="right" vertical="center"/>
    </xf>
    <xf numFmtId="1" fontId="3" fillId="6" borderId="967" xfId="23" applyNumberFormat="1" applyFont="1" applyFill="1" applyBorder="1" applyAlignment="1">
      <alignment horizontal="right" vertical="center"/>
    </xf>
    <xf numFmtId="1" fontId="3" fillId="6" borderId="255" xfId="0" applyNumberFormat="1" applyFont="1" applyFill="1" applyBorder="1" applyAlignment="1">
      <alignment vertical="center"/>
    </xf>
    <xf numFmtId="1" fontId="3" fillId="6" borderId="770" xfId="0" applyNumberFormat="1" applyFont="1" applyFill="1" applyBorder="1" applyAlignment="1">
      <alignment vertical="center"/>
    </xf>
    <xf numFmtId="0" fontId="3" fillId="0" borderId="1094" xfId="0" applyFont="1" applyBorder="1" applyAlignment="1">
      <alignment horizontal="center" vertical="center" wrapText="1"/>
    </xf>
    <xf numFmtId="0" fontId="3" fillId="0" borderId="1092" xfId="0" applyFont="1" applyBorder="1" applyAlignment="1">
      <alignment horizontal="center" vertical="center" wrapText="1"/>
    </xf>
    <xf numFmtId="0" fontId="3" fillId="0" borderId="1093" xfId="0" applyFont="1" applyBorder="1" applyAlignment="1">
      <alignment horizontal="center" vertical="center" wrapText="1"/>
    </xf>
    <xf numFmtId="0" fontId="3" fillId="6" borderId="699" xfId="0" applyFont="1" applyFill="1" applyBorder="1" applyAlignment="1">
      <alignment vertical="center"/>
    </xf>
    <xf numFmtId="0" fontId="3" fillId="6" borderId="987" xfId="0" applyFont="1" applyFill="1" applyBorder="1" applyAlignment="1">
      <alignment vertical="center"/>
    </xf>
    <xf numFmtId="1" fontId="3" fillId="0" borderId="299" xfId="0" applyNumberFormat="1" applyFont="1" applyBorder="1" applyAlignment="1">
      <alignment vertical="center"/>
    </xf>
    <xf numFmtId="0" fontId="3" fillId="0" borderId="1068" xfId="0" applyFont="1" applyBorder="1" applyAlignment="1">
      <alignment horizontal="center" vertical="center" wrapText="1"/>
    </xf>
    <xf numFmtId="0" fontId="3" fillId="0" borderId="1099" xfId="0" applyFont="1" applyBorder="1" applyAlignment="1">
      <alignment horizontal="center" vertical="center"/>
    </xf>
    <xf numFmtId="0" fontId="3" fillId="0" borderId="1100" xfId="0" applyFont="1" applyBorder="1" applyAlignment="1">
      <alignment horizontal="right" vertical="center"/>
    </xf>
    <xf numFmtId="0" fontId="3" fillId="8" borderId="1096" xfId="0" applyFont="1" applyFill="1" applyBorder="1" applyAlignment="1" applyProtection="1">
      <alignment horizontal="justify" vertical="center"/>
      <protection locked="0"/>
    </xf>
    <xf numFmtId="0" fontId="3" fillId="8" borderId="1095" xfId="0" applyFont="1" applyFill="1" applyBorder="1" applyAlignment="1" applyProtection="1">
      <alignment horizontal="justify" vertical="center"/>
      <protection locked="0"/>
    </xf>
    <xf numFmtId="0" fontId="3" fillId="0" borderId="299" xfId="0" applyFont="1" applyBorder="1" applyAlignment="1">
      <alignment horizontal="right" vertical="center"/>
    </xf>
    <xf numFmtId="0" fontId="3" fillId="8" borderId="255" xfId="0" applyFont="1" applyFill="1" applyBorder="1" applyAlignment="1" applyProtection="1">
      <alignment horizontal="justify" vertical="center"/>
      <protection locked="0"/>
    </xf>
    <xf numFmtId="0" fontId="3" fillId="8" borderId="770" xfId="0" applyFont="1" applyFill="1" applyBorder="1" applyAlignment="1" applyProtection="1">
      <alignment horizontal="justify" vertical="center"/>
      <protection locked="0"/>
    </xf>
    <xf numFmtId="1" fontId="3" fillId="5" borderId="1094" xfId="0" applyNumberFormat="1" applyFont="1" applyFill="1" applyBorder="1" applyAlignment="1">
      <alignment horizontal="center" vertical="center" wrapText="1"/>
    </xf>
    <xf numFmtId="1" fontId="3" fillId="5" borderId="1093" xfId="0" applyNumberFormat="1" applyFont="1" applyFill="1" applyBorder="1" applyAlignment="1">
      <alignment horizontal="center" vertical="center" wrapText="1"/>
    </xf>
    <xf numFmtId="1" fontId="3" fillId="5" borderId="1068" xfId="0" applyNumberFormat="1" applyFont="1" applyFill="1" applyBorder="1" applyAlignment="1">
      <alignment horizontal="center" vertical="center" wrapText="1"/>
    </xf>
    <xf numFmtId="1" fontId="3" fillId="5" borderId="1072" xfId="0" applyNumberFormat="1" applyFont="1" applyFill="1" applyBorder="1" applyAlignment="1">
      <alignment horizontal="center" vertical="center" wrapText="1"/>
    </xf>
    <xf numFmtId="0" fontId="3" fillId="5" borderId="1074" xfId="0" applyFont="1" applyFill="1" applyBorder="1" applyAlignment="1">
      <alignment horizontal="center" vertical="center" wrapText="1"/>
    </xf>
    <xf numFmtId="1" fontId="3" fillId="5" borderId="1101" xfId="0" applyNumberFormat="1" applyFont="1" applyFill="1" applyBorder="1" applyAlignment="1" applyProtection="1">
      <alignment horizontal="center" vertical="center" wrapText="1"/>
      <protection locked="0"/>
    </xf>
    <xf numFmtId="1" fontId="3" fillId="5" borderId="1087" xfId="0" applyNumberFormat="1" applyFont="1" applyFill="1" applyBorder="1" applyAlignment="1">
      <alignment horizontal="center" vertical="center" wrapText="1"/>
    </xf>
    <xf numFmtId="1" fontId="3" fillId="5" borderId="1092" xfId="0" applyNumberFormat="1" applyFont="1" applyFill="1" applyBorder="1" applyAlignment="1">
      <alignment horizontal="center" vertical="center" wrapText="1"/>
    </xf>
    <xf numFmtId="1" fontId="3" fillId="0" borderId="1100" xfId="0" applyNumberFormat="1" applyFont="1" applyBorder="1" applyAlignment="1">
      <alignment horizontal="left" vertical="center"/>
    </xf>
    <xf numFmtId="0" fontId="3" fillId="6" borderId="1096" xfId="0" applyFont="1" applyFill="1" applyBorder="1" applyAlignment="1">
      <alignment vertical="center"/>
    </xf>
    <xf numFmtId="0" fontId="3" fillId="6" borderId="1095" xfId="0" applyFont="1" applyFill="1" applyBorder="1" applyAlignment="1">
      <alignment vertical="center"/>
    </xf>
    <xf numFmtId="0" fontId="3" fillId="6" borderId="970" xfId="0" applyFont="1" applyFill="1" applyBorder="1" applyAlignment="1">
      <alignment vertical="center"/>
    </xf>
    <xf numFmtId="0" fontId="3" fillId="6" borderId="280" xfId="0" applyFont="1" applyFill="1" applyBorder="1" applyAlignment="1">
      <alignment vertical="center"/>
    </xf>
    <xf numFmtId="0" fontId="3" fillId="0" borderId="962" xfId="0" applyFont="1" applyBorder="1" applyAlignment="1">
      <alignment horizontal="left" vertical="center" wrapText="1"/>
    </xf>
    <xf numFmtId="0" fontId="3" fillId="6" borderId="988" xfId="0" applyFont="1" applyFill="1" applyBorder="1" applyAlignment="1">
      <alignment vertical="center"/>
    </xf>
    <xf numFmtId="0" fontId="3" fillId="6" borderId="969" xfId="0" applyFont="1" applyFill="1" applyBorder="1" applyAlignment="1">
      <alignment vertical="center"/>
    </xf>
    <xf numFmtId="0" fontId="3" fillId="6" borderId="967" xfId="0" applyFont="1" applyFill="1" applyBorder="1" applyAlignment="1">
      <alignment vertical="center"/>
    </xf>
    <xf numFmtId="0" fontId="3" fillId="5" borderId="1094" xfId="0" applyFont="1" applyFill="1" applyBorder="1" applyAlignment="1">
      <alignment horizontal="center" vertical="center" wrapText="1"/>
    </xf>
    <xf numFmtId="0" fontId="3" fillId="5" borderId="1093" xfId="0" applyFont="1" applyFill="1" applyBorder="1" applyAlignment="1">
      <alignment horizontal="center" vertical="center" wrapText="1"/>
    </xf>
    <xf numFmtId="0" fontId="3" fillId="5" borderId="1102" xfId="0" applyFont="1" applyFill="1" applyBorder="1" applyAlignment="1">
      <alignment horizontal="center" vertical="center" wrapText="1"/>
    </xf>
    <xf numFmtId="1" fontId="3" fillId="5" borderId="958" xfId="0" applyNumberFormat="1" applyFont="1" applyFill="1" applyBorder="1" applyAlignment="1">
      <alignment vertical="center"/>
    </xf>
    <xf numFmtId="1" fontId="3" fillId="5" borderId="1100" xfId="0" applyNumberFormat="1" applyFont="1" applyFill="1" applyBorder="1" applyAlignment="1">
      <alignment horizontal="right" vertical="center" wrapText="1"/>
    </xf>
    <xf numFmtId="1" fontId="3" fillId="5" borderId="958" xfId="0" applyNumberFormat="1" applyFont="1" applyFill="1" applyBorder="1" applyAlignment="1">
      <alignment horizontal="right" vertical="center" wrapText="1"/>
    </xf>
    <xf numFmtId="1" fontId="3" fillId="5" borderId="962" xfId="0" applyNumberFormat="1" applyFont="1" applyFill="1" applyBorder="1" applyAlignment="1">
      <alignment vertical="center"/>
    </xf>
    <xf numFmtId="1" fontId="3" fillId="4" borderId="962" xfId="0" applyNumberFormat="1" applyFont="1" applyFill="1" applyBorder="1" applyAlignment="1" applyProtection="1">
      <alignment vertical="center"/>
      <protection locked="0"/>
    </xf>
    <xf numFmtId="1" fontId="3" fillId="5" borderId="299" xfId="0" applyNumberFormat="1" applyFont="1" applyFill="1" applyBorder="1" applyAlignment="1">
      <alignment horizontal="right" vertical="center" wrapText="1"/>
    </xf>
    <xf numFmtId="1" fontId="3" fillId="4" borderId="989" xfId="0" applyNumberFormat="1" applyFont="1" applyFill="1" applyBorder="1" applyAlignment="1" applyProtection="1">
      <alignment vertical="center"/>
      <protection locked="0"/>
    </xf>
    <xf numFmtId="0" fontId="3" fillId="0" borderId="1103" xfId="0" applyFont="1" applyBorder="1" applyAlignment="1">
      <alignment horizontal="center" vertical="center" wrapText="1"/>
    </xf>
    <xf numFmtId="1" fontId="3" fillId="0" borderId="1100" xfId="0" applyNumberFormat="1" applyFont="1" applyBorder="1" applyAlignment="1">
      <alignment horizontal="right" vertical="center" wrapText="1"/>
    </xf>
    <xf numFmtId="1" fontId="3" fillId="0" borderId="299" xfId="0" applyNumberFormat="1" applyFont="1" applyBorder="1" applyAlignment="1">
      <alignment horizontal="right" vertical="center" wrapText="1"/>
    </xf>
    <xf numFmtId="1" fontId="3" fillId="4" borderId="997" xfId="0" applyNumberFormat="1" applyFont="1" applyFill="1" applyBorder="1" applyAlignment="1" applyProtection="1">
      <alignment vertical="center"/>
      <protection locked="0"/>
    </xf>
    <xf numFmtId="1" fontId="3" fillId="5" borderId="1068" xfId="0" applyNumberFormat="1" applyFont="1" applyFill="1" applyBorder="1" applyAlignment="1">
      <alignment vertical="center" wrapText="1"/>
    </xf>
    <xf numFmtId="1" fontId="3" fillId="5" borderId="1099" xfId="0" applyNumberFormat="1" applyFont="1" applyFill="1" applyBorder="1" applyAlignment="1">
      <alignment vertical="center"/>
    </xf>
    <xf numFmtId="1" fontId="25" fillId="4" borderId="1094" xfId="0" applyNumberFormat="1" applyFont="1" applyFill="1" applyBorder="1" applyAlignment="1" applyProtection="1">
      <alignment vertical="center"/>
      <protection locked="0"/>
    </xf>
    <xf numFmtId="1" fontId="25" fillId="4" borderId="1093" xfId="0" applyNumberFormat="1" applyFont="1" applyFill="1" applyBorder="1" applyAlignment="1" applyProtection="1">
      <alignment vertical="center"/>
      <protection locked="0"/>
    </xf>
    <xf numFmtId="1" fontId="25" fillId="4" borderId="1103" xfId="0" applyNumberFormat="1" applyFont="1" applyFill="1" applyBorder="1" applyAlignment="1" applyProtection="1">
      <alignment vertical="center"/>
      <protection locked="0"/>
    </xf>
    <xf numFmtId="1" fontId="25" fillId="4" borderId="1101" xfId="0" applyNumberFormat="1" applyFont="1" applyFill="1" applyBorder="1" applyAlignment="1" applyProtection="1">
      <alignment vertical="center"/>
      <protection locked="0"/>
    </xf>
    <xf numFmtId="1" fontId="3" fillId="0" borderId="1099" xfId="0" applyNumberFormat="1" applyFont="1" applyBorder="1" applyAlignment="1">
      <alignment vertical="center" wrapText="1"/>
    </xf>
    <xf numFmtId="1" fontId="3" fillId="4" borderId="1099" xfId="0" applyNumberFormat="1" applyFont="1" applyFill="1" applyBorder="1" applyAlignment="1" applyProtection="1">
      <alignment vertical="center"/>
      <protection locked="0"/>
    </xf>
    <xf numFmtId="1" fontId="3" fillId="4" borderId="1101" xfId="0" applyNumberFormat="1" applyFont="1" applyFill="1" applyBorder="1" applyAlignment="1" applyProtection="1">
      <alignment vertical="center"/>
      <protection locked="0"/>
    </xf>
    <xf numFmtId="0" fontId="15" fillId="0" borderId="1099" xfId="0" applyFont="1" applyBorder="1" applyAlignment="1" applyProtection="1">
      <alignment horizontal="center" vertical="center"/>
      <protection hidden="1"/>
    </xf>
    <xf numFmtId="0" fontId="15" fillId="0" borderId="1099" xfId="0" applyFont="1" applyBorder="1" applyAlignment="1" applyProtection="1">
      <alignment horizontal="center" vertical="center" wrapText="1"/>
      <protection hidden="1"/>
    </xf>
    <xf numFmtId="0" fontId="29" fillId="0" borderId="1099" xfId="0" applyFont="1" applyBorder="1" applyProtection="1">
      <protection hidden="1"/>
    </xf>
    <xf numFmtId="0" fontId="29" fillId="0" borderId="1099" xfId="0" applyFont="1" applyBorder="1" applyAlignment="1" applyProtection="1">
      <alignment horizontal="center"/>
      <protection hidden="1"/>
    </xf>
    <xf numFmtId="1" fontId="29" fillId="0" borderId="1099" xfId="0" applyNumberFormat="1" applyFont="1" applyBorder="1" applyAlignment="1" applyProtection="1">
      <alignment horizontal="center"/>
      <protection hidden="1"/>
    </xf>
    <xf numFmtId="0" fontId="32" fillId="0" borderId="1099" xfId="0" applyFont="1" applyBorder="1" applyAlignment="1" applyProtection="1">
      <alignment horizontal="center"/>
      <protection hidden="1"/>
    </xf>
    <xf numFmtId="3" fontId="29" fillId="0" borderId="1099" xfId="0" applyNumberFormat="1" applyFont="1" applyBorder="1" applyAlignment="1" applyProtection="1">
      <alignment horizontal="center"/>
      <protection hidden="1"/>
    </xf>
    <xf numFmtId="1" fontId="29" fillId="5" borderId="1099" xfId="0" applyNumberFormat="1" applyFont="1" applyFill="1" applyBorder="1" applyAlignment="1" applyProtection="1">
      <alignment horizontal="center"/>
      <protection hidden="1"/>
    </xf>
    <xf numFmtId="3" fontId="29" fillId="5" borderId="1099" xfId="0" applyNumberFormat="1" applyFont="1" applyFill="1" applyBorder="1" applyAlignment="1" applyProtection="1">
      <alignment horizontal="center"/>
      <protection hidden="1"/>
    </xf>
    <xf numFmtId="0" fontId="28" fillId="38" borderId="1099" xfId="0" applyFont="1" applyFill="1" applyBorder="1" applyAlignment="1">
      <alignment horizontal="center" vertical="center" wrapText="1"/>
    </xf>
    <xf numFmtId="1" fontId="3" fillId="58" borderId="328" xfId="0" applyNumberFormat="1" applyFont="1" applyFill="1" applyBorder="1"/>
    <xf numFmtId="1" fontId="3" fillId="58" borderId="354" xfId="0" applyNumberFormat="1" applyFont="1" applyFill="1" applyBorder="1"/>
    <xf numFmtId="1" fontId="3" fillId="58" borderId="204" xfId="0" applyNumberFormat="1" applyFont="1" applyFill="1" applyBorder="1"/>
    <xf numFmtId="1" fontId="3" fillId="58" borderId="2" xfId="0" applyNumberFormat="1" applyFont="1" applyFill="1" applyBorder="1"/>
    <xf numFmtId="1" fontId="3" fillId="3" borderId="1149" xfId="0" applyNumberFormat="1" applyFont="1" applyFill="1" applyBorder="1"/>
    <xf numFmtId="0" fontId="3" fillId="59" borderId="0" xfId="0" applyFont="1" applyFill="1"/>
    <xf numFmtId="0" fontId="7" fillId="56" borderId="0" xfId="0" applyFont="1" applyFill="1"/>
    <xf numFmtId="0" fontId="15" fillId="0" borderId="1156" xfId="0" applyFont="1" applyBorder="1" applyAlignment="1" applyProtection="1">
      <alignment horizontal="left" vertical="center"/>
      <protection hidden="1"/>
    </xf>
    <xf numFmtId="0" fontId="15" fillId="0" borderId="1156" xfId="0" applyFont="1" applyBorder="1" applyAlignment="1" applyProtection="1">
      <alignment horizontal="center" vertical="center"/>
      <protection hidden="1"/>
    </xf>
    <xf numFmtId="0" fontId="28" fillId="38" borderId="313" xfId="0" applyFont="1" applyFill="1" applyBorder="1" applyAlignment="1" applyProtection="1">
      <alignment vertical="center"/>
      <protection hidden="1"/>
    </xf>
    <xf numFmtId="0" fontId="28" fillId="38" borderId="1154" xfId="0" applyFont="1" applyFill="1" applyBorder="1" applyAlignment="1">
      <alignment horizontal="center" vertical="center" wrapText="1"/>
    </xf>
    <xf numFmtId="0" fontId="28" fillId="38" borderId="49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1" fontId="3" fillId="0" borderId="1138" xfId="0" applyNumberFormat="1" applyFont="1" applyBorder="1" applyAlignment="1">
      <alignment vertical="center" wrapText="1"/>
    </xf>
    <xf numFmtId="1" fontId="3" fillId="0" borderId="1153" xfId="0" applyNumberFormat="1" applyFont="1" applyBorder="1" applyAlignment="1">
      <alignment vertical="center" wrapText="1"/>
    </xf>
    <xf numFmtId="1" fontId="3" fillId="0" borderId="1156" xfId="0" applyNumberFormat="1" applyFont="1" applyBorder="1" applyAlignment="1">
      <alignment horizontal="left" vertical="center" wrapText="1"/>
    </xf>
    <xf numFmtId="1" fontId="3" fillId="0" borderId="1099" xfId="0" applyNumberFormat="1" applyFont="1" applyBorder="1" applyAlignment="1">
      <alignment horizontal="center" vertical="center" wrapText="1"/>
    </xf>
    <xf numFmtId="1" fontId="3" fillId="0" borderId="1199" xfId="0" applyNumberFormat="1" applyFont="1" applyBorder="1" applyAlignment="1">
      <alignment horizontal="center" vertical="center" wrapText="1"/>
    </xf>
    <xf numFmtId="1" fontId="3" fillId="3" borderId="1100" xfId="0" applyNumberFormat="1" applyFont="1" applyFill="1" applyBorder="1"/>
    <xf numFmtId="1" fontId="3" fillId="4" borderId="1096" xfId="0" applyNumberFormat="1" applyFont="1" applyFill="1" applyBorder="1" applyProtection="1">
      <protection locked="0"/>
    </xf>
    <xf numFmtId="1" fontId="3" fillId="4" borderId="419" xfId="0" applyNumberFormat="1" applyFont="1" applyFill="1" applyBorder="1" applyProtection="1">
      <protection locked="0"/>
    </xf>
    <xf numFmtId="1" fontId="3" fillId="4" borderId="1126" xfId="0" applyNumberFormat="1" applyFont="1" applyFill="1" applyBorder="1" applyProtection="1">
      <protection locked="0"/>
    </xf>
    <xf numFmtId="1" fontId="3" fillId="4" borderId="1120" xfId="0" applyNumberFormat="1" applyFont="1" applyFill="1" applyBorder="1" applyAlignment="1" applyProtection="1">
      <alignment horizontal="right" vertical="center"/>
      <protection locked="0"/>
    </xf>
    <xf numFmtId="1" fontId="3" fillId="4" borderId="419" xfId="0" applyNumberFormat="1" applyFont="1" applyFill="1" applyBorder="1" applyAlignment="1" applyProtection="1">
      <alignment horizontal="right" vertical="center"/>
      <protection locked="0"/>
    </xf>
    <xf numFmtId="1" fontId="3" fillId="4" borderId="1138" xfId="0" applyNumberFormat="1" applyFont="1" applyFill="1" applyBorder="1" applyAlignment="1" applyProtection="1">
      <alignment horizontal="right" vertical="center"/>
      <protection locked="0"/>
    </xf>
    <xf numFmtId="1" fontId="3" fillId="3" borderId="1156" xfId="0" applyNumberFormat="1" applyFont="1" applyFill="1" applyBorder="1"/>
    <xf numFmtId="1" fontId="3" fillId="4" borderId="920" xfId="0" applyNumberFormat="1" applyFont="1" applyFill="1" applyBorder="1" applyProtection="1">
      <protection locked="0"/>
    </xf>
    <xf numFmtId="1" fontId="3" fillId="4" borderId="1202" xfId="0" applyNumberFormat="1" applyFont="1" applyFill="1" applyBorder="1" applyProtection="1">
      <protection locked="0"/>
    </xf>
    <xf numFmtId="1" fontId="3" fillId="4" borderId="1134" xfId="0" applyNumberFormat="1" applyFont="1" applyFill="1" applyBorder="1" applyAlignment="1" applyProtection="1">
      <alignment horizontal="right" vertical="center"/>
      <protection locked="0"/>
    </xf>
    <xf numFmtId="1" fontId="3" fillId="3" borderId="1153" xfId="0" applyNumberFormat="1" applyFont="1" applyFill="1" applyBorder="1"/>
    <xf numFmtId="1" fontId="3" fillId="4" borderId="1143" xfId="0" applyNumberFormat="1" applyFont="1" applyFill="1" applyBorder="1" applyProtection="1">
      <protection locked="0"/>
    </xf>
    <xf numFmtId="1" fontId="3" fillId="4" borderId="1163" xfId="0" applyNumberFormat="1" applyFont="1" applyFill="1" applyBorder="1" applyProtection="1">
      <protection locked="0"/>
    </xf>
    <xf numFmtId="1" fontId="3" fillId="4" borderId="1133" xfId="0" applyNumberFormat="1" applyFont="1" applyFill="1" applyBorder="1" applyAlignment="1" applyProtection="1">
      <alignment horizontal="right" vertical="center"/>
      <protection locked="0"/>
    </xf>
    <xf numFmtId="0" fontId="3" fillId="57" borderId="0" xfId="0" applyFont="1" applyFill="1"/>
    <xf numFmtId="1" fontId="1" fillId="3" borderId="0" xfId="0" applyNumberFormat="1" applyFont="1" applyFill="1" applyAlignment="1">
      <alignment vertical="center" wrapText="1"/>
    </xf>
    <xf numFmtId="1" fontId="3" fillId="0" borderId="491" xfId="0" applyNumberFormat="1" applyFont="1" applyBorder="1" applyAlignment="1">
      <alignment horizontal="center" vertical="center" wrapText="1"/>
    </xf>
    <xf numFmtId="1" fontId="3" fillId="0" borderId="405" xfId="0" applyNumberFormat="1" applyFont="1" applyBorder="1" applyAlignment="1">
      <alignment horizontal="center" vertical="center" wrapText="1"/>
    </xf>
    <xf numFmtId="1" fontId="3" fillId="0" borderId="532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 wrapText="1"/>
    </xf>
    <xf numFmtId="1" fontId="3" fillId="0" borderId="636" xfId="0" applyNumberFormat="1" applyFont="1" applyBorder="1" applyAlignment="1">
      <alignment horizontal="left" vertical="center" wrapText="1"/>
    </xf>
    <xf numFmtId="1" fontId="3" fillId="0" borderId="162" xfId="0" applyNumberFormat="1" applyFont="1" applyBorder="1" applyAlignment="1">
      <alignment horizontal="left" vertical="center" wrapText="1"/>
    </xf>
    <xf numFmtId="0" fontId="3" fillId="0" borderId="619" xfId="0" applyFont="1" applyBorder="1" applyAlignment="1">
      <alignment horizontal="center" vertical="center"/>
    </xf>
    <xf numFmtId="1" fontId="3" fillId="0" borderId="421" xfId="0" applyNumberFormat="1" applyFont="1" applyBorder="1" applyAlignment="1">
      <alignment horizontal="left"/>
    </xf>
    <xf numFmtId="1" fontId="3" fillId="0" borderId="259" xfId="0" applyNumberFormat="1" applyFont="1" applyBorder="1" applyAlignment="1">
      <alignment horizontal="center" vertical="center" wrapText="1"/>
    </xf>
    <xf numFmtId="1" fontId="3" fillId="0" borderId="257" xfId="0" applyNumberFormat="1" applyFont="1" applyBorder="1" applyAlignment="1">
      <alignment horizontal="center" vertical="center" wrapText="1"/>
    </xf>
    <xf numFmtId="1" fontId="3" fillId="0" borderId="256" xfId="0" applyNumberFormat="1" applyFont="1" applyBorder="1" applyAlignment="1">
      <alignment horizontal="center" vertical="center" wrapText="1"/>
    </xf>
    <xf numFmtId="1" fontId="3" fillId="0" borderId="630" xfId="0" applyNumberFormat="1" applyFont="1" applyBorder="1" applyAlignment="1">
      <alignment horizontal="center" vertical="center" wrapText="1"/>
    </xf>
    <xf numFmtId="1" fontId="3" fillId="0" borderId="518" xfId="0" applyNumberFormat="1" applyFont="1" applyBorder="1" applyAlignment="1">
      <alignment horizontal="center" vertical="center" wrapText="1"/>
    </xf>
    <xf numFmtId="1" fontId="3" fillId="0" borderId="60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262" xfId="0" applyNumberFormat="1" applyFont="1" applyBorder="1" applyAlignment="1">
      <alignment horizontal="center" vertical="center" wrapText="1"/>
    </xf>
    <xf numFmtId="1" fontId="3" fillId="0" borderId="672" xfId="0" applyNumberFormat="1" applyFont="1" applyBorder="1" applyAlignment="1">
      <alignment horizontal="center" vertical="center" wrapText="1"/>
    </xf>
    <xf numFmtId="1" fontId="3" fillId="5" borderId="640" xfId="0" applyNumberFormat="1" applyFont="1" applyFill="1" applyBorder="1" applyAlignment="1">
      <alignment horizontal="center" vertical="center" wrapText="1"/>
    </xf>
    <xf numFmtId="1" fontId="3" fillId="0" borderId="491" xfId="0" applyNumberFormat="1" applyFont="1" applyBorder="1" applyAlignment="1">
      <alignment horizontal="left"/>
    </xf>
    <xf numFmtId="1" fontId="3" fillId="0" borderId="370" xfId="0" applyNumberFormat="1" applyFont="1" applyBorder="1" applyAlignment="1">
      <alignment horizontal="center" vertical="center"/>
    </xf>
    <xf numFmtId="1" fontId="3" fillId="0" borderId="740" xfId="0" applyNumberFormat="1" applyFont="1" applyBorder="1" applyAlignment="1">
      <alignment horizontal="center" vertical="center" wrapText="1"/>
    </xf>
    <xf numFmtId="1" fontId="3" fillId="0" borderId="740" xfId="0" applyNumberFormat="1" applyFont="1" applyBorder="1" applyAlignment="1">
      <alignment horizontal="center" vertical="center"/>
    </xf>
    <xf numFmtId="1" fontId="3" fillId="0" borderId="299" xfId="0" applyNumberFormat="1" applyFont="1" applyBorder="1" applyAlignment="1">
      <alignment horizontal="center" vertical="center" wrapText="1"/>
    </xf>
    <xf numFmtId="1" fontId="3" fillId="0" borderId="735" xfId="0" applyNumberFormat="1" applyFont="1" applyBorder="1" applyAlignment="1">
      <alignment horizontal="center" vertical="center" wrapText="1"/>
    </xf>
    <xf numFmtId="1" fontId="3" fillId="0" borderId="327" xfId="0" applyNumberFormat="1" applyFont="1" applyBorder="1" applyAlignment="1">
      <alignment horizontal="left" vertical="center" wrapText="1"/>
    </xf>
    <xf numFmtId="1" fontId="3" fillId="0" borderId="908" xfId="0" applyNumberFormat="1" applyFont="1" applyBorder="1" applyAlignment="1">
      <alignment horizontal="center" vertical="center" wrapText="1"/>
    </xf>
    <xf numFmtId="1" fontId="3" fillId="0" borderId="770" xfId="0" applyNumberFormat="1" applyFont="1" applyBorder="1" applyAlignment="1">
      <alignment horizontal="center" vertical="center" wrapText="1"/>
    </xf>
    <xf numFmtId="0" fontId="3" fillId="0" borderId="900" xfId="0" applyFont="1" applyBorder="1" applyAlignment="1">
      <alignment horizontal="left" vertical="center"/>
    </xf>
    <xf numFmtId="0" fontId="3" fillId="0" borderId="962" xfId="0" applyFont="1" applyBorder="1" applyAlignment="1">
      <alignment horizontal="left" vertical="center"/>
    </xf>
    <xf numFmtId="1" fontId="3" fillId="0" borderId="900" xfId="0" applyNumberFormat="1" applyFont="1" applyBorder="1" applyAlignment="1">
      <alignment horizontal="center" vertical="center"/>
    </xf>
    <xf numFmtId="1" fontId="3" fillId="3" borderId="0" xfId="0" applyNumberFormat="1" applyFont="1" applyFill="1" applyAlignment="1">
      <alignment horizontal="center" vertical="center"/>
    </xf>
    <xf numFmtId="1" fontId="3" fillId="3" borderId="916" xfId="0" applyNumberFormat="1" applyFont="1" applyFill="1" applyBorder="1" applyAlignment="1">
      <alignment horizontal="center" vertical="center"/>
    </xf>
    <xf numFmtId="1" fontId="3" fillId="0" borderId="916" xfId="0" applyNumberFormat="1" applyFont="1" applyBorder="1" applyAlignment="1">
      <alignment horizontal="center" vertical="center"/>
    </xf>
    <xf numFmtId="1" fontId="3" fillId="0" borderId="970" xfId="0" applyNumberFormat="1" applyFont="1" applyBorder="1" applyAlignment="1">
      <alignment horizontal="left" vertical="center" wrapText="1"/>
    </xf>
    <xf numFmtId="1" fontId="3" fillId="0" borderId="327" xfId="0" applyNumberFormat="1" applyFont="1" applyBorder="1" applyAlignment="1">
      <alignment horizontal="left" vertical="center"/>
    </xf>
    <xf numFmtId="1" fontId="3" fillId="0" borderId="917" xfId="0" applyNumberFormat="1" applyFont="1" applyBorder="1" applyAlignment="1">
      <alignment horizontal="left" vertical="center"/>
    </xf>
    <xf numFmtId="1" fontId="3" fillId="0" borderId="970" xfId="0" applyNumberFormat="1" applyFont="1" applyBorder="1" applyAlignment="1">
      <alignment horizontal="left" vertical="center"/>
    </xf>
    <xf numFmtId="0" fontId="3" fillId="0" borderId="909" xfId="0" applyFont="1" applyBorder="1" applyAlignment="1">
      <alignment horizontal="center" vertical="center"/>
    </xf>
    <xf numFmtId="1" fontId="3" fillId="0" borderId="162" xfId="0" applyNumberFormat="1" applyFont="1" applyBorder="1" applyAlignment="1">
      <alignment horizontal="left" vertical="center"/>
    </xf>
    <xf numFmtId="0" fontId="3" fillId="0" borderId="1016" xfId="0" applyFont="1" applyBorder="1" applyAlignment="1">
      <alignment horizontal="center" vertical="center" wrapText="1"/>
    </xf>
    <xf numFmtId="0" fontId="3" fillId="0" borderId="1027" xfId="0" applyFont="1" applyBorder="1" applyAlignment="1">
      <alignment horizontal="center" vertical="center" wrapText="1"/>
    </xf>
    <xf numFmtId="0" fontId="3" fillId="0" borderId="770" xfId="0" applyFont="1" applyBorder="1" applyAlignment="1">
      <alignment horizontal="center" vertical="center" wrapText="1"/>
    </xf>
    <xf numFmtId="1" fontId="3" fillId="0" borderId="302" xfId="0" applyNumberFormat="1" applyFont="1" applyBorder="1" applyAlignment="1">
      <alignment horizontal="left" vertical="center"/>
    </xf>
    <xf numFmtId="1" fontId="3" fillId="0" borderId="962" xfId="0" applyNumberFormat="1" applyFont="1" applyBorder="1" applyAlignment="1">
      <alignment horizontal="left" vertical="center"/>
    </xf>
    <xf numFmtId="1" fontId="3" fillId="0" borderId="770" xfId="0" applyNumberFormat="1" applyFont="1" applyBorder="1" applyAlignment="1">
      <alignment horizontal="left" vertical="center"/>
    </xf>
    <xf numFmtId="0" fontId="3" fillId="0" borderId="252" xfId="0" applyFont="1" applyBorder="1" applyAlignment="1">
      <alignment horizontal="center" vertical="center"/>
    </xf>
    <xf numFmtId="1" fontId="3" fillId="0" borderId="1068" xfId="0" applyNumberFormat="1" applyFont="1" applyBorder="1" applyAlignment="1">
      <alignment horizontal="center" vertical="center"/>
    </xf>
    <xf numFmtId="1" fontId="3" fillId="0" borderId="1092" xfId="0" applyNumberFormat="1" applyFont="1" applyBorder="1" applyAlignment="1">
      <alignment horizontal="center" vertical="center"/>
    </xf>
    <xf numFmtId="1" fontId="3" fillId="0" borderId="1087" xfId="0" applyNumberFormat="1" applyFont="1" applyBorder="1" applyAlignment="1">
      <alignment horizontal="center" vertical="center" wrapText="1"/>
    </xf>
    <xf numFmtId="0" fontId="3" fillId="5" borderId="770" xfId="0" applyFont="1" applyFill="1" applyBorder="1" applyAlignment="1">
      <alignment horizontal="center" vertical="center" wrapText="1"/>
    </xf>
    <xf numFmtId="0" fontId="3" fillId="0" borderId="1099" xfId="0" applyFont="1" applyBorder="1" applyAlignment="1">
      <alignment horizontal="center" vertical="center" wrapText="1"/>
    </xf>
    <xf numFmtId="0" fontId="3" fillId="5" borderId="1092" xfId="0" applyFont="1" applyFill="1" applyBorder="1" applyAlignment="1">
      <alignment horizontal="center" vertical="center" wrapText="1"/>
    </xf>
    <xf numFmtId="1" fontId="3" fillId="0" borderId="1070" xfId="0" applyNumberFormat="1" applyFont="1" applyBorder="1" applyAlignment="1">
      <alignment horizontal="center" vertical="center" wrapText="1"/>
    </xf>
    <xf numFmtId="164" fontId="3" fillId="0" borderId="1064" xfId="18" applyNumberFormat="1" applyFont="1" applyBorder="1" applyAlignment="1" applyProtection="1">
      <alignment horizontal="center" vertical="center" wrapText="1"/>
    </xf>
    <xf numFmtId="1" fontId="3" fillId="0" borderId="1026" xfId="0" applyNumberFormat="1" applyFont="1" applyBorder="1" applyAlignment="1">
      <alignment horizontal="center" vertical="center"/>
    </xf>
    <xf numFmtId="1" fontId="3" fillId="0" borderId="746" xfId="0" applyNumberFormat="1" applyFont="1" applyBorder="1" applyAlignment="1">
      <alignment horizontal="center" vertical="center" wrapText="1"/>
    </xf>
    <xf numFmtId="1" fontId="3" fillId="0" borderId="1029" xfId="0" applyNumberFormat="1" applyFont="1" applyBorder="1" applyAlignment="1">
      <alignment horizontal="center" vertical="center" wrapText="1"/>
    </xf>
    <xf numFmtId="1" fontId="3" fillId="0" borderId="1028" xfId="0" applyNumberFormat="1" applyFont="1" applyBorder="1" applyAlignment="1">
      <alignment horizontal="center" vertical="center" wrapText="1"/>
    </xf>
    <xf numFmtId="0" fontId="3" fillId="0" borderId="1087" xfId="0" applyFont="1" applyBorder="1" applyAlignment="1">
      <alignment horizontal="center" vertical="center"/>
    </xf>
    <xf numFmtId="0" fontId="3" fillId="0" borderId="1092" xfId="0" applyFont="1" applyBorder="1" applyAlignment="1">
      <alignment horizontal="center" vertical="center"/>
    </xf>
    <xf numFmtId="1" fontId="3" fillId="0" borderId="255" xfId="0" applyNumberFormat="1" applyFont="1" applyBorder="1" applyAlignment="1">
      <alignment horizontal="center" vertical="center" wrapText="1"/>
    </xf>
    <xf numFmtId="1" fontId="3" fillId="0" borderId="1142" xfId="0" applyNumberFormat="1" applyFont="1" applyBorder="1" applyAlignment="1">
      <alignment horizontal="center" vertical="center" wrapText="1"/>
    </xf>
    <xf numFmtId="1" fontId="3" fillId="0" borderId="1101" xfId="0" applyNumberFormat="1" applyFont="1" applyBorder="1" applyAlignment="1">
      <alignment horizontal="center" vertical="center" wrapText="1"/>
    </xf>
    <xf numFmtId="1" fontId="3" fillId="0" borderId="1147" xfId="0" applyNumberFormat="1" applyFont="1" applyBorder="1" applyAlignment="1">
      <alignment horizontal="center" vertical="center" wrapText="1"/>
    </xf>
    <xf numFmtId="1" fontId="3" fillId="0" borderId="1117" xfId="0" applyNumberFormat="1" applyFont="1" applyBorder="1" applyAlignment="1">
      <alignment horizontal="center" vertical="center" wrapText="1"/>
    </xf>
    <xf numFmtId="1" fontId="3" fillId="0" borderId="1198" xfId="0" applyNumberFormat="1" applyFont="1" applyBorder="1" applyAlignment="1">
      <alignment horizontal="center" vertical="center" wrapText="1"/>
    </xf>
    <xf numFmtId="1" fontId="3" fillId="4" borderId="1100" xfId="0" applyNumberFormat="1" applyFont="1" applyFill="1" applyBorder="1" applyAlignment="1" applyProtection="1">
      <alignment horizontal="right" vertical="center"/>
      <protection locked="0"/>
    </xf>
    <xf numFmtId="1" fontId="3" fillId="4" borderId="1141" xfId="0" applyNumberFormat="1" applyFont="1" applyFill="1" applyBorder="1" applyAlignment="1" applyProtection="1">
      <alignment horizontal="right" vertical="center"/>
      <protection locked="0"/>
    </xf>
    <xf numFmtId="1" fontId="3" fillId="4" borderId="1192" xfId="0" applyNumberFormat="1" applyFont="1" applyFill="1" applyBorder="1" applyAlignment="1" applyProtection="1">
      <alignment horizontal="right" vertical="center"/>
      <protection locked="0"/>
    </xf>
    <xf numFmtId="1" fontId="3" fillId="4" borderId="1152" xfId="0" applyNumberFormat="1" applyFont="1" applyFill="1" applyBorder="1" applyAlignment="1" applyProtection="1">
      <alignment horizontal="right" vertical="center"/>
      <protection locked="0"/>
    </xf>
    <xf numFmtId="1" fontId="3" fillId="4" borderId="1158" xfId="0" applyNumberFormat="1" applyFont="1" applyFill="1" applyBorder="1" applyAlignment="1" applyProtection="1">
      <alignment horizontal="right" vertical="center"/>
      <protection locked="0"/>
    </xf>
    <xf numFmtId="1" fontId="3" fillId="4" borderId="1156" xfId="0" applyNumberFormat="1" applyFont="1" applyFill="1" applyBorder="1" applyAlignment="1" applyProtection="1">
      <alignment horizontal="right" vertical="center"/>
      <protection locked="0"/>
    </xf>
    <xf numFmtId="1" fontId="3" fillId="4" borderId="1206" xfId="0" applyNumberFormat="1" applyFont="1" applyFill="1" applyBorder="1" applyAlignment="1" applyProtection="1">
      <alignment horizontal="right" vertical="center"/>
      <protection locked="0"/>
    </xf>
    <xf numFmtId="1" fontId="3" fillId="0" borderId="1142" xfId="0" applyNumberFormat="1" applyFont="1" applyBorder="1" applyAlignment="1">
      <alignment horizontal="right"/>
    </xf>
    <xf numFmtId="1" fontId="3" fillId="0" borderId="1087" xfId="0" applyNumberFormat="1" applyFont="1" applyBorder="1" applyAlignment="1">
      <alignment horizontal="right"/>
    </xf>
    <xf numFmtId="1" fontId="3" fillId="0" borderId="1102" xfId="0" applyNumberFormat="1" applyFont="1" applyBorder="1" applyAlignment="1">
      <alignment horizontal="right"/>
    </xf>
    <xf numFmtId="1" fontId="3" fillId="0" borderId="1101" xfId="0" applyNumberFormat="1" applyFont="1" applyBorder="1" applyAlignment="1">
      <alignment horizontal="right"/>
    </xf>
    <xf numFmtId="1" fontId="3" fillId="0" borderId="1115" xfId="0" applyNumberFormat="1" applyFont="1" applyBorder="1" applyAlignment="1">
      <alignment horizontal="right"/>
    </xf>
    <xf numFmtId="1" fontId="3" fillId="0" borderId="1117" xfId="0" applyNumberFormat="1" applyFont="1" applyBorder="1" applyAlignment="1">
      <alignment horizontal="right"/>
    </xf>
    <xf numFmtId="1" fontId="3" fillId="0" borderId="1093" xfId="0" applyNumberFormat="1" applyFont="1" applyBorder="1" applyAlignment="1">
      <alignment horizontal="right"/>
    </xf>
    <xf numFmtId="1" fontId="3" fillId="0" borderId="1198" xfId="0" applyNumberFormat="1" applyFont="1" applyBorder="1" applyAlignment="1">
      <alignment horizontal="right"/>
    </xf>
    <xf numFmtId="1" fontId="3" fillId="4" borderId="420" xfId="0" applyNumberFormat="1" applyFont="1" applyFill="1" applyBorder="1" applyAlignment="1" applyProtection="1">
      <alignment horizontal="right" vertical="center"/>
      <protection locked="0"/>
    </xf>
    <xf numFmtId="1" fontId="3" fillId="7" borderId="1134" xfId="0" applyNumberFormat="1" applyFont="1" applyFill="1" applyBorder="1"/>
    <xf numFmtId="1" fontId="3" fillId="4" borderId="1149" xfId="0" applyNumberFormat="1" applyFont="1" applyFill="1" applyBorder="1" applyAlignment="1" applyProtection="1">
      <alignment horizontal="right" vertical="center"/>
      <protection locked="0"/>
    </xf>
    <xf numFmtId="1" fontId="3" fillId="0" borderId="1156" xfId="0" applyNumberFormat="1" applyFont="1" applyBorder="1" applyAlignment="1">
      <alignment horizontal="right" vertical="center"/>
    </xf>
    <xf numFmtId="1" fontId="3" fillId="0" borderId="1157" xfId="0" applyNumberFormat="1" applyFont="1" applyBorder="1" applyAlignment="1">
      <alignment horizontal="right" vertical="center"/>
    </xf>
    <xf numFmtId="1" fontId="3" fillId="0" borderId="1102" xfId="0" applyNumberFormat="1" applyFont="1" applyBorder="1" applyAlignment="1">
      <alignment horizontal="right" vertical="center"/>
    </xf>
    <xf numFmtId="1" fontId="3" fillId="0" borderId="1101" xfId="0" applyNumberFormat="1" applyFont="1" applyBorder="1" applyAlignment="1">
      <alignment horizontal="right" vertical="center"/>
    </xf>
    <xf numFmtId="1" fontId="3" fillId="0" borderId="1115" xfId="0" applyNumberFormat="1" applyFont="1" applyBorder="1" applyAlignment="1">
      <alignment horizontal="right" vertical="center"/>
    </xf>
    <xf numFmtId="1" fontId="3" fillId="0" borderId="1117" xfId="0" applyNumberFormat="1" applyFont="1" applyBorder="1" applyAlignment="1">
      <alignment horizontal="right" vertical="center"/>
    </xf>
    <xf numFmtId="1" fontId="3" fillId="0" borderId="1133" xfId="0" applyNumberFormat="1" applyFont="1" applyBorder="1" applyAlignment="1">
      <alignment horizontal="right" vertical="center"/>
    </xf>
    <xf numFmtId="1" fontId="3" fillId="8" borderId="1138" xfId="0" applyNumberFormat="1" applyFont="1" applyFill="1" applyBorder="1" applyAlignment="1" applyProtection="1">
      <alignment horizontal="right" vertical="center" wrapText="1"/>
      <protection locked="0"/>
    </xf>
    <xf numFmtId="1" fontId="3" fillId="8" borderId="1133" xfId="0" applyNumberFormat="1" applyFont="1" applyFill="1" applyBorder="1" applyAlignment="1" applyProtection="1">
      <alignment horizontal="right" vertical="center" wrapText="1"/>
      <protection locked="0"/>
    </xf>
    <xf numFmtId="1" fontId="3" fillId="8" borderId="1153" xfId="0" applyNumberFormat="1" applyFont="1" applyFill="1" applyBorder="1" applyAlignment="1" applyProtection="1">
      <alignment horizontal="right" vertical="center" wrapText="1"/>
      <protection locked="0"/>
    </xf>
    <xf numFmtId="1" fontId="3" fillId="8" borderId="302" xfId="0" applyNumberFormat="1" applyFont="1" applyFill="1" applyBorder="1" applyAlignment="1" applyProtection="1">
      <alignment horizontal="right" vertical="center" wrapText="1"/>
      <protection locked="0"/>
    </xf>
    <xf numFmtId="1" fontId="3" fillId="8" borderId="1156" xfId="0" applyNumberFormat="1" applyFont="1" applyFill="1" applyBorder="1" applyAlignment="1" applyProtection="1">
      <alignment horizontal="right" vertical="center" wrapText="1"/>
      <protection locked="0"/>
    </xf>
    <xf numFmtId="1" fontId="31" fillId="3" borderId="0" xfId="0" applyNumberFormat="1" applyFont="1" applyFill="1"/>
    <xf numFmtId="1" fontId="8" fillId="5" borderId="0" xfId="0" applyNumberFormat="1" applyFont="1" applyFill="1"/>
    <xf numFmtId="1" fontId="3" fillId="0" borderId="377" xfId="0" applyNumberFormat="1" applyFont="1" applyBorder="1" applyAlignment="1">
      <alignment horizontal="center" vertical="center" wrapText="1"/>
    </xf>
    <xf numFmtId="1" fontId="3" fillId="0" borderId="378" xfId="0" applyNumberFormat="1" applyFont="1" applyBorder="1" applyAlignment="1">
      <alignment horizontal="center" vertical="center" wrapText="1"/>
    </xf>
    <xf numFmtId="1" fontId="3" fillId="5" borderId="382" xfId="0" applyNumberFormat="1" applyFont="1" applyFill="1" applyBorder="1" applyAlignment="1">
      <alignment horizontal="center" vertical="center" wrapText="1"/>
    </xf>
    <xf numFmtId="1" fontId="3" fillId="5" borderId="381" xfId="0" applyNumberFormat="1" applyFont="1" applyFill="1" applyBorder="1" applyAlignment="1">
      <alignment horizontal="center" vertical="center" wrapText="1"/>
    </xf>
    <xf numFmtId="1" fontId="3" fillId="0" borderId="381" xfId="0" applyNumberFormat="1" applyFont="1" applyBorder="1" applyAlignment="1">
      <alignment horizontal="center" vertical="center" wrapText="1"/>
    </xf>
    <xf numFmtId="1" fontId="3" fillId="0" borderId="381" xfId="0" applyNumberFormat="1" applyFont="1" applyBorder="1" applyAlignment="1">
      <alignment horizontal="center" vertical="center"/>
    </xf>
    <xf numFmtId="1" fontId="3" fillId="0" borderId="392" xfId="0" applyNumberFormat="1" applyFont="1" applyBorder="1" applyAlignment="1">
      <alignment horizontal="center" vertical="center" wrapText="1"/>
    </xf>
    <xf numFmtId="1" fontId="3" fillId="0" borderId="403" xfId="0" applyNumberFormat="1" applyFont="1" applyBorder="1" applyAlignment="1">
      <alignment horizontal="center" vertical="center"/>
    </xf>
    <xf numFmtId="1" fontId="3" fillId="0" borderId="392" xfId="0" applyNumberFormat="1" applyFont="1" applyBorder="1" applyAlignment="1">
      <alignment horizontal="center" vertical="center"/>
    </xf>
    <xf numFmtId="1" fontId="3" fillId="0" borderId="382" xfId="0" applyNumberFormat="1" applyFont="1" applyBorder="1" applyAlignment="1">
      <alignment horizontal="center" vertical="center" wrapText="1"/>
    </xf>
    <xf numFmtId="1" fontId="3" fillId="0" borderId="380" xfId="0" applyNumberFormat="1" applyFont="1" applyBorder="1" applyAlignment="1">
      <alignment horizontal="center" vertical="center" wrapText="1"/>
    </xf>
    <xf numFmtId="1" fontId="3" fillId="0" borderId="386" xfId="0" applyNumberFormat="1" applyFont="1" applyBorder="1"/>
    <xf numFmtId="1" fontId="3" fillId="3" borderId="386" xfId="0" applyNumberFormat="1" applyFont="1" applyFill="1" applyBorder="1"/>
    <xf numFmtId="1" fontId="3" fillId="7" borderId="319" xfId="0" applyNumberFormat="1" applyFont="1" applyFill="1" applyBorder="1" applyAlignment="1">
      <alignment horizontal="right"/>
    </xf>
    <xf numFmtId="1" fontId="3" fillId="7" borderId="393" xfId="0" applyNumberFormat="1" applyFont="1" applyFill="1" applyBorder="1" applyAlignment="1">
      <alignment horizontal="right"/>
    </xf>
    <xf numFmtId="1" fontId="3" fillId="28" borderId="280" xfId="0" applyNumberFormat="1" applyFont="1" applyFill="1" applyBorder="1" applyAlignment="1">
      <alignment horizontal="right"/>
    </xf>
    <xf numFmtId="1" fontId="3" fillId="28" borderId="419" xfId="0" applyNumberFormat="1" applyFont="1" applyFill="1" applyBorder="1" applyAlignment="1">
      <alignment horizontal="right"/>
    </xf>
    <xf numFmtId="1" fontId="3" fillId="7" borderId="419" xfId="0" applyNumberFormat="1" applyFont="1" applyFill="1" applyBorder="1" applyAlignment="1">
      <alignment horizontal="right"/>
    </xf>
    <xf numFmtId="1" fontId="3" fillId="28" borderId="415" xfId="0" applyNumberFormat="1" applyFont="1" applyFill="1" applyBorder="1" applyAlignment="1">
      <alignment horizontal="right"/>
    </xf>
    <xf numFmtId="1" fontId="3" fillId="4" borderId="393" xfId="0" applyNumberFormat="1" applyFont="1" applyFill="1" applyBorder="1" applyAlignment="1" applyProtection="1">
      <alignment horizontal="right"/>
      <protection locked="0"/>
    </xf>
    <xf numFmtId="1" fontId="3" fillId="4" borderId="399" xfId="0" applyNumberFormat="1" applyFont="1" applyFill="1" applyBorder="1" applyAlignment="1" applyProtection="1">
      <alignment horizontal="right"/>
      <protection locked="0"/>
    </xf>
    <xf numFmtId="1" fontId="3" fillId="4" borderId="1096" xfId="0" applyNumberFormat="1" applyFont="1" applyFill="1" applyBorder="1" applyAlignment="1" applyProtection="1">
      <alignment horizontal="right"/>
      <protection locked="0"/>
    </xf>
    <xf numFmtId="1" fontId="3" fillId="4" borderId="419" xfId="0" applyNumberFormat="1" applyFont="1" applyFill="1" applyBorder="1" applyAlignment="1" applyProtection="1">
      <alignment horizontal="right"/>
      <protection locked="0"/>
    </xf>
    <xf numFmtId="1" fontId="3" fillId="6" borderId="327" xfId="0" applyNumberFormat="1" applyFont="1" applyFill="1" applyBorder="1" applyAlignment="1">
      <alignment horizontal="right"/>
    </xf>
    <xf numFmtId="1" fontId="3" fillId="5" borderId="0" xfId="0" applyNumberFormat="1" applyFont="1" applyFill="1" applyAlignment="1">
      <alignment vertical="center"/>
    </xf>
    <xf numFmtId="1" fontId="0" fillId="15" borderId="0" xfId="0" applyNumberFormat="1" applyFill="1"/>
    <xf numFmtId="1" fontId="0" fillId="28" borderId="0" xfId="0" applyNumberFormat="1" applyFill="1"/>
    <xf numFmtId="0" fontId="0" fillId="23" borderId="0" xfId="0" applyFill="1"/>
    <xf numFmtId="0" fontId="0" fillId="28" borderId="0" xfId="0" applyFill="1"/>
    <xf numFmtId="0" fontId="0" fillId="21" borderId="0" xfId="0" applyFill="1"/>
    <xf numFmtId="1" fontId="3" fillId="3" borderId="370" xfId="0" applyNumberFormat="1" applyFont="1" applyFill="1" applyBorder="1"/>
    <xf numFmtId="1" fontId="3" fillId="7" borderId="328" xfId="0" applyNumberFormat="1" applyFont="1" applyFill="1" applyBorder="1" applyAlignment="1">
      <alignment horizontal="right"/>
    </xf>
    <xf numFmtId="1" fontId="3" fillId="7" borderId="404" xfId="0" applyNumberFormat="1" applyFont="1" applyFill="1" applyBorder="1" applyAlignment="1">
      <alignment horizontal="right"/>
    </xf>
    <xf numFmtId="1" fontId="3" fillId="4" borderId="360" xfId="0" applyNumberFormat="1" applyFont="1" applyFill="1" applyBorder="1" applyAlignment="1" applyProtection="1">
      <alignment horizontal="right"/>
      <protection locked="0"/>
    </xf>
    <xf numFmtId="1" fontId="3" fillId="28" borderId="360" xfId="0" applyNumberFormat="1" applyFont="1" applyFill="1" applyBorder="1" applyAlignment="1">
      <alignment horizontal="right"/>
    </xf>
    <xf numFmtId="1" fontId="3" fillId="7" borderId="360" xfId="0" applyNumberFormat="1" applyFont="1" applyFill="1" applyBorder="1" applyAlignment="1">
      <alignment horizontal="right"/>
    </xf>
    <xf numFmtId="1" fontId="3" fillId="7" borderId="329" xfId="0" applyNumberFormat="1" applyFont="1" applyFill="1" applyBorder="1" applyAlignment="1">
      <alignment horizontal="right"/>
    </xf>
    <xf numFmtId="1" fontId="3" fillId="4" borderId="404" xfId="0" applyNumberFormat="1" applyFont="1" applyFill="1" applyBorder="1" applyAlignment="1" applyProtection="1">
      <alignment horizontal="right"/>
      <protection locked="0"/>
    </xf>
    <xf numFmtId="1" fontId="3" fillId="4" borderId="359" xfId="0" applyNumberFormat="1" applyFont="1" applyFill="1" applyBorder="1" applyAlignment="1" applyProtection="1">
      <alignment horizontal="right"/>
      <protection locked="0"/>
    </xf>
    <xf numFmtId="1" fontId="3" fillId="4" borderId="358" xfId="0" applyNumberFormat="1" applyFont="1" applyFill="1" applyBorder="1" applyAlignment="1" applyProtection="1">
      <alignment horizontal="right"/>
      <protection locked="0"/>
    </xf>
    <xf numFmtId="1" fontId="3" fillId="4" borderId="256" xfId="0" applyNumberFormat="1" applyFont="1" applyFill="1" applyBorder="1" applyAlignment="1" applyProtection="1">
      <alignment horizontal="right"/>
      <protection locked="0"/>
    </xf>
    <xf numFmtId="1" fontId="3" fillId="6" borderId="406" xfId="0" applyNumberFormat="1" applyFont="1" applyFill="1" applyBorder="1" applyAlignment="1">
      <alignment horizontal="right"/>
    </xf>
    <xf numFmtId="1" fontId="3" fillId="3" borderId="302" xfId="0" applyNumberFormat="1" applyFont="1" applyFill="1" applyBorder="1"/>
    <xf numFmtId="1" fontId="3" fillId="7" borderId="22" xfId="0" applyNumberFormat="1" applyFont="1" applyFill="1" applyBorder="1" applyAlignment="1">
      <alignment horizontal="right"/>
    </xf>
    <xf numFmtId="1" fontId="3" fillId="4" borderId="21" xfId="0" applyNumberFormat="1" applyFont="1" applyFill="1" applyBorder="1" applyAlignment="1" applyProtection="1">
      <alignment horizontal="right"/>
      <protection locked="0"/>
    </xf>
    <xf numFmtId="1" fontId="3" fillId="7" borderId="280" xfId="0" applyNumberFormat="1" applyFont="1" applyFill="1" applyBorder="1" applyAlignment="1">
      <alignment horizontal="right"/>
    </xf>
    <xf numFmtId="1" fontId="3" fillId="6" borderId="3" xfId="0" applyNumberFormat="1" applyFont="1" applyFill="1" applyBorder="1" applyAlignment="1">
      <alignment horizontal="right"/>
    </xf>
    <xf numFmtId="1" fontId="3" fillId="4" borderId="420" xfId="0" applyNumberFormat="1" applyFont="1" applyFill="1" applyBorder="1" applyAlignment="1" applyProtection="1">
      <alignment horizontal="right"/>
      <protection locked="0"/>
    </xf>
    <xf numFmtId="1" fontId="3" fillId="11" borderId="3" xfId="0" applyNumberFormat="1" applyFont="1" applyFill="1" applyBorder="1" applyAlignment="1">
      <alignment horizontal="right"/>
    </xf>
    <xf numFmtId="1" fontId="3" fillId="3" borderId="327" xfId="0" applyNumberFormat="1" applyFont="1" applyFill="1" applyBorder="1"/>
    <xf numFmtId="1" fontId="3" fillId="7" borderId="204" xfId="0" applyNumberFormat="1" applyFont="1" applyFill="1" applyBorder="1" applyAlignment="1">
      <alignment horizontal="right"/>
    </xf>
    <xf numFmtId="1" fontId="3" fillId="7" borderId="353" xfId="0" applyNumberFormat="1" applyFont="1" applyFill="1" applyBorder="1" applyAlignment="1">
      <alignment horizontal="right"/>
    </xf>
    <xf numFmtId="1" fontId="3" fillId="28" borderId="256" xfId="0" applyNumberFormat="1" applyFont="1" applyFill="1" applyBorder="1" applyAlignment="1">
      <alignment horizontal="right"/>
    </xf>
    <xf numFmtId="1" fontId="3" fillId="7" borderId="362" xfId="0" applyNumberFormat="1" applyFont="1" applyFill="1" applyBorder="1" applyAlignment="1">
      <alignment horizontal="right"/>
    </xf>
    <xf numFmtId="1" fontId="3" fillId="7" borderId="405" xfId="0" applyNumberFormat="1" applyFont="1" applyFill="1" applyBorder="1" applyAlignment="1">
      <alignment horizontal="right"/>
    </xf>
    <xf numFmtId="1" fontId="3" fillId="6" borderId="360" xfId="0" applyNumberFormat="1" applyFont="1" applyFill="1" applyBorder="1" applyAlignment="1">
      <alignment horizontal="right"/>
    </xf>
    <xf numFmtId="1" fontId="3" fillId="11" borderId="360" xfId="0" applyNumberFormat="1" applyFont="1" applyFill="1" applyBorder="1" applyAlignment="1">
      <alignment horizontal="right"/>
    </xf>
    <xf numFmtId="1" fontId="3" fillId="7" borderId="415" xfId="0" applyNumberFormat="1" applyFont="1" applyFill="1" applyBorder="1" applyAlignment="1">
      <alignment horizontal="right"/>
    </xf>
    <xf numFmtId="1" fontId="3" fillId="6" borderId="419" xfId="0" applyNumberFormat="1" applyFont="1" applyFill="1" applyBorder="1" applyAlignment="1">
      <alignment horizontal="right"/>
    </xf>
    <xf numFmtId="1" fontId="3" fillId="7" borderId="373" xfId="0" applyNumberFormat="1" applyFont="1" applyFill="1" applyBorder="1" applyAlignment="1">
      <alignment horizontal="right"/>
    </xf>
    <xf numFmtId="1" fontId="3" fillId="4" borderId="390" xfId="0" applyNumberFormat="1" applyFont="1" applyFill="1" applyBorder="1" applyAlignment="1" applyProtection="1">
      <alignment horizontal="right"/>
      <protection locked="0"/>
    </xf>
    <xf numFmtId="1" fontId="3" fillId="4" borderId="388" xfId="0" applyNumberFormat="1" applyFont="1" applyFill="1" applyBorder="1" applyAlignment="1" applyProtection="1">
      <alignment horizontal="right"/>
      <protection locked="0"/>
    </xf>
    <xf numFmtId="1" fontId="3" fillId="4" borderId="319" xfId="0" applyNumberFormat="1" applyFont="1" applyFill="1" applyBorder="1" applyAlignment="1" applyProtection="1">
      <alignment horizontal="right"/>
      <protection locked="0"/>
    </xf>
    <xf numFmtId="1" fontId="3" fillId="7" borderId="301" xfId="0" applyNumberFormat="1" applyFont="1" applyFill="1" applyBorder="1" applyAlignment="1">
      <alignment horizontal="right"/>
    </xf>
    <xf numFmtId="1" fontId="3" fillId="6" borderId="420" xfId="0" applyNumberFormat="1" applyFont="1" applyFill="1" applyBorder="1" applyAlignment="1">
      <alignment horizontal="right"/>
    </xf>
    <xf numFmtId="1" fontId="3" fillId="6" borderId="20" xfId="0" applyNumberFormat="1" applyFont="1" applyFill="1" applyBorder="1" applyAlignment="1">
      <alignment horizontal="right"/>
    </xf>
    <xf numFmtId="1" fontId="3" fillId="4" borderId="321" xfId="0" applyNumberFormat="1" applyFont="1" applyFill="1" applyBorder="1" applyAlignment="1" applyProtection="1">
      <alignment horizontal="right"/>
      <protection locked="0"/>
    </xf>
    <xf numFmtId="1" fontId="3" fillId="7" borderId="358" xfId="0" applyNumberFormat="1" applyFont="1" applyFill="1" applyBorder="1" applyAlignment="1">
      <alignment horizontal="right"/>
    </xf>
    <xf numFmtId="1" fontId="3" fillId="6" borderId="328" xfId="0" applyNumberFormat="1" applyFont="1" applyFill="1" applyBorder="1" applyAlignment="1">
      <alignment horizontal="right"/>
    </xf>
    <xf numFmtId="1" fontId="3" fillId="6" borderId="354" xfId="0" applyNumberFormat="1" applyFont="1" applyFill="1" applyBorder="1" applyAlignment="1">
      <alignment horizontal="right"/>
    </xf>
    <xf numFmtId="1" fontId="3" fillId="4" borderId="415" xfId="0" applyNumberFormat="1" applyFont="1" applyFill="1" applyBorder="1" applyAlignment="1" applyProtection="1">
      <alignment horizontal="right"/>
      <protection locked="0"/>
    </xf>
    <xf numFmtId="1" fontId="3" fillId="4" borderId="282" xfId="0" applyNumberFormat="1" applyFont="1" applyFill="1" applyBorder="1" applyAlignment="1" applyProtection="1">
      <alignment horizontal="right"/>
      <protection locked="0"/>
    </xf>
    <xf numFmtId="1" fontId="3" fillId="0" borderId="398" xfId="0" applyNumberFormat="1" applyFont="1" applyBorder="1"/>
    <xf numFmtId="1" fontId="3" fillId="6" borderId="319" xfId="0" applyNumberFormat="1" applyFont="1" applyFill="1" applyBorder="1" applyAlignment="1">
      <alignment horizontal="right"/>
    </xf>
    <xf numFmtId="1" fontId="3" fillId="6" borderId="393" xfId="0" applyNumberFormat="1" applyFont="1" applyFill="1" applyBorder="1" applyAlignment="1">
      <alignment horizontal="right"/>
    </xf>
    <xf numFmtId="1" fontId="3" fillId="0" borderId="372" xfId="0" applyNumberFormat="1" applyFont="1" applyBorder="1"/>
    <xf numFmtId="1" fontId="3" fillId="7" borderId="256" xfId="0" applyNumberFormat="1" applyFont="1" applyFill="1" applyBorder="1" applyAlignment="1">
      <alignment horizontal="right"/>
    </xf>
    <xf numFmtId="1" fontId="3" fillId="7" borderId="262" xfId="0" applyNumberFormat="1" applyFont="1" applyFill="1" applyBorder="1" applyAlignment="1">
      <alignment horizontal="right"/>
    </xf>
    <xf numFmtId="1" fontId="3" fillId="4" borderId="327" xfId="0" applyNumberFormat="1" applyFont="1" applyFill="1" applyBorder="1" applyAlignment="1" applyProtection="1">
      <alignment horizontal="right"/>
      <protection locked="0"/>
    </xf>
    <xf numFmtId="1" fontId="3" fillId="4" borderId="329" xfId="0" applyNumberFormat="1" applyFont="1" applyFill="1" applyBorder="1" applyAlignment="1" applyProtection="1">
      <alignment horizontal="right"/>
      <protection locked="0"/>
    </xf>
    <xf numFmtId="1" fontId="3" fillId="4" borderId="406" xfId="0" applyNumberFormat="1" applyFont="1" applyFill="1" applyBorder="1" applyAlignment="1" applyProtection="1">
      <alignment horizontal="right"/>
      <protection locked="0"/>
    </xf>
    <xf numFmtId="1" fontId="41" fillId="5" borderId="0" xfId="0" applyNumberFormat="1" applyFont="1" applyFill="1"/>
    <xf numFmtId="1" fontId="3" fillId="0" borderId="382" xfId="0" applyNumberFormat="1" applyFont="1" applyBorder="1" applyAlignment="1">
      <alignment horizontal="center" vertical="center"/>
    </xf>
    <xf numFmtId="1" fontId="3" fillId="0" borderId="372" xfId="0" applyNumberFormat="1" applyFont="1" applyBorder="1" applyAlignment="1">
      <alignment horizontal="center" vertical="center" wrapText="1"/>
    </xf>
    <xf numFmtId="1" fontId="3" fillId="0" borderId="403" xfId="0" applyNumberFormat="1" applyFont="1" applyBorder="1" applyAlignment="1">
      <alignment horizontal="center" vertical="center" wrapText="1"/>
    </xf>
    <xf numFmtId="1" fontId="3" fillId="3" borderId="382" xfId="0" applyNumberFormat="1" applyFont="1" applyFill="1" applyBorder="1" applyAlignment="1">
      <alignment horizontal="center" vertical="center"/>
    </xf>
    <xf numFmtId="1" fontId="3" fillId="3" borderId="389" xfId="0" applyNumberFormat="1" applyFont="1" applyFill="1" applyBorder="1" applyAlignment="1">
      <alignment horizontal="center" vertical="center" wrapText="1"/>
    </xf>
    <xf numFmtId="1" fontId="3" fillId="3" borderId="256" xfId="0" applyNumberFormat="1" applyFont="1" applyFill="1" applyBorder="1" applyAlignment="1">
      <alignment horizontal="center" vertical="center" wrapText="1"/>
    </xf>
    <xf numFmtId="1" fontId="3" fillId="2" borderId="424" xfId="1" applyNumberFormat="1" applyFont="1" applyBorder="1" applyAlignment="1" applyProtection="1">
      <alignment horizontal="right"/>
      <protection locked="0"/>
    </xf>
    <xf numFmtId="1" fontId="3" fillId="2" borderId="425" xfId="1" applyNumberFormat="1" applyFont="1" applyBorder="1" applyAlignment="1" applyProtection="1">
      <alignment horizontal="right"/>
      <protection locked="0"/>
    </xf>
    <xf numFmtId="1" fontId="3" fillId="4" borderId="426" xfId="0" applyNumberFormat="1" applyFont="1" applyFill="1" applyBorder="1" applyAlignment="1" applyProtection="1">
      <alignment horizontal="right"/>
      <protection locked="0"/>
    </xf>
    <xf numFmtId="1" fontId="3" fillId="2" borderId="427" xfId="1" applyNumberFormat="1" applyFont="1" applyBorder="1" applyAlignment="1" applyProtection="1">
      <alignment horizontal="right"/>
      <protection locked="0"/>
    </xf>
    <xf numFmtId="1" fontId="3" fillId="2" borderId="428" xfId="1" applyNumberFormat="1" applyFont="1" applyBorder="1" applyAlignment="1" applyProtection="1">
      <alignment horizontal="right"/>
      <protection locked="0"/>
    </xf>
    <xf numFmtId="1" fontId="3" fillId="4" borderId="428" xfId="0" applyNumberFormat="1" applyFont="1" applyFill="1" applyBorder="1" applyAlignment="1" applyProtection="1">
      <alignment horizontal="right"/>
      <protection locked="0"/>
    </xf>
    <xf numFmtId="1" fontId="3" fillId="2" borderId="429" xfId="1" applyNumberFormat="1" applyFont="1" applyBorder="1" applyAlignment="1" applyProtection="1">
      <alignment horizontal="right"/>
      <protection locked="0"/>
    </xf>
    <xf numFmtId="1" fontId="3" fillId="4" borderId="430" xfId="0" applyNumberFormat="1" applyFont="1" applyFill="1" applyBorder="1" applyAlignment="1" applyProtection="1">
      <alignment horizontal="right"/>
      <protection locked="0"/>
    </xf>
    <xf numFmtId="1" fontId="0" fillId="0" borderId="0" xfId="0" applyNumberFormat="1"/>
    <xf numFmtId="0" fontId="0" fillId="0" borderId="0" xfId="0" applyAlignment="1">
      <alignment vertical="center"/>
    </xf>
    <xf numFmtId="1" fontId="3" fillId="2" borderId="345" xfId="1" applyNumberFormat="1" applyFont="1" applyBorder="1" applyAlignment="1" applyProtection="1">
      <alignment horizontal="right"/>
      <protection locked="0"/>
    </xf>
    <xf numFmtId="1" fontId="3" fillId="4" borderId="345" xfId="0" applyNumberFormat="1" applyFont="1" applyFill="1" applyBorder="1" applyAlignment="1" applyProtection="1">
      <alignment horizontal="right"/>
      <protection locked="0"/>
    </xf>
    <xf numFmtId="1" fontId="3" fillId="2" borderId="343" xfId="1" applyNumberFormat="1" applyFont="1" applyBorder="1" applyAlignment="1" applyProtection="1">
      <alignment horizontal="right"/>
      <protection locked="0"/>
    </xf>
    <xf numFmtId="1" fontId="3" fillId="2" borderId="336" xfId="1" applyNumberFormat="1" applyFont="1" applyBorder="1" applyAlignment="1" applyProtection="1">
      <alignment horizontal="right"/>
      <protection locked="0"/>
    </xf>
    <xf numFmtId="1" fontId="3" fillId="2" borderId="341" xfId="1" applyNumberFormat="1" applyFont="1" applyBorder="1" applyAlignment="1" applyProtection="1">
      <alignment horizontal="right"/>
      <protection locked="0"/>
    </xf>
    <xf numFmtId="1" fontId="3" fillId="7" borderId="345" xfId="0" applyNumberFormat="1" applyFont="1" applyFill="1" applyBorder="1" applyAlignment="1">
      <alignment horizontal="right"/>
    </xf>
    <xf numFmtId="1" fontId="3" fillId="7" borderId="336" xfId="0" applyNumberFormat="1" applyFont="1" applyFill="1" applyBorder="1" applyAlignment="1">
      <alignment horizontal="right"/>
    </xf>
    <xf numFmtId="1" fontId="0" fillId="21" borderId="0" xfId="0" applyNumberFormat="1" applyFill="1"/>
    <xf numFmtId="1" fontId="3" fillId="2" borderId="431" xfId="1" applyNumberFormat="1" applyFont="1" applyBorder="1" applyAlignment="1" applyProtection="1">
      <alignment horizontal="right"/>
      <protection locked="0"/>
    </xf>
    <xf numFmtId="1" fontId="3" fillId="2" borderId="432" xfId="1" applyNumberFormat="1" applyFont="1" applyBorder="1" applyAlignment="1" applyProtection="1">
      <alignment horizontal="right"/>
      <protection locked="0"/>
    </xf>
    <xf numFmtId="1" fontId="3" fillId="7" borderId="321" xfId="0" applyNumberFormat="1" applyFont="1" applyFill="1" applyBorder="1" applyAlignment="1">
      <alignment horizontal="right"/>
    </xf>
    <xf numFmtId="1" fontId="3" fillId="2" borderId="360" xfId="1" applyNumberFormat="1" applyFont="1" applyBorder="1" applyAlignment="1" applyProtection="1">
      <alignment horizontal="right"/>
      <protection locked="0"/>
    </xf>
    <xf numFmtId="1" fontId="3" fillId="7" borderId="263" xfId="0" applyNumberFormat="1" applyFont="1" applyFill="1" applyBorder="1" applyAlignment="1">
      <alignment horizontal="right"/>
    </xf>
    <xf numFmtId="1" fontId="3" fillId="19" borderId="358" xfId="0" applyNumberFormat="1" applyFont="1" applyFill="1" applyBorder="1" applyAlignment="1">
      <alignment horizontal="right"/>
    </xf>
    <xf numFmtId="1" fontId="3" fillId="2" borderId="354" xfId="1" applyNumberFormat="1" applyFont="1" applyBorder="1" applyAlignment="1" applyProtection="1">
      <alignment horizontal="right"/>
      <protection locked="0"/>
    </xf>
    <xf numFmtId="1" fontId="3" fillId="2" borderId="328" xfId="1" applyNumberFormat="1" applyFont="1" applyBorder="1" applyAlignment="1" applyProtection="1">
      <alignment horizontal="right"/>
      <protection locked="0"/>
    </xf>
    <xf numFmtId="1" fontId="8" fillId="5" borderId="434" xfId="0" applyNumberFormat="1" applyFont="1" applyFill="1" applyBorder="1"/>
    <xf numFmtId="1" fontId="31" fillId="5" borderId="0" xfId="0" applyNumberFormat="1" applyFont="1" applyFill="1"/>
    <xf numFmtId="1" fontId="3" fillId="0" borderId="436" xfId="0" applyNumberFormat="1" applyFont="1" applyBorder="1" applyAlignment="1">
      <alignment horizontal="center" vertical="center" wrapText="1"/>
    </xf>
    <xf numFmtId="1" fontId="3" fillId="0" borderId="437" xfId="0" applyNumberFormat="1" applyFont="1" applyBorder="1" applyAlignment="1">
      <alignment horizontal="center" vertical="center" wrapText="1"/>
    </xf>
    <xf numFmtId="1" fontId="3" fillId="3" borderId="438" xfId="1" applyNumberFormat="1" applyFont="1" applyFill="1" applyBorder="1" applyAlignment="1">
      <alignment horizontal="right"/>
    </xf>
    <xf numFmtId="1" fontId="3" fillId="3" borderId="439" xfId="1" applyNumberFormat="1" applyFont="1" applyFill="1" applyBorder="1" applyAlignment="1">
      <alignment horizontal="right"/>
    </xf>
    <xf numFmtId="1" fontId="3" fillId="3" borderId="440" xfId="1" applyNumberFormat="1" applyFont="1" applyFill="1" applyBorder="1" applyAlignment="1">
      <alignment horizontal="right"/>
    </xf>
    <xf numFmtId="1" fontId="3" fillId="7" borderId="441" xfId="0" applyNumberFormat="1" applyFont="1" applyFill="1" applyBorder="1" applyAlignment="1">
      <alignment horizontal="right"/>
    </xf>
    <xf numFmtId="1" fontId="3" fillId="4" borderId="441" xfId="0" applyNumberFormat="1" applyFont="1" applyFill="1" applyBorder="1" applyAlignment="1" applyProtection="1">
      <alignment horizontal="right"/>
      <protection locked="0"/>
    </xf>
    <xf numFmtId="1" fontId="3" fillId="4" borderId="395" xfId="0" applyNumberFormat="1" applyFont="1" applyFill="1" applyBorder="1" applyAlignment="1" applyProtection="1">
      <alignment horizontal="right"/>
      <protection locked="0"/>
    </xf>
    <xf numFmtId="1" fontId="3" fillId="3" borderId="442" xfId="1" applyNumberFormat="1" applyFont="1" applyFill="1" applyBorder="1" applyAlignment="1">
      <alignment horizontal="right"/>
    </xf>
    <xf numFmtId="1" fontId="3" fillId="3" borderId="443" xfId="1" applyNumberFormat="1" applyFont="1" applyFill="1" applyBorder="1" applyAlignment="1">
      <alignment horizontal="right"/>
    </xf>
    <xf numFmtId="1" fontId="3" fillId="3" borderId="444" xfId="1" applyNumberFormat="1" applyFont="1" applyFill="1" applyBorder="1" applyAlignment="1">
      <alignment horizontal="right"/>
    </xf>
    <xf numFmtId="1" fontId="3" fillId="7" borderId="341" xfId="0" applyNumberFormat="1" applyFont="1" applyFill="1" applyBorder="1" applyAlignment="1">
      <alignment horizontal="right"/>
    </xf>
    <xf numFmtId="1" fontId="3" fillId="7" borderId="334" xfId="0" applyNumberFormat="1" applyFont="1" applyFill="1" applyBorder="1" applyAlignment="1">
      <alignment horizontal="right"/>
    </xf>
    <xf numFmtId="1" fontId="3" fillId="4" borderId="334" xfId="0" applyNumberFormat="1" applyFont="1" applyFill="1" applyBorder="1" applyAlignment="1" applyProtection="1">
      <alignment horizontal="right"/>
      <protection locked="0"/>
    </xf>
    <xf numFmtId="1" fontId="3" fillId="4" borderId="344" xfId="0" applyNumberFormat="1" applyFont="1" applyFill="1" applyBorder="1" applyAlignment="1" applyProtection="1">
      <alignment horizontal="right"/>
      <protection locked="0"/>
    </xf>
    <xf numFmtId="1" fontId="3" fillId="3" borderId="445" xfId="1" applyNumberFormat="1" applyFont="1" applyFill="1" applyBorder="1" applyAlignment="1">
      <alignment horizontal="right"/>
    </xf>
    <xf numFmtId="1" fontId="3" fillId="3" borderId="446" xfId="1" applyNumberFormat="1" applyFont="1" applyFill="1" applyBorder="1" applyAlignment="1">
      <alignment horizontal="right"/>
    </xf>
    <xf numFmtId="1" fontId="3" fillId="3" borderId="447" xfId="1" applyNumberFormat="1" applyFont="1" applyFill="1" applyBorder="1" applyAlignment="1">
      <alignment horizontal="right"/>
    </xf>
    <xf numFmtId="1" fontId="3" fillId="7" borderId="257" xfId="0" applyNumberFormat="1" applyFont="1" applyFill="1" applyBorder="1" applyAlignment="1">
      <alignment horizontal="right"/>
    </xf>
    <xf numFmtId="1" fontId="3" fillId="4" borderId="366" xfId="0" applyNumberFormat="1" applyFont="1" applyFill="1" applyBorder="1" applyAlignment="1" applyProtection="1">
      <alignment horizontal="right"/>
      <protection locked="0"/>
    </xf>
    <xf numFmtId="1" fontId="3" fillId="7" borderId="448" xfId="0" applyNumberFormat="1" applyFont="1" applyFill="1" applyBorder="1" applyAlignment="1">
      <alignment horizontal="right"/>
    </xf>
    <xf numFmtId="1" fontId="3" fillId="28" borderId="448" xfId="0" applyNumberFormat="1" applyFont="1" applyFill="1" applyBorder="1" applyAlignment="1">
      <alignment horizontal="right"/>
    </xf>
    <xf numFmtId="1" fontId="3" fillId="3" borderId="420" xfId="1" applyNumberFormat="1" applyFont="1" applyFill="1" applyBorder="1" applyAlignment="1">
      <alignment horizontal="right"/>
    </xf>
    <xf numFmtId="1" fontId="3" fillId="3" borderId="0" xfId="1" applyNumberFormat="1" applyFont="1" applyFill="1" applyBorder="1" applyAlignment="1">
      <alignment horizontal="right"/>
    </xf>
    <xf numFmtId="1" fontId="3" fillId="3" borderId="85" xfId="1" applyNumberFormat="1" applyFont="1" applyFill="1" applyBorder="1" applyAlignment="1">
      <alignment horizontal="right"/>
    </xf>
    <xf numFmtId="1" fontId="3" fillId="7" borderId="420" xfId="0" applyNumberFormat="1" applyFont="1" applyFill="1" applyBorder="1" applyAlignment="1">
      <alignment horizontal="right"/>
    </xf>
    <xf numFmtId="1" fontId="3" fillId="7" borderId="20" xfId="0" applyNumberFormat="1" applyFont="1" applyFill="1" applyBorder="1" applyAlignment="1">
      <alignment horizontal="right"/>
    </xf>
    <xf numFmtId="1" fontId="3" fillId="4" borderId="10" xfId="0" applyNumberFormat="1" applyFont="1" applyFill="1" applyBorder="1" applyAlignment="1" applyProtection="1">
      <alignment horizontal="right"/>
      <protection locked="0"/>
    </xf>
    <xf numFmtId="1" fontId="3" fillId="28" borderId="20" xfId="0" applyNumberFormat="1" applyFont="1" applyFill="1" applyBorder="1" applyAlignment="1">
      <alignment horizontal="right"/>
    </xf>
    <xf numFmtId="1" fontId="3" fillId="0" borderId="406" xfId="0" applyNumberFormat="1" applyFont="1" applyBorder="1" applyAlignment="1">
      <alignment horizontal="left" wrapText="1"/>
    </xf>
    <xf numFmtId="1" fontId="3" fillId="7" borderId="354" xfId="0" applyNumberFormat="1" applyFont="1" applyFill="1" applyBorder="1" applyAlignment="1">
      <alignment horizontal="right"/>
    </xf>
    <xf numFmtId="1" fontId="3" fillId="7" borderId="366" xfId="0" applyNumberFormat="1" applyFont="1" applyFill="1" applyBorder="1" applyAlignment="1">
      <alignment horizontal="right"/>
    </xf>
    <xf numFmtId="1" fontId="3" fillId="28" borderId="354" xfId="0" applyNumberFormat="1" applyFont="1" applyFill="1" applyBorder="1" applyAlignment="1">
      <alignment horizontal="right"/>
    </xf>
    <xf numFmtId="1" fontId="3" fillId="3" borderId="450" xfId="1" applyNumberFormat="1" applyFont="1" applyFill="1" applyBorder="1" applyAlignment="1">
      <alignment horizontal="right"/>
    </xf>
    <xf numFmtId="1" fontId="3" fillId="3" borderId="451" xfId="1" applyNumberFormat="1" applyFont="1" applyFill="1" applyBorder="1" applyAlignment="1">
      <alignment horizontal="right"/>
    </xf>
    <xf numFmtId="1" fontId="3" fillId="3" borderId="452" xfId="1" applyNumberFormat="1" applyFont="1" applyFill="1" applyBorder="1" applyAlignment="1">
      <alignment horizontal="right"/>
    </xf>
    <xf numFmtId="1" fontId="3" fillId="3" borderId="453" xfId="1" applyNumberFormat="1" applyFont="1" applyFill="1" applyBorder="1" applyAlignment="1">
      <alignment horizontal="right"/>
    </xf>
    <xf numFmtId="1" fontId="3" fillId="3" borderId="454" xfId="1" applyNumberFormat="1" applyFont="1" applyFill="1" applyBorder="1" applyAlignment="1">
      <alignment horizontal="right"/>
    </xf>
    <xf numFmtId="1" fontId="3" fillId="3" borderId="455" xfId="1" applyNumberFormat="1" applyFont="1" applyFill="1" applyBorder="1" applyAlignment="1">
      <alignment horizontal="right"/>
    </xf>
    <xf numFmtId="1" fontId="3" fillId="3" borderId="457" xfId="1" applyNumberFormat="1" applyFont="1" applyFill="1" applyBorder="1" applyAlignment="1">
      <alignment horizontal="right"/>
    </xf>
    <xf numFmtId="1" fontId="3" fillId="3" borderId="458" xfId="1" applyNumberFormat="1" applyFont="1" applyFill="1" applyBorder="1" applyAlignment="1">
      <alignment horizontal="right"/>
    </xf>
    <xf numFmtId="1" fontId="3" fillId="3" borderId="459" xfId="1" applyNumberFormat="1" applyFont="1" applyFill="1" applyBorder="1" applyAlignment="1">
      <alignment horizontal="right"/>
    </xf>
    <xf numFmtId="1" fontId="3" fillId="3" borderId="460" xfId="1" applyNumberFormat="1" applyFont="1" applyFill="1" applyBorder="1" applyAlignment="1">
      <alignment horizontal="right"/>
    </xf>
    <xf numFmtId="1" fontId="3" fillId="3" borderId="461" xfId="1" applyNumberFormat="1" applyFont="1" applyFill="1" applyBorder="1" applyAlignment="1">
      <alignment horizontal="right"/>
    </xf>
    <xf numFmtId="1" fontId="3" fillId="3" borderId="462" xfId="1" applyNumberFormat="1" applyFont="1" applyFill="1" applyBorder="1" applyAlignment="1">
      <alignment horizontal="right"/>
    </xf>
    <xf numFmtId="1" fontId="3" fillId="28" borderId="336" xfId="0" applyNumberFormat="1" applyFont="1" applyFill="1" applyBorder="1" applyAlignment="1">
      <alignment horizontal="right"/>
    </xf>
    <xf numFmtId="1" fontId="3" fillId="3" borderId="463" xfId="1" applyNumberFormat="1" applyFont="1" applyFill="1" applyBorder="1" applyAlignment="1">
      <alignment horizontal="right"/>
    </xf>
    <xf numFmtId="1" fontId="3" fillId="3" borderId="464" xfId="1" applyNumberFormat="1" applyFont="1" applyFill="1" applyBorder="1" applyAlignment="1">
      <alignment horizontal="right"/>
    </xf>
    <xf numFmtId="1" fontId="3" fillId="3" borderId="465" xfId="1" applyNumberFormat="1" applyFont="1" applyFill="1" applyBorder="1" applyAlignment="1">
      <alignment horizontal="right"/>
    </xf>
    <xf numFmtId="1" fontId="3" fillId="3" borderId="467" xfId="1" applyNumberFormat="1" applyFont="1" applyFill="1" applyBorder="1" applyAlignment="1">
      <alignment horizontal="right"/>
    </xf>
    <xf numFmtId="1" fontId="3" fillId="3" borderId="468" xfId="1" applyNumberFormat="1" applyFont="1" applyFill="1" applyBorder="1" applyAlignment="1">
      <alignment horizontal="right"/>
    </xf>
    <xf numFmtId="1" fontId="3" fillId="3" borderId="469" xfId="1" applyNumberFormat="1" applyFont="1" applyFill="1" applyBorder="1" applyAlignment="1">
      <alignment horizontal="right"/>
    </xf>
    <xf numFmtId="1" fontId="3" fillId="3" borderId="470" xfId="1" applyNumberFormat="1" applyFont="1" applyFill="1" applyBorder="1" applyAlignment="1">
      <alignment horizontal="right"/>
    </xf>
    <xf numFmtId="1" fontId="3" fillId="3" borderId="471" xfId="1" applyNumberFormat="1" applyFont="1" applyFill="1" applyBorder="1" applyAlignment="1">
      <alignment horizontal="right"/>
    </xf>
    <xf numFmtId="1" fontId="3" fillId="3" borderId="472" xfId="1" applyNumberFormat="1" applyFont="1" applyFill="1" applyBorder="1" applyAlignment="1">
      <alignment horizontal="right"/>
    </xf>
    <xf numFmtId="1" fontId="3" fillId="3" borderId="473" xfId="1" applyNumberFormat="1" applyFont="1" applyFill="1" applyBorder="1" applyAlignment="1">
      <alignment horizontal="right"/>
    </xf>
    <xf numFmtId="1" fontId="3" fillId="3" borderId="474" xfId="1" applyNumberFormat="1" applyFont="1" applyFill="1" applyBorder="1" applyAlignment="1">
      <alignment horizontal="right"/>
    </xf>
    <xf numFmtId="1" fontId="3" fillId="3" borderId="475" xfId="1" applyNumberFormat="1" applyFont="1" applyFill="1" applyBorder="1" applyAlignment="1">
      <alignment horizontal="right"/>
    </xf>
    <xf numFmtId="1" fontId="3" fillId="3" borderId="366" xfId="1" applyNumberFormat="1" applyFont="1" applyFill="1" applyBorder="1" applyAlignment="1">
      <alignment horizontal="right"/>
    </xf>
    <xf numFmtId="1" fontId="3" fillId="4" borderId="421" xfId="0" applyNumberFormat="1" applyFont="1" applyFill="1" applyBorder="1" applyAlignment="1" applyProtection="1">
      <alignment horizontal="right"/>
      <protection locked="0"/>
    </xf>
    <xf numFmtId="1" fontId="3" fillId="3" borderId="477" xfId="1" applyNumberFormat="1" applyFont="1" applyFill="1" applyBorder="1" applyAlignment="1">
      <alignment horizontal="right"/>
    </xf>
    <xf numFmtId="1" fontId="3" fillId="3" borderId="478" xfId="1" applyNumberFormat="1" applyFont="1" applyFill="1" applyBorder="1" applyAlignment="1">
      <alignment horizontal="right"/>
    </xf>
    <xf numFmtId="1" fontId="3" fillId="3" borderId="479" xfId="1" applyNumberFormat="1" applyFont="1" applyFill="1" applyBorder="1" applyAlignment="1">
      <alignment horizontal="right"/>
    </xf>
    <xf numFmtId="1" fontId="3" fillId="7" borderId="398" xfId="0" applyNumberFormat="1" applyFont="1" applyFill="1" applyBorder="1" applyAlignment="1">
      <alignment horizontal="right"/>
    </xf>
    <xf numFmtId="1" fontId="3" fillId="7" borderId="340" xfId="0" applyNumberFormat="1" applyFont="1" applyFill="1" applyBorder="1" applyAlignment="1">
      <alignment horizontal="right"/>
    </xf>
    <xf numFmtId="1" fontId="3" fillId="7" borderId="343" xfId="0" applyNumberFormat="1" applyFont="1" applyFill="1" applyBorder="1" applyAlignment="1">
      <alignment horizontal="right"/>
    </xf>
    <xf numFmtId="1" fontId="3" fillId="3" borderId="480" xfId="1" applyNumberFormat="1" applyFont="1" applyFill="1" applyBorder="1" applyAlignment="1">
      <alignment horizontal="right"/>
    </xf>
    <xf numFmtId="1" fontId="3" fillId="3" borderId="481" xfId="1" applyNumberFormat="1" applyFont="1" applyFill="1" applyBorder="1" applyAlignment="1">
      <alignment horizontal="right"/>
    </xf>
    <xf numFmtId="1" fontId="3" fillId="3" borderId="482" xfId="1" applyNumberFormat="1" applyFont="1" applyFill="1" applyBorder="1" applyAlignment="1">
      <alignment horizontal="right"/>
    </xf>
    <xf numFmtId="1" fontId="3" fillId="7" borderId="421" xfId="0" applyNumberFormat="1" applyFont="1" applyFill="1" applyBorder="1" applyAlignment="1">
      <alignment horizontal="right"/>
    </xf>
    <xf numFmtId="1" fontId="3" fillId="0" borderId="483" xfId="0" applyNumberFormat="1" applyFont="1" applyBorder="1" applyAlignment="1">
      <alignment horizontal="center" vertical="center" wrapText="1"/>
    </xf>
    <xf numFmtId="1" fontId="3" fillId="0" borderId="487" xfId="0" applyNumberFormat="1" applyFont="1" applyBorder="1" applyAlignment="1">
      <alignment horizontal="center" vertical="center" wrapText="1"/>
    </xf>
    <xf numFmtId="1" fontId="3" fillId="0" borderId="488" xfId="0" applyNumberFormat="1" applyFont="1" applyBorder="1" applyAlignment="1">
      <alignment horizontal="center" vertical="center" wrapText="1"/>
    </xf>
    <xf numFmtId="1" fontId="3" fillId="0" borderId="476" xfId="0" applyNumberFormat="1" applyFont="1" applyBorder="1" applyAlignment="1">
      <alignment horizontal="center" vertical="center"/>
    </xf>
    <xf numFmtId="1" fontId="3" fillId="0" borderId="492" xfId="0" applyNumberFormat="1" applyFont="1" applyBorder="1" applyAlignment="1">
      <alignment horizontal="center" vertical="center" wrapText="1"/>
    </xf>
    <xf numFmtId="1" fontId="3" fillId="0" borderId="493" xfId="0" applyNumberFormat="1" applyFont="1" applyBorder="1" applyAlignment="1">
      <alignment horizontal="center" vertical="center" wrapText="1"/>
    </xf>
    <xf numFmtId="1" fontId="3" fillId="0" borderId="494" xfId="0" applyNumberFormat="1" applyFont="1" applyBorder="1" applyAlignment="1">
      <alignment horizontal="center" vertical="center" wrapText="1"/>
    </xf>
    <xf numFmtId="1" fontId="3" fillId="0" borderId="386" xfId="0" applyNumberFormat="1" applyFont="1" applyBorder="1" applyAlignment="1">
      <alignment horizontal="left" vertical="center" wrapText="1"/>
    </xf>
    <xf numFmtId="1" fontId="3" fillId="4" borderId="333" xfId="0" applyNumberFormat="1" applyFont="1" applyFill="1" applyBorder="1" applyAlignment="1" applyProtection="1">
      <alignment horizontal="right"/>
      <protection locked="0"/>
    </xf>
    <xf numFmtId="1" fontId="3" fillId="4" borderId="303" xfId="0" applyNumberFormat="1" applyFont="1" applyFill="1" applyBorder="1" applyAlignment="1" applyProtection="1">
      <alignment horizontal="right"/>
      <protection locked="0"/>
    </xf>
    <xf numFmtId="1" fontId="3" fillId="4" borderId="302" xfId="0" applyNumberFormat="1" applyFont="1" applyFill="1" applyBorder="1" applyAlignment="1" applyProtection="1">
      <alignment horizontal="right"/>
      <protection locked="0"/>
    </xf>
    <xf numFmtId="1" fontId="3" fillId="4" borderId="331" xfId="0" applyNumberFormat="1" applyFont="1" applyFill="1" applyBorder="1" applyAlignment="1" applyProtection="1">
      <alignment horizontal="right"/>
      <protection locked="0"/>
    </xf>
    <xf numFmtId="1" fontId="3" fillId="0" borderId="496" xfId="0" applyNumberFormat="1" applyFont="1" applyBorder="1"/>
    <xf numFmtId="1" fontId="3" fillId="0" borderId="492" xfId="0" applyNumberFormat="1" applyFont="1" applyBorder="1"/>
    <xf numFmtId="1" fontId="3" fillId="0" borderId="487" xfId="0" applyNumberFormat="1" applyFont="1" applyBorder="1"/>
    <xf numFmtId="1" fontId="3" fillId="0" borderId="494" xfId="0" applyNumberFormat="1" applyFont="1" applyBorder="1"/>
    <xf numFmtId="1" fontId="3" fillId="0" borderId="497" xfId="0" applyNumberFormat="1" applyFont="1" applyBorder="1"/>
    <xf numFmtId="1" fontId="3" fillId="0" borderId="500" xfId="0" applyNumberFormat="1" applyFont="1" applyBorder="1" applyAlignment="1">
      <alignment horizontal="center" vertical="center" wrapText="1"/>
    </xf>
    <xf numFmtId="1" fontId="3" fillId="0" borderId="501" xfId="0" applyNumberFormat="1" applyFont="1" applyBorder="1" applyAlignment="1">
      <alignment horizontal="center" vertical="center" wrapText="1"/>
    </xf>
    <xf numFmtId="1" fontId="3" fillId="28" borderId="319" xfId="0" applyNumberFormat="1" applyFont="1" applyFill="1" applyBorder="1" applyAlignment="1">
      <alignment horizontal="right"/>
    </xf>
    <xf numFmtId="1" fontId="3" fillId="28" borderId="22" xfId="0" applyNumberFormat="1" applyFont="1" applyFill="1" applyBorder="1" applyAlignment="1">
      <alignment horizontal="right"/>
    </xf>
    <xf numFmtId="1" fontId="3" fillId="28" borderId="333" xfId="0" applyNumberFormat="1" applyFont="1" applyFill="1" applyBorder="1" applyAlignment="1">
      <alignment horizontal="right"/>
    </xf>
    <xf numFmtId="0" fontId="3" fillId="0" borderId="502" xfId="0" applyFont="1" applyBorder="1"/>
    <xf numFmtId="1" fontId="3" fillId="6" borderId="503" xfId="0" applyNumberFormat="1" applyFont="1" applyFill="1" applyBorder="1" applyAlignment="1">
      <alignment horizontal="right"/>
    </xf>
    <xf numFmtId="1" fontId="3" fillId="28" borderId="262" xfId="0" applyNumberFormat="1" applyFont="1" applyFill="1" applyBorder="1" applyAlignment="1">
      <alignment horizontal="right"/>
    </xf>
    <xf numFmtId="1" fontId="3" fillId="28" borderId="259" xfId="0" applyNumberFormat="1" applyFont="1" applyFill="1" applyBorder="1" applyAlignment="1">
      <alignment horizontal="right"/>
    </xf>
    <xf numFmtId="1" fontId="3" fillId="28" borderId="257" xfId="0" applyNumberFormat="1" applyFont="1" applyFill="1" applyBorder="1" applyAlignment="1">
      <alignment horizontal="right"/>
    </xf>
    <xf numFmtId="1" fontId="3" fillId="4" borderId="503" xfId="0" applyNumberFormat="1" applyFont="1" applyFill="1" applyBorder="1" applyAlignment="1" applyProtection="1">
      <alignment horizontal="right"/>
      <protection locked="0"/>
    </xf>
    <xf numFmtId="1" fontId="3" fillId="28" borderId="503" xfId="0" applyNumberFormat="1" applyFont="1" applyFill="1" applyBorder="1" applyAlignment="1">
      <alignment horizontal="right"/>
    </xf>
    <xf numFmtId="1" fontId="3" fillId="0" borderId="493" xfId="0" applyNumberFormat="1" applyFont="1" applyBorder="1" applyAlignment="1">
      <alignment horizontal="center" vertical="center"/>
    </xf>
    <xf numFmtId="1" fontId="3" fillId="3" borderId="341" xfId="1" applyNumberFormat="1" applyFont="1" applyFill="1" applyBorder="1" applyAlignment="1">
      <alignment horizontal="right"/>
    </xf>
    <xf numFmtId="1" fontId="3" fillId="3" borderId="345" xfId="1" applyNumberFormat="1" applyFont="1" applyFill="1" applyBorder="1" applyAlignment="1">
      <alignment horizontal="right"/>
    </xf>
    <xf numFmtId="1" fontId="3" fillId="3" borderId="334" xfId="1" applyNumberFormat="1" applyFont="1" applyFill="1" applyBorder="1" applyAlignment="1">
      <alignment horizontal="right"/>
    </xf>
    <xf numFmtId="1" fontId="3" fillId="8" borderId="333" xfId="0" applyNumberFormat="1" applyFont="1" applyFill="1" applyBorder="1" applyAlignment="1" applyProtection="1">
      <alignment horizontal="right"/>
      <protection locked="0"/>
    </xf>
    <xf numFmtId="1" fontId="3" fillId="8" borderId="334" xfId="0" applyNumberFormat="1" applyFont="1" applyFill="1" applyBorder="1" applyAlignment="1" applyProtection="1">
      <alignment horizontal="right"/>
      <protection locked="0"/>
    </xf>
    <xf numFmtId="1" fontId="3" fillId="8" borderId="341" xfId="0" applyNumberFormat="1" applyFont="1" applyFill="1" applyBorder="1" applyAlignment="1" applyProtection="1">
      <alignment horizontal="right"/>
      <protection locked="0"/>
    </xf>
    <xf numFmtId="1" fontId="3" fillId="8" borderId="342" xfId="0" applyNumberFormat="1" applyFont="1" applyFill="1" applyBorder="1" applyAlignment="1" applyProtection="1">
      <alignment horizontal="right"/>
      <protection locked="0"/>
    </xf>
    <xf numFmtId="1" fontId="3" fillId="8" borderId="343" xfId="0" applyNumberFormat="1" applyFont="1" applyFill="1" applyBorder="1" applyAlignment="1" applyProtection="1">
      <alignment horizontal="right"/>
      <protection locked="0"/>
    </xf>
    <xf numFmtId="1" fontId="3" fillId="0" borderId="502" xfId="0" applyNumberFormat="1" applyFont="1" applyBorder="1" applyAlignment="1">
      <alignment horizontal="left" vertical="center" wrapText="1"/>
    </xf>
    <xf numFmtId="1" fontId="3" fillId="3" borderId="328" xfId="1" applyNumberFormat="1" applyFont="1" applyFill="1" applyBorder="1" applyAlignment="1">
      <alignment horizontal="right"/>
    </xf>
    <xf numFmtId="1" fontId="3" fillId="3" borderId="360" xfId="1" applyNumberFormat="1" applyFont="1" applyFill="1" applyBorder="1" applyAlignment="1">
      <alignment horizontal="right"/>
    </xf>
    <xf numFmtId="1" fontId="3" fillId="8" borderId="503" xfId="0" applyNumberFormat="1" applyFont="1" applyFill="1" applyBorder="1" applyAlignment="1" applyProtection="1">
      <alignment horizontal="right"/>
      <protection locked="0"/>
    </xf>
    <xf numFmtId="1" fontId="3" fillId="8" borderId="257" xfId="0" applyNumberFormat="1" applyFont="1" applyFill="1" applyBorder="1" applyAlignment="1" applyProtection="1">
      <alignment horizontal="right"/>
      <protection locked="0"/>
    </xf>
    <xf numFmtId="1" fontId="3" fillId="8" borderId="321" xfId="0" applyNumberFormat="1" applyFont="1" applyFill="1" applyBorder="1" applyAlignment="1" applyProtection="1">
      <alignment horizontal="right"/>
      <protection locked="0"/>
    </xf>
    <xf numFmtId="1" fontId="3" fillId="8" borderId="263" xfId="0" applyNumberFormat="1" applyFont="1" applyFill="1" applyBorder="1" applyAlignment="1" applyProtection="1">
      <alignment horizontal="right"/>
      <protection locked="0"/>
    </xf>
    <xf numFmtId="1" fontId="3" fillId="8" borderId="262" xfId="0" applyNumberFormat="1" applyFont="1" applyFill="1" applyBorder="1" applyAlignment="1" applyProtection="1">
      <alignment horizontal="right"/>
      <protection locked="0"/>
    </xf>
    <xf numFmtId="1" fontId="3" fillId="3" borderId="276" xfId="1" applyNumberFormat="1" applyFont="1" applyFill="1" applyBorder="1" applyAlignment="1">
      <alignment horizontal="right"/>
    </xf>
    <xf numFmtId="1" fontId="3" fillId="3" borderId="280" xfId="1" applyNumberFormat="1" applyFont="1" applyFill="1" applyBorder="1" applyAlignment="1">
      <alignment horizontal="right"/>
    </xf>
    <xf numFmtId="1" fontId="3" fillId="3" borderId="271" xfId="1" applyNumberFormat="1" applyFont="1" applyFill="1" applyBorder="1" applyAlignment="1">
      <alignment horizontal="right"/>
    </xf>
    <xf numFmtId="1" fontId="3" fillId="4" borderId="259" xfId="0" applyNumberFormat="1" applyFont="1" applyFill="1" applyBorder="1" applyAlignment="1" applyProtection="1">
      <alignment horizontal="right"/>
      <protection locked="0"/>
    </xf>
    <xf numFmtId="1" fontId="3" fillId="4" borderId="491" xfId="0" applyNumberFormat="1" applyFont="1" applyFill="1" applyBorder="1" applyAlignment="1" applyProtection="1">
      <alignment horizontal="right"/>
      <protection locked="0"/>
    </xf>
    <xf numFmtId="1" fontId="3" fillId="0" borderId="483" xfId="39" applyNumberFormat="1" applyFont="1" applyBorder="1" applyAlignment="1" applyProtection="1">
      <alignment horizontal="center" vertical="center" wrapText="1"/>
      <protection hidden="1"/>
    </xf>
    <xf numFmtId="1" fontId="3" fillId="0" borderId="493" xfId="39" applyNumberFormat="1" applyFont="1" applyBorder="1" applyAlignment="1" applyProtection="1">
      <alignment horizontal="center" vertical="center" wrapText="1"/>
    </xf>
    <xf numFmtId="1" fontId="3" fillId="0" borderId="487" xfId="39" applyNumberFormat="1" applyFont="1" applyBorder="1" applyAlignment="1" applyProtection="1">
      <alignment horizontal="center" vertical="center" wrapText="1"/>
    </xf>
    <xf numFmtId="1" fontId="3" fillId="0" borderId="493" xfId="39" applyNumberFormat="1" applyFont="1" applyBorder="1" applyAlignment="1" applyProtection="1">
      <alignment horizontal="center" vertical="center" wrapText="1"/>
      <protection hidden="1"/>
    </xf>
    <xf numFmtId="1" fontId="3" fillId="0" borderId="501" xfId="39" applyNumberFormat="1" applyFont="1" applyBorder="1" applyAlignment="1" applyProtection="1">
      <alignment horizontal="center" vertical="center" wrapText="1"/>
      <protection hidden="1"/>
    </xf>
    <xf numFmtId="1" fontId="3" fillId="0" borderId="386" xfId="39" applyNumberFormat="1" applyFont="1" applyBorder="1" applyAlignment="1" applyProtection="1"/>
    <xf numFmtId="1" fontId="3" fillId="0" borderId="302" xfId="39" applyNumberFormat="1" applyFont="1" applyBorder="1" applyAlignment="1" applyProtection="1">
      <alignment horizontal="right"/>
    </xf>
    <xf numFmtId="1" fontId="3" fillId="4" borderId="386" xfId="37" applyNumberFormat="1" applyFont="1" applyFill="1" applyBorder="1">
      <protection locked="0"/>
    </xf>
    <xf numFmtId="1" fontId="3" fillId="4" borderId="319" xfId="37" applyNumberFormat="1" applyFont="1" applyFill="1" applyBorder="1">
      <protection locked="0"/>
    </xf>
    <xf numFmtId="1" fontId="3" fillId="4" borderId="430" xfId="37" applyNumberFormat="1" applyFont="1" applyFill="1" applyBorder="1">
      <protection locked="0"/>
    </xf>
    <xf numFmtId="1" fontId="3" fillId="4" borderId="320" xfId="37" applyNumberFormat="1" applyFont="1" applyFill="1" applyBorder="1">
      <protection locked="0"/>
    </xf>
    <xf numFmtId="1" fontId="3" fillId="4" borderId="399" xfId="37" applyNumberFormat="1" applyFont="1" applyFill="1" applyBorder="1">
      <protection locked="0"/>
    </xf>
    <xf numFmtId="1" fontId="3" fillId="0" borderId="331" xfId="39" applyNumberFormat="1" applyFont="1" applyBorder="1" applyAlignment="1" applyProtection="1"/>
    <xf numFmtId="1" fontId="3" fillId="0" borderId="331" xfId="39" applyNumberFormat="1" applyFont="1" applyBorder="1" applyAlignment="1" applyProtection="1">
      <alignment horizontal="right"/>
    </xf>
    <xf numFmtId="1" fontId="3" fillId="4" borderId="302" xfId="37" applyNumberFormat="1" applyFont="1" applyFill="1" applyBorder="1">
      <protection locked="0"/>
    </xf>
    <xf numFmtId="1" fontId="3" fillId="4" borderId="276" xfId="37" applyNumberFormat="1" applyFont="1" applyFill="1" applyBorder="1">
      <protection locked="0"/>
    </xf>
    <xf numFmtId="1" fontId="3" fillId="4" borderId="134" xfId="37" applyNumberFormat="1" applyFont="1" applyFill="1" applyBorder="1">
      <protection locked="0"/>
    </xf>
    <xf numFmtId="1" fontId="3" fillId="4" borderId="280" xfId="37" applyNumberFormat="1" applyFont="1" applyFill="1" applyBorder="1">
      <protection locked="0"/>
    </xf>
    <xf numFmtId="1" fontId="3" fillId="4" borderId="21" xfId="37" applyNumberFormat="1" applyFont="1" applyFill="1" applyBorder="1">
      <protection locked="0"/>
    </xf>
    <xf numFmtId="1" fontId="3" fillId="0" borderId="406" xfId="39" applyNumberFormat="1" applyFont="1" applyBorder="1" applyAlignment="1" applyProtection="1"/>
    <xf numFmtId="1" fontId="3" fillId="0" borderId="406" xfId="39" applyNumberFormat="1" applyFont="1" applyBorder="1" applyAlignment="1" applyProtection="1">
      <alignment horizontal="right"/>
    </xf>
    <xf numFmtId="1" fontId="3" fillId="4" borderId="406" xfId="37" applyNumberFormat="1" applyFont="1" applyFill="1" applyBorder="1">
      <protection locked="0"/>
    </xf>
    <xf numFmtId="1" fontId="3" fillId="4" borderId="328" xfId="37" applyNumberFormat="1" applyFont="1" applyFill="1" applyBorder="1">
      <protection locked="0"/>
    </xf>
    <xf numFmtId="1" fontId="3" fillId="4" borderId="354" xfId="37" applyNumberFormat="1" applyFont="1" applyFill="1" applyBorder="1">
      <protection locked="0"/>
    </xf>
    <xf numFmtId="1" fontId="3" fillId="4" borderId="360" xfId="37" applyNumberFormat="1" applyFont="1" applyFill="1" applyBorder="1">
      <protection locked="0"/>
    </xf>
    <xf numFmtId="1" fontId="3" fillId="4" borderId="359" xfId="37" applyNumberFormat="1" applyFont="1" applyFill="1" applyBorder="1">
      <protection locked="0"/>
    </xf>
    <xf numFmtId="1" fontId="3" fillId="0" borderId="502" xfId="39" applyNumberFormat="1" applyFont="1" applyBorder="1" applyAlignment="1" applyProtection="1">
      <alignment horizontal="center"/>
    </xf>
    <xf numFmtId="1" fontId="3" fillId="0" borderId="502" xfId="39" applyNumberFormat="1" applyFont="1" applyBorder="1" applyAlignment="1" applyProtection="1">
      <alignment horizontal="right"/>
    </xf>
    <xf numFmtId="1" fontId="3" fillId="0" borderId="321" xfId="39" applyNumberFormat="1" applyFont="1" applyBorder="1" applyAlignment="1" applyProtection="1">
      <alignment horizontal="right"/>
    </xf>
    <xf numFmtId="1" fontId="3" fillId="0" borderId="491" xfId="39" applyNumberFormat="1" applyFont="1" applyBorder="1" applyAlignment="1" applyProtection="1">
      <alignment horizontal="right"/>
    </xf>
    <xf numFmtId="1" fontId="3" fillId="0" borderId="256" xfId="39" applyNumberFormat="1" applyFont="1" applyBorder="1" applyAlignment="1" applyProtection="1">
      <alignment horizontal="right"/>
    </xf>
    <xf numFmtId="1" fontId="3" fillId="0" borderId="505" xfId="39" applyNumberFormat="1" applyFont="1" applyBorder="1" applyAlignment="1" applyProtection="1">
      <alignment horizontal="right"/>
    </xf>
    <xf numFmtId="1" fontId="3" fillId="0" borderId="330" xfId="39" applyNumberFormat="1" applyFont="1" applyBorder="1" applyAlignment="1" applyProtection="1"/>
    <xf numFmtId="1" fontId="4" fillId="0" borderId="0" xfId="39" applyNumberFormat="1" applyFont="1" applyBorder="1" applyAlignment="1" applyProtection="1">
      <alignment horizontal="right"/>
      <protection hidden="1"/>
    </xf>
    <xf numFmtId="1" fontId="3" fillId="0" borderId="0" xfId="39" applyNumberFormat="1" applyFont="1" applyAlignment="1" applyProtection="1">
      <protection hidden="1"/>
    </xf>
    <xf numFmtId="1" fontId="2" fillId="0" borderId="0" xfId="39" applyNumberFormat="1" applyFont="1" applyBorder="1" applyAlignment="1" applyProtection="1">
      <alignment wrapText="1"/>
    </xf>
    <xf numFmtId="1" fontId="3" fillId="4" borderId="384" xfId="37" applyNumberFormat="1" applyFont="1" applyFill="1" applyBorder="1">
      <protection locked="0"/>
    </xf>
    <xf numFmtId="1" fontId="4" fillId="0" borderId="330" xfId="39" applyNumberFormat="1" applyFont="1" applyBorder="1" applyAlignment="1" applyProtection="1"/>
    <xf numFmtId="1" fontId="4" fillId="0" borderId="0" xfId="39" applyNumberFormat="1" applyFont="1" applyBorder="1" applyAlignment="1" applyProtection="1">
      <alignment wrapText="1"/>
    </xf>
    <xf numFmtId="1" fontId="3" fillId="0" borderId="488" xfId="39" applyNumberFormat="1" applyFont="1" applyBorder="1" applyAlignment="1" applyProtection="1">
      <alignment horizontal="center" vertical="center" wrapText="1"/>
      <protection hidden="1"/>
    </xf>
    <xf numFmtId="1" fontId="3" fillId="4" borderId="134" xfId="40" applyNumberFormat="1" applyFont="1" applyFill="1" applyBorder="1">
      <protection locked="0"/>
    </xf>
    <xf numFmtId="1" fontId="3" fillId="4" borderId="276" xfId="40" applyNumberFormat="1" applyFont="1" applyFill="1" applyBorder="1">
      <protection locked="0"/>
    </xf>
    <xf numFmtId="1" fontId="3" fillId="4" borderId="280" xfId="40" applyNumberFormat="1" applyFont="1" applyFill="1" applyBorder="1">
      <protection locked="0"/>
    </xf>
    <xf numFmtId="1" fontId="3" fillId="4" borderId="21" xfId="40" applyNumberFormat="1" applyFont="1" applyFill="1" applyBorder="1">
      <protection locked="0"/>
    </xf>
    <xf numFmtId="1" fontId="3" fillId="4" borderId="301" xfId="40" applyNumberFormat="1" applyFont="1" applyFill="1" applyBorder="1">
      <protection locked="0"/>
    </xf>
    <xf numFmtId="1" fontId="3" fillId="4" borderId="354" xfId="40" applyNumberFormat="1" applyFont="1" applyFill="1" applyBorder="1">
      <protection locked="0"/>
    </xf>
    <xf numFmtId="1" fontId="3" fillId="4" borderId="328" xfId="40" applyNumberFormat="1" applyFont="1" applyFill="1" applyBorder="1">
      <protection locked="0"/>
    </xf>
    <xf numFmtId="1" fontId="3" fillId="4" borderId="360" xfId="40" applyNumberFormat="1" applyFont="1" applyFill="1" applyBorder="1">
      <protection locked="0"/>
    </xf>
    <xf numFmtId="1" fontId="3" fillId="4" borderId="359" xfId="40" applyNumberFormat="1" applyFont="1" applyFill="1" applyBorder="1">
      <protection locked="0"/>
    </xf>
    <xf numFmtId="1" fontId="3" fillId="4" borderId="358" xfId="40" applyNumberFormat="1" applyFont="1" applyFill="1" applyBorder="1">
      <protection locked="0"/>
    </xf>
    <xf numFmtId="1" fontId="3" fillId="0" borderId="259" xfId="39" applyNumberFormat="1" applyFont="1" applyBorder="1" applyAlignment="1" applyProtection="1">
      <alignment horizontal="right"/>
    </xf>
    <xf numFmtId="1" fontId="3" fillId="0" borderId="487" xfId="39" applyNumberFormat="1" applyFont="1" applyBorder="1" applyAlignment="1" applyProtection="1">
      <alignment horizontal="right"/>
    </xf>
    <xf numFmtId="1" fontId="46" fillId="3" borderId="0" xfId="0" applyNumberFormat="1" applyFont="1" applyFill="1"/>
    <xf numFmtId="1" fontId="3" fillId="0" borderId="487" xfId="0" applyNumberFormat="1" applyFont="1" applyBorder="1" applyAlignment="1">
      <alignment horizontal="center" vertical="center"/>
    </xf>
    <xf numFmtId="1" fontId="3" fillId="0" borderId="492" xfId="0" applyNumberFormat="1" applyFont="1" applyBorder="1" applyAlignment="1">
      <alignment horizontal="center" vertical="center"/>
    </xf>
    <xf numFmtId="1" fontId="3" fillId="0" borderId="507" xfId="0" applyNumberFormat="1" applyFont="1" applyBorder="1" applyAlignment="1">
      <alignment horizontal="center" vertical="center"/>
    </xf>
    <xf numFmtId="1" fontId="3" fillId="0" borderId="494" xfId="0" applyNumberFormat="1" applyFont="1" applyBorder="1" applyAlignment="1">
      <alignment horizontal="center" vertical="center"/>
    </xf>
    <xf numFmtId="1" fontId="3" fillId="0" borderId="496" xfId="0" applyNumberFormat="1" applyFont="1" applyBorder="1" applyAlignment="1">
      <alignment horizontal="center" vertical="center"/>
    </xf>
    <xf numFmtId="1" fontId="3" fillId="0" borderId="493" xfId="0" applyNumberFormat="1" applyFont="1" applyBorder="1"/>
    <xf numFmtId="1" fontId="3" fillId="0" borderId="507" xfId="0" applyNumberFormat="1" applyFont="1" applyBorder="1"/>
    <xf numFmtId="1" fontId="3" fillId="0" borderId="483" xfId="0" applyNumberFormat="1" applyFont="1" applyBorder="1"/>
    <xf numFmtId="1" fontId="3" fillId="0" borderId="500" xfId="0" applyNumberFormat="1" applyFont="1" applyBorder="1"/>
    <xf numFmtId="1" fontId="3" fillId="0" borderId="393" xfId="0" applyNumberFormat="1" applyFont="1" applyBorder="1"/>
    <xf numFmtId="1" fontId="3" fillId="0" borderId="430" xfId="0" applyNumberFormat="1" applyFont="1" applyBorder="1"/>
    <xf numFmtId="1" fontId="3" fillId="0" borderId="232" xfId="0" applyNumberFormat="1" applyFont="1" applyBorder="1" applyAlignment="1">
      <alignment horizontal="left" vertical="center"/>
    </xf>
    <xf numFmtId="1" fontId="3" fillId="3" borderId="406" xfId="0" applyNumberFormat="1" applyFont="1" applyFill="1" applyBorder="1" applyAlignment="1">
      <alignment horizontal="left" vertical="center"/>
    </xf>
    <xf numFmtId="1" fontId="3" fillId="0" borderId="406" xfId="0" applyNumberFormat="1" applyFont="1" applyBorder="1" applyAlignment="1">
      <alignment horizontal="left" vertical="center"/>
    </xf>
    <xf numFmtId="1" fontId="3" fillId="0" borderId="386" xfId="0" applyNumberFormat="1" applyFont="1" applyBorder="1" applyAlignment="1">
      <alignment horizontal="left" vertical="center"/>
    </xf>
    <xf numFmtId="1" fontId="3" fillId="0" borderId="319" xfId="0" applyNumberFormat="1" applyFont="1" applyBorder="1"/>
    <xf numFmtId="1" fontId="3" fillId="4" borderId="508" xfId="0" applyNumberFormat="1" applyFont="1" applyFill="1" applyBorder="1" applyAlignment="1" applyProtection="1">
      <alignment horizontal="right"/>
      <protection locked="0"/>
    </xf>
    <xf numFmtId="1" fontId="3" fillId="5" borderId="0" xfId="0" applyNumberFormat="1" applyFont="1" applyFill="1"/>
    <xf numFmtId="1" fontId="3" fillId="5" borderId="0" xfId="0" applyNumberFormat="1" applyFont="1" applyFill="1" applyAlignment="1">
      <alignment wrapText="1"/>
    </xf>
    <xf numFmtId="1" fontId="0" fillId="5" borderId="0" xfId="0" applyNumberFormat="1" applyFill="1"/>
    <xf numFmtId="1" fontId="0" fillId="3" borderId="0" xfId="0" applyNumberFormat="1" applyFill="1"/>
    <xf numFmtId="1" fontId="7" fillId="3" borderId="0" xfId="0" applyNumberFormat="1" applyFont="1" applyFill="1"/>
    <xf numFmtId="1" fontId="1" fillId="3" borderId="0" xfId="0" applyNumberFormat="1" applyFont="1" applyFill="1" applyAlignment="1">
      <alignment wrapText="1"/>
    </xf>
    <xf numFmtId="1" fontId="41" fillId="3" borderId="13" xfId="0" applyNumberFormat="1" applyFont="1" applyFill="1" applyBorder="1" applyAlignment="1">
      <alignment wrapText="1"/>
    </xf>
    <xf numFmtId="1" fontId="41" fillId="3" borderId="0" xfId="0" applyNumberFormat="1" applyFont="1" applyFill="1" applyAlignment="1">
      <alignment wrapText="1"/>
    </xf>
    <xf numFmtId="1" fontId="2" fillId="0" borderId="498" xfId="0" applyNumberFormat="1" applyFont="1" applyBorder="1"/>
    <xf numFmtId="1" fontId="27" fillId="3" borderId="498" xfId="0" applyNumberFormat="1" applyFont="1" applyFill="1" applyBorder="1"/>
    <xf numFmtId="1" fontId="27" fillId="3" borderId="0" xfId="0" applyNumberFormat="1" applyFont="1" applyFill="1"/>
    <xf numFmtId="1" fontId="0" fillId="0" borderId="305" xfId="0" applyNumberFormat="1" applyBorder="1"/>
    <xf numFmtId="1" fontId="0" fillId="0" borderId="306" xfId="0" applyNumberFormat="1" applyBorder="1"/>
    <xf numFmtId="1" fontId="0" fillId="0" borderId="509" xfId="0" applyNumberFormat="1" applyBorder="1"/>
    <xf numFmtId="1" fontId="0" fillId="0" borderId="13" xfId="0" applyNumberFormat="1" applyBorder="1"/>
    <xf numFmtId="1" fontId="3" fillId="0" borderId="283" xfId="0" applyNumberFormat="1" applyFont="1" applyBorder="1" applyAlignment="1">
      <alignment horizontal="center" vertical="center" wrapText="1"/>
    </xf>
    <xf numFmtId="1" fontId="3" fillId="0" borderId="285" xfId="0" applyNumberFormat="1" applyFont="1" applyBorder="1" applyAlignment="1">
      <alignment horizontal="center" vertical="center" wrapText="1"/>
    </xf>
    <xf numFmtId="1" fontId="3" fillId="0" borderId="294" xfId="0" applyNumberFormat="1" applyFont="1" applyBorder="1" applyAlignment="1">
      <alignment horizontal="center" vertical="center" wrapText="1"/>
    </xf>
    <xf numFmtId="1" fontId="3" fillId="0" borderId="267" xfId="0" applyNumberFormat="1" applyFont="1" applyBorder="1" applyAlignment="1">
      <alignment horizontal="center" vertical="center"/>
    </xf>
    <xf numFmtId="1" fontId="3" fillId="0" borderId="285" xfId="0" applyNumberFormat="1" applyFont="1" applyBorder="1" applyAlignment="1">
      <alignment horizontal="right"/>
    </xf>
    <xf numFmtId="1" fontId="3" fillId="0" borderId="294" xfId="0" applyNumberFormat="1" applyFont="1" applyBorder="1" applyAlignment="1">
      <alignment horizontal="right"/>
    </xf>
    <xf numFmtId="1" fontId="3" fillId="0" borderId="283" xfId="0" applyNumberFormat="1" applyFont="1" applyBorder="1" applyAlignment="1">
      <alignment horizontal="right"/>
    </xf>
    <xf numFmtId="1" fontId="3" fillId="4" borderId="285" xfId="0" applyNumberFormat="1" applyFont="1" applyFill="1" applyBorder="1" applyAlignment="1" applyProtection="1">
      <alignment horizontal="right"/>
      <protection locked="0"/>
    </xf>
    <xf numFmtId="1" fontId="3" fillId="4" borderId="283" xfId="0" applyNumberFormat="1" applyFont="1" applyFill="1" applyBorder="1" applyAlignment="1" applyProtection="1">
      <alignment horizontal="right"/>
      <protection locked="0"/>
    </xf>
    <xf numFmtId="1" fontId="3" fillId="0" borderId="510" xfId="0" applyNumberFormat="1" applyFont="1" applyBorder="1" applyAlignment="1">
      <alignment horizontal="left" vertical="center"/>
    </xf>
    <xf numFmtId="1" fontId="3" fillId="0" borderId="511" xfId="0" applyNumberFormat="1" applyFont="1" applyBorder="1" applyAlignment="1">
      <alignment horizontal="right" wrapText="1"/>
    </xf>
    <xf numFmtId="1" fontId="3" fillId="0" borderId="512" xfId="0" applyNumberFormat="1" applyFont="1" applyBorder="1" applyAlignment="1">
      <alignment horizontal="right"/>
    </xf>
    <xf numFmtId="1" fontId="3" fillId="0" borderId="513" xfId="0" applyNumberFormat="1" applyFont="1" applyBorder="1" applyAlignment="1">
      <alignment horizontal="right"/>
    </xf>
    <xf numFmtId="1" fontId="3" fillId="4" borderId="511" xfId="0" applyNumberFormat="1" applyFont="1" applyFill="1" applyBorder="1" applyAlignment="1" applyProtection="1">
      <alignment horizontal="right"/>
      <protection locked="0"/>
    </xf>
    <xf numFmtId="1" fontId="3" fillId="4" borderId="513" xfId="0" applyNumberFormat="1" applyFont="1" applyFill="1" applyBorder="1" applyAlignment="1" applyProtection="1">
      <alignment horizontal="right"/>
      <protection locked="0"/>
    </xf>
    <xf numFmtId="1" fontId="3" fillId="0" borderId="503" xfId="0" applyNumberFormat="1" applyFont="1" applyBorder="1" applyAlignment="1">
      <alignment horizontal="right"/>
    </xf>
    <xf numFmtId="1" fontId="3" fillId="9" borderId="514" xfId="32" applyNumberFormat="1" applyFont="1" applyBorder="1" applyAlignment="1" applyProtection="1">
      <alignment horizontal="right"/>
      <protection locked="0"/>
    </xf>
    <xf numFmtId="1" fontId="3" fillId="9" borderId="515" xfId="32" applyNumberFormat="1" applyFont="1" applyBorder="1" applyAlignment="1" applyProtection="1">
      <alignment horizontal="right"/>
      <protection locked="0"/>
    </xf>
    <xf numFmtId="1" fontId="3" fillId="9" borderId="516" xfId="32" applyNumberFormat="1" applyFont="1" applyBorder="1" applyAlignment="1" applyProtection="1">
      <alignment horizontal="right"/>
      <protection locked="0"/>
    </xf>
    <xf numFmtId="1" fontId="27" fillId="3" borderId="0" xfId="0" applyNumberFormat="1" applyFont="1" applyFill="1" applyAlignment="1">
      <alignment wrapText="1"/>
    </xf>
    <xf numFmtId="1" fontId="1" fillId="5" borderId="0" xfId="0" applyNumberFormat="1" applyFont="1" applyFill="1" applyAlignment="1">
      <alignment wrapText="1"/>
    </xf>
    <xf numFmtId="1" fontId="3" fillId="0" borderId="517" xfId="0" applyNumberFormat="1" applyFont="1" applyBorder="1" applyAlignment="1">
      <alignment horizontal="center" vertical="center" wrapText="1"/>
    </xf>
    <xf numFmtId="1" fontId="3" fillId="0" borderId="522" xfId="0" applyNumberFormat="1" applyFont="1" applyBorder="1" applyAlignment="1">
      <alignment horizontal="center" vertical="center" wrapText="1"/>
    </xf>
    <xf numFmtId="1" fontId="3" fillId="0" borderId="523" xfId="0" applyNumberFormat="1" applyFont="1" applyBorder="1" applyAlignment="1">
      <alignment horizontal="center" vertical="center" wrapText="1"/>
    </xf>
    <xf numFmtId="1" fontId="3" fillId="0" borderId="520" xfId="0" applyNumberFormat="1" applyFont="1" applyBorder="1" applyAlignment="1">
      <alignment horizontal="center" vertical="center" wrapText="1"/>
    </xf>
    <xf numFmtId="1" fontId="3" fillId="0" borderId="522" xfId="0" applyNumberFormat="1" applyFont="1" applyBorder="1" applyAlignment="1">
      <alignment horizontal="right" wrapText="1"/>
    </xf>
    <xf numFmtId="1" fontId="3" fillId="0" borderId="525" xfId="0" applyNumberFormat="1" applyFont="1" applyBorder="1" applyAlignment="1">
      <alignment horizontal="right" wrapText="1"/>
    </xf>
    <xf numFmtId="1" fontId="3" fillId="0" borderId="524" xfId="0" applyNumberFormat="1" applyFont="1" applyBorder="1" applyAlignment="1">
      <alignment horizontal="right" wrapText="1"/>
    </xf>
    <xf numFmtId="1" fontId="3" fillId="4" borderId="526" xfId="0" applyNumberFormat="1" applyFont="1" applyFill="1" applyBorder="1" applyAlignment="1" applyProtection="1">
      <alignment horizontal="right"/>
      <protection locked="0"/>
    </xf>
    <xf numFmtId="1" fontId="3" fillId="4" borderId="527" xfId="0" applyNumberFormat="1" applyFont="1" applyFill="1" applyBorder="1" applyAlignment="1" applyProtection="1">
      <alignment horizontal="right"/>
      <protection locked="0"/>
    </xf>
    <xf numFmtId="1" fontId="3" fillId="4" borderId="528" xfId="0" applyNumberFormat="1" applyFont="1" applyFill="1" applyBorder="1" applyAlignment="1" applyProtection="1">
      <alignment horizontal="right"/>
      <protection locked="0"/>
    </xf>
    <xf numFmtId="1" fontId="6" fillId="5" borderId="0" xfId="0" applyNumberFormat="1" applyFont="1" applyFill="1" applyAlignment="1">
      <alignment vertical="center"/>
    </xf>
    <xf numFmtId="1" fontId="7" fillId="0" borderId="0" xfId="0" applyNumberFormat="1" applyFont="1"/>
    <xf numFmtId="1" fontId="7" fillId="15" borderId="0" xfId="0" applyNumberFormat="1" applyFont="1" applyFill="1"/>
    <xf numFmtId="1" fontId="3" fillId="0" borderId="517" xfId="0" applyNumberFormat="1" applyFont="1" applyBorder="1" applyAlignment="1">
      <alignment horizontal="left" vertical="center" wrapText="1"/>
    </xf>
    <xf numFmtId="1" fontId="3" fillId="0" borderId="510" xfId="0" applyNumberFormat="1" applyFont="1" applyBorder="1" applyAlignment="1">
      <alignment horizontal="left" vertical="center" wrapText="1"/>
    </xf>
    <xf numFmtId="1" fontId="3" fillId="0" borderId="320" xfId="0" applyNumberFormat="1" applyFont="1" applyBorder="1" applyAlignment="1">
      <alignment horizontal="right" wrapText="1"/>
    </xf>
    <xf numFmtId="1" fontId="3" fillId="0" borderId="280" xfId="0" applyNumberFormat="1" applyFont="1" applyBorder="1" applyAlignment="1">
      <alignment horizontal="right" wrapText="1"/>
    </xf>
    <xf numFmtId="1" fontId="3" fillId="4" borderId="340" xfId="0" applyNumberFormat="1" applyFont="1" applyFill="1" applyBorder="1" applyAlignment="1" applyProtection="1">
      <alignment horizontal="right"/>
      <protection locked="0"/>
    </xf>
    <xf numFmtId="1" fontId="3" fillId="4" borderId="342" xfId="0" applyNumberFormat="1" applyFont="1" applyFill="1" applyBorder="1" applyAlignment="1" applyProtection="1">
      <alignment horizontal="right"/>
      <protection locked="0"/>
    </xf>
    <xf numFmtId="1" fontId="3" fillId="0" borderId="360" xfId="0" applyNumberFormat="1" applyFont="1" applyBorder="1" applyAlignment="1">
      <alignment horizontal="right" wrapText="1"/>
    </xf>
    <xf numFmtId="1" fontId="3" fillId="4" borderId="369" xfId="0" applyNumberFormat="1" applyFont="1" applyFill="1" applyBorder="1" applyAlignment="1" applyProtection="1">
      <alignment horizontal="right"/>
      <protection locked="0"/>
    </xf>
    <xf numFmtId="1" fontId="3" fillId="4" borderId="529" xfId="0" applyNumberFormat="1" applyFont="1" applyFill="1" applyBorder="1" applyAlignment="1" applyProtection="1">
      <alignment horizontal="right"/>
      <protection locked="0"/>
    </xf>
    <xf numFmtId="1" fontId="3" fillId="4" borderId="383" xfId="0" applyNumberFormat="1" applyFont="1" applyFill="1" applyBorder="1" applyAlignment="1" applyProtection="1">
      <alignment horizontal="right"/>
      <protection locked="0"/>
    </xf>
    <xf numFmtId="1" fontId="3" fillId="0" borderId="237" xfId="0" applyNumberFormat="1" applyFont="1" applyBorder="1" applyAlignment="1">
      <alignment horizontal="left" vertical="center" wrapText="1"/>
    </xf>
    <xf numFmtId="1" fontId="3" fillId="5" borderId="237" xfId="0" applyNumberFormat="1" applyFont="1" applyFill="1" applyBorder="1" applyAlignment="1">
      <alignment horizontal="left" vertical="center" wrapText="1"/>
    </xf>
    <xf numFmtId="1" fontId="3" fillId="5" borderId="276" xfId="0" applyNumberFormat="1" applyFont="1" applyFill="1" applyBorder="1" applyAlignment="1">
      <alignment horizontal="right" wrapText="1"/>
    </xf>
    <xf numFmtId="1" fontId="3" fillId="5" borderId="280" xfId="0" applyNumberFormat="1" applyFont="1" applyFill="1" applyBorder="1" applyAlignment="1">
      <alignment horizontal="right" wrapText="1"/>
    </xf>
    <xf numFmtId="1" fontId="3" fillId="4" borderId="394" xfId="0" applyNumberFormat="1" applyFont="1" applyFill="1" applyBorder="1" applyAlignment="1" applyProtection="1">
      <alignment horizontal="right"/>
      <protection locked="0"/>
    </xf>
    <xf numFmtId="0" fontId="3" fillId="0" borderId="331" xfId="0" applyFont="1" applyBorder="1"/>
    <xf numFmtId="0" fontId="3" fillId="0" borderId="406" xfId="0" applyFont="1" applyBorder="1"/>
    <xf numFmtId="1" fontId="2" fillId="0" borderId="520" xfId="0" applyNumberFormat="1" applyFont="1" applyBorder="1"/>
    <xf numFmtId="1" fontId="27" fillId="0" borderId="520" xfId="0" applyNumberFormat="1" applyFont="1" applyBorder="1"/>
    <xf numFmtId="1" fontId="3" fillId="0" borderId="531" xfId="0" applyNumberFormat="1" applyFont="1" applyBorder="1" applyAlignment="1">
      <alignment horizontal="center" vertical="center" wrapText="1"/>
    </xf>
    <xf numFmtId="1" fontId="3" fillId="0" borderId="532" xfId="0" applyNumberFormat="1" applyFont="1" applyBorder="1" applyAlignment="1">
      <alignment horizontal="center" vertical="center" wrapText="1"/>
    </xf>
    <xf numFmtId="1" fontId="3" fillId="0" borderId="533" xfId="0" applyNumberFormat="1" applyFont="1" applyBorder="1" applyAlignment="1">
      <alignment horizontal="center" vertical="center" wrapText="1"/>
    </xf>
    <xf numFmtId="1" fontId="3" fillId="0" borderId="529" xfId="0" applyNumberFormat="1" applyFont="1" applyBorder="1" applyAlignment="1">
      <alignment vertical="center" wrapText="1"/>
    </xf>
    <xf numFmtId="1" fontId="3" fillId="0" borderId="534" xfId="0" applyNumberFormat="1" applyFont="1" applyBorder="1" applyAlignment="1">
      <alignment vertical="center" wrapText="1"/>
    </xf>
    <xf numFmtId="1" fontId="3" fillId="0" borderId="535" xfId="0" applyNumberFormat="1" applyFont="1" applyBorder="1" applyAlignment="1">
      <alignment vertical="center" wrapText="1"/>
    </xf>
    <xf numFmtId="1" fontId="3" fillId="0" borderId="513" xfId="0" applyNumberFormat="1" applyFont="1" applyBorder="1"/>
    <xf numFmtId="1" fontId="3" fillId="0" borderId="295" xfId="0" applyNumberFormat="1" applyFont="1" applyBorder="1" applyAlignment="1">
      <alignment vertical="center" wrapText="1"/>
    </xf>
    <xf numFmtId="1" fontId="3" fillId="0" borderId="22" xfId="0" applyNumberFormat="1" applyFont="1" applyBorder="1" applyAlignment="1">
      <alignment vertical="center" wrapText="1"/>
    </xf>
    <xf numFmtId="1" fontId="3" fillId="0" borderId="400" xfId="0" applyNumberFormat="1" applyFont="1" applyBorder="1" applyAlignment="1">
      <alignment vertical="center" wrapText="1"/>
    </xf>
    <xf numFmtId="1" fontId="3" fillId="0" borderId="333" xfId="0" applyNumberFormat="1" applyFont="1" applyBorder="1" applyAlignment="1">
      <alignment vertical="center" wrapText="1"/>
    </xf>
    <xf numFmtId="1" fontId="3" fillId="0" borderId="490" xfId="0" applyNumberFormat="1" applyFont="1" applyBorder="1" applyAlignment="1">
      <alignment vertical="center" wrapText="1"/>
    </xf>
    <xf numFmtId="1" fontId="3" fillId="0" borderId="536" xfId="0" applyNumberFormat="1" applyFont="1" applyBorder="1" applyAlignment="1">
      <alignment vertical="center" wrapText="1"/>
    </xf>
    <xf numFmtId="1" fontId="3" fillId="0" borderId="503" xfId="0" applyNumberFormat="1" applyFont="1" applyBorder="1" applyAlignment="1">
      <alignment vertical="center" wrapText="1"/>
    </xf>
    <xf numFmtId="1" fontId="3" fillId="0" borderId="491" xfId="0" applyNumberFormat="1" applyFont="1" applyBorder="1"/>
    <xf numFmtId="1" fontId="3" fillId="4" borderId="490" xfId="0" applyNumberFormat="1" applyFont="1" applyFill="1" applyBorder="1" applyAlignment="1" applyProtection="1">
      <alignment horizontal="right"/>
      <protection locked="0"/>
    </xf>
    <xf numFmtId="1" fontId="3" fillId="4" borderId="263" xfId="0" applyNumberFormat="1" applyFont="1" applyFill="1" applyBorder="1" applyAlignment="1" applyProtection="1">
      <alignment horizontal="right"/>
      <protection locked="0"/>
    </xf>
    <xf numFmtId="1" fontId="3" fillId="0" borderId="519" xfId="0" applyNumberFormat="1" applyFont="1" applyBorder="1" applyAlignment="1">
      <alignment vertical="center" wrapText="1"/>
    </xf>
    <xf numFmtId="1" fontId="3" fillId="0" borderId="537" xfId="0" applyNumberFormat="1" applyFont="1" applyBorder="1" applyAlignment="1">
      <alignment horizontal="right" wrapText="1"/>
    </xf>
    <xf numFmtId="1" fontId="3" fillId="0" borderId="538" xfId="0" applyNumberFormat="1" applyFont="1" applyBorder="1" applyAlignment="1">
      <alignment horizontal="right" wrapText="1"/>
    </xf>
    <xf numFmtId="1" fontId="3" fillId="0" borderId="539" xfId="0" applyNumberFormat="1" applyFont="1" applyBorder="1"/>
    <xf numFmtId="1" fontId="3" fillId="0" borderId="524" xfId="0" applyNumberFormat="1" applyFont="1" applyBorder="1"/>
    <xf numFmtId="1" fontId="3" fillId="0" borderId="519" xfId="0" applyNumberFormat="1" applyFont="1" applyBorder="1"/>
    <xf numFmtId="1" fontId="3" fillId="0" borderId="527" xfId="0" applyNumberFormat="1" applyFont="1" applyBorder="1"/>
    <xf numFmtId="1" fontId="3" fillId="0" borderId="540" xfId="0" applyNumberFormat="1" applyFont="1" applyBorder="1"/>
    <xf numFmtId="1" fontId="3" fillId="0" borderId="526" xfId="0" applyNumberFormat="1" applyFont="1" applyBorder="1"/>
    <xf numFmtId="1" fontId="3" fillId="0" borderId="295" xfId="0" applyNumberFormat="1" applyFont="1" applyBorder="1" applyAlignment="1">
      <alignment horizontal="right"/>
    </xf>
    <xf numFmtId="1" fontId="3" fillId="0" borderId="400" xfId="0" applyNumberFormat="1" applyFont="1" applyBorder="1" applyAlignment="1">
      <alignment horizontal="right" wrapText="1"/>
    </xf>
    <xf numFmtId="1" fontId="3" fillId="0" borderId="421" xfId="0" applyNumberFormat="1" applyFont="1" applyBorder="1" applyAlignment="1">
      <alignment vertical="center" wrapText="1"/>
    </xf>
    <xf numFmtId="1" fontId="3" fillId="0" borderId="541" xfId="0" applyNumberFormat="1" applyFont="1" applyBorder="1" applyAlignment="1">
      <alignment horizontal="right" wrapText="1"/>
    </xf>
    <xf numFmtId="1" fontId="3" fillId="0" borderId="542" xfId="0" applyNumberFormat="1" applyFont="1" applyBorder="1" applyAlignment="1">
      <alignment horizontal="center" vertical="center" wrapText="1"/>
    </xf>
    <xf numFmtId="1" fontId="3" fillId="0" borderId="544" xfId="0" applyNumberFormat="1" applyFont="1" applyBorder="1" applyAlignment="1">
      <alignment horizontal="center" vertical="center" wrapText="1"/>
    </xf>
    <xf numFmtId="1" fontId="3" fillId="0" borderId="510" xfId="0" applyNumberFormat="1" applyFont="1" applyBorder="1" applyAlignment="1">
      <alignment horizontal="right" wrapText="1"/>
    </xf>
    <xf numFmtId="1" fontId="3" fillId="6" borderId="415" xfId="0" applyNumberFormat="1" applyFont="1" applyFill="1" applyBorder="1" applyAlignment="1">
      <alignment horizontal="right"/>
    </xf>
    <xf numFmtId="1" fontId="3" fillId="4" borderId="535" xfId="0" applyNumberFormat="1" applyFont="1" applyFill="1" applyBorder="1" applyAlignment="1" applyProtection="1">
      <alignment horizontal="right"/>
      <protection locked="0"/>
    </xf>
    <xf numFmtId="1" fontId="3" fillId="0" borderId="232" xfId="0" applyNumberFormat="1" applyFont="1" applyBorder="1" applyAlignment="1">
      <alignment horizontal="left" wrapText="1"/>
    </xf>
    <xf numFmtId="1" fontId="3" fillId="0" borderId="331" xfId="0" applyNumberFormat="1" applyFont="1" applyBorder="1" applyAlignment="1">
      <alignment horizontal="right" wrapText="1"/>
    </xf>
    <xf numFmtId="1" fontId="3" fillId="6" borderId="276" xfId="0" applyNumberFormat="1" applyFont="1" applyFill="1" applyBorder="1" applyAlignment="1">
      <alignment horizontal="right"/>
    </xf>
    <xf numFmtId="1" fontId="3" fillId="6" borderId="280" xfId="0" applyNumberFormat="1" applyFont="1" applyFill="1" applyBorder="1" applyAlignment="1">
      <alignment horizontal="right"/>
    </xf>
    <xf numFmtId="1" fontId="3" fillId="9" borderId="280" xfId="32" applyNumberFormat="1" applyFont="1" applyBorder="1" applyAlignment="1" applyProtection="1">
      <alignment horizontal="right"/>
      <protection locked="0"/>
    </xf>
    <xf numFmtId="1" fontId="3" fillId="0" borderId="406" xfId="0" applyNumberFormat="1" applyFont="1" applyBorder="1" applyAlignment="1">
      <alignment horizontal="right" wrapText="1"/>
    </xf>
    <xf numFmtId="1" fontId="3" fillId="9" borderId="360" xfId="32" applyNumberFormat="1" applyFont="1" applyBorder="1" applyAlignment="1" applyProtection="1">
      <alignment horizontal="right"/>
      <protection locked="0"/>
    </xf>
    <xf numFmtId="1" fontId="3" fillId="9" borderId="321" xfId="32" applyNumberFormat="1" applyFont="1" applyBorder="1" applyAlignment="1" applyProtection="1">
      <alignment horizontal="right"/>
      <protection locked="0"/>
    </xf>
    <xf numFmtId="1" fontId="3" fillId="9" borderId="256" xfId="32" applyNumberFormat="1" applyFont="1" applyBorder="1" applyAlignment="1" applyProtection="1">
      <alignment horizontal="right"/>
      <protection locked="0"/>
    </xf>
    <xf numFmtId="1" fontId="3" fillId="8" borderId="256" xfId="0" applyNumberFormat="1" applyFont="1" applyFill="1" applyBorder="1" applyAlignment="1" applyProtection="1">
      <alignment horizontal="right"/>
      <protection locked="0"/>
    </xf>
    <xf numFmtId="1" fontId="3" fillId="5" borderId="0" xfId="0" applyNumberFormat="1" applyFont="1" applyFill="1" applyProtection="1">
      <protection locked="0"/>
    </xf>
    <xf numFmtId="1" fontId="3" fillId="0" borderId="537" xfId="0" applyNumberFormat="1" applyFont="1" applyBorder="1" applyAlignment="1">
      <alignment horizontal="center" vertical="center" wrapText="1"/>
    </xf>
    <xf numFmtId="1" fontId="3" fillId="0" borderId="295" xfId="0" applyNumberFormat="1" applyFont="1" applyBorder="1" applyAlignment="1">
      <alignment horizontal="right" wrapText="1"/>
    </xf>
    <xf numFmtId="1" fontId="3" fillId="5" borderId="22" xfId="0" applyNumberFormat="1" applyFont="1" applyFill="1" applyBorder="1"/>
    <xf numFmtId="1" fontId="3" fillId="5" borderId="134" xfId="0" applyNumberFormat="1" applyFont="1" applyFill="1" applyBorder="1"/>
    <xf numFmtId="1" fontId="3" fillId="0" borderId="338" xfId="0" applyNumberFormat="1" applyFont="1" applyBorder="1" applyAlignment="1">
      <alignment vertical="center" wrapText="1"/>
    </xf>
    <xf numFmtId="1" fontId="3" fillId="5" borderId="333" xfId="0" applyNumberFormat="1" applyFont="1" applyFill="1" applyBorder="1"/>
    <xf numFmtId="1" fontId="3" fillId="5" borderId="336" xfId="0" applyNumberFormat="1" applyFont="1" applyFill="1" applyBorder="1"/>
    <xf numFmtId="1" fontId="3" fillId="4" borderId="332" xfId="0" applyNumberFormat="1" applyFont="1" applyFill="1" applyBorder="1" applyAlignment="1" applyProtection="1">
      <alignment horizontal="right"/>
      <protection locked="0"/>
    </xf>
    <xf numFmtId="1" fontId="3" fillId="5" borderId="404" xfId="0" applyNumberFormat="1" applyFont="1" applyFill="1" applyBorder="1"/>
    <xf numFmtId="1" fontId="3" fillId="5" borderId="354" xfId="0" applyNumberFormat="1" applyFont="1" applyFill="1" applyBorder="1"/>
    <xf numFmtId="1" fontId="27" fillId="5" borderId="0" xfId="0" applyNumberFormat="1" applyFont="1" applyFill="1"/>
    <xf numFmtId="1" fontId="3" fillId="0" borderId="545" xfId="0" applyNumberFormat="1" applyFont="1" applyBorder="1"/>
    <xf numFmtId="1" fontId="3" fillId="0" borderId="519" xfId="0" applyNumberFormat="1" applyFont="1" applyBorder="1" applyAlignment="1">
      <alignment horizontal="center" vertical="center" wrapText="1"/>
    </xf>
    <xf numFmtId="1" fontId="3" fillId="0" borderId="545" xfId="0" applyNumberFormat="1" applyFont="1" applyBorder="1" applyAlignment="1">
      <alignment horizontal="center" vertical="center" wrapText="1"/>
    </xf>
    <xf numFmtId="1" fontId="3" fillId="0" borderId="524" xfId="0" applyNumberFormat="1" applyFont="1" applyBorder="1" applyAlignment="1">
      <alignment horizontal="center" vertical="center" wrapText="1"/>
    </xf>
    <xf numFmtId="1" fontId="3" fillId="0" borderId="529" xfId="0" applyNumberFormat="1" applyFont="1" applyBorder="1" applyAlignment="1">
      <alignment vertical="center"/>
    </xf>
    <xf numFmtId="1" fontId="3" fillId="4" borderId="510" xfId="0" applyNumberFormat="1" applyFont="1" applyFill="1" applyBorder="1" applyAlignment="1" applyProtection="1">
      <alignment horizontal="right"/>
      <protection locked="0"/>
    </xf>
    <xf numFmtId="1" fontId="7" fillId="15" borderId="0" xfId="0" applyNumberFormat="1" applyFont="1" applyFill="1" applyProtection="1">
      <protection locked="0"/>
    </xf>
    <xf numFmtId="1" fontId="7" fillId="0" borderId="0" xfId="0" applyNumberFormat="1" applyFont="1" applyProtection="1">
      <protection locked="0"/>
    </xf>
    <xf numFmtId="1" fontId="7" fillId="23" borderId="0" xfId="0" applyNumberFormat="1" applyFont="1" applyFill="1" applyProtection="1">
      <protection locked="0"/>
    </xf>
    <xf numFmtId="1" fontId="3" fillId="0" borderId="490" xfId="0" applyNumberFormat="1" applyFont="1" applyBorder="1" applyAlignment="1">
      <alignment vertical="center"/>
    </xf>
    <xf numFmtId="1" fontId="3" fillId="4" borderId="370" xfId="0" applyNumberFormat="1" applyFont="1" applyFill="1" applyBorder="1" applyAlignment="1" applyProtection="1">
      <alignment horizontal="right"/>
      <protection locked="0"/>
    </xf>
    <xf numFmtId="1" fontId="3" fillId="0" borderId="510" xfId="0" applyNumberFormat="1" applyFont="1" applyBorder="1" applyAlignment="1">
      <alignment vertical="center" wrapText="1"/>
    </xf>
    <xf numFmtId="1" fontId="3" fillId="0" borderId="406" xfId="0" applyNumberFormat="1" applyFont="1" applyBorder="1" applyAlignment="1">
      <alignment vertical="center" wrapText="1"/>
    </xf>
    <xf numFmtId="1" fontId="3" fillId="4" borderId="384" xfId="0" applyNumberFormat="1" applyFont="1" applyFill="1" applyBorder="1" applyAlignment="1" applyProtection="1">
      <alignment horizontal="right"/>
      <protection locked="0"/>
    </xf>
    <xf numFmtId="1" fontId="3" fillId="4" borderId="368" xfId="0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Alignment="1">
      <alignment wrapText="1"/>
    </xf>
    <xf numFmtId="1" fontId="4" fillId="5" borderId="0" xfId="0" applyNumberFormat="1" applyFont="1" applyFill="1" applyAlignment="1">
      <alignment wrapText="1"/>
    </xf>
    <xf numFmtId="1" fontId="3" fillId="0" borderId="538" xfId="0" applyNumberFormat="1" applyFont="1" applyBorder="1"/>
    <xf numFmtId="1" fontId="3" fillId="0" borderId="511" xfId="0" applyNumberFormat="1" applyFont="1" applyBorder="1"/>
    <xf numFmtId="1" fontId="3" fillId="0" borderId="535" xfId="0" applyNumberFormat="1" applyFont="1" applyBorder="1"/>
    <xf numFmtId="1" fontId="3" fillId="0" borderId="22" xfId="0" applyNumberFormat="1" applyFont="1" applyBorder="1"/>
    <xf numFmtId="1" fontId="47" fillId="0" borderId="0" xfId="0" applyNumberFormat="1" applyFont="1"/>
    <xf numFmtId="1" fontId="3" fillId="0" borderId="292" xfId="0" applyNumberFormat="1" applyFont="1" applyBorder="1" applyAlignment="1">
      <alignment horizontal="center" vertical="center" wrapText="1"/>
    </xf>
    <xf numFmtId="1" fontId="3" fillId="0" borderId="291" xfId="0" applyNumberFormat="1" applyFont="1" applyBorder="1" applyAlignment="1">
      <alignment horizontal="center" vertical="center" wrapText="1"/>
    </xf>
    <xf numFmtId="1" fontId="3" fillId="0" borderId="290" xfId="0" applyNumberFormat="1" applyFont="1" applyBorder="1" applyAlignment="1">
      <alignment horizontal="center" vertical="center" wrapText="1"/>
    </xf>
    <xf numFmtId="1" fontId="3" fillId="0" borderId="297" xfId="0" applyNumberFormat="1" applyFont="1" applyBorder="1" applyAlignment="1">
      <alignment horizontal="center" vertical="center" wrapText="1"/>
    </xf>
    <xf numFmtId="1" fontId="3" fillId="0" borderId="534" xfId="0" applyNumberFormat="1" applyFont="1" applyBorder="1" applyAlignment="1">
      <alignment horizontal="right"/>
    </xf>
    <xf numFmtId="1" fontId="3" fillId="0" borderId="535" xfId="0" applyNumberFormat="1" applyFont="1" applyBorder="1" applyAlignment="1">
      <alignment horizontal="right"/>
    </xf>
    <xf numFmtId="1" fontId="3" fillId="6" borderId="511" xfId="0" applyNumberFormat="1" applyFont="1" applyFill="1" applyBorder="1" applyAlignment="1">
      <alignment horizontal="right"/>
    </xf>
    <xf numFmtId="1" fontId="3" fillId="6" borderId="547" xfId="0" applyNumberFormat="1" applyFont="1" applyFill="1" applyBorder="1" applyAlignment="1">
      <alignment horizontal="right"/>
    </xf>
    <xf numFmtId="1" fontId="3" fillId="6" borderId="301" xfId="0" applyNumberFormat="1" applyFont="1" applyFill="1" applyBorder="1" applyAlignment="1">
      <alignment horizontal="right"/>
    </xf>
    <xf numFmtId="1" fontId="3" fillId="6" borderId="175" xfId="0" applyNumberFormat="1" applyFont="1" applyFill="1" applyBorder="1" applyAlignment="1">
      <alignment horizontal="right"/>
    </xf>
    <xf numFmtId="1" fontId="3" fillId="0" borderId="400" xfId="0" applyNumberFormat="1" applyFont="1" applyBorder="1" applyAlignment="1">
      <alignment horizontal="right"/>
    </xf>
    <xf numFmtId="1" fontId="3" fillId="0" borderId="333" xfId="0" applyNumberFormat="1" applyFont="1" applyBorder="1" applyAlignment="1">
      <alignment horizontal="right"/>
    </xf>
    <xf numFmtId="1" fontId="3" fillId="6" borderId="341" xfId="0" applyNumberFormat="1" applyFont="1" applyFill="1" applyBorder="1" applyAlignment="1">
      <alignment horizontal="right"/>
    </xf>
    <xf numFmtId="1" fontId="3" fillId="6" borderId="338" xfId="0" applyNumberFormat="1" applyFont="1" applyFill="1" applyBorder="1" applyAlignment="1">
      <alignment horizontal="right"/>
    </xf>
    <xf numFmtId="1" fontId="3" fillId="6" borderId="334" xfId="0" applyNumberFormat="1" applyFont="1" applyFill="1" applyBorder="1" applyAlignment="1">
      <alignment horizontal="right"/>
    </xf>
    <xf numFmtId="1" fontId="3" fillId="6" borderId="344" xfId="0" applyNumberFormat="1" applyFont="1" applyFill="1" applyBorder="1" applyAlignment="1">
      <alignment horizontal="right"/>
    </xf>
    <xf numFmtId="1" fontId="3" fillId="6" borderId="401" xfId="0" applyNumberFormat="1" applyFont="1" applyFill="1" applyBorder="1" applyAlignment="1">
      <alignment horizontal="right"/>
    </xf>
    <xf numFmtId="1" fontId="3" fillId="6" borderId="204" xfId="0" applyNumberFormat="1" applyFont="1" applyFill="1" applyBorder="1" applyAlignment="1">
      <alignment horizontal="right"/>
    </xf>
    <xf numFmtId="1" fontId="3" fillId="6" borderId="5" xfId="0" applyNumberFormat="1" applyFont="1" applyFill="1" applyBorder="1" applyAlignment="1">
      <alignment horizontal="right"/>
    </xf>
    <xf numFmtId="1" fontId="3" fillId="6" borderId="361" xfId="0" applyNumberFormat="1" applyFont="1" applyFill="1" applyBorder="1" applyAlignment="1">
      <alignment horizontal="right"/>
    </xf>
    <xf numFmtId="1" fontId="3" fillId="6" borderId="340" xfId="0" applyNumberFormat="1" applyFont="1" applyFill="1" applyBorder="1" applyAlignment="1">
      <alignment horizontal="right"/>
    </xf>
    <xf numFmtId="1" fontId="3" fillId="6" borderId="342" xfId="0" applyNumberFormat="1" applyFont="1" applyFill="1" applyBorder="1" applyAlignment="1">
      <alignment horizontal="right"/>
    </xf>
    <xf numFmtId="1" fontId="3" fillId="4" borderId="286" xfId="0" applyNumberFormat="1" applyFont="1" applyFill="1" applyBorder="1" applyAlignment="1" applyProtection="1">
      <alignment horizontal="right"/>
      <protection locked="0"/>
    </xf>
    <xf numFmtId="1" fontId="3" fillId="0" borderId="233" xfId="0" applyNumberFormat="1" applyFont="1" applyBorder="1" applyAlignment="1">
      <alignment horizontal="right"/>
    </xf>
    <xf numFmtId="1" fontId="3" fillId="6" borderId="336" xfId="0" applyNumberFormat="1" applyFont="1" applyFill="1" applyBorder="1" applyAlignment="1">
      <alignment horizontal="right"/>
    </xf>
    <xf numFmtId="1" fontId="3" fillId="6" borderId="332" xfId="0" applyNumberFormat="1" applyFont="1" applyFill="1" applyBorder="1" applyAlignment="1">
      <alignment horizontal="right"/>
    </xf>
    <xf numFmtId="1" fontId="3" fillId="4" borderId="401" xfId="0" applyNumberFormat="1" applyFont="1" applyFill="1" applyBorder="1" applyAlignment="1" applyProtection="1">
      <alignment horizontal="right"/>
      <protection locked="0"/>
    </xf>
    <xf numFmtId="1" fontId="3" fillId="6" borderId="9" xfId="0" applyNumberFormat="1" applyFont="1" applyFill="1" applyBorder="1" applyAlignment="1">
      <alignment horizontal="right"/>
    </xf>
    <xf numFmtId="1" fontId="3" fillId="6" borderId="321" xfId="0" applyNumberFormat="1" applyFont="1" applyFill="1" applyBorder="1" applyAlignment="1">
      <alignment horizontal="right"/>
    </xf>
    <xf numFmtId="1" fontId="3" fillId="6" borderId="0" xfId="0" applyNumberFormat="1" applyFont="1" applyFill="1" applyAlignment="1">
      <alignment horizontal="right"/>
    </xf>
    <xf numFmtId="1" fontId="3" fillId="0" borderId="522" xfId="0" applyNumberFormat="1" applyFont="1" applyBorder="1" applyAlignment="1">
      <alignment vertical="center" wrapText="1"/>
    </xf>
    <xf numFmtId="1" fontId="3" fillId="0" borderId="531" xfId="0" applyNumberFormat="1" applyFont="1" applyBorder="1" applyAlignment="1">
      <alignment horizontal="right" wrapText="1"/>
    </xf>
    <xf numFmtId="1" fontId="3" fillId="0" borderId="543" xfId="0" applyNumberFormat="1" applyFont="1" applyBorder="1" applyAlignment="1">
      <alignment horizontal="right" wrapText="1"/>
    </xf>
    <xf numFmtId="1" fontId="3" fillId="8" borderId="547" xfId="0" applyNumberFormat="1" applyFont="1" applyFill="1" applyBorder="1" applyAlignment="1" applyProtection="1">
      <alignment horizontal="right"/>
      <protection locked="0"/>
    </xf>
    <xf numFmtId="1" fontId="3" fillId="4" borderId="551" xfId="0" applyNumberFormat="1" applyFont="1" applyFill="1" applyBorder="1" applyAlignment="1" applyProtection="1">
      <alignment horizontal="right"/>
      <protection locked="0"/>
    </xf>
    <xf numFmtId="1" fontId="3" fillId="0" borderId="341" xfId="0" applyNumberFormat="1" applyFont="1" applyBorder="1" applyAlignment="1">
      <alignment vertical="center" wrapText="1"/>
    </xf>
    <xf numFmtId="1" fontId="3" fillId="0" borderId="293" xfId="0" applyNumberFormat="1" applyFont="1" applyBorder="1" applyAlignment="1">
      <alignment horizontal="right" wrapText="1"/>
    </xf>
    <xf numFmtId="1" fontId="3" fillId="0" borderId="552" xfId="0" applyNumberFormat="1" applyFont="1" applyBorder="1" applyAlignment="1">
      <alignment vertical="center" wrapText="1"/>
    </xf>
    <xf numFmtId="1" fontId="3" fillId="0" borderId="553" xfId="0" applyNumberFormat="1" applyFont="1" applyBorder="1" applyAlignment="1">
      <alignment horizontal="right" wrapText="1"/>
    </xf>
    <xf numFmtId="1" fontId="3" fillId="0" borderId="554" xfId="0" applyNumberFormat="1" applyFont="1" applyBorder="1" applyAlignment="1">
      <alignment horizontal="right" wrapText="1"/>
    </xf>
    <xf numFmtId="1" fontId="3" fillId="0" borderId="555" xfId="0" applyNumberFormat="1" applyFont="1" applyBorder="1" applyAlignment="1">
      <alignment horizontal="right" wrapText="1"/>
    </xf>
    <xf numFmtId="1" fontId="3" fillId="4" borderId="552" xfId="0" applyNumberFormat="1" applyFont="1" applyFill="1" applyBorder="1" applyAlignment="1" applyProtection="1">
      <alignment horizontal="right"/>
      <protection locked="0"/>
    </xf>
    <xf numFmtId="1" fontId="3" fillId="4" borderId="556" xfId="0" applyNumberFormat="1" applyFont="1" applyFill="1" applyBorder="1" applyAlignment="1" applyProtection="1">
      <alignment horizontal="right"/>
      <protection locked="0"/>
    </xf>
    <xf numFmtId="1" fontId="3" fillId="4" borderId="555" xfId="0" applyNumberFormat="1" applyFont="1" applyFill="1" applyBorder="1" applyAlignment="1" applyProtection="1">
      <alignment horizontal="right"/>
      <protection locked="0"/>
    </xf>
    <xf numFmtId="1" fontId="3" fillId="4" borderId="557" xfId="0" applyNumberFormat="1" applyFont="1" applyFill="1" applyBorder="1" applyAlignment="1" applyProtection="1">
      <alignment horizontal="right"/>
      <protection locked="0"/>
    </xf>
    <xf numFmtId="1" fontId="3" fillId="4" borderId="558" xfId="0" applyNumberFormat="1" applyFont="1" applyFill="1" applyBorder="1" applyAlignment="1" applyProtection="1">
      <alignment horizontal="right"/>
      <protection locked="0"/>
    </xf>
    <xf numFmtId="1" fontId="3" fillId="4" borderId="349" xfId="0" applyNumberFormat="1" applyFont="1" applyFill="1" applyBorder="1" applyAlignment="1" applyProtection="1">
      <alignment horizontal="right"/>
      <protection locked="0"/>
    </xf>
    <xf numFmtId="1" fontId="27" fillId="0" borderId="498" xfId="0" applyNumberFormat="1" applyFont="1" applyBorder="1"/>
    <xf numFmtId="1" fontId="4" fillId="0" borderId="498" xfId="0" applyNumberFormat="1" applyFont="1" applyBorder="1" applyAlignment="1">
      <alignment wrapText="1"/>
    </xf>
    <xf numFmtId="1" fontId="4" fillId="3" borderId="559" xfId="0" applyNumberFormat="1" applyFont="1" applyFill="1" applyBorder="1" applyAlignment="1">
      <alignment wrapText="1"/>
    </xf>
    <xf numFmtId="1" fontId="4" fillId="0" borderId="560" xfId="0" applyNumberFormat="1" applyFont="1" applyBorder="1" applyAlignment="1">
      <alignment wrapText="1"/>
    </xf>
    <xf numFmtId="1" fontId="4" fillId="0" borderId="559" xfId="0" applyNumberFormat="1" applyFont="1" applyBorder="1" applyAlignment="1">
      <alignment wrapText="1"/>
    </xf>
    <xf numFmtId="1" fontId="3" fillId="0" borderId="559" xfId="0" applyNumberFormat="1" applyFont="1" applyBorder="1" applyAlignment="1">
      <alignment wrapText="1"/>
    </xf>
    <xf numFmtId="1" fontId="3" fillId="0" borderId="561" xfId="0" applyNumberFormat="1" applyFont="1" applyBorder="1" applyAlignment="1">
      <alignment wrapText="1"/>
    </xf>
    <xf numFmtId="1" fontId="3" fillId="0" borderId="560" xfId="0" applyNumberFormat="1" applyFont="1" applyBorder="1" applyAlignment="1">
      <alignment wrapText="1"/>
    </xf>
    <xf numFmtId="1" fontId="3" fillId="5" borderId="559" xfId="0" applyNumberFormat="1" applyFont="1" applyFill="1" applyBorder="1" applyAlignment="1">
      <alignment wrapText="1"/>
    </xf>
    <xf numFmtId="1" fontId="3" fillId="5" borderId="498" xfId="0" applyNumberFormat="1" applyFont="1" applyFill="1" applyBorder="1" applyAlignment="1">
      <alignment wrapText="1"/>
    </xf>
    <xf numFmtId="1" fontId="3" fillId="0" borderId="542" xfId="0" applyNumberFormat="1" applyFont="1" applyBorder="1" applyAlignment="1">
      <alignment horizontal="center" vertical="center"/>
    </xf>
    <xf numFmtId="1" fontId="3" fillId="5" borderId="542" xfId="0" applyNumberFormat="1" applyFont="1" applyFill="1" applyBorder="1" applyAlignment="1">
      <alignment horizontal="center" vertical="center" wrapText="1"/>
    </xf>
    <xf numFmtId="1" fontId="3" fillId="0" borderId="538" xfId="0" applyNumberFormat="1" applyFont="1" applyBorder="1" applyAlignment="1">
      <alignment horizontal="center" vertical="center" wrapText="1"/>
    </xf>
    <xf numFmtId="1" fontId="3" fillId="0" borderId="526" xfId="0" applyNumberFormat="1" applyFont="1" applyBorder="1" applyAlignment="1">
      <alignment horizontal="center" vertical="center" wrapText="1"/>
    </xf>
    <xf numFmtId="1" fontId="3" fillId="5" borderId="539" xfId="0" applyNumberFormat="1" applyFont="1" applyFill="1" applyBorder="1" applyAlignment="1">
      <alignment horizontal="center" vertical="center" wrapText="1"/>
    </xf>
    <xf numFmtId="1" fontId="3" fillId="5" borderId="491" xfId="0" applyNumberFormat="1" applyFont="1" applyFill="1" applyBorder="1" applyAlignment="1">
      <alignment horizontal="center" vertical="center" wrapText="1"/>
    </xf>
    <xf numFmtId="1" fontId="3" fillId="0" borderId="510" xfId="0" applyNumberFormat="1" applyFont="1" applyBorder="1"/>
    <xf numFmtId="1" fontId="3" fillId="0" borderId="563" xfId="0" applyNumberFormat="1" applyFont="1" applyBorder="1"/>
    <xf numFmtId="1" fontId="3" fillId="4" borderId="547" xfId="0" applyNumberFormat="1" applyFont="1" applyFill="1" applyBorder="1" applyAlignment="1" applyProtection="1">
      <alignment horizontal="right"/>
      <protection locked="0"/>
    </xf>
    <xf numFmtId="1" fontId="3" fillId="8" borderId="564" xfId="0" applyNumberFormat="1" applyFont="1" applyFill="1" applyBorder="1" applyAlignment="1" applyProtection="1">
      <alignment horizontal="right"/>
      <protection locked="0"/>
    </xf>
    <xf numFmtId="1" fontId="3" fillId="8" borderId="563" xfId="0" applyNumberFormat="1" applyFont="1" applyFill="1" applyBorder="1" applyAlignment="1" applyProtection="1">
      <alignment horizontal="right"/>
      <protection locked="0"/>
    </xf>
    <xf numFmtId="1" fontId="7" fillId="48" borderId="0" xfId="0" applyNumberFormat="1" applyFont="1" applyFill="1"/>
    <xf numFmtId="1" fontId="3" fillId="8" borderId="338" xfId="0" applyNumberFormat="1" applyFont="1" applyFill="1" applyBorder="1" applyAlignment="1" applyProtection="1">
      <alignment horizontal="right"/>
      <protection locked="0"/>
    </xf>
    <xf numFmtId="1" fontId="3" fillId="8" borderId="367" xfId="0" applyNumberFormat="1" applyFont="1" applyFill="1" applyBorder="1" applyAlignment="1" applyProtection="1">
      <alignment horizontal="right"/>
      <protection locked="0"/>
    </xf>
    <xf numFmtId="1" fontId="3" fillId="8" borderId="329" xfId="0" applyNumberFormat="1" applyFont="1" applyFill="1" applyBorder="1" applyAlignment="1" applyProtection="1">
      <alignment horizontal="right"/>
      <protection locked="0"/>
    </xf>
    <xf numFmtId="1" fontId="3" fillId="8" borderId="366" xfId="0" applyNumberFormat="1" applyFont="1" applyFill="1" applyBorder="1" applyAlignment="1" applyProtection="1">
      <alignment horizontal="right"/>
      <protection locked="0"/>
    </xf>
    <xf numFmtId="1" fontId="3" fillId="8" borderId="5" xfId="0" applyNumberFormat="1" applyFont="1" applyFill="1" applyBorder="1" applyAlignment="1" applyProtection="1">
      <alignment horizontal="right"/>
      <protection locked="0"/>
    </xf>
    <xf numFmtId="1" fontId="3" fillId="8" borderId="362" xfId="0" applyNumberFormat="1" applyFont="1" applyFill="1" applyBorder="1" applyAlignment="1" applyProtection="1">
      <alignment horizontal="right"/>
      <protection locked="0"/>
    </xf>
    <xf numFmtId="1" fontId="3" fillId="8" borderId="361" xfId="0" applyNumberFormat="1" applyFont="1" applyFill="1" applyBorder="1" applyAlignment="1" applyProtection="1">
      <alignment horizontal="right"/>
      <protection locked="0"/>
    </xf>
    <xf numFmtId="1" fontId="3" fillId="0" borderId="545" xfId="0" applyNumberFormat="1" applyFont="1" applyBorder="1" applyAlignment="1">
      <alignment vertical="center"/>
    </xf>
    <xf numFmtId="1" fontId="3" fillId="0" borderId="538" xfId="0" applyNumberFormat="1" applyFont="1" applyBorder="1" applyAlignment="1">
      <alignment vertical="center"/>
    </xf>
    <xf numFmtId="1" fontId="3" fillId="0" borderId="526" xfId="0" applyNumberFormat="1" applyFont="1" applyBorder="1" applyAlignment="1">
      <alignment vertical="center"/>
    </xf>
    <xf numFmtId="1" fontId="3" fillId="0" borderId="539" xfId="0" applyNumberFormat="1" applyFont="1" applyBorder="1" applyAlignment="1">
      <alignment vertical="center"/>
    </xf>
    <xf numFmtId="1" fontId="3" fillId="0" borderId="524" xfId="0" applyNumberFormat="1" applyFont="1" applyBorder="1" applyAlignment="1">
      <alignment vertical="center"/>
    </xf>
    <xf numFmtId="1" fontId="3" fillId="5" borderId="539" xfId="0" applyNumberFormat="1" applyFont="1" applyFill="1" applyBorder="1" applyAlignment="1">
      <alignment vertical="center"/>
    </xf>
    <xf numFmtId="1" fontId="3" fillId="5" borderId="542" xfId="0" applyNumberFormat="1" applyFont="1" applyFill="1" applyBorder="1" applyAlignment="1">
      <alignment vertical="center"/>
    </xf>
    <xf numFmtId="1" fontId="3" fillId="5" borderId="538" xfId="0" applyNumberFormat="1" applyFont="1" applyFill="1" applyBorder="1" applyAlignment="1">
      <alignment vertical="center"/>
    </xf>
    <xf numFmtId="1" fontId="3" fillId="5" borderId="524" xfId="0" applyNumberFormat="1" applyFont="1" applyFill="1" applyBorder="1" applyAlignment="1">
      <alignment vertical="center"/>
    </xf>
    <xf numFmtId="1" fontId="3" fillId="0" borderId="405" xfId="0" applyNumberFormat="1" applyFont="1" applyBorder="1"/>
    <xf numFmtId="1" fontId="3" fillId="0" borderId="85" xfId="0" applyNumberFormat="1" applyFont="1" applyBorder="1"/>
    <xf numFmtId="1" fontId="3" fillId="8" borderId="0" xfId="0" applyNumberFormat="1" applyFont="1" applyFill="1" applyAlignment="1" applyProtection="1">
      <alignment horizontal="right"/>
      <protection locked="0"/>
    </xf>
    <xf numFmtId="1" fontId="2" fillId="3" borderId="498" xfId="0" applyNumberFormat="1" applyFont="1" applyFill="1" applyBorder="1"/>
    <xf numFmtId="1" fontId="3" fillId="0" borderId="498" xfId="0" applyNumberFormat="1" applyFont="1" applyBorder="1"/>
    <xf numFmtId="1" fontId="3" fillId="3" borderId="0" xfId="0" applyNumberFormat="1" applyFont="1" applyFill="1" applyAlignment="1">
      <alignment wrapText="1"/>
    </xf>
    <xf numFmtId="1" fontId="3" fillId="0" borderId="539" xfId="0" applyNumberFormat="1" applyFont="1" applyBorder="1" applyAlignment="1">
      <alignment horizontal="center" vertical="center" wrapText="1"/>
    </xf>
    <xf numFmtId="1" fontId="3" fillId="0" borderId="543" xfId="0" applyNumberFormat="1" applyFont="1" applyBorder="1" applyAlignment="1">
      <alignment horizontal="center" vertical="center"/>
    </xf>
    <xf numFmtId="1" fontId="3" fillId="5" borderId="538" xfId="0" applyNumberFormat="1" applyFont="1" applyFill="1" applyBorder="1" applyAlignment="1">
      <alignment horizontal="center" vertical="center" wrapText="1"/>
    </xf>
    <xf numFmtId="1" fontId="3" fillId="0" borderId="529" xfId="0" applyNumberFormat="1" applyFont="1" applyBorder="1"/>
    <xf numFmtId="1" fontId="3" fillId="8" borderId="511" xfId="0" applyNumberFormat="1" applyFont="1" applyFill="1" applyBorder="1" applyAlignment="1" applyProtection="1">
      <alignment horizontal="right"/>
      <protection locked="0"/>
    </xf>
    <xf numFmtId="1" fontId="3" fillId="8" borderId="535" xfId="0" applyNumberFormat="1" applyFont="1" applyFill="1" applyBorder="1" applyAlignment="1" applyProtection="1">
      <alignment horizontal="right"/>
      <protection locked="0"/>
    </xf>
    <xf numFmtId="1" fontId="3" fillId="0" borderId="502" xfId="0" applyNumberFormat="1" applyFont="1" applyBorder="1"/>
    <xf numFmtId="1" fontId="3" fillId="0" borderId="503" xfId="0" applyNumberFormat="1" applyFont="1" applyBorder="1"/>
    <xf numFmtId="1" fontId="3" fillId="8" borderId="328" xfId="0" applyNumberFormat="1" applyFont="1" applyFill="1" applyBorder="1" applyAlignment="1" applyProtection="1">
      <alignment horizontal="right"/>
      <protection locked="0"/>
    </xf>
    <xf numFmtId="1" fontId="3" fillId="8" borderId="404" xfId="0" applyNumberFormat="1" applyFont="1" applyFill="1" applyBorder="1" applyAlignment="1" applyProtection="1">
      <alignment horizontal="right"/>
      <protection locked="0"/>
    </xf>
    <xf numFmtId="1" fontId="4" fillId="3" borderId="0" xfId="0" applyNumberFormat="1" applyFont="1" applyFill="1" applyAlignment="1">
      <alignment wrapText="1"/>
    </xf>
    <xf numFmtId="1" fontId="3" fillId="0" borderId="20" xfId="0" applyNumberFormat="1" applyFont="1" applyBorder="1"/>
    <xf numFmtId="1" fontId="3" fillId="4" borderId="87" xfId="0" applyNumberFormat="1" applyFont="1" applyFill="1" applyBorder="1" applyAlignment="1" applyProtection="1">
      <alignment horizontal="right"/>
      <protection locked="0"/>
    </xf>
    <xf numFmtId="1" fontId="3" fillId="4" borderId="405" xfId="0" applyNumberFormat="1" applyFont="1" applyFill="1" applyBorder="1" applyAlignment="1" applyProtection="1">
      <alignment horizontal="right"/>
      <protection locked="0"/>
    </xf>
    <xf numFmtId="1" fontId="3" fillId="0" borderId="340" xfId="0" applyNumberFormat="1" applyFont="1" applyBorder="1" applyAlignment="1">
      <alignment horizontal="left"/>
    </xf>
    <xf numFmtId="1" fontId="45" fillId="0" borderId="0" xfId="0" applyNumberFormat="1" applyFont="1"/>
    <xf numFmtId="1" fontId="3" fillId="0" borderId="524" xfId="0" applyNumberFormat="1" applyFont="1" applyBorder="1" applyAlignment="1">
      <alignment horizontal="center" vertical="center"/>
    </xf>
    <xf numFmtId="1" fontId="3" fillId="0" borderId="302" xfId="0" applyNumberFormat="1" applyFont="1" applyBorder="1" applyAlignment="1">
      <alignment horizontal="right" wrapText="1"/>
    </xf>
    <xf numFmtId="1" fontId="3" fillId="0" borderId="232" xfId="0" applyNumberFormat="1" applyFont="1" applyBorder="1" applyAlignment="1">
      <alignment horizontal="right" wrapText="1"/>
    </xf>
    <xf numFmtId="1" fontId="3" fillId="0" borderId="405" xfId="0" applyNumberFormat="1" applyFont="1" applyBorder="1" applyAlignment="1">
      <alignment horizontal="right" wrapText="1"/>
    </xf>
    <xf numFmtId="1" fontId="3" fillId="0" borderId="20" xfId="0" applyNumberFormat="1" applyFont="1" applyBorder="1" applyAlignment="1">
      <alignment horizontal="right" wrapText="1"/>
    </xf>
    <xf numFmtId="1" fontId="3" fillId="0" borderId="545" xfId="0" applyNumberFormat="1" applyFont="1" applyBorder="1" applyAlignment="1">
      <alignment horizontal="right" wrapText="1"/>
    </xf>
    <xf numFmtId="1" fontId="3" fillId="0" borderId="539" xfId="0" applyNumberFormat="1" applyFont="1" applyBorder="1" applyAlignment="1">
      <alignment horizontal="center" vertical="center"/>
    </xf>
    <xf numFmtId="1" fontId="3" fillId="4" borderId="521" xfId="0" applyNumberFormat="1" applyFont="1" applyFill="1" applyBorder="1" applyAlignment="1" applyProtection="1">
      <alignment horizontal="right"/>
      <protection locked="0"/>
    </xf>
    <xf numFmtId="1" fontId="3" fillId="4" borderId="532" xfId="0" applyNumberFormat="1" applyFont="1" applyFill="1" applyBorder="1" applyAlignment="1" applyProtection="1">
      <alignment horizontal="right"/>
      <protection locked="0"/>
    </xf>
    <xf numFmtId="1" fontId="3" fillId="4" borderId="362" xfId="0" applyNumberFormat="1" applyFont="1" applyFill="1" applyBorder="1" applyAlignment="1" applyProtection="1">
      <alignment horizontal="right"/>
      <protection locked="0"/>
    </xf>
    <xf numFmtId="1" fontId="3" fillId="0" borderId="544" xfId="0" applyNumberFormat="1" applyFont="1" applyBorder="1"/>
    <xf numFmtId="1" fontId="3" fillId="0" borderId="528" xfId="0" applyNumberFormat="1" applyFont="1" applyBorder="1"/>
    <xf numFmtId="1" fontId="3" fillId="0" borderId="523" xfId="0" applyNumberFormat="1" applyFont="1" applyBorder="1"/>
    <xf numFmtId="1" fontId="3" fillId="0" borderId="532" xfId="15" applyNumberFormat="1" applyFont="1" applyBorder="1" applyAlignment="1">
      <alignment horizontal="center" vertical="center" wrapText="1"/>
    </xf>
    <xf numFmtId="1" fontId="3" fillId="0" borderId="517" xfId="16" applyNumberFormat="1" applyFont="1" applyBorder="1" applyAlignment="1" applyProtection="1">
      <alignment horizontal="center" vertical="center"/>
      <protection hidden="1"/>
    </xf>
    <xf numFmtId="1" fontId="3" fillId="0" borderId="543" xfId="15" applyNumberFormat="1" applyFont="1" applyBorder="1" applyAlignment="1">
      <alignment horizontal="center" vertical="center" wrapText="1"/>
    </xf>
    <xf numFmtId="1" fontId="3" fillId="0" borderId="539" xfId="15" applyNumberFormat="1" applyFont="1" applyBorder="1" applyAlignment="1">
      <alignment horizontal="center" vertical="center" wrapText="1"/>
    </xf>
    <xf numFmtId="1" fontId="3" fillId="0" borderId="526" xfId="15" applyNumberFormat="1" applyFont="1" applyBorder="1" applyAlignment="1">
      <alignment horizontal="center" vertical="center" wrapText="1"/>
    </xf>
    <xf numFmtId="1" fontId="3" fillId="0" borderId="544" xfId="15" applyNumberFormat="1" applyFont="1" applyBorder="1" applyAlignment="1">
      <alignment horizontal="center" vertical="center" wrapText="1"/>
    </xf>
    <xf numFmtId="1" fontId="3" fillId="0" borderId="538" xfId="15" applyNumberFormat="1" applyFont="1" applyBorder="1" applyAlignment="1">
      <alignment horizontal="center" vertical="center" wrapText="1"/>
    </xf>
    <xf numFmtId="1" fontId="3" fillId="0" borderId="510" xfId="15" applyNumberFormat="1" applyFont="1" applyBorder="1"/>
    <xf numFmtId="1" fontId="3" fillId="0" borderId="535" xfId="15" applyNumberFormat="1" applyFont="1" applyBorder="1"/>
    <xf numFmtId="1" fontId="3" fillId="0" borderId="513" xfId="15" applyNumberFormat="1" applyFont="1" applyBorder="1"/>
    <xf numFmtId="1" fontId="3" fillId="4" borderId="511" xfId="15" applyNumberFormat="1" applyFont="1" applyFill="1" applyBorder="1" applyAlignment="1" applyProtection="1">
      <alignment horizontal="right"/>
      <protection locked="0"/>
    </xf>
    <xf numFmtId="1" fontId="3" fillId="4" borderId="535" xfId="15" applyNumberFormat="1" applyFont="1" applyFill="1" applyBorder="1" applyAlignment="1" applyProtection="1">
      <alignment horizontal="right"/>
      <protection locked="0"/>
    </xf>
    <xf numFmtId="1" fontId="3" fillId="4" borderId="513" xfId="15" applyNumberFormat="1" applyFont="1" applyFill="1" applyBorder="1" applyAlignment="1" applyProtection="1">
      <alignment horizontal="right"/>
      <protection locked="0"/>
    </xf>
    <xf numFmtId="1" fontId="3" fillId="4" borderId="567" xfId="15" applyNumberFormat="1" applyFont="1" applyFill="1" applyBorder="1" applyAlignment="1" applyProtection="1">
      <alignment horizontal="right"/>
      <protection locked="0"/>
    </xf>
    <xf numFmtId="1" fontId="3" fillId="0" borderId="406" xfId="15" applyNumberFormat="1" applyFont="1" applyBorder="1"/>
    <xf numFmtId="1" fontId="3" fillId="0" borderId="302" xfId="15" applyNumberFormat="1" applyFont="1" applyBorder="1"/>
    <xf numFmtId="1" fontId="3" fillId="0" borderId="22" xfId="15" applyNumberFormat="1" applyFont="1" applyBorder="1"/>
    <xf numFmtId="1" fontId="3" fillId="0" borderId="134" xfId="15" applyNumberFormat="1" applyFont="1" applyBorder="1"/>
    <xf numFmtId="1" fontId="3" fillId="4" borderId="328" xfId="15" applyNumberFormat="1" applyFont="1" applyFill="1" applyBorder="1" applyAlignment="1" applyProtection="1">
      <alignment horizontal="right"/>
      <protection locked="0"/>
    </xf>
    <xf numFmtId="1" fontId="3" fillId="4" borderId="333" xfId="15" applyNumberFormat="1" applyFont="1" applyFill="1" applyBorder="1" applyAlignment="1" applyProtection="1">
      <alignment horizontal="right"/>
      <protection locked="0"/>
    </xf>
    <xf numFmtId="1" fontId="3" fillId="4" borderId="354" xfId="15" applyNumberFormat="1" applyFont="1" applyFill="1" applyBorder="1" applyAlignment="1" applyProtection="1">
      <alignment horizontal="right"/>
      <protection locked="0"/>
    </xf>
    <xf numFmtId="1" fontId="3" fillId="4" borderId="359" xfId="15" applyNumberFormat="1" applyFont="1" applyFill="1" applyBorder="1" applyAlignment="1" applyProtection="1">
      <alignment horizontal="right"/>
      <protection locked="0"/>
    </xf>
    <xf numFmtId="1" fontId="3" fillId="4" borderId="404" xfId="15" applyNumberFormat="1" applyFont="1" applyFill="1" applyBorder="1" applyAlignment="1" applyProtection="1">
      <alignment horizontal="right"/>
      <protection locked="0"/>
    </xf>
    <xf numFmtId="1" fontId="3" fillId="0" borderId="545" xfId="15" applyNumberFormat="1" applyFont="1" applyBorder="1"/>
    <xf numFmtId="1" fontId="3" fillId="0" borderId="538" xfId="15" applyNumberFormat="1" applyFont="1" applyBorder="1"/>
    <xf numFmtId="1" fontId="3" fillId="0" borderId="524" xfId="15" applyNumberFormat="1" applyFont="1" applyBorder="1"/>
    <xf numFmtId="1" fontId="3" fillId="0" borderId="539" xfId="15" applyNumberFormat="1" applyFont="1" applyBorder="1"/>
    <xf numFmtId="1" fontId="3" fillId="0" borderId="526" xfId="15" applyNumberFormat="1" applyFont="1" applyBorder="1"/>
    <xf numFmtId="1" fontId="3" fillId="0" borderId="544" xfId="15" applyNumberFormat="1" applyFont="1" applyBorder="1"/>
    <xf numFmtId="1" fontId="3" fillId="0" borderId="527" xfId="15" applyNumberFormat="1" applyFont="1" applyBorder="1" applyAlignment="1">
      <alignment horizontal="center" vertical="center" wrapText="1"/>
    </xf>
    <xf numFmtId="1" fontId="3" fillId="0" borderId="528" xfId="15" applyNumberFormat="1" applyFont="1" applyBorder="1" applyAlignment="1" applyProtection="1">
      <alignment horizontal="center" vertical="center" wrapText="1"/>
      <protection locked="0"/>
    </xf>
    <xf numFmtId="0" fontId="3" fillId="0" borderId="523" xfId="15" applyFont="1" applyBorder="1" applyAlignment="1" applyProtection="1">
      <alignment horizontal="center" vertical="center" wrapText="1"/>
      <protection locked="0"/>
    </xf>
    <xf numFmtId="49" fontId="3" fillId="0" borderId="523" xfId="15" applyNumberFormat="1" applyFont="1" applyBorder="1" applyAlignment="1" applyProtection="1">
      <alignment horizontal="center" vertical="center" wrapText="1"/>
      <protection locked="0"/>
    </xf>
    <xf numFmtId="49" fontId="3" fillId="0" borderId="526" xfId="15" applyNumberFormat="1" applyFont="1" applyBorder="1" applyAlignment="1" applyProtection="1">
      <alignment horizontal="center" vertical="center" wrapText="1"/>
      <protection locked="0"/>
    </xf>
    <xf numFmtId="49" fontId="3" fillId="0" borderId="539" xfId="15" applyNumberFormat="1" applyFont="1" applyBorder="1" applyAlignment="1" applyProtection="1">
      <alignment horizontal="center" vertical="center" wrapText="1"/>
      <protection locked="0"/>
    </xf>
    <xf numFmtId="49" fontId="3" fillId="0" borderId="524" xfId="15" applyNumberFormat="1" applyFont="1" applyBorder="1" applyAlignment="1" applyProtection="1">
      <alignment horizontal="center" vertical="center" wrapText="1"/>
      <protection locked="0"/>
    </xf>
    <xf numFmtId="1" fontId="3" fillId="0" borderId="563" xfId="15" applyNumberFormat="1" applyFont="1" applyBorder="1"/>
    <xf numFmtId="1" fontId="3" fillId="4" borderId="547" xfId="15" applyNumberFormat="1" applyFont="1" applyFill="1" applyBorder="1" applyAlignment="1" applyProtection="1">
      <alignment horizontal="right"/>
      <protection locked="0"/>
    </xf>
    <xf numFmtId="1" fontId="3" fillId="4" borderId="512" xfId="15" applyNumberFormat="1" applyFont="1" applyFill="1" applyBorder="1" applyAlignment="1" applyProtection="1">
      <alignment horizontal="right"/>
      <protection locked="0"/>
    </xf>
    <xf numFmtId="1" fontId="3" fillId="4" borderId="569" xfId="15" applyNumberFormat="1" applyFont="1" applyFill="1" applyBorder="1" applyAlignment="1" applyProtection="1">
      <alignment horizontal="right"/>
      <protection locked="0"/>
    </xf>
    <xf numFmtId="1" fontId="3" fillId="4" borderId="301" xfId="15" applyNumberFormat="1" applyFont="1" applyFill="1" applyBorder="1" applyAlignment="1" applyProtection="1">
      <alignment horizontal="right"/>
      <protection locked="0"/>
    </xf>
    <xf numFmtId="1" fontId="3" fillId="4" borderId="280" xfId="15" applyNumberFormat="1" applyFont="1" applyFill="1" applyBorder="1" applyAlignment="1" applyProtection="1">
      <alignment horizontal="right"/>
      <protection locked="0"/>
    </xf>
    <xf numFmtId="1" fontId="3" fillId="4" borderId="271" xfId="15" applyNumberFormat="1" applyFont="1" applyFill="1" applyBorder="1" applyAlignment="1" applyProtection="1">
      <alignment horizontal="right"/>
      <protection locked="0"/>
    </xf>
    <xf numFmtId="1" fontId="3" fillId="0" borderId="331" xfId="15" applyNumberFormat="1" applyFont="1" applyBorder="1"/>
    <xf numFmtId="1" fontId="3" fillId="0" borderId="333" xfId="15" applyNumberFormat="1" applyFont="1" applyBorder="1"/>
    <xf numFmtId="1" fontId="3" fillId="0" borderId="334" xfId="15" applyNumberFormat="1" applyFont="1" applyBorder="1"/>
    <xf numFmtId="1" fontId="3" fillId="4" borderId="341" xfId="15" applyNumberFormat="1" applyFont="1" applyFill="1" applyBorder="1" applyAlignment="1" applyProtection="1">
      <alignment horizontal="right"/>
      <protection locked="0"/>
    </xf>
    <xf numFmtId="1" fontId="3" fillId="4" borderId="336" xfId="15" applyNumberFormat="1" applyFont="1" applyFill="1" applyBorder="1" applyAlignment="1" applyProtection="1">
      <alignment horizontal="right"/>
      <protection locked="0"/>
    </xf>
    <xf numFmtId="1" fontId="3" fillId="4" borderId="338" xfId="15" applyNumberFormat="1" applyFont="1" applyFill="1" applyBorder="1" applyAlignment="1" applyProtection="1">
      <alignment horizontal="right"/>
      <protection locked="0"/>
    </xf>
    <xf numFmtId="1" fontId="3" fillId="4" borderId="345" xfId="15" applyNumberFormat="1" applyFont="1" applyFill="1" applyBorder="1" applyAlignment="1" applyProtection="1">
      <alignment horizontal="right"/>
      <protection locked="0"/>
    </xf>
    <xf numFmtId="1" fontId="3" fillId="4" borderId="363" xfId="15" applyNumberFormat="1" applyFont="1" applyFill="1" applyBorder="1" applyAlignment="1" applyProtection="1">
      <alignment horizontal="right"/>
      <protection locked="0"/>
    </xf>
    <xf numFmtId="1" fontId="3" fillId="4" borderId="344" xfId="15" applyNumberFormat="1" applyFont="1" applyFill="1" applyBorder="1" applyAlignment="1" applyProtection="1">
      <alignment horizontal="right"/>
      <protection locked="0"/>
    </xf>
    <xf numFmtId="1" fontId="3" fillId="4" borderId="332" xfId="15" applyNumberFormat="1" applyFont="1" applyFill="1" applyBorder="1" applyAlignment="1" applyProtection="1">
      <alignment horizontal="right"/>
      <protection locked="0"/>
    </xf>
    <xf numFmtId="1" fontId="3" fillId="4" borderId="334" xfId="15" applyNumberFormat="1" applyFont="1" applyFill="1" applyBorder="1" applyAlignment="1" applyProtection="1">
      <alignment horizontal="right"/>
      <protection locked="0"/>
    </xf>
    <xf numFmtId="1" fontId="3" fillId="0" borderId="404" xfId="15" applyNumberFormat="1" applyFont="1" applyBorder="1"/>
    <xf numFmtId="1" fontId="3" fillId="0" borderId="366" xfId="15" applyNumberFormat="1" applyFont="1" applyBorder="1"/>
    <xf numFmtId="1" fontId="3" fillId="4" borderId="367" xfId="15" applyNumberFormat="1" applyFont="1" applyFill="1" applyBorder="1" applyAlignment="1" applyProtection="1">
      <alignment horizontal="right"/>
      <protection locked="0"/>
    </xf>
    <xf numFmtId="1" fontId="3" fillId="4" borderId="360" xfId="15" applyNumberFormat="1" applyFont="1" applyFill="1" applyBorder="1" applyAlignment="1" applyProtection="1">
      <alignment horizontal="right"/>
      <protection locked="0"/>
    </xf>
    <xf numFmtId="1" fontId="3" fillId="4" borderId="358" xfId="15" applyNumberFormat="1" applyFont="1" applyFill="1" applyBorder="1" applyAlignment="1" applyProtection="1">
      <alignment horizontal="right"/>
      <protection locked="0"/>
    </xf>
    <xf numFmtId="1" fontId="3" fillId="4" borderId="366" xfId="15" applyNumberFormat="1" applyFont="1" applyFill="1" applyBorder="1" applyAlignment="1" applyProtection="1">
      <alignment horizontal="right"/>
      <protection locked="0"/>
    </xf>
    <xf numFmtId="0" fontId="2" fillId="0" borderId="0" xfId="0" applyFont="1"/>
    <xf numFmtId="0" fontId="43" fillId="43" borderId="0" xfId="0" applyFont="1" applyFill="1" applyAlignment="1">
      <alignment vertical="center"/>
    </xf>
    <xf numFmtId="0" fontId="48" fillId="0" borderId="0" xfId="0" applyFont="1"/>
    <xf numFmtId="0" fontId="3" fillId="0" borderId="542" xfId="0" applyFont="1" applyBorder="1" applyAlignment="1">
      <alignment horizontal="center" wrapText="1"/>
    </xf>
    <xf numFmtId="0" fontId="3" fillId="0" borderId="539" xfId="0" applyFont="1" applyBorder="1" applyAlignment="1">
      <alignment horizontal="center" wrapText="1"/>
    </xf>
    <xf numFmtId="1" fontId="3" fillId="8" borderId="522" xfId="0" applyNumberFormat="1" applyFont="1" applyFill="1" applyBorder="1" applyAlignment="1" applyProtection="1">
      <alignment horizontal="right"/>
      <protection locked="0"/>
    </xf>
    <xf numFmtId="1" fontId="3" fillId="8" borderId="513" xfId="0" applyNumberFormat="1" applyFont="1" applyFill="1" applyBorder="1" applyAlignment="1" applyProtection="1">
      <alignment horizontal="right"/>
      <protection locked="0"/>
    </xf>
    <xf numFmtId="1" fontId="3" fillId="8" borderId="567" xfId="0" applyNumberFormat="1" applyFont="1" applyFill="1" applyBorder="1" applyAlignment="1" applyProtection="1">
      <alignment horizontal="right"/>
      <protection locked="0"/>
    </xf>
    <xf numFmtId="1" fontId="3" fillId="8" borderId="569" xfId="0" applyNumberFormat="1" applyFont="1" applyFill="1" applyBorder="1" applyAlignment="1" applyProtection="1">
      <alignment horizontal="right"/>
      <protection locked="0"/>
    </xf>
    <xf numFmtId="1" fontId="3" fillId="8" borderId="20" xfId="0" applyNumberFormat="1" applyFont="1" applyFill="1" applyBorder="1" applyAlignment="1" applyProtection="1">
      <alignment horizontal="right"/>
      <protection locked="0"/>
    </xf>
    <xf numFmtId="1" fontId="3" fillId="8" borderId="344" xfId="0" applyNumberFormat="1" applyFont="1" applyFill="1" applyBorder="1" applyAlignment="1" applyProtection="1">
      <alignment horizontal="right"/>
      <protection locked="0"/>
    </xf>
    <xf numFmtId="1" fontId="3" fillId="8" borderId="336" xfId="0" applyNumberFormat="1" applyFont="1" applyFill="1" applyBorder="1" applyAlignment="1" applyProtection="1">
      <alignment horizontal="right"/>
      <protection locked="0"/>
    </xf>
    <xf numFmtId="1" fontId="3" fillId="8" borderId="354" xfId="0" applyNumberFormat="1" applyFont="1" applyFill="1" applyBorder="1" applyAlignment="1" applyProtection="1">
      <alignment horizontal="right"/>
      <protection locked="0"/>
    </xf>
    <xf numFmtId="1" fontId="3" fillId="8" borderId="9" xfId="0" applyNumberFormat="1" applyFont="1" applyFill="1" applyBorder="1" applyAlignment="1" applyProtection="1">
      <alignment horizontal="right"/>
      <protection locked="0"/>
    </xf>
    <xf numFmtId="1" fontId="3" fillId="8" borderId="259" xfId="0" applyNumberFormat="1" applyFont="1" applyFill="1" applyBorder="1" applyAlignment="1" applyProtection="1">
      <alignment horizontal="right"/>
      <protection locked="0"/>
    </xf>
    <xf numFmtId="1" fontId="3" fillId="8" borderId="491" xfId="0" applyNumberFormat="1" applyFont="1" applyFill="1" applyBorder="1" applyAlignment="1" applyProtection="1">
      <alignment horizontal="right"/>
      <protection locked="0"/>
    </xf>
    <xf numFmtId="0" fontId="3" fillId="0" borderId="519" xfId="0" applyFont="1" applyBorder="1" applyAlignment="1">
      <alignment horizontal="center" vertical="center" wrapText="1"/>
    </xf>
    <xf numFmtId="0" fontId="3" fillId="0" borderId="519" xfId="0" applyFont="1" applyBorder="1" applyAlignment="1">
      <alignment horizontal="right" wrapText="1"/>
    </xf>
    <xf numFmtId="0" fontId="3" fillId="0" borderId="526" xfId="0" applyFont="1" applyBorder="1" applyAlignment="1">
      <alignment horizontal="right" wrapText="1"/>
    </xf>
    <xf numFmtId="0" fontId="3" fillId="0" borderId="539" xfId="0" applyFont="1" applyBorder="1" applyAlignment="1">
      <alignment horizontal="right" wrapText="1"/>
    </xf>
    <xf numFmtId="0" fontId="3" fillId="0" borderId="544" xfId="0" applyFont="1" applyBorder="1" applyAlignment="1">
      <alignment horizontal="right" wrapText="1"/>
    </xf>
    <xf numFmtId="0" fontId="3" fillId="0" borderId="528" xfId="0" applyFont="1" applyBorder="1" applyAlignment="1">
      <alignment horizontal="right" wrapText="1"/>
    </xf>
    <xf numFmtId="0" fontId="3" fillId="0" borderId="524" xfId="0" applyFont="1" applyBorder="1" applyAlignment="1">
      <alignment horizontal="right" wrapText="1"/>
    </xf>
    <xf numFmtId="0" fontId="3" fillId="8" borderId="522" xfId="0" applyFont="1" applyFill="1" applyBorder="1" applyAlignment="1" applyProtection="1">
      <alignment horizontal="right"/>
      <protection locked="0"/>
    </xf>
    <xf numFmtId="0" fontId="3" fillId="8" borderId="513" xfId="0" applyFont="1" applyFill="1" applyBorder="1" applyAlignment="1" applyProtection="1">
      <alignment horizontal="right"/>
      <protection locked="0"/>
    </xf>
    <xf numFmtId="1" fontId="3" fillId="6" borderId="333" xfId="0" applyNumberFormat="1" applyFont="1" applyFill="1" applyBorder="1" applyAlignment="1">
      <alignment horizontal="right"/>
    </xf>
    <xf numFmtId="0" fontId="3" fillId="8" borderId="569" xfId="0" applyFont="1" applyFill="1" applyBorder="1" applyAlignment="1" applyProtection="1">
      <alignment horizontal="right"/>
      <protection locked="0"/>
    </xf>
    <xf numFmtId="0" fontId="3" fillId="8" borderId="341" xfId="0" applyFont="1" applyFill="1" applyBorder="1" applyAlignment="1" applyProtection="1">
      <alignment horizontal="right"/>
      <protection locked="0"/>
    </xf>
    <xf numFmtId="0" fontId="3" fillId="8" borderId="134" xfId="0" applyFont="1" applyFill="1" applyBorder="1" applyAlignment="1" applyProtection="1">
      <alignment horizontal="right"/>
      <protection locked="0"/>
    </xf>
    <xf numFmtId="0" fontId="3" fillId="8" borderId="10" xfId="0" applyFont="1" applyFill="1" applyBorder="1" applyAlignment="1" applyProtection="1">
      <alignment horizontal="right"/>
      <protection locked="0"/>
    </xf>
    <xf numFmtId="0" fontId="3" fillId="8" borderId="20" xfId="0" applyFont="1" applyFill="1" applyBorder="1" applyAlignment="1" applyProtection="1">
      <alignment horizontal="right"/>
      <protection locked="0"/>
    </xf>
    <xf numFmtId="0" fontId="3" fillId="8" borderId="204" xfId="0" applyFont="1" applyFill="1" applyBorder="1" applyAlignment="1" applyProtection="1">
      <alignment horizontal="right"/>
      <protection locked="0"/>
    </xf>
    <xf numFmtId="0" fontId="3" fillId="8" borderId="344" xfId="0" applyFont="1" applyFill="1" applyBorder="1" applyAlignment="1" applyProtection="1">
      <alignment horizontal="right"/>
      <protection locked="0"/>
    </xf>
    <xf numFmtId="0" fontId="3" fillId="8" borderId="336" xfId="0" applyFont="1" applyFill="1" applyBorder="1" applyAlignment="1" applyProtection="1">
      <alignment horizontal="right"/>
      <protection locked="0"/>
    </xf>
    <xf numFmtId="0" fontId="3" fillId="0" borderId="406" xfId="0" applyFont="1" applyBorder="1" applyAlignment="1">
      <alignment horizontal="left" vertical="center" wrapText="1"/>
    </xf>
    <xf numFmtId="0" fontId="3" fillId="8" borderId="328" xfId="0" applyFont="1" applyFill="1" applyBorder="1" applyAlignment="1" applyProtection="1">
      <alignment horizontal="right"/>
      <protection locked="0"/>
    </xf>
    <xf numFmtId="0" fontId="3" fillId="8" borderId="491" xfId="0" applyFont="1" applyFill="1" applyBorder="1" applyAlignment="1" applyProtection="1">
      <alignment horizontal="right"/>
      <protection locked="0"/>
    </xf>
    <xf numFmtId="1" fontId="3" fillId="6" borderId="329" xfId="0" applyNumberFormat="1" applyFont="1" applyFill="1" applyBorder="1" applyAlignment="1">
      <alignment horizontal="right"/>
    </xf>
    <xf numFmtId="0" fontId="3" fillId="8" borderId="259" xfId="0" applyFont="1" applyFill="1" applyBorder="1" applyAlignment="1" applyProtection="1">
      <alignment horizontal="right"/>
      <protection locked="0"/>
    </xf>
    <xf numFmtId="0" fontId="47" fillId="43" borderId="0" xfId="0" applyFont="1" applyFill="1" applyAlignment="1">
      <alignment vertical="center"/>
    </xf>
    <xf numFmtId="1" fontId="6" fillId="0" borderId="0" xfId="0" applyNumberFormat="1" applyFont="1" applyAlignment="1">
      <alignment vertical="center"/>
    </xf>
    <xf numFmtId="0" fontId="3" fillId="0" borderId="544" xfId="0" applyFont="1" applyBorder="1" applyAlignment="1">
      <alignment horizontal="center" vertical="center" wrapText="1"/>
    </xf>
    <xf numFmtId="0" fontId="3" fillId="0" borderId="566" xfId="0" applyFont="1" applyBorder="1" applyAlignment="1">
      <alignment horizontal="center" vertical="center" wrapText="1"/>
    </xf>
    <xf numFmtId="0" fontId="3" fillId="0" borderId="517" xfId="0" applyFont="1" applyBorder="1" applyAlignment="1">
      <alignment horizontal="center" vertical="center" wrapText="1"/>
    </xf>
    <xf numFmtId="0" fontId="3" fillId="0" borderId="510" xfId="0" applyFont="1" applyBorder="1" applyAlignment="1">
      <alignment vertical="center" wrapText="1"/>
    </xf>
    <xf numFmtId="0" fontId="3" fillId="8" borderId="511" xfId="0" applyFont="1" applyFill="1" applyBorder="1" applyProtection="1">
      <protection locked="0"/>
    </xf>
    <xf numFmtId="0" fontId="3" fillId="8" borderId="564" xfId="0" applyFont="1" applyFill="1" applyBorder="1" applyProtection="1">
      <protection locked="0"/>
    </xf>
    <xf numFmtId="0" fontId="3" fillId="8" borderId="570" xfId="0" applyFont="1" applyFill="1" applyBorder="1" applyProtection="1">
      <protection locked="0"/>
    </xf>
    <xf numFmtId="0" fontId="3" fillId="8" borderId="510" xfId="0" applyFont="1" applyFill="1" applyBorder="1" applyProtection="1">
      <protection locked="0"/>
    </xf>
    <xf numFmtId="0" fontId="3" fillId="0" borderId="406" xfId="0" applyFont="1" applyBorder="1" applyAlignment="1">
      <alignment vertical="center" wrapText="1"/>
    </xf>
    <xf numFmtId="0" fontId="3" fillId="8" borderId="328" xfId="0" applyFont="1" applyFill="1" applyBorder="1" applyProtection="1">
      <protection locked="0"/>
    </xf>
    <xf numFmtId="0" fontId="3" fillId="8" borderId="329" xfId="0" applyFont="1" applyFill="1" applyBorder="1" applyProtection="1">
      <protection locked="0"/>
    </xf>
    <xf numFmtId="0" fontId="3" fillId="8" borderId="571" xfId="0" applyFont="1" applyFill="1" applyBorder="1" applyProtection="1">
      <protection locked="0"/>
    </xf>
    <xf numFmtId="0" fontId="3" fillId="8" borderId="406" xfId="0" applyFont="1" applyFill="1" applyBorder="1" applyProtection="1">
      <protection locked="0"/>
    </xf>
    <xf numFmtId="0" fontId="3" fillId="0" borderId="519" xfId="0" applyFont="1" applyBorder="1" applyAlignment="1">
      <alignment horizontal="right" vertical="center" wrapText="1"/>
    </xf>
    <xf numFmtId="0" fontId="3" fillId="0" borderId="544" xfId="0" applyFont="1" applyBorder="1" applyAlignment="1">
      <alignment horizontal="right" vertical="center" wrapText="1"/>
    </xf>
    <xf numFmtId="0" fontId="3" fillId="0" borderId="540" xfId="0" applyFont="1" applyBorder="1" applyAlignment="1">
      <alignment horizontal="right" vertical="center" wrapText="1"/>
    </xf>
    <xf numFmtId="0" fontId="3" fillId="0" borderId="545" xfId="0" applyFont="1" applyBorder="1" applyAlignment="1">
      <alignment horizontal="right" vertical="center" wrapText="1"/>
    </xf>
    <xf numFmtId="1" fontId="3" fillId="0" borderId="519" xfId="15" applyNumberFormat="1" applyFont="1" applyBorder="1" applyAlignment="1">
      <alignment horizontal="center" vertical="center" wrapText="1"/>
    </xf>
    <xf numFmtId="1" fontId="3" fillId="4" borderId="529" xfId="15" applyNumberFormat="1" applyFont="1" applyFill="1" applyBorder="1" applyAlignment="1" applyProtection="1">
      <alignment horizontal="right"/>
      <protection locked="0"/>
    </xf>
    <xf numFmtId="1" fontId="3" fillId="4" borderId="237" xfId="15" applyNumberFormat="1" applyFont="1" applyFill="1" applyBorder="1" applyAlignment="1" applyProtection="1">
      <alignment horizontal="right"/>
      <protection locked="0"/>
    </xf>
    <xf numFmtId="1" fontId="3" fillId="4" borderId="340" xfId="15" applyNumberFormat="1" applyFont="1" applyFill="1" applyBorder="1" applyAlignment="1" applyProtection="1">
      <alignment horizontal="right"/>
      <protection locked="0"/>
    </xf>
    <xf numFmtId="1" fontId="3" fillId="4" borderId="562" xfId="15" applyNumberFormat="1" applyFont="1" applyFill="1" applyBorder="1" applyAlignment="1" applyProtection="1">
      <alignment horizontal="right"/>
      <protection locked="0"/>
    </xf>
    <xf numFmtId="1" fontId="3" fillId="4" borderId="421" xfId="15" applyNumberFormat="1" applyFont="1" applyFill="1" applyBorder="1" applyAlignment="1" applyProtection="1">
      <alignment horizontal="right"/>
      <protection locked="0"/>
    </xf>
    <xf numFmtId="1" fontId="27" fillId="29" borderId="0" xfId="2" applyNumberFormat="1" applyFont="1" applyFill="1" applyAlignment="1">
      <alignment wrapText="1"/>
    </xf>
    <xf numFmtId="1" fontId="3" fillId="0" borderId="35" xfId="2" applyNumberFormat="1" applyFont="1" applyBorder="1" applyAlignment="1">
      <alignment horizontal="center" vertical="center" wrapText="1"/>
    </xf>
    <xf numFmtId="1" fontId="3" fillId="0" borderId="61" xfId="2" applyNumberFormat="1" applyFont="1" applyBorder="1" applyAlignment="1">
      <alignment horizontal="center" vertical="center" wrapText="1"/>
    </xf>
    <xf numFmtId="1" fontId="3" fillId="0" borderId="28" xfId="2" applyNumberFormat="1" applyFont="1" applyBorder="1" applyAlignment="1">
      <alignment horizontal="center" vertical="center" wrapText="1"/>
    </xf>
    <xf numFmtId="1" fontId="3" fillId="0" borderId="100" xfId="2" applyNumberFormat="1" applyFont="1" applyBorder="1" applyAlignment="1">
      <alignment horizontal="center" vertical="center" wrapText="1"/>
    </xf>
    <xf numFmtId="1" fontId="3" fillId="0" borderId="118" xfId="2" applyNumberFormat="1" applyFont="1" applyBorder="1" applyAlignment="1">
      <alignment horizontal="center" vertical="center" wrapText="1"/>
    </xf>
    <xf numFmtId="1" fontId="3" fillId="0" borderId="25" xfId="2" applyNumberFormat="1" applyFont="1" applyBorder="1" applyAlignment="1">
      <alignment horizontal="center" vertical="center" wrapText="1"/>
    </xf>
    <xf numFmtId="1" fontId="3" fillId="0" borderId="407" xfId="2" applyNumberFormat="1" applyFont="1" applyBorder="1" applyAlignment="1">
      <alignment horizontal="right"/>
    </xf>
    <xf numFmtId="1" fontId="3" fillId="0" borderId="308" xfId="2" applyNumberFormat="1" applyFont="1" applyBorder="1" applyAlignment="1">
      <alignment horizontal="right"/>
    </xf>
    <xf numFmtId="1" fontId="3" fillId="0" borderId="309" xfId="2" applyNumberFormat="1" applyFont="1" applyBorder="1" applyAlignment="1">
      <alignment horizontal="right"/>
    </xf>
    <xf numFmtId="1" fontId="3" fillId="18" borderId="41" xfId="2" applyNumberFormat="1" applyFont="1" applyFill="1" applyBorder="1" applyAlignment="1" applyProtection="1">
      <alignment horizontal="right"/>
      <protection locked="0"/>
    </xf>
    <xf numFmtId="1" fontId="3" fillId="18" borderId="113" xfId="2" applyNumberFormat="1" applyFont="1" applyFill="1" applyBorder="1" applyAlignment="1" applyProtection="1">
      <alignment horizontal="right"/>
      <protection locked="0"/>
    </xf>
    <xf numFmtId="1" fontId="3" fillId="30" borderId="38" xfId="2" applyNumberFormat="1" applyFont="1" applyFill="1" applyBorder="1" applyAlignment="1">
      <alignment horizontal="right"/>
    </xf>
    <xf numFmtId="1" fontId="3" fillId="30" borderId="101" xfId="2" applyNumberFormat="1" applyFont="1" applyFill="1" applyBorder="1" applyAlignment="1">
      <alignment horizontal="right"/>
    </xf>
    <xf numFmtId="1" fontId="3" fillId="0" borderId="408" xfId="2" applyNumberFormat="1" applyFont="1" applyBorder="1" applyAlignment="1">
      <alignment horizontal="right"/>
    </xf>
    <xf numFmtId="1" fontId="3" fillId="0" borderId="41" xfId="2" applyNumberFormat="1" applyFont="1" applyBorder="1" applyAlignment="1">
      <alignment horizontal="right"/>
    </xf>
    <xf numFmtId="1" fontId="3" fillId="0" borderId="70" xfId="2" applyNumberFormat="1" applyFont="1" applyBorder="1" applyAlignment="1">
      <alignment horizontal="right"/>
    </xf>
    <xf numFmtId="1" fontId="3" fillId="30" borderId="41" xfId="2" applyNumberFormat="1" applyFont="1" applyFill="1" applyBorder="1" applyAlignment="1">
      <alignment horizontal="right"/>
    </xf>
    <xf numFmtId="1" fontId="3" fillId="30" borderId="109" xfId="2" applyNumberFormat="1" applyFont="1" applyFill="1" applyBorder="1" applyAlignment="1">
      <alignment horizontal="right"/>
    </xf>
    <xf numFmtId="1" fontId="3" fillId="18" borderId="44" xfId="2" applyNumberFormat="1" applyFont="1" applyFill="1" applyBorder="1" applyAlignment="1" applyProtection="1">
      <alignment horizontal="right"/>
      <protection locked="0"/>
    </xf>
    <xf numFmtId="1" fontId="3" fillId="18" borderId="109" xfId="2" applyNumberFormat="1" applyFont="1" applyFill="1" applyBorder="1" applyAlignment="1" applyProtection="1">
      <alignment horizontal="right"/>
      <protection locked="0"/>
    </xf>
    <xf numFmtId="1" fontId="3" fillId="30" borderId="44" xfId="2" applyNumberFormat="1" applyFont="1" applyFill="1" applyBorder="1" applyAlignment="1">
      <alignment horizontal="right"/>
    </xf>
    <xf numFmtId="1" fontId="3" fillId="0" borderId="409" xfId="2" applyNumberFormat="1" applyFont="1" applyBorder="1" applyAlignment="1">
      <alignment horizontal="right" wrapText="1"/>
    </xf>
    <xf numFmtId="1" fontId="3" fillId="0" borderId="120" xfId="2" applyNumberFormat="1" applyFont="1" applyBorder="1" applyAlignment="1">
      <alignment horizontal="right" wrapText="1"/>
    </xf>
    <xf numFmtId="1" fontId="3" fillId="0" borderId="144" xfId="2" applyNumberFormat="1" applyFont="1" applyBorder="1" applyAlignment="1">
      <alignment horizontal="right" wrapText="1"/>
    </xf>
    <xf numFmtId="1" fontId="3" fillId="30" borderId="48" xfId="2" applyNumberFormat="1" applyFont="1" applyFill="1" applyBorder="1" applyAlignment="1">
      <alignment horizontal="right"/>
    </xf>
    <xf numFmtId="1" fontId="3" fillId="30" borderId="102" xfId="2" applyNumberFormat="1" applyFont="1" applyFill="1" applyBorder="1" applyAlignment="1">
      <alignment horizontal="right"/>
    </xf>
    <xf numFmtId="1" fontId="3" fillId="30" borderId="47" xfId="2" applyNumberFormat="1" applyFont="1" applyFill="1" applyBorder="1" applyAlignment="1">
      <alignment horizontal="right"/>
    </xf>
    <xf numFmtId="1" fontId="3" fillId="18" borderId="72" xfId="2" applyNumberFormat="1" applyFont="1" applyFill="1" applyBorder="1" applyAlignment="1" applyProtection="1">
      <alignment horizontal="right"/>
      <protection locked="0"/>
    </xf>
    <xf numFmtId="1" fontId="3" fillId="18" borderId="110" xfId="2" applyNumberFormat="1" applyFont="1" applyFill="1" applyBorder="1" applyAlignment="1" applyProtection="1">
      <alignment horizontal="right"/>
      <protection locked="0"/>
    </xf>
    <xf numFmtId="1" fontId="3" fillId="18" borderId="47" xfId="2" applyNumberFormat="1" applyFont="1" applyFill="1" applyBorder="1" applyAlignment="1" applyProtection="1">
      <alignment horizontal="right"/>
      <protection locked="0"/>
    </xf>
    <xf numFmtId="1" fontId="3" fillId="18" borderId="102" xfId="2" applyNumberFormat="1" applyFont="1" applyFill="1" applyBorder="1" applyAlignment="1" applyProtection="1">
      <alignment horizontal="right"/>
      <protection locked="0"/>
    </xf>
    <xf numFmtId="1" fontId="3" fillId="0" borderId="57" xfId="2" applyNumberFormat="1" applyFont="1" applyBorder="1" applyAlignment="1">
      <alignment vertical="center" wrapText="1"/>
    </xf>
    <xf numFmtId="1" fontId="3" fillId="0" borderId="410" xfId="2" applyNumberFormat="1" applyFont="1" applyBorder="1" applyAlignment="1">
      <alignment horizontal="right" wrapText="1"/>
    </xf>
    <xf numFmtId="1" fontId="3" fillId="0" borderId="572" xfId="2" applyNumberFormat="1" applyFont="1" applyBorder="1" applyAlignment="1">
      <alignment horizontal="right" wrapText="1"/>
    </xf>
    <xf numFmtId="1" fontId="3" fillId="0" borderId="142" xfId="2" applyNumberFormat="1" applyFont="1" applyBorder="1" applyAlignment="1">
      <alignment horizontal="right" wrapText="1"/>
    </xf>
    <xf numFmtId="1" fontId="3" fillId="18" borderId="112" xfId="2" applyNumberFormat="1" applyFont="1" applyFill="1" applyBorder="1" applyAlignment="1" applyProtection="1">
      <alignment horizontal="right"/>
      <protection locked="0"/>
    </xf>
    <xf numFmtId="1" fontId="3" fillId="18" borderId="50" xfId="2" applyNumberFormat="1" applyFont="1" applyFill="1" applyBorder="1" applyAlignment="1" applyProtection="1">
      <alignment horizontal="right"/>
      <protection locked="0"/>
    </xf>
    <xf numFmtId="1" fontId="3" fillId="18" borderId="155" xfId="2" applyNumberFormat="1" applyFont="1" applyFill="1" applyBorder="1" applyAlignment="1" applyProtection="1">
      <alignment horizontal="right"/>
      <protection locked="0"/>
    </xf>
    <xf numFmtId="1" fontId="3" fillId="18" borderId="310" xfId="2" applyNumberFormat="1" applyFont="1" applyFill="1" applyBorder="1" applyAlignment="1" applyProtection="1">
      <alignment horizontal="right"/>
      <protection locked="0"/>
    </xf>
    <xf numFmtId="1" fontId="3" fillId="18" borderId="158" xfId="2" applyNumberFormat="1" applyFont="1" applyFill="1" applyBorder="1" applyAlignment="1" applyProtection="1">
      <alignment horizontal="right"/>
      <protection locked="0"/>
    </xf>
    <xf numFmtId="1" fontId="3" fillId="0" borderId="58" xfId="2" applyNumberFormat="1" applyFont="1" applyBorder="1" applyAlignment="1">
      <alignment vertical="center" wrapText="1"/>
    </xf>
    <xf numFmtId="1" fontId="3" fillId="0" borderId="233" xfId="2" applyNumberFormat="1" applyFont="1" applyBorder="1" applyAlignment="1">
      <alignment horizontal="right" wrapText="1"/>
    </xf>
    <xf numFmtId="1" fontId="3" fillId="18" borderId="156" xfId="2" applyNumberFormat="1" applyFont="1" applyFill="1" applyBorder="1" applyAlignment="1" applyProtection="1">
      <alignment horizontal="right"/>
      <protection locked="0"/>
    </xf>
    <xf numFmtId="1" fontId="3" fillId="18" borderId="69" xfId="2" applyNumberFormat="1" applyFont="1" applyFill="1" applyBorder="1" applyAlignment="1" applyProtection="1">
      <alignment horizontal="right"/>
      <protection locked="0"/>
    </xf>
    <xf numFmtId="1" fontId="3" fillId="18" borderId="74" xfId="2" applyNumberFormat="1" applyFont="1" applyFill="1" applyBorder="1" applyAlignment="1" applyProtection="1">
      <alignment horizontal="right"/>
      <protection locked="0"/>
    </xf>
    <xf numFmtId="1" fontId="3" fillId="0" borderId="59" xfId="2" applyNumberFormat="1" applyFont="1" applyBorder="1" applyAlignment="1">
      <alignment vertical="center" wrapText="1"/>
    </xf>
    <xf numFmtId="1" fontId="3" fillId="0" borderId="411" xfId="2" applyNumberFormat="1" applyFont="1" applyBorder="1" applyAlignment="1">
      <alignment horizontal="right" wrapText="1"/>
    </xf>
    <xf numFmtId="1" fontId="3" fillId="0" borderId="180" xfId="2" applyNumberFormat="1" applyFont="1" applyBorder="1" applyAlignment="1">
      <alignment horizontal="right" wrapText="1"/>
    </xf>
    <xf numFmtId="1" fontId="3" fillId="0" borderId="412" xfId="2" applyNumberFormat="1" applyFont="1" applyBorder="1" applyAlignment="1">
      <alignment horizontal="right" wrapText="1"/>
    </xf>
    <xf numFmtId="1" fontId="3" fillId="18" borderId="48" xfId="2" applyNumberFormat="1" applyFont="1" applyFill="1" applyBorder="1" applyAlignment="1" applyProtection="1">
      <alignment horizontal="right"/>
      <protection locked="0"/>
    </xf>
    <xf numFmtId="1" fontId="3" fillId="18" borderId="157" xfId="2" applyNumberFormat="1" applyFont="1" applyFill="1" applyBorder="1" applyAlignment="1" applyProtection="1">
      <alignment horizontal="right"/>
      <protection locked="0"/>
    </xf>
    <xf numFmtId="1" fontId="3" fillId="18" borderId="413" xfId="2" applyNumberFormat="1" applyFont="1" applyFill="1" applyBorder="1" applyAlignment="1" applyProtection="1">
      <alignment horizontal="right"/>
      <protection locked="0"/>
    </xf>
    <xf numFmtId="1" fontId="3" fillId="18" borderId="414" xfId="2" applyNumberFormat="1" applyFont="1" applyFill="1" applyBorder="1" applyAlignment="1" applyProtection="1">
      <alignment horizontal="right"/>
      <protection locked="0"/>
    </xf>
    <xf numFmtId="0" fontId="50" fillId="0" borderId="0" xfId="2" applyFont="1"/>
    <xf numFmtId="1" fontId="3" fillId="0" borderId="0" xfId="15" quotePrefix="1" applyNumberFormat="1" applyFont="1" applyAlignment="1">
      <alignment vertical="center" wrapText="1"/>
    </xf>
    <xf numFmtId="1" fontId="3" fillId="0" borderId="0" xfId="15" applyNumberFormat="1" applyFont="1" applyAlignment="1">
      <alignment vertical="center" wrapText="1"/>
    </xf>
    <xf numFmtId="1" fontId="3" fillId="4" borderId="574" xfId="15" applyNumberFormat="1" applyFont="1" applyFill="1" applyBorder="1" applyAlignment="1" applyProtection="1">
      <alignment horizontal="right"/>
      <protection locked="0"/>
    </xf>
    <xf numFmtId="1" fontId="3" fillId="0" borderId="0" xfId="15" applyNumberFormat="1" applyFont="1" applyProtection="1">
      <protection locked="0"/>
    </xf>
    <xf numFmtId="0" fontId="3" fillId="0" borderId="331" xfId="0" applyFont="1" applyBorder="1" applyAlignment="1">
      <alignment vertical="center" wrapText="1"/>
    </xf>
    <xf numFmtId="1" fontId="3" fillId="4" borderId="346" xfId="15" applyNumberFormat="1" applyFont="1" applyFill="1" applyBorder="1" applyAlignment="1" applyProtection="1">
      <alignment horizontal="right"/>
      <protection locked="0"/>
    </xf>
    <xf numFmtId="1" fontId="3" fillId="4" borderId="365" xfId="15" applyNumberFormat="1" applyFont="1" applyFill="1" applyBorder="1" applyAlignment="1" applyProtection="1">
      <alignment horizontal="right"/>
      <protection locked="0"/>
    </xf>
    <xf numFmtId="1" fontId="3" fillId="6" borderId="513" xfId="0" applyNumberFormat="1" applyFont="1" applyFill="1" applyBorder="1" applyAlignment="1">
      <alignment horizontal="right"/>
    </xf>
    <xf numFmtId="1" fontId="3" fillId="0" borderId="545" xfId="0" applyNumberFormat="1" applyFont="1" applyBorder="1" applyAlignment="1">
      <alignment horizontal="center" vertical="center"/>
    </xf>
    <xf numFmtId="1" fontId="3" fillId="0" borderId="538" xfId="0" applyNumberFormat="1" applyFont="1" applyBorder="1" applyAlignment="1">
      <alignment horizontal="center" vertical="center"/>
    </xf>
    <xf numFmtId="1" fontId="3" fillId="0" borderId="510" xfId="0" applyNumberFormat="1" applyFont="1" applyBorder="1" applyAlignment="1">
      <alignment vertical="top" wrapText="1"/>
    </xf>
    <xf numFmtId="1" fontId="3" fillId="0" borderId="535" xfId="0" applyNumberFormat="1" applyFont="1" applyBorder="1" applyAlignment="1">
      <alignment horizontal="right" wrapText="1"/>
    </xf>
    <xf numFmtId="1" fontId="3" fillId="0" borderId="513" xfId="0" applyNumberFormat="1" applyFont="1" applyBorder="1" applyAlignment="1">
      <alignment horizontal="right" wrapText="1"/>
    </xf>
    <xf numFmtId="1" fontId="3" fillId="4" borderId="567" xfId="0" applyNumberFormat="1" applyFont="1" applyFill="1" applyBorder="1" applyAlignment="1" applyProtection="1">
      <alignment horizontal="right"/>
      <protection locked="0"/>
    </xf>
    <xf numFmtId="1" fontId="3" fillId="7" borderId="569" xfId="0" applyNumberFormat="1" applyFont="1" applyFill="1" applyBorder="1" applyAlignment="1">
      <alignment horizontal="right"/>
    </xf>
    <xf numFmtId="1" fontId="3" fillId="7" borderId="513" xfId="0" applyNumberFormat="1" applyFont="1" applyFill="1" applyBorder="1" applyAlignment="1">
      <alignment horizontal="right"/>
    </xf>
    <xf numFmtId="1" fontId="3" fillId="7" borderId="535" xfId="0" applyNumberFormat="1" applyFont="1" applyFill="1" applyBorder="1" applyAlignment="1">
      <alignment horizontal="right"/>
    </xf>
    <xf numFmtId="1" fontId="3" fillId="7" borderId="511" xfId="0" applyNumberFormat="1" applyFont="1" applyFill="1" applyBorder="1" applyAlignment="1">
      <alignment horizontal="right"/>
    </xf>
    <xf numFmtId="1" fontId="3" fillId="7" borderId="563" xfId="0" applyNumberFormat="1" applyFont="1" applyFill="1" applyBorder="1" applyAlignment="1">
      <alignment horizontal="right"/>
    </xf>
    <xf numFmtId="1" fontId="3" fillId="4" borderId="505" xfId="0" applyNumberFormat="1" applyFont="1" applyFill="1" applyBorder="1" applyAlignment="1" applyProtection="1">
      <alignment horizontal="right"/>
      <protection locked="0"/>
    </xf>
    <xf numFmtId="1" fontId="51" fillId="31" borderId="0" xfId="0" applyNumberFormat="1" applyFont="1" applyFill="1"/>
    <xf numFmtId="1" fontId="3" fillId="0" borderId="539" xfId="0" applyNumberFormat="1" applyFont="1" applyBorder="1" applyAlignment="1">
      <alignment horizontal="right"/>
    </xf>
    <xf numFmtId="1" fontId="3" fillId="0" borderId="538" xfId="0" applyNumberFormat="1" applyFont="1" applyBorder="1" applyAlignment="1">
      <alignment horizontal="right"/>
    </xf>
    <xf numFmtId="1" fontId="3" fillId="0" borderId="539" xfId="0" applyNumberFormat="1" applyFont="1" applyBorder="1" applyAlignment="1">
      <alignment horizontal="right" vertical="center"/>
    </xf>
    <xf numFmtId="1" fontId="3" fillId="0" borderId="21" xfId="0" applyNumberFormat="1" applyFont="1" applyBorder="1" applyAlignment="1">
      <alignment horizontal="right" vertical="center"/>
    </xf>
    <xf numFmtId="1" fontId="3" fillId="0" borderId="301" xfId="0" applyNumberFormat="1" applyFont="1" applyBorder="1" applyAlignment="1">
      <alignment horizontal="right" vertical="center"/>
    </xf>
    <xf numFmtId="1" fontId="3" fillId="0" borderId="523" xfId="0" applyNumberFormat="1" applyFont="1" applyBorder="1" applyAlignment="1">
      <alignment horizontal="right" vertical="center"/>
    </xf>
    <xf numFmtId="1" fontId="3" fillId="0" borderId="524" xfId="0" applyNumberFormat="1" applyFont="1" applyBorder="1" applyAlignment="1">
      <alignment horizontal="right" vertical="center"/>
    </xf>
    <xf numFmtId="1" fontId="3" fillId="3" borderId="513" xfId="0" applyNumberFormat="1" applyFont="1" applyFill="1" applyBorder="1" applyAlignment="1">
      <alignment horizontal="right"/>
    </xf>
    <xf numFmtId="1" fontId="3" fillId="4" borderId="511" xfId="0" applyNumberFormat="1" applyFont="1" applyFill="1" applyBorder="1" applyProtection="1">
      <protection locked="0"/>
    </xf>
    <xf numFmtId="1" fontId="3" fillId="4" borderId="513" xfId="0" applyNumberFormat="1" applyFont="1" applyFill="1" applyBorder="1" applyProtection="1">
      <protection locked="0"/>
    </xf>
    <xf numFmtId="1" fontId="3" fillId="4" borderId="563" xfId="0" applyNumberFormat="1" applyFont="1" applyFill="1" applyBorder="1" applyProtection="1">
      <protection locked="0"/>
    </xf>
    <xf numFmtId="1" fontId="3" fillId="4" borderId="569" xfId="0" applyNumberFormat="1" applyFont="1" applyFill="1" applyBorder="1" applyAlignment="1" applyProtection="1">
      <alignment wrapText="1"/>
      <protection locked="0"/>
    </xf>
    <xf numFmtId="1" fontId="3" fillId="4" borderId="512" xfId="0" applyNumberFormat="1" applyFont="1" applyFill="1" applyBorder="1" applyAlignment="1" applyProtection="1">
      <alignment wrapText="1"/>
      <protection locked="0"/>
    </xf>
    <xf numFmtId="1" fontId="3" fillId="4" borderId="513" xfId="0" applyNumberFormat="1" applyFont="1" applyFill="1" applyBorder="1" applyAlignment="1" applyProtection="1">
      <alignment wrapText="1"/>
      <protection locked="0"/>
    </xf>
    <xf numFmtId="0" fontId="0" fillId="57" borderId="0" xfId="0" applyFill="1"/>
    <xf numFmtId="1" fontId="3" fillId="3" borderId="336" xfId="0" applyNumberFormat="1" applyFont="1" applyFill="1" applyBorder="1" applyAlignment="1">
      <alignment horizontal="right"/>
    </xf>
    <xf numFmtId="1" fontId="3" fillId="4" borderId="345" xfId="0" applyNumberFormat="1" applyFont="1" applyFill="1" applyBorder="1" applyAlignment="1" applyProtection="1">
      <alignment wrapText="1"/>
      <protection locked="0"/>
    </xf>
    <xf numFmtId="1" fontId="3" fillId="0" borderId="340" xfId="0" applyNumberFormat="1" applyFont="1" applyBorder="1" applyAlignment="1">
      <alignment horizontal="left" vertical="center"/>
    </xf>
    <xf numFmtId="1" fontId="3" fillId="3" borderId="134" xfId="0" applyNumberFormat="1" applyFont="1" applyFill="1" applyBorder="1" applyAlignment="1">
      <alignment horizontal="right"/>
    </xf>
    <xf numFmtId="1" fontId="3" fillId="7" borderId="204" xfId="0" applyNumberFormat="1" applyFont="1" applyFill="1" applyBorder="1"/>
    <xf numFmtId="1" fontId="3" fillId="7" borderId="2" xfId="0" applyNumberFormat="1" applyFont="1" applyFill="1" applyBorder="1"/>
    <xf numFmtId="1" fontId="3" fillId="0" borderId="331" xfId="0" applyNumberFormat="1" applyFont="1" applyBorder="1" applyAlignment="1">
      <alignment horizontal="left"/>
    </xf>
    <xf numFmtId="1" fontId="3" fillId="0" borderId="232" xfId="0" applyNumberFormat="1" applyFont="1" applyBorder="1" applyAlignment="1">
      <alignment horizontal="left"/>
    </xf>
    <xf numFmtId="1" fontId="3" fillId="3" borderId="2" xfId="0" applyNumberFormat="1" applyFont="1" applyFill="1" applyBorder="1" applyAlignment="1">
      <alignment horizontal="right"/>
    </xf>
    <xf numFmtId="1" fontId="3" fillId="7" borderId="361" xfId="0" applyNumberFormat="1" applyFont="1" applyFill="1" applyBorder="1"/>
    <xf numFmtId="1" fontId="3" fillId="7" borderId="357" xfId="0" applyNumberFormat="1" applyFont="1" applyFill="1" applyBorder="1"/>
    <xf numFmtId="1" fontId="3" fillId="7" borderId="394" xfId="0" applyNumberFormat="1" applyFont="1" applyFill="1" applyBorder="1"/>
    <xf numFmtId="1" fontId="3" fillId="4" borderId="356" xfId="0" applyNumberFormat="1" applyFont="1" applyFill="1" applyBorder="1" applyAlignment="1" applyProtection="1">
      <alignment wrapText="1"/>
      <protection locked="0"/>
    </xf>
    <xf numFmtId="1" fontId="3" fillId="4" borderId="357" xfId="0" applyNumberFormat="1" applyFont="1" applyFill="1" applyBorder="1" applyAlignment="1" applyProtection="1">
      <alignment wrapText="1"/>
      <protection locked="0"/>
    </xf>
    <xf numFmtId="1" fontId="3" fillId="4" borderId="2" xfId="0" applyNumberFormat="1" applyFont="1" applyFill="1" applyBorder="1" applyAlignment="1" applyProtection="1">
      <alignment wrapText="1"/>
      <protection locked="0"/>
    </xf>
    <xf numFmtId="1" fontId="3" fillId="7" borderId="276" xfId="0" applyNumberFormat="1" applyFont="1" applyFill="1" applyBorder="1"/>
    <xf numFmtId="1" fontId="3" fillId="3" borderId="491" xfId="0" applyNumberFormat="1" applyFont="1" applyFill="1" applyBorder="1" applyAlignment="1">
      <alignment horizontal="right"/>
    </xf>
    <xf numFmtId="1" fontId="3" fillId="4" borderId="562" xfId="0" applyNumberFormat="1" applyFont="1" applyFill="1" applyBorder="1" applyProtection="1">
      <protection locked="0"/>
    </xf>
    <xf numFmtId="1" fontId="3" fillId="4" borderId="360" xfId="0" applyNumberFormat="1" applyFont="1" applyFill="1" applyBorder="1" applyAlignment="1" applyProtection="1">
      <alignment wrapText="1"/>
      <protection locked="0"/>
    </xf>
    <xf numFmtId="1" fontId="27" fillId="0" borderId="575" xfId="0" applyNumberFormat="1" applyFont="1" applyBorder="1"/>
    <xf numFmtId="1" fontId="3" fillId="0" borderId="520" xfId="0" applyNumberFormat="1" applyFont="1" applyBorder="1"/>
    <xf numFmtId="1" fontId="3" fillId="0" borderId="275" xfId="0" applyNumberFormat="1" applyFont="1" applyBorder="1"/>
    <xf numFmtId="1" fontId="3" fillId="0" borderId="568" xfId="0" applyNumberFormat="1" applyFont="1" applyBorder="1" applyAlignment="1">
      <alignment horizontal="center" vertical="center" wrapText="1"/>
    </xf>
    <xf numFmtId="1" fontId="3" fillId="0" borderId="511" xfId="0" applyNumberFormat="1" applyFont="1" applyBorder="1" applyAlignment="1">
      <alignment horizontal="right"/>
    </xf>
    <xf numFmtId="1" fontId="3" fillId="4" borderId="535" xfId="0" applyNumberFormat="1" applyFont="1" applyFill="1" applyBorder="1" applyProtection="1">
      <protection locked="0"/>
    </xf>
    <xf numFmtId="1" fontId="3" fillId="4" borderId="547" xfId="0" applyNumberFormat="1" applyFont="1" applyFill="1" applyBorder="1" applyProtection="1">
      <protection locked="0"/>
    </xf>
    <xf numFmtId="1" fontId="3" fillId="4" borderId="301" xfId="0" applyNumberFormat="1" applyFont="1" applyFill="1" applyBorder="1" applyAlignment="1" applyProtection="1">
      <alignment wrapText="1"/>
      <protection locked="0"/>
    </xf>
    <xf numFmtId="1" fontId="3" fillId="4" borderId="280" xfId="0" applyNumberFormat="1" applyFont="1" applyFill="1" applyBorder="1" applyAlignment="1" applyProtection="1">
      <alignment wrapText="1"/>
      <protection locked="0"/>
    </xf>
    <xf numFmtId="1" fontId="3" fillId="4" borderId="134" xfId="0" applyNumberFormat="1" applyFont="1" applyFill="1" applyBorder="1" applyAlignment="1" applyProtection="1">
      <alignment wrapText="1"/>
      <protection locked="0"/>
    </xf>
    <xf numFmtId="1" fontId="3" fillId="7" borderId="353" xfId="0" applyNumberFormat="1" applyFont="1" applyFill="1" applyBorder="1"/>
    <xf numFmtId="1" fontId="3" fillId="6" borderId="334" xfId="0" applyNumberFormat="1" applyFont="1" applyFill="1" applyBorder="1"/>
    <xf numFmtId="1" fontId="3" fillId="4" borderId="505" xfId="0" applyNumberFormat="1" applyFont="1" applyFill="1" applyBorder="1" applyProtection="1">
      <protection locked="0"/>
    </xf>
    <xf numFmtId="1" fontId="3" fillId="4" borderId="491" xfId="0" applyNumberFormat="1" applyFont="1" applyFill="1" applyBorder="1" applyAlignment="1" applyProtection="1">
      <alignment wrapText="1"/>
      <protection locked="0"/>
    </xf>
    <xf numFmtId="0" fontId="3" fillId="0" borderId="524" xfId="0" applyFont="1" applyBorder="1" applyAlignment="1">
      <alignment horizontal="center" wrapText="1"/>
    </xf>
    <xf numFmtId="0" fontId="3" fillId="0" borderId="302" xfId="0" applyFont="1" applyBorder="1" applyAlignment="1">
      <alignment horizontal="left" wrapText="1"/>
    </xf>
    <xf numFmtId="0" fontId="3" fillId="0" borderId="511" xfId="0" applyFont="1" applyBorder="1"/>
    <xf numFmtId="0" fontId="3" fillId="0" borderId="535" xfId="0" applyFont="1" applyBorder="1"/>
    <xf numFmtId="0" fontId="3" fillId="0" borderId="513" xfId="0" applyFont="1" applyBorder="1"/>
    <xf numFmtId="0" fontId="3" fillId="44" borderId="511" xfId="0" applyFont="1" applyFill="1" applyBorder="1" applyProtection="1">
      <protection locked="0"/>
    </xf>
    <xf numFmtId="0" fontId="3" fillId="44" borderId="134" xfId="0" applyFont="1" applyFill="1" applyBorder="1" applyProtection="1">
      <protection locked="0"/>
    </xf>
    <xf numFmtId="0" fontId="3" fillId="44" borderId="21" xfId="0" applyFont="1" applyFill="1" applyBorder="1" applyProtection="1">
      <protection locked="0"/>
    </xf>
    <xf numFmtId="0" fontId="3" fillId="44" borderId="276" xfId="0" applyFont="1" applyFill="1" applyBorder="1" applyProtection="1">
      <protection locked="0"/>
    </xf>
    <xf numFmtId="0" fontId="3" fillId="44" borderId="22" xfId="0" applyFont="1" applyFill="1" applyBorder="1" applyProtection="1">
      <protection locked="0"/>
    </xf>
    <xf numFmtId="0" fontId="3" fillId="44" borderId="271" xfId="0" applyFont="1" applyFill="1" applyBorder="1" applyProtection="1">
      <protection locked="0"/>
    </xf>
    <xf numFmtId="0" fontId="0" fillId="22" borderId="0" xfId="0" applyFill="1"/>
    <xf numFmtId="0" fontId="3" fillId="0" borderId="406" xfId="0" applyFont="1" applyBorder="1" applyAlignment="1">
      <alignment wrapText="1"/>
    </xf>
    <xf numFmtId="0" fontId="3" fillId="0" borderId="321" xfId="0" applyFont="1" applyBorder="1"/>
    <xf numFmtId="0" fontId="3" fillId="0" borderId="503" xfId="0" applyFont="1" applyBorder="1"/>
    <xf numFmtId="0" fontId="3" fillId="0" borderId="491" xfId="0" applyFont="1" applyBorder="1"/>
    <xf numFmtId="0" fontId="3" fillId="44" borderId="328" xfId="0" applyFont="1" applyFill="1" applyBorder="1" applyProtection="1">
      <protection locked="0"/>
    </xf>
    <xf numFmtId="0" fontId="3" fillId="44" borderId="354" xfId="0" applyFont="1" applyFill="1" applyBorder="1" applyProtection="1">
      <protection locked="0"/>
    </xf>
    <xf numFmtId="0" fontId="3" fillId="44" borderId="359" xfId="0" applyFont="1" applyFill="1" applyBorder="1" applyProtection="1">
      <protection locked="0"/>
    </xf>
    <xf numFmtId="0" fontId="3" fillId="44" borderId="404" xfId="0" applyFont="1" applyFill="1" applyBorder="1" applyProtection="1">
      <protection locked="0"/>
    </xf>
    <xf numFmtId="0" fontId="3" fillId="44" borderId="366" xfId="0" applyFont="1" applyFill="1" applyBorder="1" applyProtection="1">
      <protection locked="0"/>
    </xf>
    <xf numFmtId="1" fontId="27" fillId="0" borderId="576" xfId="0" applyNumberFormat="1" applyFont="1" applyBorder="1"/>
    <xf numFmtId="1" fontId="27" fillId="0" borderId="577" xfId="0" applyNumberFormat="1" applyFont="1" applyBorder="1"/>
    <xf numFmtId="1" fontId="27" fillId="0" borderId="578" xfId="0" applyNumberFormat="1" applyFont="1" applyBorder="1"/>
    <xf numFmtId="1" fontId="4" fillId="0" borderId="582" xfId="0" applyNumberFormat="1" applyFont="1" applyBorder="1" applyAlignment="1">
      <alignment horizontal="left" vertical="center"/>
    </xf>
    <xf numFmtId="1" fontId="3" fillId="0" borderId="583" xfId="0" applyNumberFormat="1" applyFont="1" applyBorder="1" applyAlignment="1">
      <alignment horizontal="right"/>
    </xf>
    <xf numFmtId="1" fontId="3" fillId="0" borderId="584" xfId="0" applyNumberFormat="1" applyFont="1" applyBorder="1"/>
    <xf numFmtId="1" fontId="3" fillId="0" borderId="583" xfId="0" applyNumberFormat="1" applyFont="1" applyBorder="1"/>
    <xf numFmtId="1" fontId="3" fillId="0" borderId="585" xfId="0" applyNumberFormat="1" applyFont="1" applyBorder="1"/>
    <xf numFmtId="1" fontId="3" fillId="0" borderId="586" xfId="0" applyNumberFormat="1" applyFont="1" applyBorder="1"/>
    <xf numFmtId="1" fontId="3" fillId="0" borderId="587" xfId="0" applyNumberFormat="1" applyFont="1" applyBorder="1" applyAlignment="1">
      <alignment vertical="center" wrapText="1"/>
    </xf>
    <xf numFmtId="1" fontId="3" fillId="9" borderId="588" xfId="28" applyNumberFormat="1" applyFont="1" applyBorder="1" applyAlignment="1" applyProtection="1">
      <alignment horizontal="right"/>
      <protection locked="0"/>
    </xf>
    <xf numFmtId="1" fontId="3" fillId="9" borderId="589" xfId="28" applyNumberFormat="1" applyFont="1" applyBorder="1" applyAlignment="1" applyProtection="1">
      <alignment horizontal="right"/>
      <protection locked="0"/>
    </xf>
    <xf numFmtId="1" fontId="3" fillId="4" borderId="302" xfId="0" applyNumberFormat="1" applyFont="1" applyFill="1" applyBorder="1" applyProtection="1">
      <protection locked="0"/>
    </xf>
    <xf numFmtId="1" fontId="3" fillId="0" borderId="421" xfId="0" applyNumberFormat="1" applyFont="1" applyBorder="1" applyAlignment="1">
      <alignment horizontal="left" vertical="center"/>
    </xf>
    <xf numFmtId="1" fontId="3" fillId="9" borderId="590" xfId="28" applyNumberFormat="1" applyFont="1" applyBorder="1" applyAlignment="1" applyProtection="1">
      <alignment horizontal="right"/>
      <protection locked="0"/>
    </xf>
    <xf numFmtId="1" fontId="3" fillId="9" borderId="591" xfId="28" applyNumberFormat="1" applyFont="1" applyBorder="1" applyAlignment="1" applyProtection="1">
      <alignment horizontal="right"/>
      <protection locked="0"/>
    </xf>
    <xf numFmtId="1" fontId="3" fillId="4" borderId="592" xfId="0" applyNumberFormat="1" applyFont="1" applyFill="1" applyBorder="1" applyProtection="1">
      <protection locked="0"/>
    </xf>
    <xf numFmtId="1" fontId="4" fillId="0" borderId="593" xfId="0" applyNumberFormat="1" applyFont="1" applyBorder="1" applyAlignment="1">
      <alignment horizontal="left" vertical="center" wrapText="1"/>
    </xf>
    <xf numFmtId="1" fontId="3" fillId="0" borderId="594" xfId="0" applyNumberFormat="1" applyFont="1" applyBorder="1" applyAlignment="1">
      <alignment horizontal="right" wrapText="1"/>
    </xf>
    <xf numFmtId="1" fontId="3" fillId="0" borderId="595" xfId="0" applyNumberFormat="1" applyFont="1" applyBorder="1" applyAlignment="1">
      <alignment horizontal="right" wrapText="1"/>
    </xf>
    <xf numFmtId="1" fontId="3" fillId="0" borderId="593" xfId="0" applyNumberFormat="1" applyFont="1" applyBorder="1" applyAlignment="1">
      <alignment horizontal="center" wrapText="1"/>
    </xf>
    <xf numFmtId="1" fontId="3" fillId="4" borderId="587" xfId="0" applyNumberFormat="1" applyFont="1" applyFill="1" applyBorder="1" applyAlignment="1" applyProtection="1">
      <alignment wrapText="1"/>
      <protection locked="0"/>
    </xf>
    <xf numFmtId="1" fontId="3" fillId="4" borderId="406" xfId="0" applyNumberFormat="1" applyFont="1" applyFill="1" applyBorder="1" applyAlignment="1" applyProtection="1">
      <alignment wrapText="1"/>
      <protection locked="0"/>
    </xf>
    <xf numFmtId="1" fontId="3" fillId="0" borderId="596" xfId="0" applyNumberFormat="1" applyFont="1" applyBorder="1"/>
    <xf numFmtId="1" fontId="3" fillId="0" borderId="597" xfId="0" applyNumberFormat="1" applyFont="1" applyBorder="1"/>
    <xf numFmtId="1" fontId="3" fillId="0" borderId="598" xfId="0" applyNumberFormat="1" applyFont="1" applyBorder="1"/>
    <xf numFmtId="1" fontId="3" fillId="0" borderId="609" xfId="0" applyNumberFormat="1" applyFont="1" applyBorder="1" applyAlignment="1">
      <alignment horizontal="center" vertical="center" wrapText="1"/>
    </xf>
    <xf numFmtId="1" fontId="3" fillId="0" borderId="587" xfId="0" applyNumberFormat="1" applyFont="1" applyBorder="1" applyAlignment="1">
      <alignment horizontal="center" vertical="center" wrapText="1"/>
    </xf>
    <xf numFmtId="1" fontId="3" fillId="0" borderId="611" xfId="0" applyNumberFormat="1" applyFont="1" applyBorder="1" applyAlignment="1">
      <alignment vertical="center" wrapText="1"/>
    </xf>
    <xf numFmtId="1" fontId="3" fillId="0" borderId="612" xfId="0" applyNumberFormat="1" applyFont="1" applyBorder="1" applyAlignment="1">
      <alignment vertical="center" wrapText="1"/>
    </xf>
    <xf numFmtId="1" fontId="3" fillId="0" borderId="613" xfId="0" applyNumberFormat="1" applyFont="1" applyBorder="1" applyAlignment="1">
      <alignment vertical="center"/>
    </xf>
    <xf numFmtId="1" fontId="3" fillId="9" borderId="611" xfId="28" applyNumberFormat="1" applyFont="1" applyBorder="1" applyAlignment="1" applyProtection="1">
      <alignment horizontal="right"/>
      <protection locked="0"/>
    </xf>
    <xf numFmtId="1" fontId="3" fillId="9" borderId="613" xfId="28" applyNumberFormat="1" applyFont="1" applyBorder="1" applyAlignment="1" applyProtection="1">
      <alignment horizontal="right"/>
      <protection locked="0"/>
    </xf>
    <xf numFmtId="1" fontId="3" fillId="9" borderId="614" xfId="28" applyNumberFormat="1" applyFont="1" applyBorder="1" applyAlignment="1" applyProtection="1">
      <alignment horizontal="right"/>
      <protection locked="0"/>
    </xf>
    <xf numFmtId="1" fontId="3" fillId="9" borderId="612" xfId="28" applyNumberFormat="1" applyFont="1" applyBorder="1" applyAlignment="1" applyProtection="1">
      <alignment horizontal="right"/>
      <protection locked="0"/>
    </xf>
    <xf numFmtId="1" fontId="3" fillId="9" borderId="615" xfId="28" applyNumberFormat="1" applyFont="1" applyBorder="1" applyAlignment="1" applyProtection="1">
      <alignment horizontal="right"/>
      <protection locked="0"/>
    </xf>
    <xf numFmtId="1" fontId="3" fillId="0" borderId="321" xfId="0" applyNumberFormat="1" applyFont="1" applyBorder="1" applyAlignment="1">
      <alignment vertical="center" wrapText="1"/>
    </xf>
    <xf numFmtId="1" fontId="3" fillId="0" borderId="607" xfId="0" applyNumberFormat="1" applyFont="1" applyBorder="1" applyAlignment="1">
      <alignment vertical="center" wrapText="1"/>
    </xf>
    <xf numFmtId="1" fontId="3" fillId="0" borderId="491" xfId="0" applyNumberFormat="1" applyFont="1" applyBorder="1" applyAlignment="1">
      <alignment vertical="center"/>
    </xf>
    <xf numFmtId="1" fontId="3" fillId="9" borderId="321" xfId="28" applyNumberFormat="1" applyFont="1" applyBorder="1" applyAlignment="1" applyProtection="1">
      <alignment horizontal="right"/>
      <protection locked="0"/>
    </xf>
    <xf numFmtId="1" fontId="3" fillId="9" borderId="491" xfId="28" applyNumberFormat="1" applyFont="1" applyBorder="1" applyAlignment="1" applyProtection="1">
      <alignment horizontal="right"/>
      <protection locked="0"/>
    </xf>
    <xf numFmtId="1" fontId="3" fillId="9" borderId="257" xfId="28" applyNumberFormat="1" applyFont="1" applyBorder="1" applyAlignment="1" applyProtection="1">
      <alignment horizontal="right"/>
      <protection locked="0"/>
    </xf>
    <xf numFmtId="1" fontId="3" fillId="9" borderId="607" xfId="28" applyNumberFormat="1" applyFont="1" applyBorder="1" applyAlignment="1" applyProtection="1">
      <alignment horizontal="right"/>
      <protection locked="0"/>
    </xf>
    <xf numFmtId="1" fontId="3" fillId="9" borderId="263" xfId="28" applyNumberFormat="1" applyFont="1" applyBorder="1" applyAlignment="1" applyProtection="1">
      <alignment horizontal="right"/>
      <protection locked="0"/>
    </xf>
    <xf numFmtId="1" fontId="3" fillId="0" borderId="594" xfId="0" applyNumberFormat="1" applyFont="1" applyBorder="1" applyAlignment="1">
      <alignment vertical="center" wrapText="1"/>
    </xf>
    <xf numFmtId="1" fontId="3" fillId="5" borderId="594" xfId="28" applyNumberFormat="1" applyFont="1" applyFill="1" applyBorder="1" applyAlignment="1" applyProtection="1">
      <alignment horizontal="right"/>
    </xf>
    <xf numFmtId="1" fontId="3" fillId="5" borderId="603" xfId="28" applyNumberFormat="1" applyFont="1" applyFill="1" applyBorder="1" applyAlignment="1" applyProtection="1">
      <alignment horizontal="right"/>
    </xf>
    <xf numFmtId="1" fontId="3" fillId="0" borderId="0" xfId="0" applyNumberFormat="1" applyFont="1" applyProtection="1">
      <protection hidden="1"/>
    </xf>
    <xf numFmtId="1" fontId="3" fillId="0" borderId="616" xfId="0" applyNumberFormat="1" applyFont="1" applyBorder="1" applyProtection="1">
      <protection hidden="1"/>
    </xf>
    <xf numFmtId="1" fontId="3" fillId="0" borderId="617" xfId="0" applyNumberFormat="1" applyFont="1" applyBorder="1" applyProtection="1">
      <protection hidden="1"/>
    </xf>
    <xf numFmtId="1" fontId="3" fillId="0" borderId="618" xfId="0" applyNumberFormat="1" applyFont="1" applyBorder="1" applyProtection="1">
      <protection hidden="1"/>
    </xf>
    <xf numFmtId="1" fontId="3" fillId="0" borderId="598" xfId="0" applyNumberFormat="1" applyFont="1" applyBorder="1" applyProtection="1">
      <protection hidden="1"/>
    </xf>
    <xf numFmtId="1" fontId="3" fillId="0" borderId="583" xfId="0" applyNumberFormat="1" applyFont="1" applyBorder="1" applyAlignment="1">
      <alignment horizontal="center" vertical="center" wrapText="1"/>
    </xf>
    <xf numFmtId="1" fontId="3" fillId="0" borderId="593" xfId="0" applyNumberFormat="1" applyFont="1" applyBorder="1" applyAlignment="1">
      <alignment horizontal="left"/>
    </xf>
    <xf numFmtId="1" fontId="3" fillId="0" borderId="620" xfId="0" applyNumberFormat="1" applyFont="1" applyBorder="1" applyAlignment="1" applyProtection="1">
      <alignment horizontal="left" vertical="center"/>
      <protection hidden="1"/>
    </xf>
    <xf numFmtId="1" fontId="3" fillId="0" borderId="595" xfId="0" applyNumberFormat="1" applyFont="1" applyBorder="1" applyAlignment="1">
      <alignment horizontal="right"/>
    </xf>
    <xf numFmtId="1" fontId="3" fillId="4" borderId="621" xfId="0" applyNumberFormat="1" applyFont="1" applyFill="1" applyBorder="1" applyAlignment="1" applyProtection="1">
      <alignment horizontal="right"/>
      <protection locked="0"/>
    </xf>
    <xf numFmtId="1" fontId="3" fillId="0" borderId="593" xfId="0" applyNumberFormat="1" applyFont="1" applyBorder="1" applyAlignment="1">
      <alignment horizontal="left" vertical="center"/>
    </xf>
    <xf numFmtId="1" fontId="3" fillId="0" borderId="587" xfId="0" applyNumberFormat="1" applyFont="1" applyBorder="1" applyAlignment="1">
      <alignment horizontal="left" vertical="center"/>
    </xf>
    <xf numFmtId="1" fontId="3" fillId="0" borderId="593" xfId="0" applyNumberFormat="1" applyFont="1" applyBorder="1" applyAlignment="1" applyProtection="1">
      <alignment horizontal="left" vertical="center"/>
      <protection hidden="1"/>
    </xf>
    <xf numFmtId="1" fontId="3" fillId="4" borderId="594" xfId="0" applyNumberFormat="1" applyFont="1" applyFill="1" applyBorder="1" applyAlignment="1" applyProtection="1">
      <alignment horizontal="right"/>
      <protection locked="0"/>
    </xf>
    <xf numFmtId="1" fontId="3" fillId="4" borderId="583" xfId="0" applyNumberFormat="1" applyFont="1" applyFill="1" applyBorder="1" applyAlignment="1" applyProtection="1">
      <alignment horizontal="right"/>
      <protection locked="0"/>
    </xf>
    <xf numFmtId="1" fontId="3" fillId="4" borderId="622" xfId="0" applyNumberFormat="1" applyFont="1" applyFill="1" applyBorder="1" applyAlignment="1" applyProtection="1">
      <alignment horizontal="right"/>
      <protection locked="0"/>
    </xf>
    <xf numFmtId="1" fontId="3" fillId="4" borderId="623" xfId="0" applyNumberFormat="1" applyFont="1" applyFill="1" applyBorder="1" applyAlignment="1" applyProtection="1">
      <alignment horizontal="right"/>
      <protection locked="0"/>
    </xf>
    <xf numFmtId="1" fontId="3" fillId="0" borderId="587" xfId="0" applyNumberFormat="1" applyFont="1" applyBorder="1" applyAlignment="1">
      <alignment horizontal="right" vertical="center" wrapText="1"/>
    </xf>
    <xf numFmtId="1" fontId="3" fillId="4" borderId="587" xfId="0" applyNumberFormat="1" applyFont="1" applyFill="1" applyBorder="1" applyProtection="1">
      <protection locked="0"/>
    </xf>
    <xf numFmtId="1" fontId="3" fillId="0" borderId="331" xfId="0" applyNumberFormat="1" applyFont="1" applyBorder="1" applyAlignment="1">
      <alignment horizontal="right" vertical="center" wrapText="1"/>
    </xf>
    <xf numFmtId="1" fontId="3" fillId="4" borderId="347" xfId="0" applyNumberFormat="1" applyFont="1" applyFill="1" applyBorder="1" applyProtection="1">
      <protection locked="0"/>
    </xf>
    <xf numFmtId="1" fontId="3" fillId="0" borderId="587" xfId="0" applyNumberFormat="1" applyFont="1" applyBorder="1" applyAlignment="1">
      <alignment horizontal="left" vertical="center" wrapText="1"/>
    </xf>
    <xf numFmtId="1" fontId="3" fillId="0" borderId="406" xfId="0" applyNumberFormat="1" applyFont="1" applyBorder="1" applyAlignment="1">
      <alignment horizontal="right"/>
    </xf>
    <xf numFmtId="1" fontId="3" fillId="4" borderId="370" xfId="0" applyNumberFormat="1" applyFont="1" applyFill="1" applyBorder="1" applyProtection="1">
      <protection locked="0"/>
    </xf>
    <xf numFmtId="1" fontId="4" fillId="0" borderId="601" xfId="0" applyNumberFormat="1" applyFont="1" applyBorder="1" applyAlignment="1">
      <alignment vertical="center"/>
    </xf>
    <xf numFmtId="1" fontId="4" fillId="0" borderId="626" xfId="0" applyNumberFormat="1" applyFont="1" applyBorder="1" applyAlignment="1">
      <alignment vertical="center"/>
    </xf>
    <xf numFmtId="1" fontId="4" fillId="0" borderId="583" xfId="0" applyNumberFormat="1" applyFont="1" applyBorder="1" applyAlignment="1">
      <alignment vertical="center"/>
    </xf>
    <xf numFmtId="1" fontId="3" fillId="4" borderId="621" xfId="0" applyNumberFormat="1" applyFont="1" applyFill="1" applyBorder="1" applyProtection="1">
      <protection locked="0"/>
    </xf>
    <xf numFmtId="1" fontId="3" fillId="5" borderId="629" xfId="0" applyNumberFormat="1" applyFont="1" applyFill="1" applyBorder="1"/>
    <xf numFmtId="1" fontId="3" fillId="0" borderId="594" xfId="30" applyNumberFormat="1" applyFont="1" applyBorder="1" applyAlignment="1">
      <alignment horizontal="center" vertical="center" wrapText="1"/>
    </xf>
    <xf numFmtId="1" fontId="3" fillId="0" borderId="583" xfId="30" applyNumberFormat="1" applyFont="1" applyBorder="1" applyAlignment="1">
      <alignment horizontal="center" vertical="center" wrapText="1"/>
    </xf>
    <xf numFmtId="1" fontId="3" fillId="0" borderId="594" xfId="30" applyNumberFormat="1" applyFont="1" applyFill="1" applyBorder="1" applyAlignment="1">
      <alignment horizontal="center" vertical="center" wrapText="1"/>
    </xf>
    <xf numFmtId="1" fontId="3" fillId="0" borderId="583" xfId="30" applyNumberFormat="1" applyFont="1" applyFill="1" applyBorder="1" applyAlignment="1">
      <alignment horizontal="center" vertical="center" wrapText="1"/>
    </xf>
    <xf numFmtId="1" fontId="3" fillId="0" borderId="622" xfId="30" applyNumberFormat="1" applyFont="1" applyFill="1" applyBorder="1" applyAlignment="1">
      <alignment horizontal="center" vertical="center" wrapText="1"/>
    </xf>
    <xf numFmtId="1" fontId="3" fillId="0" borderId="623" xfId="30" applyNumberFormat="1" applyFont="1" applyFill="1" applyBorder="1" applyAlignment="1">
      <alignment horizontal="center" vertical="center" wrapText="1"/>
    </xf>
    <xf numFmtId="1" fontId="3" fillId="0" borderId="619" xfId="30" applyNumberFormat="1" applyFont="1" applyFill="1" applyBorder="1" applyAlignment="1">
      <alignment horizontal="center" vertical="center" wrapText="1"/>
    </xf>
    <xf numFmtId="1" fontId="3" fillId="0" borderId="503" xfId="30" applyNumberFormat="1" applyFont="1" applyBorder="1" applyAlignment="1">
      <alignment horizontal="center" vertical="center" wrapText="1"/>
    </xf>
    <xf numFmtId="1" fontId="3" fillId="0" borderId="257" xfId="30" applyNumberFormat="1" applyFont="1" applyBorder="1" applyAlignment="1">
      <alignment horizontal="center" vertical="center" wrapText="1"/>
    </xf>
    <xf numFmtId="1" fontId="3" fillId="0" borderId="608" xfId="30" applyNumberFormat="1" applyFont="1" applyBorder="1" applyAlignment="1">
      <alignment horizontal="center" vertical="center" wrapText="1"/>
    </xf>
    <xf numFmtId="1" fontId="3" fillId="0" borderId="631" xfId="29" applyNumberFormat="1" applyFont="1" applyBorder="1" applyAlignment="1">
      <alignment vertical="center" wrapText="1"/>
    </xf>
    <xf numFmtId="1" fontId="3" fillId="5" borderId="276" xfId="8" applyNumberFormat="1" applyFont="1" applyFill="1" applyBorder="1" applyProtection="1"/>
    <xf numFmtId="1" fontId="3" fillId="4" borderId="611" xfId="8" applyNumberFormat="1" applyFont="1" applyFill="1" applyBorder="1" applyProtection="1">
      <protection locked="0"/>
    </xf>
    <xf numFmtId="1" fontId="3" fillId="4" borderId="613" xfId="8" applyNumberFormat="1" applyFont="1" applyFill="1" applyBorder="1" applyProtection="1">
      <protection locked="0"/>
    </xf>
    <xf numFmtId="1" fontId="3" fillId="4" borderId="564" xfId="8" applyNumberFormat="1" applyFont="1" applyFill="1" applyBorder="1" applyProtection="1">
      <protection locked="0"/>
    </xf>
    <xf numFmtId="1" fontId="3" fillId="4" borderId="632" xfId="8" applyNumberFormat="1" applyFont="1" applyFill="1" applyBorder="1" applyProtection="1">
      <protection locked="0"/>
    </xf>
    <xf numFmtId="1" fontId="3" fillId="4" borderId="633" xfId="8" applyNumberFormat="1" applyFont="1" applyFill="1" applyBorder="1" applyProtection="1">
      <protection locked="0"/>
    </xf>
    <xf numFmtId="1" fontId="3" fillId="4" borderId="612" xfId="8" applyNumberFormat="1" applyFont="1" applyFill="1" applyBorder="1" applyProtection="1">
      <protection locked="0"/>
    </xf>
    <xf numFmtId="1" fontId="3" fillId="4" borderId="614" xfId="8" applyNumberFormat="1" applyFont="1" applyFill="1" applyBorder="1" applyProtection="1">
      <protection locked="0"/>
    </xf>
    <xf numFmtId="1" fontId="3" fillId="6" borderId="276" xfId="8" applyNumberFormat="1" applyFont="1" applyFill="1" applyBorder="1" applyProtection="1"/>
    <xf numFmtId="1" fontId="3" fillId="6" borderId="271" xfId="8" applyNumberFormat="1" applyFont="1" applyFill="1" applyBorder="1" applyProtection="1"/>
    <xf numFmtId="1" fontId="3" fillId="0" borderId="331" xfId="29" applyNumberFormat="1" applyFont="1" applyBorder="1" applyAlignment="1">
      <alignment vertical="center" wrapText="1"/>
    </xf>
    <xf numFmtId="1" fontId="3" fillId="4" borderId="276" xfId="8" applyNumberFormat="1" applyFont="1" applyFill="1" applyBorder="1" applyProtection="1">
      <protection locked="0"/>
    </xf>
    <xf numFmtId="1" fontId="3" fillId="4" borderId="134" xfId="8" applyNumberFormat="1" applyFont="1" applyFill="1" applyBorder="1" applyProtection="1">
      <protection locked="0"/>
    </xf>
    <xf numFmtId="1" fontId="3" fillId="4" borderId="268" xfId="8" applyNumberFormat="1" applyFont="1" applyFill="1" applyBorder="1" applyProtection="1">
      <protection locked="0"/>
    </xf>
    <xf numFmtId="1" fontId="3" fillId="4" borderId="301" xfId="8" applyNumberFormat="1" applyFont="1" applyFill="1" applyBorder="1" applyProtection="1">
      <protection locked="0"/>
    </xf>
    <xf numFmtId="1" fontId="3" fillId="4" borderId="21" xfId="8" applyNumberFormat="1" applyFont="1" applyFill="1" applyBorder="1" applyProtection="1">
      <protection locked="0"/>
    </xf>
    <xf numFmtId="1" fontId="3" fillId="6" borderId="22" xfId="8" applyNumberFormat="1" applyFont="1" applyFill="1" applyBorder="1" applyProtection="1"/>
    <xf numFmtId="1" fontId="3" fillId="5" borderId="328" xfId="8" applyNumberFormat="1" applyFont="1" applyFill="1" applyBorder="1" applyProtection="1"/>
    <xf numFmtId="1" fontId="3" fillId="4" borderId="328" xfId="8" applyNumberFormat="1" applyFont="1" applyFill="1" applyBorder="1" applyProtection="1">
      <protection locked="0"/>
    </xf>
    <xf numFmtId="1" fontId="3" fillId="4" borderId="336" xfId="8" applyNumberFormat="1" applyFont="1" applyFill="1" applyBorder="1" applyProtection="1">
      <protection locked="0"/>
    </xf>
    <xf numFmtId="1" fontId="3" fillId="4" borderId="341" xfId="8" applyNumberFormat="1" applyFont="1" applyFill="1" applyBorder="1" applyProtection="1">
      <protection locked="0"/>
    </xf>
    <xf numFmtId="1" fontId="3" fillId="4" borderId="343" xfId="8" applyNumberFormat="1" applyFont="1" applyFill="1" applyBorder="1" applyProtection="1">
      <protection locked="0"/>
    </xf>
    <xf numFmtId="1" fontId="3" fillId="4" borderId="344" xfId="8" applyNumberFormat="1" applyFont="1" applyFill="1" applyBorder="1" applyProtection="1">
      <protection locked="0"/>
    </xf>
    <xf numFmtId="1" fontId="3" fillId="4" borderId="332" xfId="8" applyNumberFormat="1" applyFont="1" applyFill="1" applyBorder="1" applyProtection="1">
      <protection locked="0"/>
    </xf>
    <xf numFmtId="1" fontId="3" fillId="6" borderId="328" xfId="8" applyNumberFormat="1" applyFont="1" applyFill="1" applyBorder="1" applyProtection="1"/>
    <xf numFmtId="1" fontId="3" fillId="6" borderId="404" xfId="8" applyNumberFormat="1" applyFont="1" applyFill="1" applyBorder="1" applyProtection="1"/>
    <xf numFmtId="1" fontId="3" fillId="6" borderId="334" xfId="8" applyNumberFormat="1" applyFont="1" applyFill="1" applyBorder="1" applyProtection="1"/>
    <xf numFmtId="1" fontId="3" fillId="6" borderId="341" xfId="8" applyNumberFormat="1" applyFont="1" applyFill="1" applyBorder="1" applyProtection="1"/>
    <xf numFmtId="1" fontId="3" fillId="4" borderId="366" xfId="8" applyNumberFormat="1" applyFont="1" applyFill="1" applyBorder="1" applyProtection="1">
      <protection locked="0"/>
    </xf>
    <xf numFmtId="1" fontId="3" fillId="0" borderId="601" xfId="29" applyNumberFormat="1" applyFont="1" applyBorder="1" applyAlignment="1">
      <alignment horizontal="center" vertical="center" wrapText="1"/>
    </xf>
    <xf numFmtId="1" fontId="3" fillId="0" borderId="594" xfId="8" applyNumberFormat="1" applyFont="1" applyBorder="1" applyAlignment="1">
      <alignment horizontal="right"/>
    </xf>
    <xf numFmtId="1" fontId="3" fillId="0" borderId="583" xfId="8" applyNumberFormat="1" applyFont="1" applyBorder="1" applyAlignment="1">
      <alignment horizontal="right"/>
    </xf>
    <xf numFmtId="1" fontId="3" fillId="0" borderId="622" xfId="8" applyNumberFormat="1" applyFont="1" applyBorder="1" applyAlignment="1">
      <alignment horizontal="right"/>
    </xf>
    <xf numFmtId="1" fontId="3" fillId="0" borderId="623" xfId="8" applyNumberFormat="1" applyFont="1" applyBorder="1" applyAlignment="1">
      <alignment horizontal="right"/>
    </xf>
    <xf numFmtId="1" fontId="3" fillId="0" borderId="619" xfId="8" applyNumberFormat="1" applyFont="1" applyBorder="1" applyAlignment="1">
      <alignment horizontal="right"/>
    </xf>
    <xf numFmtId="1" fontId="3" fillId="0" borderId="595" xfId="8" applyNumberFormat="1" applyFont="1" applyBorder="1" applyAlignment="1">
      <alignment horizontal="right"/>
    </xf>
    <xf numFmtId="1" fontId="3" fillId="0" borderId="608" xfId="8" applyNumberFormat="1" applyFont="1" applyBorder="1" applyAlignment="1">
      <alignment horizontal="right"/>
    </xf>
    <xf numFmtId="1" fontId="3" fillId="5" borderId="635" xfId="0" applyNumberFormat="1" applyFont="1" applyFill="1" applyBorder="1"/>
    <xf numFmtId="1" fontId="3" fillId="0" borderId="0" xfId="8" applyNumberFormat="1" applyFont="1" applyBorder="1" applyAlignment="1">
      <alignment horizontal="right"/>
    </xf>
    <xf numFmtId="1" fontId="3" fillId="0" borderId="603" xfId="30" applyNumberFormat="1" applyFont="1" applyBorder="1" applyAlignment="1">
      <alignment horizontal="center" vertical="center" wrapText="1"/>
    </xf>
    <xf numFmtId="1" fontId="3" fillId="0" borderId="603" xfId="30" applyNumberFormat="1" applyFont="1" applyFill="1" applyBorder="1" applyAlignment="1">
      <alignment horizontal="center" vertical="center" wrapText="1"/>
    </xf>
    <xf numFmtId="1" fontId="3" fillId="6" borderId="611" xfId="8" applyNumberFormat="1" applyFont="1" applyFill="1" applyBorder="1" applyProtection="1"/>
    <xf numFmtId="1" fontId="3" fillId="6" borderId="613" xfId="8" applyNumberFormat="1" applyFont="1" applyFill="1" applyBorder="1" applyProtection="1"/>
    <xf numFmtId="1" fontId="3" fillId="0" borderId="406" xfId="29" applyNumberFormat="1" applyFont="1" applyBorder="1" applyAlignment="1">
      <alignment vertical="center" wrapText="1"/>
    </xf>
    <xf numFmtId="1" fontId="3" fillId="4" borderId="354" xfId="8" applyNumberFormat="1" applyFont="1" applyFill="1" applyBorder="1" applyProtection="1">
      <protection locked="0"/>
    </xf>
    <xf numFmtId="1" fontId="3" fillId="6" borderId="354" xfId="8" applyNumberFormat="1" applyFont="1" applyFill="1" applyBorder="1" applyProtection="1"/>
    <xf numFmtId="1" fontId="3" fillId="4" borderId="329" xfId="8" applyNumberFormat="1" applyFont="1" applyFill="1" applyBorder="1" applyProtection="1">
      <protection locked="0"/>
    </xf>
    <xf numFmtId="1" fontId="52" fillId="3" borderId="620" xfId="0" applyNumberFormat="1" applyFont="1" applyFill="1" applyBorder="1" applyAlignment="1">
      <alignment vertical="center" wrapText="1"/>
    </xf>
    <xf numFmtId="1" fontId="52" fillId="3" borderId="0" xfId="0" applyNumberFormat="1" applyFont="1" applyFill="1" applyAlignment="1">
      <alignment vertical="center" wrapText="1"/>
    </xf>
    <xf numFmtId="1" fontId="8" fillId="0" borderId="560" xfId="0" applyNumberFormat="1" applyFont="1" applyBorder="1"/>
    <xf numFmtId="1" fontId="8" fillId="0" borderId="559" xfId="0" applyNumberFormat="1" applyFont="1" applyBorder="1"/>
    <xf numFmtId="1" fontId="3" fillId="0" borderId="603" xfId="0" applyNumberFormat="1" applyFont="1" applyBorder="1" applyAlignment="1">
      <alignment horizontal="center" vertical="center"/>
    </xf>
    <xf numFmtId="1" fontId="3" fillId="4" borderId="512" xfId="8" applyNumberFormat="1" applyFont="1" applyFill="1" applyBorder="1" applyProtection="1">
      <protection locked="0"/>
    </xf>
    <xf numFmtId="1" fontId="3" fillId="4" borderId="587" xfId="8" applyNumberFormat="1" applyFont="1" applyFill="1" applyBorder="1" applyProtection="1">
      <protection locked="0"/>
    </xf>
    <xf numFmtId="1" fontId="3" fillId="4" borderId="345" xfId="8" applyNumberFormat="1" applyFont="1" applyFill="1" applyBorder="1" applyProtection="1">
      <protection locked="0"/>
    </xf>
    <xf numFmtId="1" fontId="3" fillId="4" borderId="331" xfId="8" applyNumberFormat="1" applyFont="1" applyFill="1" applyBorder="1" applyProtection="1">
      <protection locked="0"/>
    </xf>
    <xf numFmtId="1" fontId="3" fillId="4" borderId="360" xfId="8" applyNumberFormat="1" applyFont="1" applyFill="1" applyBorder="1" applyProtection="1">
      <protection locked="0"/>
    </xf>
    <xf numFmtId="1" fontId="3" fillId="4" borderId="406" xfId="8" applyNumberFormat="1" applyFont="1" applyFill="1" applyBorder="1" applyProtection="1">
      <protection locked="0"/>
    </xf>
    <xf numFmtId="1" fontId="8" fillId="0" borderId="620" xfId="0" applyNumberFormat="1" applyFont="1" applyBorder="1"/>
    <xf numFmtId="1" fontId="8" fillId="0" borderId="638" xfId="0" applyNumberFormat="1" applyFont="1" applyBorder="1"/>
    <xf numFmtId="1" fontId="3" fillId="0" borderId="1152" xfId="0" applyNumberFormat="1" applyFont="1" applyBorder="1"/>
    <xf numFmtId="1" fontId="3" fillId="3" borderId="336" xfId="0" applyNumberFormat="1" applyFont="1" applyFill="1" applyBorder="1"/>
    <xf numFmtId="1" fontId="3" fillId="4" borderId="613" xfId="0" applyNumberFormat="1" applyFont="1" applyFill="1" applyBorder="1" applyAlignment="1" applyProtection="1">
      <alignment wrapText="1"/>
      <protection locked="0"/>
    </xf>
    <xf numFmtId="1" fontId="3" fillId="0" borderId="621" xfId="0" applyNumberFormat="1" applyFont="1" applyBorder="1"/>
    <xf numFmtId="1" fontId="3" fillId="0" borderId="1153" xfId="0" applyNumberFormat="1" applyFont="1" applyBorder="1"/>
    <xf numFmtId="1" fontId="3" fillId="0" borderId="0" xfId="0" applyNumberFormat="1" applyFont="1" applyAlignment="1">
      <alignment horizontal="left" vertical="center" wrapText="1"/>
    </xf>
    <xf numFmtId="1" fontId="3" fillId="0" borderId="641" xfId="0" applyNumberFormat="1" applyFont="1" applyBorder="1" applyAlignment="1">
      <alignment horizontal="center" vertical="center"/>
    </xf>
    <xf numFmtId="1" fontId="3" fillId="0" borderId="579" xfId="0" applyNumberFormat="1" applyFont="1" applyBorder="1" applyAlignment="1">
      <alignment horizontal="left" wrapText="1"/>
    </xf>
    <xf numFmtId="1" fontId="3" fillId="2" borderId="642" xfId="1" applyNumberFormat="1" applyFont="1" applyBorder="1" applyProtection="1">
      <protection locked="0"/>
    </xf>
    <xf numFmtId="1" fontId="3" fillId="2" borderId="643" xfId="1" applyNumberFormat="1" applyFont="1" applyBorder="1" applyProtection="1">
      <protection locked="0"/>
    </xf>
    <xf numFmtId="1" fontId="3" fillId="2" borderId="644" xfId="1" applyNumberFormat="1" applyFont="1" applyBorder="1" applyProtection="1">
      <protection locked="0"/>
    </xf>
    <xf numFmtId="1" fontId="3" fillId="6" borderId="6" xfId="8" applyNumberFormat="1" applyFont="1" applyFill="1" applyBorder="1" applyProtection="1"/>
    <xf numFmtId="1" fontId="3" fillId="2" borderId="645" xfId="1" applyNumberFormat="1" applyFont="1" applyBorder="1" applyProtection="1">
      <protection locked="0"/>
    </xf>
    <xf numFmtId="1" fontId="3" fillId="2" borderId="646" xfId="1" applyNumberFormat="1" applyFont="1" applyBorder="1" applyProtection="1">
      <protection locked="0"/>
    </xf>
    <xf numFmtId="1" fontId="3" fillId="2" borderId="647" xfId="1" applyNumberFormat="1" applyFont="1" applyBorder="1" applyProtection="1">
      <protection locked="0"/>
    </xf>
    <xf numFmtId="1" fontId="3" fillId="2" borderId="648" xfId="1" applyNumberFormat="1" applyFont="1" applyBorder="1" applyProtection="1">
      <protection locked="0"/>
    </xf>
    <xf numFmtId="1" fontId="3" fillId="2" borderId="649" xfId="1" applyNumberFormat="1" applyFont="1" applyBorder="1" applyProtection="1">
      <protection locked="0"/>
    </xf>
    <xf numFmtId="1" fontId="3" fillId="2" borderId="650" xfId="1" applyNumberFormat="1" applyFont="1" applyBorder="1" applyProtection="1">
      <protection locked="0"/>
    </xf>
    <xf numFmtId="1" fontId="3" fillId="2" borderId="651" xfId="1" applyNumberFormat="1" applyFont="1" applyBorder="1" applyProtection="1">
      <protection locked="0"/>
    </xf>
    <xf numFmtId="1" fontId="3" fillId="2" borderId="652" xfId="1" applyNumberFormat="1" applyFont="1" applyBorder="1" applyProtection="1">
      <protection locked="0"/>
    </xf>
    <xf numFmtId="1" fontId="3" fillId="2" borderId="653" xfId="1" applyNumberFormat="1" applyFont="1" applyBorder="1" applyProtection="1">
      <protection locked="0"/>
    </xf>
    <xf numFmtId="1" fontId="3" fillId="2" borderId="654" xfId="1" applyNumberFormat="1" applyFont="1" applyBorder="1" applyProtection="1">
      <protection locked="0"/>
    </xf>
    <xf numFmtId="1" fontId="3" fillId="2" borderId="655" xfId="1" applyNumberFormat="1" applyFont="1" applyBorder="1" applyProtection="1">
      <protection locked="0"/>
    </xf>
    <xf numFmtId="1" fontId="3" fillId="2" borderId="656" xfId="1" applyNumberFormat="1" applyFont="1" applyBorder="1" applyProtection="1">
      <protection locked="0"/>
    </xf>
    <xf numFmtId="1" fontId="3" fillId="0" borderId="587" xfId="0" applyNumberFormat="1" applyFont="1" applyBorder="1" applyAlignment="1">
      <alignment horizontal="left" wrapText="1"/>
    </xf>
    <xf numFmtId="1" fontId="3" fillId="6" borderId="512" xfId="8" applyNumberFormat="1" applyFont="1" applyFill="1" applyBorder="1" applyProtection="1"/>
    <xf numFmtId="1" fontId="3" fillId="6" borderId="614" xfId="8" applyNumberFormat="1" applyFont="1" applyFill="1" applyBorder="1" applyProtection="1"/>
    <xf numFmtId="1" fontId="3" fillId="2" borderId="657" xfId="1" applyNumberFormat="1" applyFont="1" applyBorder="1" applyProtection="1">
      <protection locked="0"/>
    </xf>
    <xf numFmtId="1" fontId="3" fillId="2" borderId="658" xfId="1" applyNumberFormat="1" applyFont="1" applyBorder="1" applyProtection="1">
      <protection locked="0"/>
    </xf>
    <xf numFmtId="1" fontId="3" fillId="2" borderId="532" xfId="1" applyNumberFormat="1" applyFont="1" applyBorder="1" applyProtection="1">
      <protection locked="0"/>
    </xf>
    <xf numFmtId="1" fontId="3" fillId="0" borderId="370" xfId="0" applyNumberFormat="1" applyFont="1" applyBorder="1" applyAlignment="1">
      <alignment horizontal="left" wrapText="1"/>
    </xf>
    <xf numFmtId="1" fontId="3" fillId="2" borderId="321" xfId="1" applyNumberFormat="1" applyFont="1" applyBorder="1" applyProtection="1">
      <protection locked="0"/>
    </xf>
    <xf numFmtId="1" fontId="3" fillId="2" borderId="256" xfId="1" applyNumberFormat="1" applyFont="1" applyBorder="1" applyProtection="1">
      <protection locked="0"/>
    </xf>
    <xf numFmtId="1" fontId="3" fillId="2" borderId="257" xfId="1" applyNumberFormat="1" applyFont="1" applyBorder="1" applyProtection="1">
      <protection locked="0"/>
    </xf>
    <xf numFmtId="1" fontId="3" fillId="6" borderId="620" xfId="8" applyNumberFormat="1" applyFont="1" applyFill="1" applyBorder="1" applyProtection="1"/>
    <xf numFmtId="1" fontId="3" fillId="2" borderId="659" xfId="1" applyNumberFormat="1" applyFont="1" applyBorder="1" applyProtection="1">
      <protection locked="0"/>
    </xf>
    <xf numFmtId="1" fontId="3" fillId="2" borderId="660" xfId="1" applyNumberFormat="1" applyFont="1" applyBorder="1" applyProtection="1">
      <protection locked="0"/>
    </xf>
    <xf numFmtId="1" fontId="3" fillId="2" borderId="661" xfId="1" applyNumberFormat="1" applyFont="1" applyBorder="1" applyProtection="1">
      <protection locked="0"/>
    </xf>
    <xf numFmtId="1" fontId="3" fillId="2" borderId="662" xfId="1" applyNumberFormat="1" applyFont="1" applyBorder="1" applyProtection="1">
      <protection locked="0"/>
    </xf>
    <xf numFmtId="1" fontId="3" fillId="2" borderId="663" xfId="1" applyNumberFormat="1" applyFont="1" applyBorder="1" applyProtection="1">
      <protection locked="0"/>
    </xf>
    <xf numFmtId="1" fontId="3" fillId="2" borderId="664" xfId="1" applyNumberFormat="1" applyFont="1" applyBorder="1" applyProtection="1">
      <protection locked="0"/>
    </xf>
    <xf numFmtId="1" fontId="3" fillId="2" borderId="665" xfId="1" applyNumberFormat="1" applyFont="1" applyBorder="1" applyProtection="1">
      <protection locked="0"/>
    </xf>
    <xf numFmtId="1" fontId="3" fillId="2" borderId="666" xfId="1" applyNumberFormat="1" applyFont="1" applyBorder="1" applyProtection="1">
      <protection locked="0"/>
    </xf>
    <xf numFmtId="0" fontId="3" fillId="0" borderId="623" xfId="0" applyFont="1" applyBorder="1" applyAlignment="1">
      <alignment horizontal="center" vertical="center" wrapText="1"/>
    </xf>
    <xf numFmtId="0" fontId="3" fillId="0" borderId="594" xfId="0" applyFont="1" applyBorder="1" applyAlignment="1">
      <alignment horizontal="center" vertical="center"/>
    </xf>
    <xf numFmtId="0" fontId="3" fillId="0" borderId="624" xfId="0" applyFont="1" applyBorder="1" applyAlignment="1">
      <alignment horizontal="center" vertical="center"/>
    </xf>
    <xf numFmtId="0" fontId="3" fillId="0" borderId="498" xfId="0" applyFont="1" applyBorder="1" applyAlignment="1">
      <alignment horizontal="left" wrapText="1"/>
    </xf>
    <xf numFmtId="1" fontId="3" fillId="4" borderId="360" xfId="0" applyNumberFormat="1" applyFont="1" applyFill="1" applyBorder="1" applyProtection="1">
      <protection locked="0"/>
    </xf>
    <xf numFmtId="0" fontId="53" fillId="0" borderId="0" xfId="0" applyFont="1"/>
    <xf numFmtId="0" fontId="54" fillId="0" borderId="0" xfId="0" applyFont="1"/>
    <xf numFmtId="0" fontId="3" fillId="0" borderId="640" xfId="0" applyFont="1" applyBorder="1" applyAlignment="1">
      <alignment horizontal="center" vertical="center"/>
    </xf>
    <xf numFmtId="1" fontId="3" fillId="5" borderId="667" xfId="0" applyNumberFormat="1" applyFont="1" applyFill="1" applyBorder="1" applyAlignment="1">
      <alignment horizontal="center" vertical="center" wrapText="1"/>
    </xf>
    <xf numFmtId="1" fontId="3" fillId="5" borderId="668" xfId="0" applyNumberFormat="1" applyFont="1" applyFill="1" applyBorder="1" applyAlignment="1">
      <alignment horizontal="center" vertical="center" wrapText="1"/>
    </xf>
    <xf numFmtId="1" fontId="3" fillId="5" borderId="669" xfId="0" applyNumberFormat="1" applyFont="1" applyFill="1" applyBorder="1" applyAlignment="1">
      <alignment horizontal="center" vertical="center" wrapText="1"/>
    </xf>
    <xf numFmtId="1" fontId="3" fillId="5" borderId="594" xfId="0" applyNumberFormat="1" applyFont="1" applyFill="1" applyBorder="1" applyAlignment="1">
      <alignment horizontal="center" vertical="center" wrapText="1"/>
    </xf>
    <xf numFmtId="1" fontId="3" fillId="5" borderId="608" xfId="0" applyNumberFormat="1" applyFont="1" applyFill="1" applyBorder="1" applyAlignment="1">
      <alignment horizontal="center" vertical="center" wrapText="1"/>
    </xf>
    <xf numFmtId="1" fontId="3" fillId="5" borderId="595" xfId="0" applyNumberFormat="1" applyFont="1" applyFill="1" applyBorder="1" applyAlignment="1">
      <alignment horizontal="center" vertical="center" wrapText="1"/>
    </xf>
    <xf numFmtId="1" fontId="3" fillId="5" borderId="498" xfId="0" applyNumberFormat="1" applyFont="1" applyFill="1" applyBorder="1" applyAlignment="1">
      <alignment horizontal="center" vertical="center" wrapText="1"/>
    </xf>
    <xf numFmtId="1" fontId="3" fillId="5" borderId="622" xfId="0" applyNumberFormat="1" applyFont="1" applyFill="1" applyBorder="1" applyAlignment="1">
      <alignment horizontal="center" vertical="center" wrapText="1"/>
    </xf>
    <xf numFmtId="1" fontId="3" fillId="0" borderId="631" xfId="0" applyNumberFormat="1" applyFont="1" applyBorder="1" applyAlignment="1">
      <alignment horizontal="left" vertical="center" wrapText="1"/>
    </xf>
    <xf numFmtId="1" fontId="3" fillId="5" borderId="587" xfId="0" applyNumberFormat="1" applyFont="1" applyFill="1" applyBorder="1" applyAlignment="1">
      <alignment horizontal="right" wrapText="1"/>
    </xf>
    <xf numFmtId="1" fontId="3" fillId="5" borderId="611" xfId="0" applyNumberFormat="1" applyFont="1" applyFill="1" applyBorder="1" applyAlignment="1">
      <alignment horizontal="right" wrapText="1"/>
    </xf>
    <xf numFmtId="0" fontId="3" fillId="0" borderId="611" xfId="0" applyFont="1" applyBorder="1"/>
    <xf numFmtId="1" fontId="3" fillId="0" borderId="421" xfId="0" applyNumberFormat="1" applyFont="1" applyBorder="1" applyAlignment="1">
      <alignment horizontal="left" vertical="center" wrapText="1"/>
    </xf>
    <xf numFmtId="1" fontId="3" fillId="5" borderId="406" xfId="0" applyNumberFormat="1" applyFont="1" applyFill="1" applyBorder="1" applyAlignment="1">
      <alignment horizontal="right" wrapText="1"/>
    </xf>
    <xf numFmtId="1" fontId="3" fillId="5" borderId="328" xfId="0" applyNumberFormat="1" applyFont="1" applyFill="1" applyBorder="1" applyAlignment="1">
      <alignment horizontal="right" wrapText="1"/>
    </xf>
    <xf numFmtId="1" fontId="3" fillId="5" borderId="404" xfId="0" applyNumberFormat="1" applyFont="1" applyFill="1" applyBorder="1" applyAlignment="1">
      <alignment horizontal="right" wrapText="1"/>
    </xf>
    <xf numFmtId="1" fontId="3" fillId="5" borderId="366" xfId="0" applyNumberFormat="1" applyFont="1" applyFill="1" applyBorder="1" applyAlignment="1">
      <alignment horizontal="right" wrapText="1"/>
    </xf>
    <xf numFmtId="1" fontId="3" fillId="30" borderId="145" xfId="2" applyNumberFormat="1" applyFont="1" applyFill="1" applyBorder="1"/>
    <xf numFmtId="1" fontId="3" fillId="30" borderId="146" xfId="2" applyNumberFormat="1" applyFont="1" applyFill="1" applyBorder="1"/>
    <xf numFmtId="1" fontId="3" fillId="30" borderId="37" xfId="2" applyNumberFormat="1" applyFont="1" applyFill="1" applyBorder="1"/>
    <xf numFmtId="1" fontId="3" fillId="5" borderId="612" xfId="0" applyNumberFormat="1" applyFont="1" applyFill="1" applyBorder="1" applyAlignment="1">
      <alignment horizontal="right" wrapText="1"/>
    </xf>
    <xf numFmtId="1" fontId="3" fillId="5" borderId="614" xfId="0" applyNumberFormat="1" applyFont="1" applyFill="1" applyBorder="1" applyAlignment="1">
      <alignment horizontal="right" wrapText="1"/>
    </xf>
    <xf numFmtId="1" fontId="3" fillId="5" borderId="302" xfId="0" applyNumberFormat="1" applyFont="1" applyFill="1" applyBorder="1" applyAlignment="1">
      <alignment horizontal="right" wrapText="1"/>
    </xf>
    <xf numFmtId="1" fontId="3" fillId="5" borderId="22" xfId="0" applyNumberFormat="1" applyFont="1" applyFill="1" applyBorder="1" applyAlignment="1">
      <alignment horizontal="right" wrapText="1"/>
    </xf>
    <xf numFmtId="1" fontId="3" fillId="5" borderId="271" xfId="0" applyNumberFormat="1" applyFont="1" applyFill="1" applyBorder="1" applyAlignment="1">
      <alignment horizontal="right" wrapText="1"/>
    </xf>
    <xf numFmtId="1" fontId="3" fillId="30" borderId="670" xfId="2" applyNumberFormat="1" applyFont="1" applyFill="1" applyBorder="1"/>
    <xf numFmtId="1" fontId="3" fillId="30" borderId="404" xfId="2" applyNumberFormat="1" applyFont="1" applyFill="1" applyBorder="1"/>
    <xf numFmtId="1" fontId="3" fillId="30" borderId="311" xfId="2" applyNumberFormat="1" applyFont="1" applyFill="1" applyBorder="1"/>
    <xf numFmtId="1" fontId="3" fillId="30" borderId="354" xfId="2" applyNumberFormat="1" applyFont="1" applyFill="1" applyBorder="1"/>
    <xf numFmtId="1" fontId="2" fillId="0" borderId="498" xfId="0" applyNumberFormat="1" applyFont="1" applyBorder="1" applyAlignment="1">
      <alignment horizontal="left"/>
    </xf>
    <xf numFmtId="1" fontId="3" fillId="0" borderId="631" xfId="0" applyNumberFormat="1" applyFont="1" applyBorder="1" applyAlignment="1">
      <alignment vertical="center" wrapText="1"/>
    </xf>
    <xf numFmtId="1" fontId="3" fillId="0" borderId="657" xfId="0" applyNumberFormat="1" applyFont="1" applyBorder="1" applyAlignment="1">
      <alignment horizontal="right" vertical="center" wrapText="1"/>
    </xf>
    <xf numFmtId="1" fontId="3" fillId="0" borderId="336" xfId="0" applyNumberFormat="1" applyFont="1" applyBorder="1" applyAlignment="1">
      <alignment vertical="center" wrapText="1"/>
    </xf>
    <xf numFmtId="1" fontId="3" fillId="3" borderId="338" xfId="0" applyNumberFormat="1" applyFont="1" applyFill="1" applyBorder="1" applyAlignment="1">
      <alignment horizontal="right"/>
    </xf>
    <xf numFmtId="1" fontId="3" fillId="0" borderId="336" xfId="0" applyNumberFormat="1" applyFont="1" applyBorder="1" applyAlignment="1">
      <alignment vertical="center"/>
    </xf>
    <xf numFmtId="1" fontId="3" fillId="3" borderId="6" xfId="0" applyNumberFormat="1" applyFont="1" applyFill="1" applyBorder="1" applyAlignment="1">
      <alignment horizontal="right"/>
    </xf>
    <xf numFmtId="1" fontId="3" fillId="3" borderId="498" xfId="0" applyNumberFormat="1" applyFont="1" applyFill="1" applyBorder="1" applyAlignment="1">
      <alignment horizontal="right"/>
    </xf>
    <xf numFmtId="1" fontId="3" fillId="3" borderId="302" xfId="0" applyNumberFormat="1" applyFont="1" applyFill="1" applyBorder="1" applyAlignment="1">
      <alignment horizontal="right"/>
    </xf>
    <xf numFmtId="1" fontId="3" fillId="3" borderId="367" xfId="0" applyNumberFormat="1" applyFont="1" applyFill="1" applyBorder="1" applyAlignment="1">
      <alignment horizontal="right"/>
    </xf>
    <xf numFmtId="1" fontId="3" fillId="0" borderId="491" xfId="0" applyNumberFormat="1" applyFont="1" applyBorder="1" applyAlignment="1">
      <alignment vertical="center" wrapText="1"/>
    </xf>
    <xf numFmtId="0" fontId="0" fillId="0" borderId="498" xfId="0" applyBorder="1"/>
    <xf numFmtId="1" fontId="2" fillId="0" borderId="639" xfId="0" applyNumberFormat="1" applyFont="1" applyBorder="1" applyAlignment="1">
      <alignment horizontal="left"/>
    </xf>
    <xf numFmtId="0" fontId="6" fillId="0" borderId="639" xfId="0" applyFont="1" applyBorder="1"/>
    <xf numFmtId="0" fontId="0" fillId="0" borderId="278" xfId="0" applyBorder="1"/>
    <xf numFmtId="1" fontId="3" fillId="3" borderId="613" xfId="0" applyNumberFormat="1" applyFont="1" applyFill="1" applyBorder="1" applyAlignment="1">
      <alignment horizontal="right"/>
    </xf>
    <xf numFmtId="1" fontId="3" fillId="0" borderId="331" xfId="0" applyNumberFormat="1" applyFont="1" applyBorder="1" applyAlignment="1">
      <alignment vertical="center" wrapText="1"/>
    </xf>
    <xf numFmtId="1" fontId="3" fillId="0" borderId="354" xfId="0" applyNumberFormat="1" applyFont="1" applyBorder="1" applyAlignment="1">
      <alignment horizontal="right" vertical="center" wrapText="1"/>
    </xf>
    <xf numFmtId="1" fontId="0" fillId="50" borderId="0" xfId="0" applyNumberFormat="1" applyFill="1"/>
    <xf numFmtId="0" fontId="0" fillId="50" borderId="0" xfId="0" applyFill="1"/>
    <xf numFmtId="0" fontId="3" fillId="0" borderId="256" xfId="0" applyFont="1" applyBorder="1" applyAlignment="1">
      <alignment horizontal="center" vertical="center" wrapText="1"/>
    </xf>
    <xf numFmtId="0" fontId="3" fillId="44" borderId="280" xfId="0" applyFont="1" applyFill="1" applyBorder="1" applyProtection="1">
      <protection locked="0"/>
    </xf>
    <xf numFmtId="0" fontId="3" fillId="44" borderId="256" xfId="0" applyFont="1" applyFill="1" applyBorder="1" applyProtection="1">
      <protection locked="0"/>
    </xf>
    <xf numFmtId="0" fontId="3" fillId="0" borderId="667" xfId="0" applyFont="1" applyBorder="1" applyAlignment="1">
      <alignment horizontal="center" wrapText="1"/>
    </xf>
    <xf numFmtId="0" fontId="3" fillId="0" borderId="59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1" fontId="0" fillId="0" borderId="0" xfId="0" applyNumberFormat="1" applyAlignment="1">
      <alignment horizontal="right"/>
    </xf>
    <xf numFmtId="0" fontId="3" fillId="0" borderId="161" xfId="0" applyFont="1" applyBorder="1" applyAlignment="1">
      <alignment horizontal="center" vertical="center" wrapText="1"/>
    </xf>
    <xf numFmtId="0" fontId="0" fillId="23" borderId="0" xfId="0" applyFill="1" applyAlignment="1">
      <alignment horizontal="right"/>
    </xf>
    <xf numFmtId="0" fontId="0" fillId="0" borderId="0" xfId="0" applyAlignment="1">
      <alignment horizontal="right"/>
    </xf>
    <xf numFmtId="1" fontId="3" fillId="0" borderId="232" xfId="0" applyNumberFormat="1" applyFont="1" applyBorder="1" applyAlignment="1" applyProtection="1">
      <alignment horizontal="left" wrapText="1"/>
      <protection hidden="1"/>
    </xf>
    <xf numFmtId="0" fontId="3" fillId="0" borderId="25" xfId="0" applyFont="1" applyBorder="1" applyAlignment="1">
      <alignment horizontal="center" wrapText="1"/>
    </xf>
    <xf numFmtId="0" fontId="3" fillId="44" borderId="623" xfId="0" applyFont="1" applyFill="1" applyBorder="1" applyProtection="1">
      <protection locked="0"/>
    </xf>
    <xf numFmtId="0" fontId="3" fillId="44" borderId="640" xfId="0" applyFont="1" applyFill="1" applyBorder="1" applyProtection="1">
      <protection locked="0"/>
    </xf>
    <xf numFmtId="0" fontId="2" fillId="20" borderId="312" xfId="0" applyFont="1" applyFill="1" applyBorder="1"/>
    <xf numFmtId="0" fontId="3" fillId="0" borderId="673" xfId="0" applyFont="1" applyBorder="1" applyAlignment="1">
      <alignment horizontal="center" vertical="center" wrapText="1"/>
    </xf>
    <xf numFmtId="0" fontId="3" fillId="0" borderId="672" xfId="0" applyFont="1" applyBorder="1" applyAlignment="1">
      <alignment horizontal="center" vertical="center" wrapText="1"/>
    </xf>
    <xf numFmtId="0" fontId="3" fillId="0" borderId="594" xfId="0" applyFont="1" applyBorder="1" applyAlignment="1">
      <alignment wrapText="1"/>
    </xf>
    <xf numFmtId="0" fontId="3" fillId="0" borderId="503" xfId="0" applyFont="1" applyBorder="1" applyAlignment="1">
      <alignment horizontal="center" wrapText="1"/>
    </xf>
    <xf numFmtId="0" fontId="3" fillId="0" borderId="491" xfId="0" applyFont="1" applyBorder="1" applyAlignment="1">
      <alignment horizontal="center" wrapText="1"/>
    </xf>
    <xf numFmtId="0" fontId="3" fillId="0" borderId="679" xfId="0" applyFont="1" applyBorder="1" applyAlignment="1">
      <alignment horizontal="center" wrapText="1"/>
    </xf>
    <xf numFmtId="0" fontId="3" fillId="0" borderId="608" xfId="0" applyFont="1" applyBorder="1" applyAlignment="1">
      <alignment horizontal="center" wrapText="1"/>
    </xf>
    <xf numFmtId="0" fontId="3" fillId="0" borderId="680" xfId="0" applyFont="1" applyBorder="1" applyAlignment="1">
      <alignment horizontal="center" wrapText="1"/>
    </xf>
    <xf numFmtId="0" fontId="3" fillId="0" borderId="668" xfId="0" applyFont="1" applyBorder="1" applyAlignment="1">
      <alignment horizontal="center" wrapText="1"/>
    </xf>
    <xf numFmtId="0" fontId="3" fillId="0" borderId="681" xfId="0" applyFont="1" applyBorder="1" applyAlignment="1">
      <alignment horizontal="center" wrapText="1"/>
    </xf>
    <xf numFmtId="0" fontId="3" fillId="0" borderId="612" xfId="0" applyFont="1" applyBorder="1"/>
    <xf numFmtId="0" fontId="3" fillId="0" borderId="613" xfId="0" applyFont="1" applyBorder="1"/>
    <xf numFmtId="0" fontId="3" fillId="44" borderId="611" xfId="0" applyFont="1" applyFill="1" applyBorder="1" applyProtection="1">
      <protection locked="0"/>
    </xf>
    <xf numFmtId="0" fontId="3" fillId="44" borderId="175" xfId="0" applyFont="1" applyFill="1" applyBorder="1" applyProtection="1">
      <protection locked="0"/>
    </xf>
    <xf numFmtId="0" fontId="3" fillId="44" borderId="683" xfId="0" applyFont="1" applyFill="1" applyBorder="1" applyProtection="1">
      <protection locked="0"/>
    </xf>
    <xf numFmtId="0" fontId="3" fillId="44" borderId="612" xfId="0" applyFont="1" applyFill="1" applyBorder="1" applyProtection="1">
      <protection locked="0"/>
    </xf>
    <xf numFmtId="0" fontId="3" fillId="44" borderId="684" xfId="0" applyFont="1" applyFill="1" applyBorder="1" applyProtection="1">
      <protection locked="0"/>
    </xf>
    <xf numFmtId="0" fontId="3" fillId="44" borderId="181" xfId="0" applyFont="1" applyFill="1" applyBorder="1" applyProtection="1">
      <protection locked="0"/>
    </xf>
    <xf numFmtId="0" fontId="3" fillId="44" borderId="685" xfId="0" applyFont="1" applyFill="1" applyBorder="1" applyProtection="1">
      <protection locked="0"/>
    </xf>
    <xf numFmtId="0" fontId="3" fillId="44" borderId="686" xfId="0" applyFont="1" applyFill="1" applyBorder="1" applyProtection="1">
      <protection locked="0"/>
    </xf>
    <xf numFmtId="0" fontId="3" fillId="44" borderId="176" xfId="0" applyFont="1" applyFill="1" applyBorder="1" applyProtection="1">
      <protection locked="0"/>
    </xf>
    <xf numFmtId="0" fontId="3" fillId="44" borderId="314" xfId="0" applyFont="1" applyFill="1" applyBorder="1" applyProtection="1">
      <protection locked="0"/>
    </xf>
    <xf numFmtId="0" fontId="3" fillId="0" borderId="341" xfId="0" applyFont="1" applyBorder="1"/>
    <xf numFmtId="0" fontId="3" fillId="0" borderId="22" xfId="0" applyFont="1" applyBorder="1"/>
    <xf numFmtId="0" fontId="3" fillId="0" borderId="134" xfId="0" applyFont="1" applyBorder="1"/>
    <xf numFmtId="0" fontId="3" fillId="44" borderId="401" xfId="0" applyFont="1" applyFill="1" applyBorder="1" applyProtection="1">
      <protection locked="0"/>
    </xf>
    <xf numFmtId="0" fontId="3" fillId="44" borderId="315" xfId="0" applyFont="1" applyFill="1" applyBorder="1" applyProtection="1">
      <protection locked="0"/>
    </xf>
    <xf numFmtId="0" fontId="3" fillId="44" borderId="336" xfId="0" applyFont="1" applyFill="1" applyBorder="1" applyProtection="1">
      <protection locked="0"/>
    </xf>
    <xf numFmtId="0" fontId="3" fillId="44" borderId="316" xfId="0" applyFont="1" applyFill="1" applyBorder="1" applyProtection="1">
      <protection locked="0"/>
    </xf>
    <xf numFmtId="0" fontId="3" fillId="0" borderId="276" xfId="0" applyFont="1" applyBorder="1"/>
    <xf numFmtId="0" fontId="3" fillId="0" borderId="354" xfId="0" applyFont="1" applyBorder="1"/>
    <xf numFmtId="0" fontId="3" fillId="44" borderId="321" xfId="0" applyFont="1" applyFill="1" applyBorder="1" applyProtection="1">
      <protection locked="0"/>
    </xf>
    <xf numFmtId="0" fontId="3" fillId="44" borderId="679" xfId="0" applyFont="1" applyFill="1" applyBorder="1" applyProtection="1">
      <protection locked="0"/>
    </xf>
    <xf numFmtId="0" fontId="3" fillId="44" borderId="317" xfId="0" applyFont="1" applyFill="1" applyBorder="1" applyProtection="1">
      <protection locked="0"/>
    </xf>
    <xf numFmtId="0" fontId="3" fillId="44" borderId="687" xfId="0" applyFont="1" applyFill="1" applyBorder="1" applyProtection="1">
      <protection locked="0"/>
    </xf>
    <xf numFmtId="0" fontId="3" fillId="44" borderId="311" xfId="0" applyFont="1" applyFill="1" applyBorder="1" applyProtection="1">
      <protection locked="0"/>
    </xf>
    <xf numFmtId="0" fontId="3" fillId="44" borderId="688" xfId="0" applyFont="1" applyFill="1" applyBorder="1" applyProtection="1">
      <protection locked="0"/>
    </xf>
    <xf numFmtId="0" fontId="3" fillId="44" borderId="689" xfId="0" applyFont="1" applyFill="1" applyBorder="1" applyProtection="1">
      <protection locked="0"/>
    </xf>
    <xf numFmtId="0" fontId="3" fillId="44" borderId="503" xfId="0" applyFont="1" applyFill="1" applyBorder="1" applyProtection="1">
      <protection locked="0"/>
    </xf>
    <xf numFmtId="0" fontId="3" fillId="44" borderId="324" xfId="0" applyFont="1" applyFill="1" applyBorder="1" applyProtection="1">
      <protection locked="0"/>
    </xf>
    <xf numFmtId="0" fontId="3" fillId="44" borderId="78" xfId="0" applyFont="1" applyFill="1" applyBorder="1" applyProtection="1">
      <protection locked="0"/>
    </xf>
    <xf numFmtId="0" fontId="3" fillId="44" borderId="681" xfId="0" applyFont="1" applyFill="1" applyBorder="1" applyProtection="1">
      <protection locked="0"/>
    </xf>
    <xf numFmtId="0" fontId="3" fillId="44" borderId="325" xfId="0" applyFont="1" applyFill="1" applyBorder="1" applyProtection="1">
      <protection locked="0"/>
    </xf>
    <xf numFmtId="1" fontId="3" fillId="0" borderId="87" xfId="0" applyNumberFormat="1" applyFont="1" applyBorder="1" applyAlignment="1">
      <alignment horizontal="center" vertical="center" wrapText="1"/>
    </xf>
    <xf numFmtId="1" fontId="2" fillId="3" borderId="306" xfId="0" applyNumberFormat="1" applyFont="1" applyFill="1" applyBorder="1"/>
    <xf numFmtId="0" fontId="0" fillId="15" borderId="0" xfId="0" applyFill="1"/>
    <xf numFmtId="1" fontId="3" fillId="0" borderId="367" xfId="0" applyNumberFormat="1" applyFont="1" applyBorder="1" applyAlignment="1">
      <alignment wrapText="1"/>
    </xf>
    <xf numFmtId="0" fontId="0" fillId="48" borderId="0" xfId="0" applyFill="1"/>
    <xf numFmtId="0" fontId="0" fillId="56" borderId="0" xfId="0" applyFill="1"/>
    <xf numFmtId="1" fontId="3" fillId="6" borderId="358" xfId="15" applyNumberFormat="1" applyFont="1" applyFill="1" applyBorder="1"/>
    <xf numFmtId="1" fontId="3" fillId="4" borderId="716" xfId="15" applyNumberFormat="1" applyFont="1" applyFill="1" applyBorder="1" applyProtection="1">
      <protection locked="0"/>
    </xf>
    <xf numFmtId="1" fontId="3" fillId="4" borderId="358" xfId="15" applyNumberFormat="1" applyFont="1" applyFill="1" applyBorder="1" applyProtection="1">
      <protection locked="0"/>
    </xf>
    <xf numFmtId="0" fontId="45" fillId="0" borderId="0" xfId="0" applyFont="1"/>
    <xf numFmtId="1" fontId="56" fillId="3" borderId="0" xfId="0" applyNumberFormat="1" applyFont="1" applyFill="1"/>
    <xf numFmtId="1" fontId="3" fillId="5" borderId="162" xfId="0" applyNumberFormat="1" applyFont="1" applyFill="1" applyBorder="1" applyAlignment="1">
      <alignment horizontal="center" vertical="center" wrapText="1"/>
    </xf>
    <xf numFmtId="1" fontId="4" fillId="5" borderId="593" xfId="0" applyNumberFormat="1" applyFont="1" applyFill="1" applyBorder="1"/>
    <xf numFmtId="1" fontId="3" fillId="6" borderId="594" xfId="0" applyNumberFormat="1" applyFont="1" applyFill="1" applyBorder="1"/>
    <xf numFmtId="1" fontId="3" fillId="6" borderId="595" xfId="0" applyNumberFormat="1" applyFont="1" applyFill="1" applyBorder="1"/>
    <xf numFmtId="1" fontId="3" fillId="6" borderId="608" xfId="0" applyNumberFormat="1" applyFont="1" applyFill="1" applyBorder="1"/>
    <xf numFmtId="1" fontId="3" fillId="6" borderId="640" xfId="0" applyNumberFormat="1" applyFont="1" applyFill="1" applyBorder="1"/>
    <xf numFmtId="1" fontId="3" fillId="6" borderId="619" xfId="0" applyNumberFormat="1" applyFont="1" applyFill="1" applyBorder="1"/>
    <xf numFmtId="1" fontId="3" fillId="6" borderId="623" xfId="0" applyNumberFormat="1" applyFont="1" applyFill="1" applyBorder="1"/>
    <xf numFmtId="1" fontId="3" fillId="6" borderId="625" xfId="0" applyNumberFormat="1" applyFont="1" applyFill="1" applyBorder="1"/>
    <xf numFmtId="1" fontId="3" fillId="5" borderId="302" xfId="0" applyNumberFormat="1" applyFont="1" applyFill="1" applyBorder="1" applyAlignment="1">
      <alignment vertical="center" wrapText="1"/>
    </xf>
    <xf numFmtId="1" fontId="3" fillId="0" borderId="715" xfId="0" applyNumberFormat="1" applyFont="1" applyBorder="1" applyAlignment="1">
      <alignment vertical="center" wrapText="1"/>
    </xf>
    <xf numFmtId="1" fontId="3" fillId="0" borderId="717" xfId="0" applyNumberFormat="1" applyFont="1" applyBorder="1"/>
    <xf numFmtId="1" fontId="3" fillId="4" borderId="730" xfId="0" applyNumberFormat="1" applyFont="1" applyFill="1" applyBorder="1" applyProtection="1">
      <protection locked="0"/>
    </xf>
    <xf numFmtId="1" fontId="3" fillId="5" borderId="162" xfId="0" applyNumberFormat="1" applyFont="1" applyFill="1" applyBorder="1" applyAlignment="1">
      <alignment vertical="center" wrapText="1"/>
    </xf>
    <xf numFmtId="1" fontId="4" fillId="5" borderId="593" xfId="0" applyNumberFormat="1" applyFont="1" applyFill="1" applyBorder="1" applyAlignment="1">
      <alignment vertical="center" wrapText="1"/>
    </xf>
    <xf numFmtId="1" fontId="3" fillId="6" borderId="594" xfId="0" applyNumberFormat="1" applyFont="1" applyFill="1" applyBorder="1" applyAlignment="1">
      <alignment vertical="center" wrapText="1"/>
    </xf>
    <xf numFmtId="1" fontId="3" fillId="6" borderId="595" xfId="0" applyNumberFormat="1" applyFont="1" applyFill="1" applyBorder="1" applyAlignment="1">
      <alignment vertical="center" wrapText="1"/>
    </xf>
    <xf numFmtId="0" fontId="0" fillId="49" borderId="0" xfId="0" applyFill="1"/>
    <xf numFmtId="1" fontId="3" fillId="3" borderId="405" xfId="0" applyNumberFormat="1" applyFont="1" applyFill="1" applyBorder="1" applyAlignment="1">
      <alignment vertical="center" wrapText="1"/>
    </xf>
    <xf numFmtId="1" fontId="3" fillId="5" borderId="232" xfId="0" applyNumberFormat="1" applyFont="1" applyFill="1" applyBorder="1" applyAlignment="1">
      <alignment vertical="center" wrapText="1"/>
    </xf>
    <xf numFmtId="1" fontId="3" fillId="3" borderId="204" xfId="0" applyNumberFormat="1" applyFont="1" applyFill="1" applyBorder="1" applyAlignment="1">
      <alignment vertical="center" wrapText="1"/>
    </xf>
    <xf numFmtId="1" fontId="3" fillId="3" borderId="353" xfId="0" applyNumberFormat="1" applyFont="1" applyFill="1" applyBorder="1" applyAlignment="1">
      <alignment vertical="center" wrapText="1"/>
    </xf>
    <xf numFmtId="1" fontId="3" fillId="4" borderId="396" xfId="0" applyNumberFormat="1" applyFont="1" applyFill="1" applyBorder="1" applyProtection="1">
      <protection locked="0"/>
    </xf>
    <xf numFmtId="1" fontId="3" fillId="3" borderId="9" xfId="0" applyNumberFormat="1" applyFont="1" applyFill="1" applyBorder="1" applyAlignment="1">
      <alignment vertical="center" wrapText="1"/>
    </xf>
    <xf numFmtId="1" fontId="3" fillId="4" borderId="165" xfId="0" applyNumberFormat="1" applyFont="1" applyFill="1" applyBorder="1" applyProtection="1">
      <protection locked="0"/>
    </xf>
    <xf numFmtId="1" fontId="3" fillId="5" borderId="331" xfId="0" applyNumberFormat="1" applyFont="1" applyFill="1" applyBorder="1" applyAlignment="1">
      <alignment vertical="center" wrapText="1"/>
    </xf>
    <xf numFmtId="1" fontId="3" fillId="3" borderId="341" xfId="0" applyNumberFormat="1" applyFont="1" applyFill="1" applyBorder="1" applyAlignment="1">
      <alignment vertical="center" wrapText="1"/>
    </xf>
    <xf numFmtId="1" fontId="3" fillId="3" borderId="333" xfId="0" applyNumberFormat="1" applyFont="1" applyFill="1" applyBorder="1" applyAlignment="1">
      <alignment vertical="center" wrapText="1"/>
    </xf>
    <xf numFmtId="1" fontId="3" fillId="5" borderId="731" xfId="0" applyNumberFormat="1" applyFont="1" applyFill="1" applyBorder="1" applyAlignment="1">
      <alignment vertical="center" wrapText="1"/>
    </xf>
    <xf numFmtId="1" fontId="3" fillId="3" borderId="715" xfId="0" applyNumberFormat="1" applyFont="1" applyFill="1" applyBorder="1" applyAlignment="1">
      <alignment vertical="center" wrapText="1"/>
    </xf>
    <xf numFmtId="1" fontId="3" fillId="3" borderId="612" xfId="0" applyNumberFormat="1" applyFont="1" applyFill="1" applyBorder="1" applyAlignment="1">
      <alignment vertical="center" wrapText="1"/>
    </xf>
    <xf numFmtId="1" fontId="3" fillId="5" borderId="406" xfId="0" applyNumberFormat="1" applyFont="1" applyFill="1" applyBorder="1" applyAlignment="1">
      <alignment vertical="center" wrapText="1"/>
    </xf>
    <xf numFmtId="1" fontId="3" fillId="3" borderId="328" xfId="0" applyNumberFormat="1" applyFont="1" applyFill="1" applyBorder="1" applyAlignment="1">
      <alignment vertical="center" wrapText="1"/>
    </xf>
    <xf numFmtId="1" fontId="3" fillId="3" borderId="404" xfId="0" applyNumberFormat="1" applyFont="1" applyFill="1" applyBorder="1" applyAlignment="1">
      <alignment vertical="center" wrapText="1"/>
    </xf>
    <xf numFmtId="1" fontId="3" fillId="0" borderId="1143" xfId="0" applyNumberFormat="1" applyFont="1" applyBorder="1" applyAlignment="1">
      <alignment horizontal="center" vertical="center" wrapText="1"/>
    </xf>
    <xf numFmtId="1" fontId="3" fillId="5" borderId="162" xfId="0" applyNumberFormat="1" applyFont="1" applyFill="1" applyBorder="1" applyAlignment="1">
      <alignment horizontal="left" vertical="center" wrapText="1"/>
    </xf>
    <xf numFmtId="1" fontId="3" fillId="6" borderId="79" xfId="0" applyNumberFormat="1" applyFont="1" applyFill="1" applyBorder="1"/>
    <xf numFmtId="1" fontId="3" fillId="6" borderId="1130" xfId="0" applyNumberFormat="1" applyFont="1" applyFill="1" applyBorder="1"/>
    <xf numFmtId="1" fontId="3" fillId="6" borderId="1141" xfId="0" applyNumberFormat="1" applyFont="1" applyFill="1" applyBorder="1"/>
    <xf numFmtId="1" fontId="3" fillId="6" borderId="1138" xfId="0" applyNumberFormat="1" applyFont="1" applyFill="1" applyBorder="1"/>
    <xf numFmtId="1" fontId="3" fillId="6" borderId="1134" xfId="0" applyNumberFormat="1" applyFont="1" applyFill="1" applyBorder="1"/>
    <xf numFmtId="1" fontId="3" fillId="0" borderId="1135" xfId="0" applyNumberFormat="1" applyFont="1" applyBorder="1"/>
    <xf numFmtId="1" fontId="3" fillId="0" borderId="1133" xfId="0" applyNumberFormat="1" applyFont="1" applyBorder="1"/>
    <xf numFmtId="1" fontId="3" fillId="0" borderId="1142" xfId="0" applyNumberFormat="1" applyFont="1" applyBorder="1"/>
    <xf numFmtId="1" fontId="3" fillId="0" borderId="1139" xfId="0" applyNumberFormat="1" applyFont="1" applyBorder="1"/>
    <xf numFmtId="1" fontId="3" fillId="0" borderId="1147" xfId="0" applyNumberFormat="1" applyFont="1" applyBorder="1"/>
    <xf numFmtId="1" fontId="3" fillId="0" borderId="731" xfId="0" applyNumberFormat="1" applyFont="1" applyBorder="1" applyAlignment="1">
      <alignment vertical="center" wrapText="1"/>
    </xf>
    <xf numFmtId="1" fontId="3" fillId="4" borderId="1095" xfId="0" applyNumberFormat="1" applyFont="1" applyFill="1" applyBorder="1" applyProtection="1">
      <protection locked="0"/>
    </xf>
    <xf numFmtId="1" fontId="3" fillId="4" borderId="1138" xfId="0" applyNumberFormat="1" applyFont="1" applyFill="1" applyBorder="1" applyProtection="1">
      <protection locked="0"/>
    </xf>
    <xf numFmtId="1" fontId="3" fillId="4" borderId="1141" xfId="0" applyNumberFormat="1" applyFont="1" applyFill="1" applyBorder="1" applyProtection="1">
      <protection locked="0"/>
    </xf>
    <xf numFmtId="1" fontId="3" fillId="6" borderId="332" xfId="0" applyNumberFormat="1" applyFont="1" applyFill="1" applyBorder="1"/>
    <xf numFmtId="1" fontId="3" fillId="3" borderId="331" xfId="0" applyNumberFormat="1" applyFont="1" applyFill="1" applyBorder="1" applyAlignment="1">
      <alignment vertical="center" wrapText="1"/>
    </xf>
    <xf numFmtId="1" fontId="3" fillId="4" borderId="1134" xfId="0" applyNumberFormat="1" applyFont="1" applyFill="1" applyBorder="1" applyProtection="1">
      <protection locked="0"/>
    </xf>
    <xf numFmtId="1" fontId="3" fillId="4" borderId="1146" xfId="0" applyNumberFormat="1" applyFont="1" applyFill="1" applyBorder="1" applyProtection="1">
      <protection locked="0"/>
    </xf>
    <xf numFmtId="1" fontId="3" fillId="0" borderId="1136" xfId="0" applyNumberFormat="1" applyFont="1" applyBorder="1"/>
    <xf numFmtId="1" fontId="3" fillId="0" borderId="673" xfId="0" applyNumberFormat="1" applyFont="1" applyBorder="1"/>
    <xf numFmtId="1" fontId="3" fillId="0" borderId="1148" xfId="0" applyNumberFormat="1" applyFont="1" applyBorder="1"/>
    <xf numFmtId="1" fontId="3" fillId="6" borderId="208" xfId="0" applyNumberFormat="1" applyFont="1" applyFill="1" applyBorder="1"/>
    <xf numFmtId="1" fontId="3" fillId="6" borderId="207" xfId="0" applyNumberFormat="1" applyFont="1" applyFill="1" applyBorder="1"/>
    <xf numFmtId="1" fontId="3" fillId="6" borderId="243" xfId="0" applyNumberFormat="1" applyFont="1" applyFill="1" applyBorder="1"/>
    <xf numFmtId="1" fontId="3" fillId="6" borderId="1144" xfId="0" applyNumberFormat="1" applyFont="1" applyFill="1" applyBorder="1"/>
    <xf numFmtId="1" fontId="3" fillId="6" borderId="246" xfId="0" applyNumberFormat="1" applyFont="1" applyFill="1" applyBorder="1"/>
    <xf numFmtId="1" fontId="3" fillId="6" borderId="0" xfId="0" applyNumberFormat="1" applyFont="1" applyFill="1"/>
    <xf numFmtId="1" fontId="3" fillId="6" borderId="28" xfId="0" applyNumberFormat="1" applyFont="1" applyFill="1" applyBorder="1"/>
    <xf numFmtId="1" fontId="3" fillId="5" borderId="738" xfId="0" applyNumberFormat="1" applyFont="1" applyFill="1" applyBorder="1" applyAlignment="1">
      <alignment vertical="center" wrapText="1"/>
    </xf>
    <xf numFmtId="1" fontId="3" fillId="0" borderId="738" xfId="0" applyNumberFormat="1" applyFont="1" applyBorder="1" applyAlignment="1">
      <alignment vertical="center" wrapText="1"/>
    </xf>
    <xf numFmtId="1" fontId="3" fillId="4" borderId="739" xfId="0" applyNumberFormat="1" applyFont="1" applyFill="1" applyBorder="1" applyProtection="1">
      <protection locked="0"/>
    </xf>
    <xf numFmtId="1" fontId="3" fillId="4" borderId="416" xfId="0" applyNumberFormat="1" applyFont="1" applyFill="1" applyBorder="1" applyProtection="1">
      <protection locked="0"/>
    </xf>
    <xf numFmtId="1" fontId="3" fillId="4" borderId="418" xfId="0" applyNumberFormat="1" applyFont="1" applyFill="1" applyBorder="1" applyProtection="1">
      <protection locked="0"/>
    </xf>
    <xf numFmtId="1" fontId="3" fillId="4" borderId="422" xfId="0" applyNumberFormat="1" applyFont="1" applyFill="1" applyBorder="1" applyProtection="1">
      <protection locked="0"/>
    </xf>
    <xf numFmtId="1" fontId="3" fillId="6" borderId="1150" xfId="0" applyNumberFormat="1" applyFont="1" applyFill="1" applyBorder="1"/>
    <xf numFmtId="1" fontId="3" fillId="6" borderId="221" xfId="0" applyNumberFormat="1" applyFont="1" applyFill="1" applyBorder="1"/>
    <xf numFmtId="1" fontId="3" fillId="6" borderId="1151" xfId="0" applyNumberFormat="1" applyFont="1" applyFill="1" applyBorder="1"/>
    <xf numFmtId="1" fontId="3" fillId="5" borderId="370" xfId="0" applyNumberFormat="1" applyFont="1" applyFill="1" applyBorder="1" applyAlignment="1">
      <alignment vertical="center" wrapText="1"/>
    </xf>
    <xf numFmtId="1" fontId="3" fillId="0" borderId="370" xfId="0" applyNumberFormat="1" applyFont="1" applyBorder="1" applyAlignment="1">
      <alignment vertical="center" wrapText="1"/>
    </xf>
    <xf numFmtId="1" fontId="3" fillId="6" borderId="1137" xfId="0" applyNumberFormat="1" applyFont="1" applyFill="1" applyBorder="1"/>
    <xf numFmtId="1" fontId="3" fillId="6" borderId="30" xfId="0" applyNumberFormat="1" applyFont="1" applyFill="1" applyBorder="1"/>
    <xf numFmtId="1" fontId="3" fillId="6" borderId="31" xfId="0" applyNumberFormat="1" applyFont="1" applyFill="1" applyBorder="1"/>
    <xf numFmtId="1" fontId="3" fillId="6" borderId="1145" xfId="0" applyNumberFormat="1" applyFont="1" applyFill="1" applyBorder="1"/>
    <xf numFmtId="1" fontId="2" fillId="5" borderId="306" xfId="0" applyNumberFormat="1" applyFont="1" applyFill="1" applyBorder="1"/>
    <xf numFmtId="1" fontId="3" fillId="3" borderId="406" xfId="0" applyNumberFormat="1" applyFont="1" applyFill="1" applyBorder="1" applyAlignment="1">
      <alignment vertical="center" wrapText="1"/>
    </xf>
    <xf numFmtId="1" fontId="0" fillId="37" borderId="0" xfId="0" applyNumberFormat="1" applyFill="1"/>
    <xf numFmtId="0" fontId="0" fillId="37" borderId="0" xfId="0" applyFill="1"/>
    <xf numFmtId="1" fontId="3" fillId="0" borderId="741" xfId="0" applyNumberFormat="1" applyFont="1" applyBorder="1" applyAlignment="1">
      <alignment horizontal="right" vertical="center" wrapText="1"/>
    </xf>
    <xf numFmtId="1" fontId="3" fillId="0" borderId="595" xfId="0" applyNumberFormat="1" applyFont="1" applyBorder="1" applyAlignment="1">
      <alignment horizontal="right" vertical="center" wrapText="1"/>
    </xf>
    <xf numFmtId="0" fontId="3" fillId="0" borderId="731" xfId="0" applyFont="1" applyBorder="1" applyAlignment="1">
      <alignment vertical="center" wrapText="1"/>
    </xf>
    <xf numFmtId="1" fontId="3" fillId="0" borderId="717" xfId="0" applyNumberFormat="1" applyFont="1" applyBorder="1" applyAlignment="1">
      <alignment horizontal="right"/>
    </xf>
    <xf numFmtId="1" fontId="3" fillId="0" borderId="334" xfId="0" applyNumberFormat="1" applyFont="1" applyBorder="1" applyAlignment="1">
      <alignment horizontal="right"/>
    </xf>
    <xf numFmtId="1" fontId="3" fillId="0" borderId="366" xfId="0" applyNumberFormat="1" applyFont="1" applyBorder="1" applyAlignment="1">
      <alignment horizontal="right"/>
    </xf>
    <xf numFmtId="1" fontId="3" fillId="0" borderId="608" xfId="0" applyNumberFormat="1" applyFont="1" applyBorder="1" applyAlignment="1">
      <alignment horizontal="right"/>
    </xf>
    <xf numFmtId="1" fontId="3" fillId="0" borderId="271" xfId="0" applyNumberFormat="1" applyFont="1" applyBorder="1" applyAlignment="1">
      <alignment horizontal="right"/>
    </xf>
    <xf numFmtId="1" fontId="39" fillId="0" borderId="252" xfId="0" applyNumberFormat="1" applyFont="1" applyBorder="1" applyAlignment="1" applyProtection="1">
      <alignment horizontal="left"/>
      <protection hidden="1"/>
    </xf>
    <xf numFmtId="1" fontId="3" fillId="0" borderId="703" xfId="0" applyNumberFormat="1" applyFont="1" applyBorder="1" applyAlignment="1">
      <alignment vertical="center" wrapText="1"/>
    </xf>
    <xf numFmtId="1" fontId="3" fillId="4" borderId="716" xfId="0" applyNumberFormat="1" applyFont="1" applyFill="1" applyBorder="1" applyAlignment="1" applyProtection="1">
      <alignment horizontal="right"/>
      <protection locked="0"/>
    </xf>
    <xf numFmtId="1" fontId="3" fillId="0" borderId="703" xfId="0" applyNumberFormat="1" applyFont="1" applyBorder="1" applyAlignment="1">
      <alignment horizontal="right"/>
    </xf>
    <xf numFmtId="1" fontId="4" fillId="3" borderId="0" xfId="0" applyNumberFormat="1" applyFont="1" applyFill="1" applyAlignment="1">
      <alignment horizontal="left" wrapText="1"/>
    </xf>
    <xf numFmtId="1" fontId="6" fillId="3" borderId="0" xfId="0" applyNumberFormat="1" applyFont="1" applyFill="1" applyAlignment="1">
      <alignment vertical="center"/>
    </xf>
    <xf numFmtId="1" fontId="6" fillId="3" borderId="0" xfId="0" applyNumberFormat="1" applyFont="1" applyFill="1" applyAlignment="1">
      <alignment horizontal="center" vertical="center" wrapText="1"/>
    </xf>
    <xf numFmtId="1" fontId="3" fillId="0" borderId="1089" xfId="0" applyNumberFormat="1" applyFont="1" applyBorder="1" applyAlignment="1">
      <alignment horizontal="center" vertical="center"/>
    </xf>
    <xf numFmtId="1" fontId="3" fillId="5" borderId="673" xfId="0" applyNumberFormat="1" applyFont="1" applyFill="1" applyBorder="1" applyAlignment="1">
      <alignment horizontal="center" vertical="center" wrapText="1"/>
    </xf>
    <xf numFmtId="1" fontId="3" fillId="0" borderId="1159" xfId="0" applyNumberFormat="1" applyFont="1" applyBorder="1" applyAlignment="1">
      <alignment horizontal="center" vertical="center"/>
    </xf>
    <xf numFmtId="1" fontId="3" fillId="5" borderId="253" xfId="0" applyNumberFormat="1" applyFont="1" applyFill="1" applyBorder="1" applyAlignment="1">
      <alignment horizontal="center" vertical="center" wrapText="1"/>
    </xf>
    <xf numFmtId="1" fontId="3" fillId="0" borderId="1093" xfId="0" applyNumberFormat="1" applyFont="1" applyBorder="1" applyAlignment="1">
      <alignment horizontal="center" vertical="center"/>
    </xf>
    <xf numFmtId="1" fontId="3" fillId="0" borderId="1115" xfId="0" applyNumberFormat="1" applyFont="1" applyBorder="1" applyAlignment="1">
      <alignment horizontal="center" vertical="center" wrapText="1"/>
    </xf>
    <xf numFmtId="1" fontId="3" fillId="0" borderId="1142" xfId="0" applyNumberFormat="1" applyFont="1" applyBorder="1" applyAlignment="1">
      <alignment horizontal="center" vertical="center"/>
    </xf>
    <xf numFmtId="1" fontId="3" fillId="0" borderId="1147" xfId="0" applyNumberFormat="1" applyFont="1" applyBorder="1" applyAlignment="1">
      <alignment horizontal="center" vertical="center"/>
    </xf>
    <xf numFmtId="1" fontId="3" fillId="9" borderId="699" xfId="38" applyNumberFormat="1" applyFont="1" applyBorder="1" applyProtection="1">
      <protection locked="0"/>
    </xf>
    <xf numFmtId="1" fontId="3" fillId="9" borderId="792" xfId="38" applyNumberFormat="1" applyFont="1" applyBorder="1" applyProtection="1">
      <protection locked="0"/>
    </xf>
    <xf numFmtId="1" fontId="3" fillId="0" borderId="1160" xfId="0" applyNumberFormat="1" applyFont="1" applyBorder="1"/>
    <xf numFmtId="1" fontId="3" fillId="0" borderId="1138" xfId="0" applyNumberFormat="1" applyFont="1" applyBorder="1"/>
    <xf numFmtId="1" fontId="3" fillId="0" borderId="1161" xfId="0" applyNumberFormat="1" applyFont="1" applyBorder="1"/>
    <xf numFmtId="1" fontId="3" fillId="0" borderId="970" xfId="0" applyNumberFormat="1" applyFont="1" applyBorder="1"/>
    <xf numFmtId="1" fontId="3" fillId="4" borderId="1158" xfId="0" applyNumberFormat="1" applyFont="1" applyFill="1" applyBorder="1" applyProtection="1">
      <protection locked="0"/>
    </xf>
    <xf numFmtId="1" fontId="3" fillId="7" borderId="987" xfId="0" applyNumberFormat="1" applyFont="1" applyFill="1" applyBorder="1"/>
    <xf numFmtId="1" fontId="3" fillId="7" borderId="985" xfId="0" applyNumberFormat="1" applyFont="1" applyFill="1" applyBorder="1"/>
    <xf numFmtId="1" fontId="3" fillId="0" borderId="1158" xfId="0" applyNumberFormat="1" applyFont="1" applyBorder="1"/>
    <xf numFmtId="1" fontId="3" fillId="0" borderId="313" xfId="0" applyNumberFormat="1" applyFont="1" applyBorder="1"/>
    <xf numFmtId="0" fontId="57" fillId="0" borderId="0" xfId="0" applyFont="1"/>
    <xf numFmtId="1" fontId="3" fillId="7" borderId="983" xfId="0" applyNumberFormat="1" applyFont="1" applyFill="1" applyBorder="1"/>
    <xf numFmtId="1" fontId="3" fillId="9" borderId="987" xfId="38" applyNumberFormat="1" applyFont="1" applyBorder="1" applyProtection="1">
      <protection locked="0"/>
    </xf>
    <xf numFmtId="1" fontId="3" fillId="9" borderId="983" xfId="38" applyNumberFormat="1" applyFont="1" applyBorder="1" applyProtection="1">
      <protection locked="0"/>
    </xf>
    <xf numFmtId="1" fontId="3" fillId="5" borderId="340" xfId="0" applyNumberFormat="1" applyFont="1" applyFill="1" applyBorder="1"/>
    <xf numFmtId="1" fontId="3" fillId="0" borderId="1146" xfId="0" applyNumberFormat="1" applyFont="1" applyBorder="1"/>
    <xf numFmtId="1" fontId="3" fillId="0" borderId="1162" xfId="0" applyNumberFormat="1" applyFont="1" applyBorder="1"/>
    <xf numFmtId="1" fontId="3" fillId="0" borderId="969" xfId="0" applyNumberFormat="1" applyFont="1" applyBorder="1"/>
    <xf numFmtId="1" fontId="3" fillId="0" borderId="1099" xfId="0" applyNumberFormat="1" applyFont="1" applyBorder="1"/>
    <xf numFmtId="1" fontId="3" fillId="0" borderId="1143" xfId="0" applyNumberFormat="1" applyFont="1" applyBorder="1"/>
    <xf numFmtId="1" fontId="3" fillId="0" borderId="1140" xfId="0" applyNumberFormat="1" applyFont="1" applyBorder="1"/>
    <xf numFmtId="1" fontId="3" fillId="0" borderId="1157" xfId="0" applyNumberFormat="1" applyFont="1" applyBorder="1"/>
    <xf numFmtId="1" fontId="3" fillId="0" borderId="495" xfId="0" applyNumberFormat="1" applyFont="1" applyBorder="1"/>
    <xf numFmtId="1" fontId="3" fillId="0" borderId="1163" xfId="0" applyNumberFormat="1" applyFont="1" applyBorder="1"/>
    <xf numFmtId="1" fontId="3" fillId="0" borderId="1149" xfId="0" applyNumberFormat="1" applyFont="1" applyBorder="1"/>
    <xf numFmtId="1" fontId="2" fillId="0" borderId="313" xfId="0" applyNumberFormat="1" applyFont="1" applyBorder="1"/>
    <xf numFmtId="1" fontId="3" fillId="5" borderId="736" xfId="0" applyNumberFormat="1" applyFont="1" applyFill="1" applyBorder="1" applyAlignment="1">
      <alignment horizontal="center" vertical="center" wrapText="1"/>
    </xf>
    <xf numFmtId="1" fontId="3" fillId="5" borderId="624" xfId="0" applyNumberFormat="1" applyFont="1" applyFill="1" applyBorder="1" applyAlignment="1">
      <alignment horizontal="center" vertical="center" wrapText="1"/>
    </xf>
    <xf numFmtId="1" fontId="3" fillId="5" borderId="735" xfId="0" applyNumberFormat="1" applyFont="1" applyFill="1" applyBorder="1" applyAlignment="1">
      <alignment horizontal="center" vertical="center" wrapText="1"/>
    </xf>
    <xf numFmtId="1" fontId="3" fillId="5" borderId="251" xfId="0" applyNumberFormat="1" applyFont="1" applyFill="1" applyBorder="1" applyAlignment="1">
      <alignment horizontal="center" vertical="center" wrapText="1"/>
    </xf>
    <xf numFmtId="1" fontId="3" fillId="22" borderId="736" xfId="0" applyNumberFormat="1" applyFont="1" applyFill="1" applyBorder="1" applyAlignment="1">
      <alignment horizontal="center" vertical="center" wrapText="1"/>
    </xf>
    <xf numFmtId="1" fontId="3" fillId="22" borderId="640" xfId="0" applyNumberFormat="1" applyFont="1" applyFill="1" applyBorder="1" applyAlignment="1">
      <alignment horizontal="center" vertical="center" wrapText="1"/>
    </xf>
    <xf numFmtId="1" fontId="3" fillId="0" borderId="624" xfId="0" applyNumberFormat="1" applyFont="1" applyBorder="1" applyAlignment="1" applyProtection="1">
      <alignment horizontal="center" vertical="center" wrapText="1"/>
      <protection hidden="1"/>
    </xf>
    <xf numFmtId="1" fontId="3" fillId="5" borderId="636" xfId="0" applyNumberFormat="1" applyFont="1" applyFill="1" applyBorder="1"/>
    <xf numFmtId="1" fontId="3" fillId="4" borderId="690" xfId="0" applyNumberFormat="1" applyFont="1" applyFill="1" applyBorder="1" applyProtection="1">
      <protection locked="0"/>
    </xf>
    <xf numFmtId="1" fontId="3" fillId="5" borderId="731" xfId="0" applyNumberFormat="1" applyFont="1" applyFill="1" applyBorder="1"/>
    <xf numFmtId="1" fontId="3" fillId="22" borderId="276" xfId="0" applyNumberFormat="1" applyFont="1" applyFill="1" applyBorder="1" applyProtection="1">
      <protection locked="0"/>
    </xf>
    <xf numFmtId="1" fontId="3" fillId="22" borderId="134" xfId="0" applyNumberFormat="1" applyFont="1" applyFill="1" applyBorder="1" applyProtection="1">
      <protection locked="0"/>
    </xf>
    <xf numFmtId="1" fontId="3" fillId="5" borderId="232" xfId="0" applyNumberFormat="1" applyFont="1" applyFill="1" applyBorder="1"/>
    <xf numFmtId="1" fontId="3" fillId="5" borderId="331" xfId="0" applyNumberFormat="1" applyFont="1" applyFill="1" applyBorder="1"/>
    <xf numFmtId="1" fontId="3" fillId="5" borderId="162" xfId="0" applyNumberFormat="1" applyFont="1" applyFill="1" applyBorder="1"/>
    <xf numFmtId="1" fontId="3" fillId="4" borderId="87" xfId="0" applyNumberFormat="1" applyFont="1" applyFill="1" applyBorder="1" applyProtection="1">
      <protection locked="0"/>
    </xf>
    <xf numFmtId="1" fontId="3" fillId="5" borderId="302" xfId="0" applyNumberFormat="1" applyFont="1" applyFill="1" applyBorder="1"/>
    <xf numFmtId="1" fontId="3" fillId="22" borderId="341" xfId="0" applyNumberFormat="1" applyFont="1" applyFill="1" applyBorder="1" applyProtection="1">
      <protection locked="0"/>
    </xf>
    <xf numFmtId="1" fontId="3" fillId="22" borderId="334" xfId="0" applyNumberFormat="1" applyFont="1" applyFill="1" applyBorder="1" applyProtection="1">
      <protection locked="0"/>
    </xf>
    <xf numFmtId="1" fontId="3" fillId="22" borderId="6" xfId="0" applyNumberFormat="1" applyFont="1" applyFill="1" applyBorder="1" applyProtection="1">
      <protection locked="0"/>
    </xf>
    <xf numFmtId="1" fontId="3" fillId="5" borderId="406" xfId="0" applyNumberFormat="1" applyFont="1" applyFill="1" applyBorder="1"/>
    <xf numFmtId="1" fontId="3" fillId="22" borderId="328" xfId="0" applyNumberFormat="1" applyFont="1" applyFill="1" applyBorder="1" applyProtection="1">
      <protection locked="0"/>
    </xf>
    <xf numFmtId="1" fontId="3" fillId="22" borderId="367" xfId="0" applyNumberFormat="1" applyFont="1" applyFill="1" applyBorder="1" applyProtection="1">
      <protection locked="0"/>
    </xf>
    <xf numFmtId="1" fontId="3" fillId="0" borderId="735" xfId="0" applyNumberFormat="1" applyFont="1" applyBorder="1" applyAlignment="1">
      <alignment horizontal="center" vertical="center"/>
    </xf>
    <xf numFmtId="1" fontId="3" fillId="0" borderId="299" xfId="0" applyNumberFormat="1" applyFont="1" applyBorder="1"/>
    <xf numFmtId="1" fontId="3" fillId="0" borderId="255" xfId="0" applyNumberFormat="1" applyFont="1" applyBorder="1"/>
    <xf numFmtId="1" fontId="3" fillId="0" borderId="251" xfId="0" applyNumberFormat="1" applyFont="1" applyBorder="1"/>
    <xf numFmtId="1" fontId="3" fillId="0" borderId="252" xfId="0" applyNumberFormat="1" applyFont="1" applyBorder="1"/>
    <xf numFmtId="1" fontId="3" fillId="0" borderId="253" xfId="0" applyNumberFormat="1" applyFont="1" applyBorder="1"/>
    <xf numFmtId="1" fontId="3" fillId="0" borderId="257" xfId="0" applyNumberFormat="1" applyFont="1" applyBorder="1"/>
    <xf numFmtId="1" fontId="2" fillId="0" borderId="20" xfId="0" applyNumberFormat="1" applyFont="1" applyBorder="1"/>
    <xf numFmtId="1" fontId="6" fillId="0" borderId="253" xfId="0" applyNumberFormat="1" applyFont="1" applyBorder="1" applyProtection="1">
      <protection locked="0"/>
    </xf>
    <xf numFmtId="1" fontId="3" fillId="0" borderId="731" xfId="0" applyNumberFormat="1" applyFont="1" applyBorder="1"/>
    <xf numFmtId="1" fontId="3" fillId="28" borderId="328" xfId="0" applyNumberFormat="1" applyFont="1" applyFill="1" applyBorder="1"/>
    <xf numFmtId="1" fontId="3" fillId="28" borderId="335" xfId="0" applyNumberFormat="1" applyFont="1" applyFill="1" applyBorder="1"/>
    <xf numFmtId="1" fontId="3" fillId="0" borderId="257" xfId="0" applyNumberFormat="1" applyFont="1" applyBorder="1" applyAlignment="1">
      <alignment horizontal="center" vertical="center"/>
    </xf>
    <xf numFmtId="1" fontId="3" fillId="0" borderId="988" xfId="0" applyNumberFormat="1" applyFont="1" applyBorder="1" applyAlignment="1">
      <alignment horizontal="center" vertical="center" wrapText="1"/>
    </xf>
    <xf numFmtId="1" fontId="3" fillId="0" borderId="1193" xfId="0" applyNumberFormat="1" applyFont="1" applyBorder="1" applyAlignment="1">
      <alignment horizontal="center" vertical="center" wrapText="1"/>
    </xf>
    <xf numFmtId="1" fontId="3" fillId="0" borderId="718" xfId="0" applyNumberFormat="1" applyFont="1" applyBorder="1" applyAlignment="1">
      <alignment horizontal="right"/>
    </xf>
    <xf numFmtId="1" fontId="3" fillId="4" borderId="1136" xfId="0" applyNumberFormat="1" applyFont="1" applyFill="1" applyBorder="1" applyProtection="1">
      <protection locked="0"/>
    </xf>
    <xf numFmtId="1" fontId="3" fillId="4" borderId="1169" xfId="0" applyNumberFormat="1" applyFont="1" applyFill="1" applyBorder="1" applyProtection="1">
      <protection locked="0"/>
    </xf>
    <xf numFmtId="1" fontId="3" fillId="7" borderId="736" xfId="0" applyNumberFormat="1" applyFont="1" applyFill="1" applyBorder="1" applyAlignment="1">
      <alignment horizontal="right"/>
    </xf>
    <xf numFmtId="1" fontId="3" fillId="7" borderId="608" xfId="0" applyNumberFormat="1" applyFont="1" applyFill="1" applyBorder="1" applyAlignment="1">
      <alignment horizontal="right"/>
    </xf>
    <xf numFmtId="1" fontId="3" fillId="7" borderId="699" xfId="0" applyNumberFormat="1" applyFont="1" applyFill="1" applyBorder="1" applyAlignment="1">
      <alignment horizontal="right"/>
    </xf>
    <xf numFmtId="1" fontId="3" fillId="4" borderId="1120" xfId="0" applyNumberFormat="1" applyFont="1" applyFill="1" applyBorder="1" applyProtection="1">
      <protection locked="0"/>
    </xf>
    <xf numFmtId="1" fontId="3" fillId="4" borderId="1192" xfId="0" applyNumberFormat="1" applyFont="1" applyFill="1" applyBorder="1" applyProtection="1">
      <protection locked="0"/>
    </xf>
    <xf numFmtId="1" fontId="3" fillId="7" borderId="715" xfId="0" applyNumberFormat="1" applyFont="1" applyFill="1" applyBorder="1" applyAlignment="1">
      <alignment horizontal="right"/>
    </xf>
    <xf numFmtId="1" fontId="3" fillId="7" borderId="134" xfId="0" applyNumberFormat="1" applyFont="1" applyFill="1" applyBorder="1"/>
    <xf numFmtId="1" fontId="3" fillId="7" borderId="237" xfId="0" applyNumberFormat="1" applyFont="1" applyFill="1" applyBorder="1"/>
    <xf numFmtId="1" fontId="3" fillId="7" borderId="359" xfId="0" applyNumberFormat="1" applyFont="1" applyFill="1" applyBorder="1"/>
    <xf numFmtId="1" fontId="3" fillId="4" borderId="1193" xfId="0" applyNumberFormat="1" applyFont="1" applyFill="1" applyBorder="1" applyProtection="1">
      <protection locked="0"/>
    </xf>
    <xf numFmtId="1" fontId="3" fillId="0" borderId="341" xfId="0" applyNumberFormat="1" applyFont="1" applyBorder="1" applyAlignment="1">
      <alignment horizontal="right" shrinkToFit="1"/>
    </xf>
    <xf numFmtId="1" fontId="2" fillId="0" borderId="703" xfId="0" applyNumberFormat="1" applyFont="1" applyBorder="1"/>
    <xf numFmtId="1" fontId="2" fillId="0" borderId="672" xfId="0" applyNumberFormat="1" applyFont="1" applyBorder="1"/>
    <xf numFmtId="1" fontId="3" fillId="0" borderId="731" xfId="0" applyNumberFormat="1" applyFont="1" applyBorder="1" applyAlignment="1">
      <alignment vertical="center"/>
    </xf>
    <xf numFmtId="1" fontId="3" fillId="0" borderId="715" xfId="0" applyNumberFormat="1" applyFont="1" applyBorder="1" applyAlignment="1">
      <alignment horizontal="right"/>
    </xf>
    <xf numFmtId="1" fontId="3" fillId="0" borderId="406" xfId="0" applyNumberFormat="1" applyFont="1" applyBorder="1" applyAlignment="1">
      <alignment vertical="center"/>
    </xf>
    <xf numFmtId="1" fontId="3" fillId="0" borderId="232" xfId="0" applyNumberFormat="1" applyFont="1" applyBorder="1" applyAlignment="1">
      <alignment vertical="center"/>
    </xf>
    <xf numFmtId="1" fontId="3" fillId="0" borderId="667" xfId="0" applyNumberFormat="1" applyFont="1" applyBorder="1" applyAlignment="1">
      <alignment horizontal="right"/>
    </xf>
    <xf numFmtId="1" fontId="3" fillId="7" borderId="667" xfId="0" applyNumberFormat="1" applyFont="1" applyFill="1" applyBorder="1"/>
    <xf numFmtId="1" fontId="3" fillId="9" borderId="747" xfId="38" applyNumberFormat="1" applyFont="1" applyBorder="1" applyProtection="1">
      <protection locked="0"/>
    </xf>
    <xf numFmtId="1" fontId="3" fillId="4" borderId="1074" xfId="0" applyNumberFormat="1" applyFont="1" applyFill="1" applyBorder="1" applyProtection="1">
      <protection locked="0"/>
    </xf>
    <xf numFmtId="1" fontId="3" fillId="9" borderId="748" xfId="38" applyNumberFormat="1" applyFont="1" applyBorder="1" applyProtection="1">
      <protection locked="0"/>
    </xf>
    <xf numFmtId="1" fontId="3" fillId="18" borderId="148" xfId="0" applyNumberFormat="1" applyFont="1" applyFill="1" applyBorder="1" applyProtection="1">
      <protection locked="0"/>
    </xf>
    <xf numFmtId="1" fontId="3" fillId="18" borderId="322" xfId="0" applyNumberFormat="1" applyFont="1" applyFill="1" applyBorder="1" applyProtection="1">
      <protection locked="0"/>
    </xf>
    <xf numFmtId="1" fontId="3" fillId="18" borderId="323" xfId="0" applyNumberFormat="1" applyFont="1" applyFill="1" applyBorder="1" applyProtection="1">
      <protection locked="0"/>
    </xf>
    <xf numFmtId="1" fontId="3" fillId="18" borderId="1189" xfId="0" applyNumberFormat="1" applyFont="1" applyFill="1" applyBorder="1" applyProtection="1">
      <protection locked="0"/>
    </xf>
    <xf numFmtId="1" fontId="3" fillId="18" borderId="67" xfId="0" applyNumberFormat="1" applyFont="1" applyFill="1" applyBorder="1" applyProtection="1">
      <protection locked="0"/>
    </xf>
    <xf numFmtId="1" fontId="3" fillId="18" borderId="101" xfId="0" applyNumberFormat="1" applyFont="1" applyFill="1" applyBorder="1" applyProtection="1">
      <protection locked="0"/>
    </xf>
    <xf numFmtId="1" fontId="3" fillId="25" borderId="36" xfId="0" applyNumberFormat="1" applyFont="1" applyFill="1" applyBorder="1"/>
    <xf numFmtId="1" fontId="3" fillId="18" borderId="38" xfId="0" applyNumberFormat="1" applyFont="1" applyFill="1" applyBorder="1" applyProtection="1">
      <protection locked="0"/>
    </xf>
    <xf numFmtId="1" fontId="3" fillId="18" borderId="199" xfId="0" applyNumberFormat="1" applyFont="1" applyFill="1" applyBorder="1" applyProtection="1">
      <protection locked="0"/>
    </xf>
    <xf numFmtId="1" fontId="3" fillId="18" borderId="750" xfId="0" applyNumberFormat="1" applyFont="1" applyFill="1" applyBorder="1" applyProtection="1">
      <protection locked="0"/>
    </xf>
    <xf numFmtId="1" fontId="3" fillId="18" borderId="752" xfId="0" applyNumberFormat="1" applyFont="1" applyFill="1" applyBorder="1" applyProtection="1">
      <protection locked="0"/>
    </xf>
    <xf numFmtId="1" fontId="3" fillId="18" borderId="753" xfId="0" applyNumberFormat="1" applyFont="1" applyFill="1" applyBorder="1" applyProtection="1">
      <protection locked="0"/>
    </xf>
    <xf numFmtId="1" fontId="3" fillId="18" borderId="1164" xfId="0" applyNumberFormat="1" applyFont="1" applyFill="1" applyBorder="1" applyProtection="1">
      <protection locked="0"/>
    </xf>
    <xf numFmtId="1" fontId="3" fillId="18" borderId="103" xfId="0" applyNumberFormat="1" applyFont="1" applyFill="1" applyBorder="1" applyProtection="1">
      <protection locked="0"/>
    </xf>
    <xf numFmtId="1" fontId="3" fillId="18" borderId="102" xfId="0" applyNumberFormat="1" applyFont="1" applyFill="1" applyBorder="1" applyProtection="1">
      <protection locked="0"/>
    </xf>
    <xf numFmtId="1" fontId="3" fillId="25" borderId="53" xfId="0" applyNumberFormat="1" applyFont="1" applyFill="1" applyBorder="1"/>
    <xf numFmtId="1" fontId="3" fillId="18" borderId="47" xfId="0" applyNumberFormat="1" applyFont="1" applyFill="1" applyBorder="1" applyProtection="1">
      <protection locked="0"/>
    </xf>
    <xf numFmtId="1" fontId="3" fillId="18" borderId="200" xfId="0" applyNumberFormat="1" applyFont="1" applyFill="1" applyBorder="1" applyProtection="1">
      <protection locked="0"/>
    </xf>
    <xf numFmtId="1" fontId="3" fillId="18" borderId="36" xfId="0" applyNumberFormat="1" applyFont="1" applyFill="1" applyBorder="1" applyProtection="1">
      <protection locked="0"/>
    </xf>
    <xf numFmtId="1" fontId="3" fillId="18" borderId="53" xfId="0" applyNumberFormat="1" applyFont="1" applyFill="1" applyBorder="1" applyProtection="1">
      <protection locked="0"/>
    </xf>
    <xf numFmtId="1" fontId="3" fillId="25" borderId="57" xfId="0" applyNumberFormat="1" applyFont="1" applyFill="1" applyBorder="1" applyAlignment="1">
      <alignment horizontal="center"/>
    </xf>
    <xf numFmtId="1" fontId="3" fillId="25" borderId="38" xfId="0" applyNumberFormat="1" applyFont="1" applyFill="1" applyBorder="1"/>
    <xf numFmtId="1" fontId="3" fillId="25" borderId="199" xfId="0" applyNumberFormat="1" applyFont="1" applyFill="1" applyBorder="1"/>
    <xf numFmtId="1" fontId="3" fillId="25" borderId="59" xfId="0" applyNumberFormat="1" applyFont="1" applyFill="1" applyBorder="1" applyAlignment="1">
      <alignment horizontal="center"/>
    </xf>
    <xf numFmtId="1" fontId="3" fillId="25" borderId="47" xfId="0" applyNumberFormat="1" applyFont="1" applyFill="1" applyBorder="1"/>
    <xf numFmtId="1" fontId="3" fillId="25" borderId="200" xfId="0" applyNumberFormat="1" applyFont="1" applyFill="1" applyBorder="1"/>
    <xf numFmtId="1" fontId="3" fillId="26" borderId="57" xfId="0" applyNumberFormat="1" applyFont="1" applyFill="1" applyBorder="1"/>
    <xf numFmtId="1" fontId="3" fillId="26" borderId="53" xfId="0" applyNumberFormat="1" applyFont="1" applyFill="1" applyBorder="1" applyAlignment="1">
      <alignment horizontal="center"/>
    </xf>
    <xf numFmtId="1" fontId="3" fillId="18" borderId="50" xfId="0" applyNumberFormat="1" applyFont="1" applyFill="1" applyBorder="1" applyProtection="1">
      <protection locked="0"/>
    </xf>
    <xf numFmtId="1" fontId="3" fillId="18" borderId="49" xfId="0" applyNumberFormat="1" applyFont="1" applyFill="1" applyBorder="1" applyProtection="1">
      <protection locked="0"/>
    </xf>
    <xf numFmtId="1" fontId="3" fillId="18" borderId="52" xfId="0" applyNumberFormat="1" applyFont="1" applyFill="1" applyBorder="1" applyProtection="1">
      <protection locked="0"/>
    </xf>
    <xf numFmtId="1" fontId="3" fillId="27" borderId="1189" xfId="0" applyNumberFormat="1" applyFont="1" applyFill="1" applyBorder="1"/>
    <xf numFmtId="1" fontId="3" fillId="27" borderId="67" xfId="0" applyNumberFormat="1" applyFont="1" applyFill="1" applyBorder="1"/>
    <xf numFmtId="1" fontId="3" fillId="27" borderId="101" xfId="0" applyNumberFormat="1" applyFont="1" applyFill="1" applyBorder="1"/>
    <xf numFmtId="1" fontId="3" fillId="26" borderId="57" xfId="0" applyNumberFormat="1" applyFont="1" applyFill="1" applyBorder="1" applyAlignment="1">
      <alignment horizontal="center"/>
    </xf>
    <xf numFmtId="1" fontId="3" fillId="27" borderId="1190" xfId="0" applyNumberFormat="1" applyFont="1" applyFill="1" applyBorder="1"/>
    <xf numFmtId="1" fontId="3" fillId="27" borderId="1165" xfId="0" applyNumberFormat="1" applyFont="1" applyFill="1" applyBorder="1"/>
    <xf numFmtId="1" fontId="3" fillId="27" borderId="1191" xfId="0" applyNumberFormat="1" applyFont="1" applyFill="1" applyBorder="1"/>
    <xf numFmtId="1" fontId="3" fillId="26" borderId="106" xfId="0" applyNumberFormat="1" applyFont="1" applyFill="1" applyBorder="1" applyAlignment="1">
      <alignment horizontal="center"/>
    </xf>
    <xf numFmtId="1" fontId="3" fillId="25" borderId="77" xfId="0" applyNumberFormat="1" applyFont="1" applyFill="1" applyBorder="1"/>
    <xf numFmtId="0" fontId="3" fillId="0" borderId="736" xfId="0" applyFont="1" applyBorder="1" applyAlignment="1">
      <alignment horizontal="center" vertical="center"/>
    </xf>
    <xf numFmtId="0" fontId="3" fillId="0" borderId="251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20" borderId="1147" xfId="0" applyFont="1" applyFill="1" applyBorder="1" applyAlignment="1">
      <alignment horizontal="center" vertical="center" wrapText="1"/>
    </xf>
    <xf numFmtId="0" fontId="3" fillId="20" borderId="608" xfId="0" applyFont="1" applyFill="1" applyBorder="1" applyAlignment="1">
      <alignment horizontal="center" vertical="center" wrapText="1"/>
    </xf>
    <xf numFmtId="1" fontId="3" fillId="3" borderId="736" xfId="0" applyNumberFormat="1" applyFont="1" applyFill="1" applyBorder="1"/>
    <xf numFmtId="0" fontId="3" fillId="0" borderId="624" xfId="0" applyFont="1" applyBorder="1"/>
    <xf numFmtId="0" fontId="3" fillId="0" borderId="640" xfId="0" applyFont="1" applyBorder="1"/>
    <xf numFmtId="0" fontId="3" fillId="0" borderId="302" xfId="0" applyFont="1" applyBorder="1" applyAlignment="1">
      <alignment wrapText="1"/>
    </xf>
    <xf numFmtId="0" fontId="3" fillId="51" borderId="276" xfId="0" applyFont="1" applyFill="1" applyBorder="1"/>
    <xf numFmtId="0" fontId="3" fillId="51" borderId="271" xfId="0" applyFont="1" applyFill="1" applyBorder="1"/>
    <xf numFmtId="0" fontId="3" fillId="51" borderId="22" xfId="0" applyFont="1" applyFill="1" applyBorder="1"/>
    <xf numFmtId="0" fontId="3" fillId="51" borderId="198" xfId="0" applyFont="1" applyFill="1" applyBorder="1"/>
    <xf numFmtId="0" fontId="3" fillId="51" borderId="1172" xfId="0" applyFont="1" applyFill="1" applyBorder="1"/>
    <xf numFmtId="0" fontId="3" fillId="0" borderId="331" xfId="0" applyFont="1" applyBorder="1" applyAlignment="1">
      <alignment wrapText="1"/>
    </xf>
    <xf numFmtId="0" fontId="3" fillId="51" borderId="341" xfId="0" applyFont="1" applyFill="1" applyBorder="1"/>
    <xf numFmtId="0" fontId="3" fillId="51" borderId="334" xfId="0" applyFont="1" applyFill="1" applyBorder="1"/>
    <xf numFmtId="0" fontId="3" fillId="51" borderId="333" xfId="0" applyFont="1" applyFill="1" applyBorder="1"/>
    <xf numFmtId="0" fontId="3" fillId="51" borderId="757" xfId="0" applyFont="1" applyFill="1" applyBorder="1"/>
    <xf numFmtId="0" fontId="3" fillId="51" borderId="1175" xfId="0" applyFont="1" applyFill="1" applyBorder="1"/>
    <xf numFmtId="0" fontId="3" fillId="51" borderId="1178" xfId="0" applyFont="1" applyFill="1" applyBorder="1"/>
    <xf numFmtId="1" fontId="3" fillId="3" borderId="657" xfId="0" applyNumberFormat="1" applyFont="1" applyFill="1" applyBorder="1"/>
    <xf numFmtId="0" fontId="3" fillId="0" borderId="299" xfId="0" applyFont="1" applyBorder="1" applyAlignment="1">
      <alignment horizontal="left" wrapText="1"/>
    </xf>
    <xf numFmtId="1" fontId="3" fillId="3" borderId="252" xfId="0" applyNumberFormat="1" applyFont="1" applyFill="1" applyBorder="1"/>
    <xf numFmtId="0" fontId="0" fillId="5" borderId="0" xfId="0" applyFill="1"/>
    <xf numFmtId="0" fontId="3" fillId="0" borderId="667" xfId="0" applyFont="1" applyBorder="1" applyAlignment="1">
      <alignment horizontal="center" vertical="center" wrapText="1"/>
    </xf>
    <xf numFmtId="0" fontId="3" fillId="0" borderId="697" xfId="0" applyFont="1" applyBorder="1" applyAlignment="1">
      <alignment horizontal="center" vertical="center" wrapText="1"/>
    </xf>
    <xf numFmtId="0" fontId="3" fillId="0" borderId="623" xfId="0" applyFont="1" applyBorder="1" applyAlignment="1">
      <alignment horizontal="center" wrapText="1"/>
    </xf>
    <xf numFmtId="0" fontId="3" fillId="0" borderId="624" xfId="0" applyFont="1" applyBorder="1" applyAlignment="1">
      <alignment horizontal="center" wrapText="1"/>
    </xf>
    <xf numFmtId="0" fontId="3" fillId="0" borderId="640" xfId="0" applyFont="1" applyBorder="1" applyAlignment="1">
      <alignment horizontal="center"/>
    </xf>
    <xf numFmtId="1" fontId="3" fillId="4" borderId="759" xfId="0" applyNumberFormat="1" applyFont="1" applyFill="1" applyBorder="1" applyProtection="1">
      <protection locked="0"/>
    </xf>
    <xf numFmtId="1" fontId="3" fillId="4" borderId="760" xfId="0" applyNumberFormat="1" applyFont="1" applyFill="1" applyBorder="1" applyProtection="1">
      <protection locked="0"/>
    </xf>
    <xf numFmtId="1" fontId="3" fillId="4" borderId="253" xfId="0" applyNumberFormat="1" applyFont="1" applyFill="1" applyBorder="1" applyProtection="1">
      <protection locked="0"/>
    </xf>
    <xf numFmtId="1" fontId="3" fillId="4" borderId="252" xfId="0" applyNumberFormat="1" applyFont="1" applyFill="1" applyBorder="1" applyProtection="1">
      <protection locked="0"/>
    </xf>
    <xf numFmtId="0" fontId="0" fillId="0" borderId="313" xfId="0" applyBorder="1" applyAlignment="1">
      <alignment wrapText="1"/>
    </xf>
    <xf numFmtId="1" fontId="4" fillId="3" borderId="0" xfId="0" applyNumberFormat="1" applyFont="1" applyFill="1" applyAlignment="1">
      <alignment horizontal="left"/>
    </xf>
    <xf numFmtId="1" fontId="8" fillId="3" borderId="0" xfId="0" applyNumberFormat="1" applyFont="1" applyFill="1" applyAlignment="1">
      <alignment horizontal="center"/>
    </xf>
    <xf numFmtId="1" fontId="3" fillId="3" borderId="0" xfId="0" applyNumberFormat="1" applyFont="1" applyFill="1" applyAlignment="1">
      <alignment horizontal="left"/>
    </xf>
    <xf numFmtId="1" fontId="3" fillId="0" borderId="718" xfId="0" applyNumberFormat="1" applyFont="1" applyBorder="1" applyAlignment="1">
      <alignment horizontal="center" vertical="center"/>
    </xf>
    <xf numFmtId="1" fontId="3" fillId="0" borderId="762" xfId="0" applyNumberFormat="1" applyFont="1" applyBorder="1" applyAlignment="1">
      <alignment horizontal="right"/>
    </xf>
    <xf numFmtId="1" fontId="3" fillId="4" borderId="763" xfId="0" applyNumberFormat="1" applyFont="1" applyFill="1" applyBorder="1" applyProtection="1">
      <protection locked="0"/>
    </xf>
    <xf numFmtId="1" fontId="3" fillId="4" borderId="762" xfId="0" applyNumberFormat="1" applyFont="1" applyFill="1" applyBorder="1" applyProtection="1">
      <protection locked="0"/>
    </xf>
    <xf numFmtId="1" fontId="3" fillId="5" borderId="0" xfId="0" applyNumberFormat="1" applyFont="1" applyFill="1" applyAlignment="1" applyProtection="1">
      <alignment vertical="center"/>
      <protection locked="0"/>
    </xf>
    <xf numFmtId="1" fontId="3" fillId="5" borderId="0" xfId="0" applyNumberFormat="1" applyFont="1" applyFill="1" applyAlignment="1">
      <alignment vertical="top" wrapText="1"/>
    </xf>
    <xf numFmtId="1" fontId="3" fillId="0" borderId="85" xfId="0" applyNumberFormat="1" applyFont="1" applyBorder="1" applyAlignment="1">
      <alignment horizontal="right"/>
    </xf>
    <xf numFmtId="1" fontId="3" fillId="7" borderId="333" xfId="0" applyNumberFormat="1" applyFont="1" applyFill="1" applyBorder="1"/>
    <xf numFmtId="1" fontId="3" fillId="0" borderId="360" xfId="0" applyNumberFormat="1" applyFont="1" applyBorder="1" applyAlignment="1">
      <alignment horizontal="right"/>
    </xf>
    <xf numFmtId="1" fontId="3" fillId="7" borderId="404" xfId="0" applyNumberFormat="1" applyFont="1" applyFill="1" applyBorder="1"/>
    <xf numFmtId="1" fontId="3" fillId="0" borderId="251" xfId="0" applyNumberFormat="1" applyFont="1" applyBorder="1" applyAlignment="1">
      <alignment horizontal="center" vertical="center" wrapText="1"/>
    </xf>
    <xf numFmtId="1" fontId="3" fillId="0" borderId="761" xfId="0" applyNumberFormat="1" applyFont="1" applyBorder="1" applyAlignment="1">
      <alignment horizontal="left" vertical="center" wrapText="1"/>
    </xf>
    <xf numFmtId="1" fontId="3" fillId="0" borderId="738" xfId="0" applyNumberFormat="1" applyFont="1" applyBorder="1" applyAlignment="1">
      <alignment horizontal="left" vertical="center" wrapText="1"/>
    </xf>
    <xf numFmtId="1" fontId="3" fillId="0" borderId="217" xfId="0" applyNumberFormat="1" applyFont="1" applyBorder="1" applyAlignment="1">
      <alignment horizontal="right"/>
    </xf>
    <xf numFmtId="1" fontId="3" fillId="0" borderId="235" xfId="0" applyNumberFormat="1" applyFont="1" applyBorder="1" applyAlignment="1">
      <alignment horizontal="right"/>
    </xf>
    <xf numFmtId="1" fontId="3" fillId="0" borderId="164" xfId="0" applyNumberFormat="1" applyFont="1" applyBorder="1" applyAlignment="1">
      <alignment horizontal="right"/>
    </xf>
    <xf numFmtId="1" fontId="3" fillId="4" borderId="217" xfId="0" applyNumberFormat="1" applyFont="1" applyFill="1" applyBorder="1" applyProtection="1">
      <protection locked="0"/>
    </xf>
    <xf numFmtId="1" fontId="3" fillId="4" borderId="164" xfId="0" applyNumberFormat="1" applyFont="1" applyFill="1" applyBorder="1" applyProtection="1">
      <protection locked="0"/>
    </xf>
    <xf numFmtId="1" fontId="3" fillId="4" borderId="218" xfId="0" applyNumberFormat="1" applyFont="1" applyFill="1" applyBorder="1" applyProtection="1">
      <protection locked="0"/>
    </xf>
    <xf numFmtId="1" fontId="3" fillId="4" borderId="219" xfId="0" applyNumberFormat="1" applyFont="1" applyFill="1" applyBorder="1" applyProtection="1">
      <protection locked="0"/>
    </xf>
    <xf numFmtId="1" fontId="3" fillId="4" borderId="269" xfId="0" applyNumberFormat="1" applyFont="1" applyFill="1" applyBorder="1" applyProtection="1">
      <protection locked="0"/>
    </xf>
    <xf numFmtId="1" fontId="3" fillId="4" borderId="235" xfId="0" applyNumberFormat="1" applyFont="1" applyFill="1" applyBorder="1" applyProtection="1">
      <protection locked="0"/>
    </xf>
    <xf numFmtId="1" fontId="3" fillId="11" borderId="235" xfId="0" applyNumberFormat="1" applyFont="1" applyFill="1" applyBorder="1"/>
    <xf numFmtId="1" fontId="3" fillId="6" borderId="235" xfId="0" applyNumberFormat="1" applyFont="1" applyFill="1" applyBorder="1"/>
    <xf numFmtId="1" fontId="3" fillId="0" borderId="252" xfId="0" applyNumberFormat="1" applyFont="1" applyBorder="1" applyAlignment="1">
      <alignment horizontal="left" vertical="center" wrapText="1"/>
    </xf>
    <xf numFmtId="1" fontId="3" fillId="4" borderId="251" xfId="0" applyNumberFormat="1" applyFont="1" applyFill="1" applyBorder="1" applyProtection="1">
      <protection locked="0"/>
    </xf>
    <xf numFmtId="1" fontId="6" fillId="5" borderId="0" xfId="0" applyNumberFormat="1" applyFont="1" applyFill="1" applyAlignment="1" applyProtection="1">
      <alignment vertical="center"/>
      <protection locked="0"/>
    </xf>
    <xf numFmtId="1" fontId="6" fillId="5" borderId="0" xfId="0" applyNumberFormat="1" applyFont="1" applyFill="1" applyAlignment="1">
      <alignment vertical="top" wrapText="1"/>
    </xf>
    <xf numFmtId="1" fontId="6" fillId="5" borderId="0" xfId="0" applyNumberFormat="1" applyFont="1" applyFill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762" xfId="0" applyNumberFormat="1" applyFont="1" applyBorder="1" applyAlignment="1">
      <alignment horizontal="right" wrapText="1"/>
    </xf>
    <xf numFmtId="1" fontId="3" fillId="4" borderId="764" xfId="0" applyNumberFormat="1" applyFont="1" applyFill="1" applyBorder="1" applyProtection="1">
      <protection locked="0"/>
    </xf>
    <xf numFmtId="1" fontId="3" fillId="11" borderId="336" xfId="0" applyNumberFormat="1" applyFont="1" applyFill="1" applyBorder="1"/>
    <xf numFmtId="1" fontId="3" fillId="11" borderId="354" xfId="0" applyNumberFormat="1" applyFont="1" applyFill="1" applyBorder="1"/>
    <xf numFmtId="1" fontId="3" fillId="5" borderId="313" xfId="0" applyNumberFormat="1" applyFont="1" applyFill="1" applyBorder="1" applyAlignment="1" applyProtection="1">
      <alignment vertical="center"/>
      <protection locked="0"/>
    </xf>
    <xf numFmtId="1" fontId="3" fillId="5" borderId="0" xfId="0" applyNumberFormat="1" applyFont="1" applyFill="1" applyAlignment="1">
      <alignment horizontal="left"/>
    </xf>
    <xf numFmtId="1" fontId="3" fillId="0" borderId="764" xfId="0" applyNumberFormat="1" applyFont="1" applyBorder="1" applyAlignment="1">
      <alignment horizontal="center" vertical="center" wrapText="1"/>
    </xf>
    <xf numFmtId="1" fontId="3" fillId="4" borderId="765" xfId="0" applyNumberFormat="1" applyFont="1" applyFill="1" applyBorder="1" applyProtection="1">
      <protection locked="0"/>
    </xf>
    <xf numFmtId="1" fontId="3" fillId="0" borderId="340" xfId="0" applyNumberFormat="1" applyFont="1" applyBorder="1" applyAlignment="1">
      <alignment horizontal="center" vertical="center" wrapText="1"/>
    </xf>
    <xf numFmtId="1" fontId="3" fillId="0" borderId="394" xfId="0" applyNumberFormat="1" applyFont="1" applyBorder="1" applyAlignment="1">
      <alignment horizontal="center" vertical="center" wrapText="1"/>
    </xf>
    <xf numFmtId="1" fontId="3" fillId="0" borderId="421" xfId="0" applyNumberFormat="1" applyFont="1" applyBorder="1" applyAlignment="1">
      <alignment horizontal="center" vertical="center" wrapText="1"/>
    </xf>
    <xf numFmtId="1" fontId="3" fillId="7" borderId="360" xfId="0" applyNumberFormat="1" applyFont="1" applyFill="1" applyBorder="1"/>
    <xf numFmtId="1" fontId="3" fillId="5" borderId="313" xfId="0" applyNumberFormat="1" applyFont="1" applyFill="1" applyBorder="1" applyAlignment="1">
      <alignment vertical="center"/>
    </xf>
    <xf numFmtId="1" fontId="3" fillId="0" borderId="609" xfId="0" applyNumberFormat="1" applyFont="1" applyBorder="1"/>
    <xf numFmtId="1" fontId="3" fillId="0" borderId="703" xfId="0" applyNumberFormat="1" applyFont="1" applyBorder="1"/>
    <xf numFmtId="1" fontId="2" fillId="3" borderId="672" xfId="0" applyNumberFormat="1" applyFont="1" applyFill="1" applyBorder="1"/>
    <xf numFmtId="1" fontId="3" fillId="3" borderId="0" xfId="0" applyNumberFormat="1" applyFont="1" applyFill="1" applyAlignment="1">
      <alignment vertical="center"/>
    </xf>
    <xf numFmtId="1" fontId="3" fillId="0" borderId="764" xfId="0" applyNumberFormat="1" applyFont="1" applyBorder="1" applyAlignment="1">
      <alignment vertical="center" wrapText="1"/>
    </xf>
    <xf numFmtId="1" fontId="3" fillId="3" borderId="761" xfId="0" applyNumberFormat="1" applyFont="1" applyFill="1" applyBorder="1"/>
    <xf numFmtId="1" fontId="3" fillId="3" borderId="0" xfId="0" applyNumberFormat="1" applyFont="1" applyFill="1" applyProtection="1">
      <protection locked="0"/>
    </xf>
    <xf numFmtId="1" fontId="3" fillId="0" borderId="313" xfId="0" applyNumberFormat="1" applyFont="1" applyBorder="1" applyAlignment="1">
      <alignment vertical="center" wrapText="1"/>
    </xf>
    <xf numFmtId="1" fontId="3" fillId="0" borderId="657" xfId="0" applyNumberFormat="1" applyFont="1" applyBorder="1" applyAlignment="1">
      <alignment horizontal="right" wrapText="1"/>
    </xf>
    <xf numFmtId="1" fontId="3" fillId="0" borderId="759" xfId="0" applyNumberFormat="1" applyFont="1" applyBorder="1" applyAlignment="1">
      <alignment horizontal="right" wrapText="1"/>
    </xf>
    <xf numFmtId="1" fontId="3" fillId="0" borderId="763" xfId="0" applyNumberFormat="1" applyFont="1" applyBorder="1" applyAlignment="1">
      <alignment horizontal="right" wrapText="1"/>
    </xf>
    <xf numFmtId="1" fontId="3" fillId="4" borderId="762" xfId="0" applyNumberFormat="1" applyFont="1" applyFill="1" applyBorder="1" applyAlignment="1" applyProtection="1">
      <alignment horizontal="right"/>
      <protection locked="0"/>
    </xf>
    <xf numFmtId="1" fontId="3" fillId="4" borderId="763" xfId="0" applyNumberFormat="1" applyFont="1" applyFill="1" applyBorder="1" applyAlignment="1" applyProtection="1">
      <alignment horizontal="right"/>
      <protection locked="0"/>
    </xf>
    <xf numFmtId="1" fontId="3" fillId="4" borderId="764" xfId="0" applyNumberFormat="1" applyFont="1" applyFill="1" applyBorder="1" applyAlignment="1" applyProtection="1">
      <alignment horizontal="right"/>
      <protection locked="0"/>
    </xf>
    <xf numFmtId="1" fontId="3" fillId="0" borderId="338" xfId="0" applyNumberFormat="1" applyFont="1" applyBorder="1" applyAlignment="1">
      <alignment horizontal="center" vertical="center" wrapText="1"/>
    </xf>
    <xf numFmtId="1" fontId="3" fillId="4" borderId="341" xfId="0" applyNumberFormat="1" applyFont="1" applyFill="1" applyBorder="1" applyAlignment="1" applyProtection="1">
      <alignment horizontal="right" wrapText="1"/>
      <protection locked="0"/>
    </xf>
    <xf numFmtId="1" fontId="3" fillId="4" borderId="333" xfId="0" applyNumberFormat="1" applyFont="1" applyFill="1" applyBorder="1" applyAlignment="1" applyProtection="1">
      <alignment horizontal="right" wrapText="1"/>
      <protection locked="0"/>
    </xf>
    <xf numFmtId="1" fontId="3" fillId="4" borderId="338" xfId="0" applyNumberFormat="1" applyFont="1" applyFill="1" applyBorder="1" applyAlignment="1" applyProtection="1">
      <alignment horizontal="right" wrapText="1"/>
      <protection locked="0"/>
    </xf>
    <xf numFmtId="1" fontId="3" fillId="4" borderId="334" xfId="0" applyNumberFormat="1" applyFont="1" applyFill="1" applyBorder="1" applyAlignment="1" applyProtection="1">
      <alignment horizontal="right" wrapText="1"/>
      <protection locked="0"/>
    </xf>
    <xf numFmtId="1" fontId="3" fillId="4" borderId="342" xfId="0" applyNumberFormat="1" applyFont="1" applyFill="1" applyBorder="1" applyAlignment="1" applyProtection="1">
      <alignment horizontal="right" wrapText="1"/>
      <protection locked="0"/>
    </xf>
    <xf numFmtId="1" fontId="3" fillId="4" borderId="340" xfId="0" applyNumberFormat="1" applyFont="1" applyFill="1" applyBorder="1" applyAlignment="1" applyProtection="1">
      <alignment horizontal="right" wrapText="1"/>
      <protection locked="0"/>
    </xf>
    <xf numFmtId="1" fontId="3" fillId="4" borderId="343" xfId="0" applyNumberFormat="1" applyFont="1" applyFill="1" applyBorder="1" applyAlignment="1" applyProtection="1">
      <alignment horizontal="right" wrapText="1"/>
      <protection locked="0"/>
    </xf>
    <xf numFmtId="1" fontId="3" fillId="0" borderId="739" xfId="0" applyNumberFormat="1" applyFont="1" applyBorder="1" applyAlignment="1">
      <alignment horizontal="right" wrapText="1"/>
    </xf>
    <xf numFmtId="1" fontId="3" fillId="0" borderId="766" xfId="0" applyNumberFormat="1" applyFont="1" applyBorder="1" applyAlignment="1">
      <alignment horizontal="right" wrapText="1"/>
    </xf>
    <xf numFmtId="1" fontId="3" fillId="0" borderId="416" xfId="0" applyNumberFormat="1" applyFont="1" applyBorder="1" applyAlignment="1">
      <alignment horizontal="right" wrapText="1"/>
    </xf>
    <xf numFmtId="1" fontId="3" fillId="4" borderId="220" xfId="0" applyNumberFormat="1" applyFont="1" applyFill="1" applyBorder="1" applyAlignment="1" applyProtection="1">
      <alignment horizontal="right" wrapText="1"/>
      <protection locked="0"/>
    </xf>
    <xf numFmtId="1" fontId="3" fillId="4" borderId="151" xfId="0" applyNumberFormat="1" applyFont="1" applyFill="1" applyBorder="1" applyAlignment="1" applyProtection="1">
      <alignment horizontal="right" wrapText="1"/>
      <protection locked="0"/>
    </xf>
    <xf numFmtId="1" fontId="3" fillId="4" borderId="153" xfId="0" applyNumberFormat="1" applyFont="1" applyFill="1" applyBorder="1" applyAlignment="1" applyProtection="1">
      <alignment horizontal="right" wrapText="1"/>
      <protection locked="0"/>
    </xf>
    <xf numFmtId="1" fontId="3" fillId="4" borderId="221" xfId="0" applyNumberFormat="1" applyFont="1" applyFill="1" applyBorder="1" applyAlignment="1" applyProtection="1">
      <alignment horizontal="right" wrapText="1"/>
      <protection locked="0"/>
    </xf>
    <xf numFmtId="1" fontId="3" fillId="4" borderId="222" xfId="0" applyNumberFormat="1" applyFont="1" applyFill="1" applyBorder="1" applyAlignment="1" applyProtection="1">
      <alignment horizontal="right" wrapText="1"/>
      <protection locked="0"/>
    </xf>
    <xf numFmtId="1" fontId="3" fillId="4" borderId="223" xfId="0" applyNumberFormat="1" applyFont="1" applyFill="1" applyBorder="1" applyAlignment="1" applyProtection="1">
      <alignment horizontal="right" wrapText="1"/>
      <protection locked="0"/>
    </xf>
    <xf numFmtId="1" fontId="3" fillId="4" borderId="224" xfId="0" applyNumberFormat="1" applyFont="1" applyFill="1" applyBorder="1" applyAlignment="1" applyProtection="1">
      <alignment horizontal="right" wrapText="1"/>
      <protection locked="0"/>
    </xf>
    <xf numFmtId="1" fontId="3" fillId="4" borderId="154" xfId="0" applyNumberFormat="1" applyFont="1" applyFill="1" applyBorder="1" applyAlignment="1" applyProtection="1">
      <alignment horizontal="right" wrapText="1"/>
      <protection locked="0"/>
    </xf>
    <xf numFmtId="1" fontId="3" fillId="4" borderId="9" xfId="0" applyNumberFormat="1" applyFont="1" applyFill="1" applyBorder="1" applyAlignment="1" applyProtection="1">
      <alignment horizontal="right" wrapText="1"/>
      <protection locked="0"/>
    </xf>
    <xf numFmtId="1" fontId="3" fillId="4" borderId="218" xfId="0" applyNumberFormat="1" applyFont="1" applyFill="1" applyBorder="1" applyAlignment="1" applyProtection="1">
      <alignment horizontal="right" wrapText="1"/>
      <protection locked="0"/>
    </xf>
    <xf numFmtId="1" fontId="3" fillId="4" borderId="219" xfId="0" applyNumberFormat="1" applyFont="1" applyFill="1" applyBorder="1" applyAlignment="1" applyProtection="1">
      <alignment horizontal="right" wrapText="1"/>
      <protection locked="0"/>
    </xf>
    <xf numFmtId="1" fontId="3" fillId="4" borderId="225" xfId="0" applyNumberFormat="1" applyFont="1" applyFill="1" applyBorder="1" applyAlignment="1" applyProtection="1">
      <alignment horizontal="right" wrapText="1"/>
      <protection locked="0"/>
    </xf>
    <xf numFmtId="1" fontId="3" fillId="4" borderId="217" xfId="0" applyNumberFormat="1" applyFont="1" applyFill="1" applyBorder="1" applyAlignment="1" applyProtection="1">
      <alignment horizontal="right" wrapText="1"/>
      <protection locked="0"/>
    </xf>
    <xf numFmtId="1" fontId="3" fillId="4" borderId="226" xfId="0" applyNumberFormat="1" applyFont="1" applyFill="1" applyBorder="1" applyAlignment="1" applyProtection="1">
      <alignment horizontal="right" wrapText="1"/>
      <protection locked="0"/>
    </xf>
    <xf numFmtId="1" fontId="3" fillId="4" borderId="163" xfId="0" applyNumberFormat="1" applyFont="1" applyFill="1" applyBorder="1" applyAlignment="1" applyProtection="1">
      <alignment horizontal="right" wrapText="1"/>
      <protection locked="0"/>
    </xf>
    <xf numFmtId="1" fontId="3" fillId="4" borderId="270" xfId="0" applyNumberFormat="1" applyFont="1" applyFill="1" applyBorder="1" applyAlignment="1" applyProtection="1">
      <alignment horizontal="right" wrapText="1"/>
      <protection locked="0"/>
    </xf>
    <xf numFmtId="1" fontId="3" fillId="6" borderId="164" xfId="0" applyNumberFormat="1" applyFont="1" applyFill="1" applyBorder="1" applyAlignment="1">
      <alignment horizontal="right" wrapText="1"/>
    </xf>
    <xf numFmtId="1" fontId="3" fillId="4" borderId="204" xfId="0" applyNumberFormat="1" applyFont="1" applyFill="1" applyBorder="1" applyAlignment="1" applyProtection="1">
      <alignment horizontal="right" wrapText="1"/>
      <protection locked="0"/>
    </xf>
    <xf numFmtId="1" fontId="3" fillId="4" borderId="20" xfId="0" applyNumberFormat="1" applyFont="1" applyFill="1" applyBorder="1" applyAlignment="1" applyProtection="1">
      <alignment horizontal="right" wrapText="1"/>
      <protection locked="0"/>
    </xf>
    <xf numFmtId="1" fontId="3" fillId="4" borderId="405" xfId="0" applyNumberFormat="1" applyFont="1" applyFill="1" applyBorder="1" applyAlignment="1" applyProtection="1">
      <alignment horizontal="right" wrapText="1"/>
      <protection locked="0"/>
    </xf>
    <xf numFmtId="1" fontId="3" fillId="4" borderId="0" xfId="0" applyNumberFormat="1" applyFont="1" applyFill="1" applyAlignment="1" applyProtection="1">
      <alignment horizontal="right" wrapText="1"/>
      <protection locked="0"/>
    </xf>
    <xf numFmtId="1" fontId="3" fillId="4" borderId="85" xfId="0" applyNumberFormat="1" applyFont="1" applyFill="1" applyBorder="1" applyAlignment="1" applyProtection="1">
      <alignment horizontal="right" wrapText="1"/>
      <protection locked="0"/>
    </xf>
    <xf numFmtId="1" fontId="3" fillId="4" borderId="87" xfId="0" applyNumberFormat="1" applyFont="1" applyFill="1" applyBorder="1" applyAlignment="1" applyProtection="1">
      <alignment horizontal="right" wrapText="1"/>
      <protection locked="0"/>
    </xf>
    <xf numFmtId="1" fontId="3" fillId="4" borderId="313" xfId="0" applyNumberFormat="1" applyFont="1" applyFill="1" applyBorder="1" applyAlignment="1" applyProtection="1">
      <alignment horizontal="right" wrapText="1"/>
      <protection locked="0"/>
    </xf>
    <xf numFmtId="1" fontId="3" fillId="4" borderId="282" xfId="0" applyNumberFormat="1" applyFont="1" applyFill="1" applyBorder="1" applyAlignment="1" applyProtection="1">
      <alignment horizontal="right" wrapText="1"/>
      <protection locked="0"/>
    </xf>
    <xf numFmtId="1" fontId="3" fillId="6" borderId="20" xfId="0" applyNumberFormat="1" applyFont="1" applyFill="1" applyBorder="1" applyAlignment="1">
      <alignment horizontal="right" wrapText="1"/>
    </xf>
    <xf numFmtId="1" fontId="3" fillId="0" borderId="338" xfId="0" applyNumberFormat="1" applyFont="1" applyBorder="1" applyAlignment="1">
      <alignment horizontal="right" wrapText="1"/>
    </xf>
    <xf numFmtId="1" fontId="3" fillId="6" borderId="336" xfId="0" applyNumberFormat="1" applyFont="1" applyFill="1" applyBorder="1" applyAlignment="1">
      <alignment horizontal="right" wrapText="1"/>
    </xf>
    <xf numFmtId="1" fontId="3" fillId="4" borderId="255" xfId="0" applyNumberFormat="1" applyFont="1" applyFill="1" applyBorder="1" applyAlignment="1" applyProtection="1">
      <alignment horizontal="right" wrapText="1"/>
      <protection locked="0"/>
    </xf>
    <xf numFmtId="1" fontId="3" fillId="4" borderId="253" xfId="0" applyNumberFormat="1" applyFont="1" applyFill="1" applyBorder="1" applyAlignment="1" applyProtection="1">
      <alignment horizontal="right" wrapText="1"/>
      <protection locked="0"/>
    </xf>
    <xf numFmtId="1" fontId="3" fillId="4" borderId="251" xfId="0" applyNumberFormat="1" applyFont="1" applyFill="1" applyBorder="1" applyAlignment="1" applyProtection="1">
      <alignment horizontal="right" wrapText="1"/>
      <protection locked="0"/>
    </xf>
    <xf numFmtId="1" fontId="3" fillId="4" borderId="252" xfId="0" applyNumberFormat="1" applyFont="1" applyFill="1" applyBorder="1" applyAlignment="1" applyProtection="1">
      <alignment horizontal="right" wrapText="1"/>
      <protection locked="0"/>
    </xf>
    <xf numFmtId="1" fontId="3" fillId="4" borderId="257" xfId="0" applyNumberFormat="1" applyFont="1" applyFill="1" applyBorder="1" applyAlignment="1" applyProtection="1">
      <alignment horizontal="right" wrapText="1"/>
      <protection locked="0"/>
    </xf>
    <xf numFmtId="1" fontId="3" fillId="4" borderId="263" xfId="0" applyNumberFormat="1" applyFont="1" applyFill="1" applyBorder="1" applyAlignment="1" applyProtection="1">
      <alignment horizontal="right" wrapText="1"/>
      <protection locked="0"/>
    </xf>
    <xf numFmtId="1" fontId="3" fillId="4" borderId="300" xfId="0" applyNumberFormat="1" applyFont="1" applyFill="1" applyBorder="1" applyAlignment="1" applyProtection="1">
      <alignment horizontal="right" wrapText="1"/>
      <protection locked="0"/>
    </xf>
    <xf numFmtId="1" fontId="3" fillId="4" borderId="262" xfId="0" applyNumberFormat="1" applyFont="1" applyFill="1" applyBorder="1" applyAlignment="1" applyProtection="1">
      <alignment horizontal="right" wrapText="1"/>
      <protection locked="0"/>
    </xf>
    <xf numFmtId="1" fontId="3" fillId="6" borderId="253" xfId="0" applyNumberFormat="1" applyFont="1" applyFill="1" applyBorder="1" applyAlignment="1">
      <alignment horizontal="right" wrapText="1"/>
    </xf>
    <xf numFmtId="1" fontId="3" fillId="0" borderId="761" xfId="0" applyNumberFormat="1" applyFont="1" applyBorder="1" applyAlignment="1">
      <alignment horizontal="center" vertical="center" wrapText="1"/>
    </xf>
    <xf numFmtId="1" fontId="3" fillId="4" borderId="761" xfId="0" applyNumberFormat="1" applyFont="1" applyFill="1" applyBorder="1" applyAlignment="1" applyProtection="1">
      <alignment horizontal="right" wrapText="1"/>
      <protection locked="0"/>
    </xf>
    <xf numFmtId="1" fontId="3" fillId="0" borderId="331" xfId="0" applyNumberFormat="1" applyFont="1" applyBorder="1" applyAlignment="1">
      <alignment horizontal="center" vertical="center" wrapText="1"/>
    </xf>
    <xf numFmtId="1" fontId="3" fillId="0" borderId="406" xfId="0" applyNumberFormat="1" applyFont="1" applyBorder="1" applyAlignment="1">
      <alignment horizontal="center" vertical="center" wrapText="1"/>
    </xf>
    <xf numFmtId="1" fontId="2" fillId="0" borderId="768" xfId="0" applyNumberFormat="1" applyFont="1" applyBorder="1"/>
    <xf numFmtId="1" fontId="6" fillId="0" borderId="768" xfId="0" applyNumberFormat="1" applyFont="1" applyBorder="1"/>
    <xf numFmtId="1" fontId="6" fillId="0" borderId="769" xfId="0" applyNumberFormat="1" applyFont="1" applyBorder="1"/>
    <xf numFmtId="1" fontId="6" fillId="0" borderId="767" xfId="0" applyNumberFormat="1" applyFont="1" applyBorder="1"/>
    <xf numFmtId="1" fontId="6" fillId="0" borderId="306" xfId="0" applyNumberFormat="1" applyFont="1" applyBorder="1"/>
    <xf numFmtId="1" fontId="8" fillId="3" borderId="313" xfId="0" applyNumberFormat="1" applyFont="1" applyFill="1" applyBorder="1"/>
    <xf numFmtId="1" fontId="8" fillId="5" borderId="313" xfId="0" applyNumberFormat="1" applyFont="1" applyFill="1" applyBorder="1"/>
    <xf numFmtId="1" fontId="3" fillId="0" borderId="764" xfId="0" applyNumberFormat="1" applyFont="1" applyBorder="1" applyAlignment="1">
      <alignment horizontal="left" vertical="center" wrapText="1"/>
    </xf>
    <xf numFmtId="1" fontId="3" fillId="3" borderId="718" xfId="0" applyNumberFormat="1" applyFont="1" applyFill="1" applyBorder="1" applyAlignment="1">
      <alignment horizontal="center" vertical="center" wrapText="1"/>
    </xf>
    <xf numFmtId="1" fontId="3" fillId="4" borderId="759" xfId="0" applyNumberFormat="1" applyFont="1" applyFill="1" applyBorder="1" applyAlignment="1" applyProtection="1">
      <alignment horizontal="right"/>
      <protection locked="0"/>
    </xf>
    <xf numFmtId="1" fontId="3" fillId="4" borderId="771" xfId="0" applyNumberFormat="1" applyFont="1" applyFill="1" applyBorder="1" applyAlignment="1" applyProtection="1">
      <alignment horizontal="right"/>
      <protection locked="0"/>
    </xf>
    <xf numFmtId="1" fontId="3" fillId="4" borderId="281" xfId="0" applyNumberFormat="1" applyFont="1" applyFill="1" applyBorder="1" applyAlignment="1" applyProtection="1">
      <alignment horizontal="right"/>
      <protection locked="0"/>
    </xf>
    <xf numFmtId="1" fontId="3" fillId="0" borderId="300" xfId="0" applyNumberFormat="1" applyFont="1" applyBorder="1" applyAlignment="1">
      <alignment horizontal="left" vertical="center"/>
    </xf>
    <xf numFmtId="1" fontId="3" fillId="0" borderId="770" xfId="0" applyNumberFormat="1" applyFont="1" applyBorder="1" applyAlignment="1">
      <alignment horizontal="right"/>
    </xf>
    <xf numFmtId="1" fontId="3" fillId="4" borderId="746" xfId="0" applyNumberFormat="1" applyFont="1" applyFill="1" applyBorder="1" applyAlignment="1" applyProtection="1">
      <alignment horizontal="right"/>
      <protection locked="0"/>
    </xf>
    <xf numFmtId="1" fontId="3" fillId="4" borderId="745" xfId="0" applyNumberFormat="1" applyFont="1" applyFill="1" applyBorder="1" applyAlignment="1" applyProtection="1">
      <alignment horizontal="right"/>
      <protection locked="0"/>
    </xf>
    <xf numFmtId="1" fontId="8" fillId="3" borderId="0" xfId="0" applyNumberFormat="1" applyFont="1" applyFill="1" applyProtection="1">
      <protection locked="0"/>
    </xf>
    <xf numFmtId="1" fontId="3" fillId="0" borderId="762" xfId="0" applyNumberFormat="1" applyFont="1" applyBorder="1" applyAlignment="1">
      <alignment horizontal="center" vertical="center" wrapText="1"/>
    </xf>
    <xf numFmtId="1" fontId="3" fillId="0" borderId="699" xfId="0" applyNumberFormat="1" applyFont="1" applyBorder="1" applyAlignment="1">
      <alignment horizontal="center" vertical="center" wrapText="1"/>
    </xf>
    <xf numFmtId="1" fontId="3" fillId="3" borderId="736" xfId="0" applyNumberFormat="1" applyFont="1" applyFill="1" applyBorder="1" applyAlignment="1">
      <alignment horizontal="center" vertical="center"/>
    </xf>
    <xf numFmtId="1" fontId="3" fillId="3" borderId="640" xfId="0" applyNumberFormat="1" applyFont="1" applyFill="1" applyBorder="1" applyAlignment="1">
      <alignment horizontal="center" vertical="center"/>
    </xf>
    <xf numFmtId="1" fontId="3" fillId="5" borderId="764" xfId="0" applyNumberFormat="1" applyFont="1" applyFill="1" applyBorder="1" applyAlignment="1">
      <alignment vertical="center" wrapText="1"/>
    </xf>
    <xf numFmtId="1" fontId="3" fillId="7" borderId="693" xfId="0" applyNumberFormat="1" applyFont="1" applyFill="1" applyBorder="1" applyAlignment="1">
      <alignment horizontal="right"/>
    </xf>
    <xf numFmtId="1" fontId="3" fillId="5" borderId="340" xfId="0" applyNumberFormat="1" applyFont="1" applyFill="1" applyBorder="1" applyAlignment="1">
      <alignment vertical="center"/>
    </xf>
    <xf numFmtId="1" fontId="3" fillId="6" borderId="345" xfId="0" applyNumberFormat="1" applyFont="1" applyFill="1" applyBorder="1" applyAlignment="1">
      <alignment horizontal="right"/>
    </xf>
    <xf numFmtId="1" fontId="3" fillId="0" borderId="761" xfId="0" applyNumberFormat="1" applyFont="1" applyBorder="1" applyAlignment="1">
      <alignment horizontal="left" wrapText="1"/>
    </xf>
    <xf numFmtId="1" fontId="3" fillId="0" borderId="761" xfId="0" applyNumberFormat="1" applyFont="1" applyBorder="1"/>
    <xf numFmtId="1" fontId="3" fillId="0" borderId="761" xfId="0" applyNumberFormat="1" applyFont="1" applyBorder="1" applyAlignment="1">
      <alignment wrapText="1"/>
    </xf>
    <xf numFmtId="1" fontId="3" fillId="4" borderId="761" xfId="0" applyNumberFormat="1" applyFont="1" applyFill="1" applyBorder="1" applyProtection="1">
      <protection locked="0"/>
    </xf>
    <xf numFmtId="1" fontId="3" fillId="0" borderId="331" xfId="0" applyNumberFormat="1" applyFont="1" applyBorder="1" applyAlignment="1">
      <alignment horizontal="left" wrapText="1"/>
    </xf>
    <xf numFmtId="1" fontId="3" fillId="4" borderId="232" xfId="0" applyNumberFormat="1" applyFont="1" applyFill="1" applyBorder="1" applyProtection="1">
      <protection locked="0"/>
    </xf>
    <xf numFmtId="1" fontId="3" fillId="4" borderId="735" xfId="0" applyNumberFormat="1" applyFont="1" applyFill="1" applyBorder="1" applyProtection="1">
      <protection locked="0"/>
    </xf>
    <xf numFmtId="1" fontId="3" fillId="0" borderId="764" xfId="0" applyNumberFormat="1" applyFont="1" applyBorder="1"/>
    <xf numFmtId="1" fontId="3" fillId="0" borderId="421" xfId="0" applyNumberFormat="1" applyFont="1" applyBorder="1" applyAlignment="1">
      <alignment vertical="center"/>
    </xf>
    <xf numFmtId="1" fontId="3" fillId="4" borderId="299" xfId="0" applyNumberFormat="1" applyFont="1" applyFill="1" applyBorder="1" applyProtection="1">
      <protection locked="0"/>
    </xf>
    <xf numFmtId="1" fontId="3" fillId="7" borderId="699" xfId="0" applyNumberFormat="1" applyFont="1" applyFill="1" applyBorder="1"/>
    <xf numFmtId="1" fontId="3" fillId="7" borderId="256" xfId="0" applyNumberFormat="1" applyFont="1" applyFill="1" applyBorder="1"/>
    <xf numFmtId="1" fontId="2" fillId="0" borderId="636" xfId="0" applyNumberFormat="1" applyFont="1" applyBorder="1"/>
    <xf numFmtId="1" fontId="3" fillId="0" borderId="764" xfId="0" applyNumberFormat="1" applyFont="1" applyBorder="1" applyAlignment="1">
      <alignment vertical="center"/>
    </xf>
    <xf numFmtId="1" fontId="3" fillId="3" borderId="640" xfId="0" applyNumberFormat="1" applyFont="1" applyFill="1" applyBorder="1" applyAlignment="1">
      <alignment horizontal="center"/>
    </xf>
    <xf numFmtId="1" fontId="3" fillId="3" borderId="736" xfId="0" applyNumberFormat="1" applyFont="1" applyFill="1" applyBorder="1" applyAlignment="1">
      <alignment horizontal="center" vertical="center" wrapText="1"/>
    </xf>
    <xf numFmtId="1" fontId="3" fillId="3" borderId="595" xfId="0" applyNumberFormat="1" applyFont="1" applyFill="1" applyBorder="1" applyAlignment="1">
      <alignment horizontal="center"/>
    </xf>
    <xf numFmtId="1" fontId="3" fillId="3" borderId="764" xfId="0" applyNumberFormat="1" applyFont="1" applyFill="1" applyBorder="1" applyAlignment="1">
      <alignment vertical="center" wrapText="1"/>
    </xf>
    <xf numFmtId="1" fontId="3" fillId="3" borderId="667" xfId="0" applyNumberFormat="1" applyFont="1" applyFill="1" applyBorder="1" applyAlignment="1">
      <alignment horizontal="right" wrapText="1"/>
    </xf>
    <xf numFmtId="1" fontId="3" fillId="3" borderId="668" xfId="0" applyNumberFormat="1" applyFont="1" applyFill="1" applyBorder="1" applyAlignment="1">
      <alignment horizontal="right"/>
    </xf>
    <xf numFmtId="1" fontId="3" fillId="3" borderId="693" xfId="0" applyNumberFormat="1" applyFont="1" applyFill="1" applyBorder="1" applyAlignment="1">
      <alignment horizontal="right"/>
    </xf>
    <xf numFmtId="1" fontId="3" fillId="7" borderId="772" xfId="0" applyNumberFormat="1" applyFont="1" applyFill="1" applyBorder="1" applyAlignment="1">
      <alignment horizontal="right"/>
    </xf>
    <xf numFmtId="1" fontId="3" fillId="7" borderId="289" xfId="0" applyNumberFormat="1" applyFont="1" applyFill="1" applyBorder="1" applyAlignment="1">
      <alignment horizontal="right"/>
    </xf>
    <xf numFmtId="1" fontId="3" fillId="7" borderId="773" xfId="0" applyNumberFormat="1" applyFont="1" applyFill="1" applyBorder="1" applyAlignment="1">
      <alignment horizontal="right"/>
    </xf>
    <xf numFmtId="1" fontId="3" fillId="9" borderId="774" xfId="3" applyNumberFormat="1" applyFont="1" applyBorder="1" applyAlignment="1" applyProtection="1">
      <alignment horizontal="right"/>
      <protection locked="0"/>
    </xf>
    <xf numFmtId="1" fontId="3" fillId="9" borderId="775" xfId="3" applyNumberFormat="1" applyFont="1" applyBorder="1" applyAlignment="1" applyProtection="1">
      <alignment horizontal="right"/>
      <protection locked="0"/>
    </xf>
    <xf numFmtId="1" fontId="3" fillId="9" borderId="776" xfId="3" applyNumberFormat="1" applyFont="1" applyBorder="1" applyAlignment="1" applyProtection="1">
      <alignment horizontal="right"/>
      <protection locked="0"/>
    </xf>
    <xf numFmtId="1" fontId="3" fillId="9" borderId="777" xfId="3" applyNumberFormat="1" applyFont="1" applyBorder="1" applyAlignment="1" applyProtection="1">
      <alignment horizontal="right"/>
      <protection locked="0"/>
    </xf>
    <xf numFmtId="1" fontId="3" fillId="3" borderId="313" xfId="0" applyNumberFormat="1" applyFont="1" applyFill="1" applyBorder="1" applyAlignment="1">
      <alignment vertical="center" wrapText="1"/>
    </xf>
    <xf numFmtId="1" fontId="3" fillId="3" borderId="204" xfId="0" applyNumberFormat="1" applyFont="1" applyFill="1" applyBorder="1" applyAlignment="1">
      <alignment horizontal="right" wrapText="1"/>
    </xf>
    <xf numFmtId="1" fontId="3" fillId="3" borderId="353" xfId="0" applyNumberFormat="1" applyFont="1" applyFill="1" applyBorder="1" applyAlignment="1">
      <alignment horizontal="right"/>
    </xf>
    <xf numFmtId="1" fontId="3" fillId="9" borderId="778" xfId="3" applyNumberFormat="1" applyFont="1" applyBorder="1" applyAlignment="1" applyProtection="1">
      <alignment horizontal="right"/>
      <protection locked="0"/>
    </xf>
    <xf numFmtId="1" fontId="3" fillId="9" borderId="779" xfId="3" applyNumberFormat="1" applyFont="1" applyBorder="1" applyAlignment="1" applyProtection="1">
      <alignment horizontal="right"/>
      <protection locked="0"/>
    </xf>
    <xf numFmtId="1" fontId="3" fillId="9" borderId="780" xfId="3" applyNumberFormat="1" applyFont="1" applyBorder="1" applyAlignment="1" applyProtection="1">
      <alignment horizontal="right"/>
      <protection locked="0"/>
    </xf>
    <xf numFmtId="1" fontId="3" fillId="9" borderId="781" xfId="3" applyNumberFormat="1" applyFont="1" applyBorder="1" applyAlignment="1" applyProtection="1">
      <alignment horizontal="right"/>
      <protection locked="0"/>
    </xf>
    <xf numFmtId="1" fontId="3" fillId="3" borderId="394" xfId="0" applyNumberFormat="1" applyFont="1" applyFill="1" applyBorder="1" applyAlignment="1">
      <alignment vertical="center" wrapText="1"/>
    </xf>
    <xf numFmtId="1" fontId="3" fillId="3" borderId="421" xfId="0" applyNumberFormat="1" applyFont="1" applyFill="1" applyBorder="1" applyAlignment="1">
      <alignment vertical="center" wrapText="1"/>
    </xf>
    <xf numFmtId="1" fontId="3" fillId="3" borderId="328" xfId="0" applyNumberFormat="1" applyFont="1" applyFill="1" applyBorder="1" applyAlignment="1">
      <alignment horizontal="right" wrapText="1"/>
    </xf>
    <xf numFmtId="1" fontId="3" fillId="3" borderId="404" xfId="0" applyNumberFormat="1" applyFont="1" applyFill="1" applyBorder="1" applyAlignment="1">
      <alignment horizontal="right"/>
    </xf>
    <xf numFmtId="1" fontId="3" fillId="3" borderId="770" xfId="0" applyNumberFormat="1" applyFont="1" applyFill="1" applyBorder="1" applyAlignment="1">
      <alignment horizontal="right"/>
    </xf>
    <xf numFmtId="1" fontId="3" fillId="9" borderId="782" xfId="3" applyNumberFormat="1" applyFont="1" applyBorder="1" applyAlignment="1" applyProtection="1">
      <alignment horizontal="right"/>
      <protection locked="0"/>
    </xf>
    <xf numFmtId="1" fontId="3" fillId="9" borderId="783" xfId="3" applyNumberFormat="1" applyFont="1" applyBorder="1" applyAlignment="1" applyProtection="1">
      <alignment horizontal="right"/>
      <protection locked="0"/>
    </xf>
    <xf numFmtId="1" fontId="3" fillId="9" borderId="784" xfId="3" applyNumberFormat="1" applyFont="1" applyBorder="1" applyAlignment="1" applyProtection="1">
      <alignment horizontal="right"/>
      <protection locked="0"/>
    </xf>
    <xf numFmtId="1" fontId="3" fillId="9" borderId="785" xfId="3" applyNumberFormat="1" applyFont="1" applyBorder="1" applyAlignment="1" applyProtection="1">
      <alignment horizontal="right"/>
      <protection locked="0"/>
    </xf>
    <xf numFmtId="1" fontId="6" fillId="0" borderId="786" xfId="0" applyNumberFormat="1" applyFont="1" applyBorder="1"/>
    <xf numFmtId="1" fontId="3" fillId="0" borderId="787" xfId="0" applyNumberFormat="1" applyFont="1" applyBorder="1" applyAlignment="1">
      <alignment horizontal="center" vertical="center"/>
    </xf>
    <xf numFmtId="1" fontId="3" fillId="0" borderId="787" xfId="0" applyNumberFormat="1" applyFont="1" applyBorder="1" applyAlignment="1">
      <alignment horizontal="center" vertical="center" wrapText="1"/>
    </xf>
    <xf numFmtId="1" fontId="3" fillId="0" borderId="790" xfId="0" applyNumberFormat="1" applyFont="1" applyBorder="1" applyAlignment="1">
      <alignment horizontal="center" vertical="center" wrapText="1"/>
    </xf>
    <xf numFmtId="1" fontId="3" fillId="3" borderId="787" xfId="0" applyNumberFormat="1" applyFont="1" applyFill="1" applyBorder="1" applyAlignment="1">
      <alignment horizontal="center" vertical="center"/>
    </xf>
    <xf numFmtId="1" fontId="3" fillId="3" borderId="789" xfId="0" applyNumberFormat="1" applyFont="1" applyFill="1" applyBorder="1" applyAlignment="1">
      <alignment horizontal="center" vertical="center"/>
    </xf>
    <xf numFmtId="1" fontId="3" fillId="0" borderId="791" xfId="0" applyNumberFormat="1" applyFont="1" applyBorder="1" applyAlignment="1">
      <alignment horizontal="right"/>
    </xf>
    <xf numFmtId="1" fontId="3" fillId="4" borderId="791" xfId="0" applyNumberFormat="1" applyFont="1" applyFill="1" applyBorder="1" applyAlignment="1" applyProtection="1">
      <alignment horizontal="right"/>
      <protection locked="0"/>
    </xf>
    <xf numFmtId="1" fontId="3" fillId="4" borderId="792" xfId="0" applyNumberFormat="1" applyFont="1" applyFill="1" applyBorder="1" applyAlignment="1" applyProtection="1">
      <alignment horizontal="right"/>
      <protection locked="0"/>
    </xf>
    <xf numFmtId="1" fontId="3" fillId="4" borderId="657" xfId="0" applyNumberFormat="1" applyFont="1" applyFill="1" applyBorder="1" applyAlignment="1" applyProtection="1">
      <alignment horizontal="right"/>
      <protection locked="0"/>
    </xf>
    <xf numFmtId="1" fontId="3" fillId="4" borderId="793" xfId="0" applyNumberFormat="1" applyFont="1" applyFill="1" applyBorder="1" applyAlignment="1" applyProtection="1">
      <alignment horizontal="right"/>
      <protection locked="0"/>
    </xf>
    <xf numFmtId="1" fontId="3" fillId="4" borderId="794" xfId="0" applyNumberFormat="1" applyFont="1" applyFill="1" applyBorder="1" applyAlignment="1" applyProtection="1">
      <alignment horizontal="right"/>
      <protection locked="0"/>
    </xf>
    <xf numFmtId="1" fontId="3" fillId="0" borderId="770" xfId="0" applyNumberFormat="1" applyFont="1" applyBorder="1"/>
    <xf numFmtId="1" fontId="3" fillId="4" borderId="795" xfId="0" applyNumberFormat="1" applyFont="1" applyFill="1" applyBorder="1" applyAlignment="1" applyProtection="1">
      <alignment horizontal="right"/>
      <protection locked="0"/>
    </xf>
    <xf numFmtId="1" fontId="3" fillId="4" borderId="770" xfId="0" applyNumberFormat="1" applyFont="1" applyFill="1" applyBorder="1" applyAlignment="1" applyProtection="1">
      <alignment horizontal="right"/>
      <protection locked="0"/>
    </xf>
    <xf numFmtId="1" fontId="3" fillId="0" borderId="761" xfId="0" applyNumberFormat="1" applyFont="1" applyBorder="1" applyAlignment="1">
      <alignment horizontal="right" vertical="center" wrapText="1"/>
    </xf>
    <xf numFmtId="1" fontId="3" fillId="6" borderId="704" xfId="0" applyNumberFormat="1" applyFont="1" applyFill="1" applyBorder="1" applyAlignment="1">
      <alignment horizontal="right"/>
    </xf>
    <xf numFmtId="1" fontId="2" fillId="5" borderId="703" xfId="0" applyNumberFormat="1" applyFont="1" applyFill="1" applyBorder="1"/>
    <xf numFmtId="1" fontId="2" fillId="3" borderId="703" xfId="0" applyNumberFormat="1" applyFont="1" applyFill="1" applyBorder="1"/>
    <xf numFmtId="1" fontId="2" fillId="5" borderId="252" xfId="0" applyNumberFormat="1" applyFont="1" applyFill="1" applyBorder="1"/>
    <xf numFmtId="1" fontId="6" fillId="0" borderId="13" xfId="0" applyNumberFormat="1" applyFont="1" applyBorder="1"/>
    <xf numFmtId="1" fontId="6" fillId="0" borderId="305" xfId="0" applyNumberFormat="1" applyFont="1" applyBorder="1"/>
    <xf numFmtId="1" fontId="3" fillId="0" borderId="797" xfId="0" applyNumberFormat="1" applyFont="1" applyBorder="1" applyAlignment="1">
      <alignment horizontal="center" vertical="center" wrapText="1"/>
    </xf>
    <xf numFmtId="0" fontId="3" fillId="0" borderId="704" xfId="0" applyFont="1" applyBorder="1" applyAlignment="1">
      <alignment horizontal="center" vertical="center" wrapText="1"/>
    </xf>
    <xf numFmtId="1" fontId="3" fillId="0" borderId="790" xfId="0" applyNumberFormat="1" applyFont="1" applyBorder="1" applyAlignment="1">
      <alignment horizontal="right"/>
    </xf>
    <xf numFmtId="1" fontId="3" fillId="0" borderId="704" xfId="0" applyNumberFormat="1" applyFont="1" applyBorder="1" applyAlignment="1">
      <alignment horizontal="right"/>
    </xf>
    <xf numFmtId="1" fontId="3" fillId="4" borderId="790" xfId="0" applyNumberFormat="1" applyFont="1" applyFill="1" applyBorder="1" applyAlignment="1" applyProtection="1">
      <alignment horizontal="right"/>
      <protection locked="0"/>
    </xf>
    <xf numFmtId="1" fontId="3" fillId="4" borderId="704" xfId="0" applyNumberFormat="1" applyFont="1" applyFill="1" applyBorder="1" applyAlignment="1" applyProtection="1">
      <alignment horizontal="right"/>
      <protection locked="0"/>
    </xf>
    <xf numFmtId="1" fontId="3" fillId="4" borderId="789" xfId="0" applyNumberFormat="1" applyFont="1" applyFill="1" applyBorder="1" applyAlignment="1" applyProtection="1">
      <alignment horizontal="right"/>
      <protection locked="0"/>
    </xf>
    <xf numFmtId="1" fontId="3" fillId="0" borderId="789" xfId="0" applyNumberFormat="1" applyFont="1" applyBorder="1" applyAlignment="1">
      <alignment horizontal="center" vertical="center" wrapText="1"/>
    </xf>
    <xf numFmtId="1" fontId="3" fillId="0" borderId="770" xfId="0" applyNumberFormat="1" applyFont="1" applyBorder="1" applyAlignment="1">
      <alignment vertical="center" wrapText="1"/>
    </xf>
    <xf numFmtId="1" fontId="3" fillId="3" borderId="790" xfId="0" applyNumberFormat="1" applyFont="1" applyFill="1" applyBorder="1"/>
    <xf numFmtId="1" fontId="3" fillId="3" borderId="704" xfId="0" applyNumberFormat="1" applyFont="1" applyFill="1" applyBorder="1"/>
    <xf numFmtId="1" fontId="3" fillId="3" borderId="608" xfId="0" applyNumberFormat="1" applyFont="1" applyFill="1" applyBorder="1"/>
    <xf numFmtId="1" fontId="3" fillId="0" borderId="789" xfId="0" applyNumberFormat="1" applyFont="1" applyBorder="1" applyAlignment="1">
      <alignment horizontal="right"/>
    </xf>
    <xf numFmtId="1" fontId="3" fillId="3" borderId="797" xfId="0" applyNumberFormat="1" applyFont="1" applyFill="1" applyBorder="1"/>
    <xf numFmtId="1" fontId="3" fillId="3" borderId="698" xfId="0" applyNumberFormat="1" applyFont="1" applyFill="1" applyBorder="1"/>
    <xf numFmtId="1" fontId="3" fillId="0" borderId="762" xfId="0" applyNumberFormat="1" applyFont="1" applyBorder="1" applyAlignment="1">
      <alignment horizontal="right" vertical="center" wrapText="1"/>
    </xf>
    <xf numFmtId="1" fontId="3" fillId="0" borderId="341" xfId="0" applyNumberFormat="1" applyFont="1" applyBorder="1" applyAlignment="1">
      <alignment horizontal="right" vertical="center" wrapText="1"/>
    </xf>
    <xf numFmtId="1" fontId="3" fillId="0" borderId="345" xfId="0" applyNumberFormat="1" applyFont="1" applyBorder="1" applyAlignment="1">
      <alignment horizontal="right" vertical="center" wrapText="1"/>
    </xf>
    <xf numFmtId="1" fontId="3" fillId="4" borderId="346" xfId="0" applyNumberFormat="1" applyFont="1" applyFill="1" applyBorder="1" applyAlignment="1" applyProtection="1">
      <alignment horizontal="right"/>
      <protection locked="0"/>
    </xf>
    <xf numFmtId="1" fontId="3" fillId="4" borderId="363" xfId="0" applyNumberFormat="1" applyFont="1" applyFill="1" applyBorder="1" applyAlignment="1" applyProtection="1">
      <alignment horizontal="right"/>
      <protection locked="0"/>
    </xf>
    <xf numFmtId="1" fontId="3" fillId="4" borderId="365" xfId="0" applyNumberFormat="1" applyFont="1" applyFill="1" applyBorder="1" applyAlignment="1" applyProtection="1">
      <alignment horizontal="right"/>
      <protection locked="0"/>
    </xf>
    <xf numFmtId="1" fontId="8" fillId="55" borderId="0" xfId="0" applyNumberFormat="1" applyFont="1" applyFill="1"/>
    <xf numFmtId="0" fontId="0" fillId="0" borderId="80" xfId="0" applyBorder="1"/>
    <xf numFmtId="1" fontId="6" fillId="5" borderId="0" xfId="0" applyNumberFormat="1" applyFont="1" applyFill="1" applyAlignment="1">
      <alignment horizontal="left" vertical="top"/>
    </xf>
    <xf numFmtId="1" fontId="6" fillId="5" borderId="0" xfId="0" applyNumberFormat="1" applyFont="1" applyFill="1" applyAlignment="1">
      <alignment vertical="top"/>
    </xf>
    <xf numFmtId="1" fontId="6" fillId="3" borderId="0" xfId="0" applyNumberFormat="1" applyFont="1" applyFill="1" applyAlignment="1">
      <alignment vertical="top"/>
    </xf>
    <xf numFmtId="1" fontId="3" fillId="0" borderId="796" xfId="0" applyNumberFormat="1" applyFont="1" applyBorder="1" applyAlignment="1">
      <alignment horizontal="center" vertical="center" wrapText="1"/>
    </xf>
    <xf numFmtId="1" fontId="3" fillId="0" borderId="704" xfId="0" applyNumberFormat="1" applyFont="1" applyBorder="1" applyAlignment="1">
      <alignment horizontal="center" vertical="center"/>
    </xf>
    <xf numFmtId="1" fontId="3" fillId="0" borderId="790" xfId="0" applyNumberFormat="1" applyFont="1" applyBorder="1" applyAlignment="1">
      <alignment horizontal="center" vertical="center"/>
    </xf>
    <xf numFmtId="1" fontId="3" fillId="0" borderId="797" xfId="0" applyNumberFormat="1" applyFont="1" applyBorder="1" applyAlignment="1">
      <alignment horizontal="center" vertical="center"/>
    </xf>
    <xf numFmtId="1" fontId="3" fillId="5" borderId="256" xfId="0" applyNumberFormat="1" applyFont="1" applyFill="1" applyBorder="1" applyAlignment="1">
      <alignment horizontal="center" vertical="center" wrapText="1"/>
    </xf>
    <xf numFmtId="1" fontId="3" fillId="0" borderId="338" xfId="0" applyNumberFormat="1" applyFont="1" applyBorder="1"/>
    <xf numFmtId="1" fontId="3" fillId="0" borderId="6" xfId="0" applyNumberFormat="1" applyFont="1" applyBorder="1"/>
    <xf numFmtId="1" fontId="6" fillId="3" borderId="0" xfId="0" applyNumberFormat="1" applyFont="1" applyFill="1" applyAlignment="1">
      <alignment horizontal="left" vertical="top"/>
    </xf>
    <xf numFmtId="1" fontId="6" fillId="3" borderId="703" xfId="0" applyNumberFormat="1" applyFont="1" applyFill="1" applyBorder="1" applyAlignment="1">
      <alignment vertical="top"/>
    </xf>
    <xf numFmtId="1" fontId="3" fillId="0" borderId="762" xfId="0" applyNumberFormat="1" applyFont="1" applyBorder="1"/>
    <xf numFmtId="1" fontId="3" fillId="0" borderId="763" xfId="0" applyNumberFormat="1" applyFont="1" applyBorder="1"/>
    <xf numFmtId="1" fontId="3" fillId="3" borderId="341" xfId="0" applyNumberFormat="1" applyFont="1" applyFill="1" applyBorder="1"/>
    <xf numFmtId="1" fontId="3" fillId="3" borderId="336" xfId="0" applyNumberFormat="1" applyFont="1" applyFill="1" applyBorder="1" applyAlignment="1">
      <alignment horizontal="left" vertical="center" wrapText="1"/>
    </xf>
    <xf numFmtId="1" fontId="3" fillId="3" borderId="421" xfId="0" applyNumberFormat="1" applyFont="1" applyFill="1" applyBorder="1" applyAlignment="1">
      <alignment horizontal="left" vertical="center" wrapText="1"/>
    </xf>
    <xf numFmtId="1" fontId="3" fillId="3" borderId="367" xfId="0" applyNumberFormat="1" applyFont="1" applyFill="1" applyBorder="1" applyAlignment="1">
      <alignment horizontal="left" vertical="center" wrapText="1"/>
    </xf>
    <xf numFmtId="1" fontId="3" fillId="3" borderId="354" xfId="0" applyNumberFormat="1" applyFont="1" applyFill="1" applyBorder="1" applyAlignment="1">
      <alignment horizontal="left" vertical="center" wrapText="1"/>
    </xf>
    <xf numFmtId="1" fontId="3" fillId="0" borderId="790" xfId="0" applyNumberFormat="1" applyFont="1" applyBorder="1"/>
    <xf numFmtId="1" fontId="3" fillId="0" borderId="797" xfId="0" applyNumberFormat="1" applyFont="1" applyBorder="1"/>
    <xf numFmtId="1" fontId="6" fillId="0" borderId="0" xfId="0" applyNumberFormat="1" applyFont="1" applyAlignment="1">
      <alignment horizontal="left"/>
    </xf>
    <xf numFmtId="1" fontId="3" fillId="0" borderId="0" xfId="0" applyNumberFormat="1" applyFont="1" applyAlignment="1">
      <alignment vertical="top" wrapText="1"/>
    </xf>
    <xf numFmtId="1" fontId="3" fillId="0" borderId="693" xfId="0" applyNumberFormat="1" applyFont="1" applyBorder="1" applyAlignment="1">
      <alignment horizontal="right" vertical="center" wrapText="1"/>
    </xf>
    <xf numFmtId="1" fontId="3" fillId="4" borderId="762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17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63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64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657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28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16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699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693" xfId="0" applyNumberFormat="1" applyFont="1" applyFill="1" applyBorder="1" applyAlignment="1" applyProtection="1">
      <alignment horizontal="right" vertical="center" wrapText="1"/>
      <protection locked="0"/>
    </xf>
    <xf numFmtId="1" fontId="3" fillId="0" borderId="134" xfId="0" applyNumberFormat="1" applyFont="1" applyBorder="1" applyAlignment="1">
      <alignment horizontal="right" vertical="center" wrapText="1"/>
    </xf>
    <xf numFmtId="1" fontId="3" fillId="4" borderId="276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134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6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271" xfId="0" applyNumberFormat="1" applyFont="1" applyFill="1" applyBorder="1" applyAlignment="1" applyProtection="1">
      <alignment horizontal="right" vertical="center" wrapText="1"/>
      <protection locked="0"/>
    </xf>
    <xf numFmtId="1" fontId="3" fillId="28" borderId="341" xfId="0" applyNumberFormat="1" applyFont="1" applyFill="1" applyBorder="1" applyAlignment="1">
      <alignment horizontal="right"/>
    </xf>
    <xf numFmtId="1" fontId="3" fillId="28" borderId="334" xfId="0" applyNumberFormat="1" applyFont="1" applyFill="1" applyBorder="1" applyAlignment="1">
      <alignment horizontal="right"/>
    </xf>
    <xf numFmtId="1" fontId="3" fillId="28" borderId="338" xfId="0" applyNumberFormat="1" applyFont="1" applyFill="1" applyBorder="1" applyAlignment="1">
      <alignment horizontal="right"/>
    </xf>
    <xf numFmtId="1" fontId="3" fillId="28" borderId="343" xfId="0" applyNumberFormat="1" applyFont="1" applyFill="1" applyBorder="1" applyAlignment="1">
      <alignment horizontal="right"/>
    </xf>
    <xf numFmtId="1" fontId="3" fillId="4" borderId="301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45" xfId="0" applyNumberFormat="1" applyFont="1" applyFill="1" applyBorder="1" applyAlignment="1" applyProtection="1">
      <alignment horizontal="right" vertical="center" wrapText="1"/>
      <protection locked="0"/>
    </xf>
    <xf numFmtId="1" fontId="3" fillId="28" borderId="345" xfId="0" applyNumberFormat="1" applyFont="1" applyFill="1" applyBorder="1" applyAlignment="1">
      <alignment horizontal="right"/>
    </xf>
    <xf numFmtId="1" fontId="3" fillId="4" borderId="280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41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34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33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42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43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44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36" xfId="0" applyNumberFormat="1" applyFont="1" applyFill="1" applyBorder="1" applyAlignment="1" applyProtection="1">
      <alignment horizontal="right" vertical="center" wrapText="1"/>
      <protection locked="0"/>
    </xf>
    <xf numFmtId="1" fontId="3" fillId="3" borderId="6" xfId="0" applyNumberFormat="1" applyFont="1" applyFill="1" applyBorder="1" applyAlignment="1">
      <alignment horizontal="left" vertical="center" wrapText="1"/>
    </xf>
    <xf numFmtId="1" fontId="3" fillId="0" borderId="22" xfId="0" applyNumberFormat="1" applyFont="1" applyBorder="1" applyAlignment="1">
      <alignment horizontal="right" vertical="center" wrapText="1"/>
    </xf>
    <xf numFmtId="1" fontId="3" fillId="4" borderId="338" xfId="0" applyNumberFormat="1" applyFont="1" applyFill="1" applyBorder="1" applyAlignment="1" applyProtection="1">
      <alignment horizontal="right" vertical="center" wrapText="1"/>
      <protection locked="0"/>
    </xf>
    <xf numFmtId="1" fontId="3" fillId="0" borderId="328" xfId="0" applyNumberFormat="1" applyFont="1" applyBorder="1" applyAlignment="1">
      <alignment horizontal="right" vertical="center" wrapText="1"/>
    </xf>
    <xf numFmtId="1" fontId="3" fillId="4" borderId="328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255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70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251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252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405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0" xfId="0" applyNumberFormat="1" applyFont="1" applyFill="1" applyAlignment="1" applyProtection="1">
      <alignment horizontal="right" vertical="center" wrapText="1"/>
      <protection locked="0"/>
    </xf>
    <xf numFmtId="1" fontId="3" fillId="4" borderId="262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259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256" xfId="0" applyNumberFormat="1" applyFont="1" applyFill="1" applyBorder="1" applyAlignment="1" applyProtection="1">
      <alignment horizontal="right" vertical="center" wrapText="1"/>
      <protection locked="0"/>
    </xf>
    <xf numFmtId="1" fontId="3" fillId="0" borderId="790" xfId="0" applyNumberFormat="1" applyFont="1" applyBorder="1" applyAlignment="1">
      <alignment horizontal="right" vertical="center" wrapText="1"/>
    </xf>
    <xf numFmtId="1" fontId="3" fillId="0" borderId="704" xfId="0" applyNumberFormat="1" applyFont="1" applyBorder="1" applyAlignment="1">
      <alignment horizontal="right" vertical="center" wrapText="1"/>
    </xf>
    <xf numFmtId="1" fontId="3" fillId="4" borderId="790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04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03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608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96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97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622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623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624" xfId="0" applyNumberFormat="1" applyFont="1" applyFill="1" applyBorder="1" applyAlignment="1" applyProtection="1">
      <alignment horizontal="right" vertical="center" wrapText="1"/>
      <protection locked="0"/>
    </xf>
    <xf numFmtId="1" fontId="3" fillId="3" borderId="302" xfId="0" applyNumberFormat="1" applyFont="1" applyFill="1" applyBorder="1" applyAlignment="1">
      <alignment horizontal="center" vertical="center" wrapText="1"/>
    </xf>
    <xf numFmtId="1" fontId="3" fillId="3" borderId="276" xfId="0" applyNumberFormat="1" applyFont="1" applyFill="1" applyBorder="1" applyAlignment="1">
      <alignment horizontal="right" vertical="center" wrapText="1"/>
    </xf>
    <xf numFmtId="1" fontId="3" fillId="3" borderId="280" xfId="0" applyNumberFormat="1" applyFont="1" applyFill="1" applyBorder="1" applyAlignment="1">
      <alignment horizontal="right" vertical="center" wrapText="1"/>
    </xf>
    <xf numFmtId="1" fontId="3" fillId="4" borderId="237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22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268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40" xfId="0" applyNumberFormat="1" applyFont="1" applyFill="1" applyBorder="1" applyAlignment="1" applyProtection="1">
      <alignment horizontal="right" vertical="center" wrapText="1"/>
      <protection locked="0"/>
    </xf>
    <xf numFmtId="1" fontId="3" fillId="0" borderId="232" xfId="0" applyNumberFormat="1" applyFont="1" applyBorder="1" applyAlignment="1">
      <alignment horizontal="center" vertical="center" wrapText="1"/>
    </xf>
    <xf numFmtId="1" fontId="3" fillId="0" borderId="204" xfId="0" applyNumberFormat="1" applyFont="1" applyBorder="1" applyAlignment="1">
      <alignment horizontal="right" vertical="center" wrapText="1"/>
    </xf>
    <xf numFmtId="1" fontId="3" fillId="4" borderId="204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2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5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61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94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53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62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56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57" xfId="0" applyNumberFormat="1" applyFont="1" applyFill="1" applyBorder="1" applyAlignment="1" applyProtection="1">
      <alignment horizontal="right" vertical="center" wrapText="1"/>
      <protection locked="0"/>
    </xf>
    <xf numFmtId="1" fontId="3" fillId="3" borderId="360" xfId="0" applyNumberFormat="1" applyFont="1" applyFill="1" applyBorder="1" applyAlignment="1">
      <alignment horizontal="right" vertical="center" wrapText="1"/>
    </xf>
    <xf numFmtId="1" fontId="3" fillId="4" borderId="354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67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66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421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404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29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58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360" xfId="0" applyNumberFormat="1" applyFont="1" applyFill="1" applyBorder="1" applyAlignment="1" applyProtection="1">
      <alignment horizontal="right" vertical="center" wrapText="1"/>
      <protection locked="0"/>
    </xf>
    <xf numFmtId="1" fontId="3" fillId="0" borderId="797" xfId="0" applyNumberFormat="1" applyFont="1" applyBorder="1" applyAlignment="1">
      <alignment horizontal="right" vertical="center" wrapText="1"/>
    </xf>
    <xf numFmtId="1" fontId="3" fillId="0" borderId="622" xfId="0" applyNumberFormat="1" applyFont="1" applyBorder="1" applyAlignment="1">
      <alignment horizontal="right" vertical="center" wrapText="1"/>
    </xf>
    <xf numFmtId="1" fontId="3" fillId="0" borderId="623" xfId="0" applyNumberFormat="1" applyFont="1" applyBorder="1" applyAlignment="1">
      <alignment horizontal="right" vertical="center" wrapText="1"/>
    </xf>
    <xf numFmtId="1" fontId="3" fillId="0" borderId="302" xfId="0" applyNumberFormat="1" applyFont="1" applyBorder="1" applyAlignment="1">
      <alignment horizontal="center" vertical="center" wrapText="1"/>
    </xf>
    <xf numFmtId="1" fontId="3" fillId="3" borderId="699" xfId="0" applyNumberFormat="1" applyFont="1" applyFill="1" applyBorder="1" applyAlignment="1">
      <alignment horizontal="right" vertical="center" wrapText="1"/>
    </xf>
    <xf numFmtId="1" fontId="3" fillId="0" borderId="717" xfId="0" applyNumberFormat="1" applyFont="1" applyBorder="1" applyAlignment="1">
      <alignment horizontal="right" vertical="center" wrapText="1"/>
    </xf>
    <xf numFmtId="1" fontId="3" fillId="3" borderId="345" xfId="0" applyNumberFormat="1" applyFont="1" applyFill="1" applyBorder="1" applyAlignment="1">
      <alignment horizontal="right" vertical="center" wrapText="1"/>
    </xf>
    <xf numFmtId="1" fontId="3" fillId="0" borderId="334" xfId="0" applyNumberFormat="1" applyFont="1" applyBorder="1" applyAlignment="1">
      <alignment horizontal="right" vertical="center" wrapText="1"/>
    </xf>
    <xf numFmtId="1" fontId="3" fillId="0" borderId="366" xfId="0" applyNumberFormat="1" applyFont="1" applyBorder="1" applyAlignment="1">
      <alignment horizontal="right" vertical="center" wrapText="1"/>
    </xf>
    <xf numFmtId="1" fontId="3" fillId="0" borderId="357" xfId="0" applyNumberFormat="1" applyFont="1" applyBorder="1" applyAlignment="1">
      <alignment horizontal="right" vertical="center" wrapText="1"/>
    </xf>
    <xf numFmtId="1" fontId="3" fillId="0" borderId="336" xfId="0" applyNumberFormat="1" applyFont="1" applyBorder="1" applyAlignment="1">
      <alignment horizontal="right" vertical="center" wrapText="1"/>
    </xf>
    <xf numFmtId="0" fontId="0" fillId="19" borderId="762" xfId="0" applyFill="1" applyBorder="1" applyAlignment="1">
      <alignment horizontal="right"/>
    </xf>
    <xf numFmtId="0" fontId="0" fillId="19" borderId="717" xfId="0" applyFill="1" applyBorder="1" applyAlignment="1">
      <alignment horizontal="right"/>
    </xf>
    <xf numFmtId="0" fontId="0" fillId="19" borderId="763" xfId="0" applyFill="1" applyBorder="1" applyAlignment="1">
      <alignment horizontal="right"/>
    </xf>
    <xf numFmtId="1" fontId="3" fillId="6" borderId="204" xfId="0" applyNumberFormat="1" applyFont="1" applyFill="1" applyBorder="1" applyAlignment="1">
      <alignment horizontal="right" vertical="center" wrapText="1"/>
    </xf>
    <xf numFmtId="1" fontId="3" fillId="6" borderId="361" xfId="0" applyNumberFormat="1" applyFont="1" applyFill="1" applyBorder="1" applyAlignment="1">
      <alignment horizontal="right" vertical="center" wrapText="1"/>
    </xf>
    <xf numFmtId="1" fontId="3" fillId="4" borderId="667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669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85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658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718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673" xfId="0" applyNumberFormat="1" applyFont="1" applyFill="1" applyBorder="1" applyAlignment="1" applyProtection="1">
      <alignment horizontal="right" vertical="center" wrapText="1"/>
      <protection locked="0"/>
    </xf>
    <xf numFmtId="0" fontId="0" fillId="19" borderId="341" xfId="0" applyFill="1" applyBorder="1" applyAlignment="1">
      <alignment horizontal="right"/>
    </xf>
    <xf numFmtId="0" fontId="0" fillId="19" borderId="334" xfId="0" applyFill="1" applyBorder="1" applyAlignment="1">
      <alignment horizontal="right"/>
    </xf>
    <xf numFmtId="1" fontId="3" fillId="0" borderId="770" xfId="0" applyNumberFormat="1" applyFont="1" applyBorder="1" applyAlignment="1">
      <alignment horizontal="left" vertical="center" wrapText="1"/>
    </xf>
    <xf numFmtId="1" fontId="6" fillId="0" borderId="0" xfId="0" applyNumberFormat="1" applyFont="1" applyAlignment="1">
      <alignment horizontal="left" vertical="center" wrapText="1"/>
    </xf>
    <xf numFmtId="1" fontId="6" fillId="0" borderId="0" xfId="0" applyNumberFormat="1" applyFont="1" applyAlignment="1">
      <alignment horizontal="right"/>
    </xf>
    <xf numFmtId="1" fontId="3" fillId="5" borderId="787" xfId="0" applyNumberFormat="1" applyFont="1" applyFill="1" applyBorder="1" applyAlignment="1">
      <alignment horizontal="center" vertical="center" wrapText="1"/>
    </xf>
    <xf numFmtId="1" fontId="3" fillId="5" borderId="255" xfId="0" applyNumberFormat="1" applyFont="1" applyFill="1" applyBorder="1" applyAlignment="1">
      <alignment horizontal="center" vertical="center" wrapText="1"/>
    </xf>
    <xf numFmtId="1" fontId="3" fillId="5" borderId="263" xfId="0" applyNumberFormat="1" applyFont="1" applyFill="1" applyBorder="1" applyAlignment="1">
      <alignment horizontal="center" vertical="center" wrapText="1"/>
    </xf>
    <xf numFmtId="1" fontId="3" fillId="5" borderId="257" xfId="0" applyNumberFormat="1" applyFont="1" applyFill="1" applyBorder="1" applyAlignment="1">
      <alignment horizontal="center" vertical="center" wrapText="1"/>
    </xf>
    <xf numFmtId="1" fontId="3" fillId="5" borderId="262" xfId="0" applyNumberFormat="1" applyFont="1" applyFill="1" applyBorder="1" applyAlignment="1">
      <alignment horizontal="center" vertical="center" wrapText="1"/>
    </xf>
    <xf numFmtId="1" fontId="3" fillId="0" borderId="636" xfId="0" applyNumberFormat="1" applyFont="1" applyBorder="1" applyAlignment="1">
      <alignment horizontal="right" vertical="center" wrapText="1"/>
    </xf>
    <xf numFmtId="1" fontId="3" fillId="0" borderId="232" xfId="0" applyNumberFormat="1" applyFont="1" applyBorder="1" applyAlignment="1">
      <alignment horizontal="right" vertical="center" wrapText="1"/>
    </xf>
    <xf numFmtId="1" fontId="3" fillId="0" borderId="608" xfId="0" applyNumberFormat="1" applyFont="1" applyBorder="1" applyAlignment="1">
      <alignment horizontal="center" vertical="center"/>
    </xf>
    <xf numFmtId="1" fontId="6" fillId="5" borderId="0" xfId="0" applyNumberFormat="1" applyFont="1" applyFill="1" applyAlignment="1">
      <alignment horizontal="left"/>
    </xf>
    <xf numFmtId="1" fontId="3" fillId="4" borderId="282" xfId="0" applyNumberFormat="1" applyFont="1" applyFill="1" applyBorder="1" applyProtection="1">
      <protection locked="0"/>
    </xf>
    <xf numFmtId="1" fontId="3" fillId="6" borderId="770" xfId="0" applyNumberFormat="1" applyFont="1" applyFill="1" applyBorder="1"/>
    <xf numFmtId="1" fontId="3" fillId="0" borderId="360" xfId="0" applyNumberFormat="1" applyFont="1" applyBorder="1"/>
    <xf numFmtId="1" fontId="3" fillId="5" borderId="340" xfId="0" applyNumberFormat="1" applyFont="1" applyFill="1" applyBorder="1" applyAlignment="1">
      <alignment horizontal="left" vertical="center" wrapText="1"/>
    </xf>
    <xf numFmtId="1" fontId="3" fillId="5" borderId="338" xfId="0" applyNumberFormat="1" applyFont="1" applyFill="1" applyBorder="1" applyAlignment="1">
      <alignment horizontal="left" vertical="center" wrapText="1"/>
    </xf>
    <xf numFmtId="1" fontId="3" fillId="5" borderId="336" xfId="0" applyNumberFormat="1" applyFont="1" applyFill="1" applyBorder="1" applyAlignment="1">
      <alignment horizontal="left" vertical="center" wrapText="1"/>
    </xf>
    <xf numFmtId="1" fontId="3" fillId="6" borderId="342" xfId="0" applyNumberFormat="1" applyFont="1" applyFill="1" applyBorder="1"/>
    <xf numFmtId="1" fontId="3" fillId="6" borderId="344" xfId="0" applyNumberFormat="1" applyFont="1" applyFill="1" applyBorder="1"/>
    <xf numFmtId="1" fontId="3" fillId="7" borderId="342" xfId="0" applyNumberFormat="1" applyFont="1" applyFill="1" applyBorder="1"/>
    <xf numFmtId="1" fontId="3" fillId="28" borderId="334" xfId="0" applyNumberFormat="1" applyFont="1" applyFill="1" applyBorder="1"/>
    <xf numFmtId="1" fontId="3" fillId="8" borderId="341" xfId="0" applyNumberFormat="1" applyFont="1" applyFill="1" applyBorder="1" applyProtection="1">
      <protection locked="0"/>
    </xf>
    <xf numFmtId="1" fontId="3" fillId="8" borderId="334" xfId="0" applyNumberFormat="1" applyFont="1" applyFill="1" applyBorder="1" applyProtection="1">
      <protection locked="0"/>
    </xf>
    <xf numFmtId="1" fontId="3" fillId="8" borderId="345" xfId="0" applyNumberFormat="1" applyFont="1" applyFill="1" applyBorder="1" applyProtection="1">
      <protection locked="0"/>
    </xf>
    <xf numFmtId="1" fontId="3" fillId="8" borderId="342" xfId="0" applyNumberFormat="1" applyFont="1" applyFill="1" applyBorder="1" applyProtection="1">
      <protection locked="0"/>
    </xf>
    <xf numFmtId="1" fontId="3" fillId="8" borderId="333" xfId="0" applyNumberFormat="1" applyFont="1" applyFill="1" applyBorder="1" applyProtection="1">
      <protection locked="0"/>
    </xf>
    <xf numFmtId="1" fontId="3" fillId="8" borderId="204" xfId="0" applyNumberFormat="1" applyFont="1" applyFill="1" applyBorder="1" applyProtection="1">
      <protection locked="0"/>
    </xf>
    <xf numFmtId="1" fontId="3" fillId="8" borderId="9" xfId="0" applyNumberFormat="1" applyFont="1" applyFill="1" applyBorder="1" applyProtection="1">
      <protection locked="0"/>
    </xf>
    <xf numFmtId="1" fontId="3" fillId="8" borderId="85" xfId="0" applyNumberFormat="1" applyFont="1" applyFill="1" applyBorder="1" applyProtection="1">
      <protection locked="0"/>
    </xf>
    <xf numFmtId="1" fontId="3" fillId="0" borderId="790" xfId="0" applyNumberFormat="1" applyFont="1" applyBorder="1" applyAlignment="1">
      <alignment horizontal="right" wrapText="1"/>
    </xf>
    <xf numFmtId="1" fontId="3" fillId="0" borderId="704" xfId="0" applyNumberFormat="1" applyFont="1" applyBorder="1" applyAlignment="1">
      <alignment horizontal="right" wrapText="1"/>
    </xf>
    <xf numFmtId="1" fontId="3" fillId="0" borderId="703" xfId="0" applyNumberFormat="1" applyFont="1" applyBorder="1" applyAlignment="1">
      <alignment horizontal="right" wrapText="1"/>
    </xf>
    <xf numFmtId="1" fontId="3" fillId="0" borderId="797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 wrapText="1"/>
    </xf>
    <xf numFmtId="1" fontId="3" fillId="0" borderId="0" xfId="0" applyNumberFormat="1" applyFont="1" applyAlignment="1">
      <alignment horizontal="right"/>
    </xf>
    <xf numFmtId="1" fontId="3" fillId="5" borderId="232" xfId="0" applyNumberFormat="1" applyFont="1" applyFill="1" applyBorder="1" applyProtection="1">
      <protection locked="0"/>
    </xf>
    <xf numFmtId="1" fontId="3" fillId="8" borderId="762" xfId="0" applyNumberFormat="1" applyFont="1" applyFill="1" applyBorder="1" applyAlignment="1" applyProtection="1">
      <alignment horizontal="right" wrapText="1"/>
      <protection locked="0"/>
    </xf>
    <xf numFmtId="1" fontId="3" fillId="8" borderId="699" xfId="0" applyNumberFormat="1" applyFont="1" applyFill="1" applyBorder="1" applyProtection="1">
      <protection locked="0"/>
    </xf>
    <xf numFmtId="1" fontId="3" fillId="8" borderId="728" xfId="0" applyNumberFormat="1" applyFont="1" applyFill="1" applyBorder="1" applyProtection="1">
      <protection locked="0"/>
    </xf>
    <xf numFmtId="1" fontId="3" fillId="8" borderId="669" xfId="0" applyNumberFormat="1" applyFont="1" applyFill="1" applyBorder="1" applyProtection="1">
      <protection locked="0"/>
    </xf>
    <xf numFmtId="1" fontId="3" fillId="8" borderId="762" xfId="0" applyNumberFormat="1" applyFont="1" applyFill="1" applyBorder="1" applyProtection="1">
      <protection locked="0"/>
    </xf>
    <xf numFmtId="1" fontId="3" fillId="8" borderId="20" xfId="0" applyNumberFormat="1" applyFont="1" applyFill="1" applyBorder="1" applyProtection="1">
      <protection locked="0"/>
    </xf>
    <xf numFmtId="1" fontId="3" fillId="8" borderId="341" xfId="0" applyNumberFormat="1" applyFont="1" applyFill="1" applyBorder="1" applyAlignment="1" applyProtection="1">
      <alignment horizontal="right" wrapText="1"/>
      <protection locked="0"/>
    </xf>
    <xf numFmtId="1" fontId="3" fillId="8" borderId="343" xfId="0" applyNumberFormat="1" applyFont="1" applyFill="1" applyBorder="1" applyProtection="1">
      <protection locked="0"/>
    </xf>
    <xf numFmtId="1" fontId="3" fillId="8" borderId="361" xfId="0" applyNumberFormat="1" applyFont="1" applyFill="1" applyBorder="1" applyProtection="1">
      <protection locked="0"/>
    </xf>
    <xf numFmtId="1" fontId="3" fillId="8" borderId="344" xfId="0" applyNumberFormat="1" applyFont="1" applyFill="1" applyBorder="1" applyProtection="1">
      <protection locked="0"/>
    </xf>
    <xf numFmtId="1" fontId="3" fillId="8" borderId="2" xfId="0" applyNumberFormat="1" applyFont="1" applyFill="1" applyBorder="1" applyProtection="1">
      <protection locked="0"/>
    </xf>
    <xf numFmtId="1" fontId="3" fillId="8" borderId="204" xfId="0" applyNumberFormat="1" applyFont="1" applyFill="1" applyBorder="1" applyAlignment="1" applyProtection="1">
      <alignment horizontal="right" wrapText="1"/>
      <protection locked="0"/>
    </xf>
    <xf numFmtId="1" fontId="3" fillId="5" borderId="232" xfId="0" applyNumberFormat="1" applyFont="1" applyFill="1" applyBorder="1" applyAlignment="1" applyProtection="1">
      <alignment vertical="top" wrapText="1"/>
      <protection locked="0"/>
    </xf>
    <xf numFmtId="1" fontId="3" fillId="8" borderId="328" xfId="0" applyNumberFormat="1" applyFont="1" applyFill="1" applyBorder="1" applyAlignment="1" applyProtection="1">
      <alignment horizontal="right" wrapText="1"/>
      <protection locked="0"/>
    </xf>
    <xf numFmtId="1" fontId="3" fillId="8" borderId="360" xfId="0" applyNumberFormat="1" applyFont="1" applyFill="1" applyBorder="1" applyProtection="1">
      <protection locked="0"/>
    </xf>
    <xf numFmtId="1" fontId="3" fillId="8" borderId="329" xfId="0" applyNumberFormat="1" applyFont="1" applyFill="1" applyBorder="1" applyProtection="1">
      <protection locked="0"/>
    </xf>
    <xf numFmtId="1" fontId="3" fillId="8" borderId="366" xfId="0" applyNumberFormat="1" applyFont="1" applyFill="1" applyBorder="1" applyProtection="1">
      <protection locked="0"/>
    </xf>
    <xf numFmtId="1" fontId="3" fillId="8" borderId="328" xfId="0" applyNumberFormat="1" applyFont="1" applyFill="1" applyBorder="1" applyProtection="1">
      <protection locked="0"/>
    </xf>
    <xf numFmtId="1" fontId="3" fillId="8" borderId="362" xfId="0" applyNumberFormat="1" applyFont="1" applyFill="1" applyBorder="1" applyProtection="1">
      <protection locked="0"/>
    </xf>
    <xf numFmtId="1" fontId="3" fillId="0" borderId="787" xfId="0" applyNumberFormat="1" applyFont="1" applyBorder="1" applyAlignment="1">
      <alignment horizontal="right" wrapText="1"/>
    </xf>
    <xf numFmtId="1" fontId="3" fillId="3" borderId="0" xfId="0" applyNumberFormat="1" applyFont="1" applyFill="1" applyAlignment="1">
      <alignment horizontal="right"/>
    </xf>
    <xf numFmtId="1" fontId="3" fillId="0" borderId="252" xfId="0" applyNumberFormat="1" applyFont="1" applyBorder="1" applyAlignment="1">
      <alignment vertical="center" wrapText="1"/>
    </xf>
    <xf numFmtId="1" fontId="3" fillId="0" borderId="797" xfId="0" applyNumberFormat="1" applyFont="1" applyBorder="1" applyAlignment="1">
      <alignment horizontal="right" wrapText="1"/>
    </xf>
    <xf numFmtId="1" fontId="3" fillId="3" borderId="624" xfId="0" applyNumberFormat="1" applyFont="1" applyFill="1" applyBorder="1" applyAlignment="1">
      <alignment horizontal="right"/>
    </xf>
    <xf numFmtId="1" fontId="3" fillId="3" borderId="704" xfId="0" applyNumberFormat="1" applyFont="1" applyFill="1" applyBorder="1" applyAlignment="1">
      <alignment horizontal="right"/>
    </xf>
    <xf numFmtId="1" fontId="6" fillId="3" borderId="0" xfId="0" applyNumberFormat="1" applyFont="1" applyFill="1" applyAlignment="1">
      <alignment horizontal="left"/>
    </xf>
    <xf numFmtId="1" fontId="3" fillId="3" borderId="761" xfId="0" applyNumberFormat="1" applyFont="1" applyFill="1" applyBorder="1" applyAlignment="1">
      <alignment horizontal="right" wrapText="1"/>
    </xf>
    <xf numFmtId="1" fontId="3" fillId="6" borderId="763" xfId="0" applyNumberFormat="1" applyFont="1" applyFill="1" applyBorder="1" applyAlignment="1">
      <alignment horizontal="right" wrapText="1"/>
    </xf>
    <xf numFmtId="1" fontId="3" fillId="3" borderId="717" xfId="0" applyNumberFormat="1" applyFont="1" applyFill="1" applyBorder="1" applyAlignment="1">
      <alignment horizontal="right" wrapText="1"/>
    </xf>
    <xf numFmtId="1" fontId="3" fillId="7" borderId="763" xfId="0" applyNumberFormat="1" applyFont="1" applyFill="1" applyBorder="1"/>
    <xf numFmtId="1" fontId="3" fillId="6" borderId="763" xfId="0" applyNumberFormat="1" applyFont="1" applyFill="1" applyBorder="1"/>
    <xf numFmtId="1" fontId="3" fillId="6" borderId="762" xfId="0" applyNumberFormat="1" applyFont="1" applyFill="1" applyBorder="1"/>
    <xf numFmtId="1" fontId="3" fillId="6" borderId="699" xfId="0" applyNumberFormat="1" applyFont="1" applyFill="1" applyBorder="1"/>
    <xf numFmtId="1" fontId="3" fillId="3" borderId="331" xfId="0" applyNumberFormat="1" applyFont="1" applyFill="1" applyBorder="1" applyAlignment="1">
      <alignment horizontal="right" wrapText="1"/>
    </xf>
    <xf numFmtId="1" fontId="3" fillId="6" borderId="333" xfId="0" applyNumberFormat="1" applyFont="1" applyFill="1" applyBorder="1" applyAlignment="1">
      <alignment horizontal="right" wrapText="1"/>
    </xf>
    <xf numFmtId="1" fontId="3" fillId="3" borderId="334" xfId="0" applyNumberFormat="1" applyFont="1" applyFill="1" applyBorder="1" applyAlignment="1">
      <alignment horizontal="right" wrapText="1"/>
    </xf>
    <xf numFmtId="1" fontId="3" fillId="3" borderId="232" xfId="0" applyNumberFormat="1" applyFont="1" applyFill="1" applyBorder="1" applyAlignment="1">
      <alignment horizontal="right" wrapText="1"/>
    </xf>
    <xf numFmtId="1" fontId="3" fillId="6" borderId="353" xfId="0" applyNumberFormat="1" applyFont="1" applyFill="1" applyBorder="1" applyAlignment="1">
      <alignment horizontal="right" wrapText="1"/>
    </xf>
    <xf numFmtId="1" fontId="3" fillId="6" borderId="353" xfId="0" applyNumberFormat="1" applyFont="1" applyFill="1" applyBorder="1"/>
    <xf numFmtId="1" fontId="3" fillId="3" borderId="787" xfId="0" applyNumberFormat="1" applyFont="1" applyFill="1" applyBorder="1" applyAlignment="1">
      <alignment horizontal="right" wrapText="1"/>
    </xf>
    <xf numFmtId="1" fontId="3" fillId="6" borderId="797" xfId="0" applyNumberFormat="1" applyFont="1" applyFill="1" applyBorder="1" applyAlignment="1">
      <alignment horizontal="right" wrapText="1"/>
    </xf>
    <xf numFmtId="1" fontId="3" fillId="7" borderId="797" xfId="0" applyNumberFormat="1" applyFont="1" applyFill="1" applyBorder="1"/>
    <xf numFmtId="1" fontId="3" fillId="7" borderId="608" xfId="0" applyNumberFormat="1" applyFont="1" applyFill="1" applyBorder="1"/>
    <xf numFmtId="1" fontId="3" fillId="6" borderId="797" xfId="0" applyNumberFormat="1" applyFont="1" applyFill="1" applyBorder="1"/>
    <xf numFmtId="1" fontId="3" fillId="6" borderId="790" xfId="0" applyNumberFormat="1" applyFont="1" applyFill="1" applyBorder="1"/>
    <xf numFmtId="1" fontId="3" fillId="3" borderId="302" xfId="0" applyNumberFormat="1" applyFont="1" applyFill="1" applyBorder="1" applyAlignment="1">
      <alignment horizontal="right" wrapText="1"/>
    </xf>
    <xf numFmtId="1" fontId="3" fillId="6" borderId="22" xfId="0" applyNumberFormat="1" applyFont="1" applyFill="1" applyBorder="1" applyAlignment="1">
      <alignment horizontal="right" wrapText="1"/>
    </xf>
    <xf numFmtId="1" fontId="3" fillId="7" borderId="22" xfId="0" applyNumberFormat="1" applyFont="1" applyFill="1" applyBorder="1"/>
    <xf numFmtId="1" fontId="3" fillId="7" borderId="271" xfId="0" applyNumberFormat="1" applyFont="1" applyFill="1" applyBorder="1"/>
    <xf numFmtId="1" fontId="3" fillId="3" borderId="336" xfId="0" applyNumberFormat="1" applyFont="1" applyFill="1" applyBorder="1" applyAlignment="1">
      <alignment horizontal="right" wrapText="1"/>
    </xf>
    <xf numFmtId="1" fontId="3" fillId="3" borderId="354" xfId="0" applyNumberFormat="1" applyFont="1" applyFill="1" applyBorder="1" applyAlignment="1">
      <alignment horizontal="right" wrapText="1"/>
    </xf>
    <xf numFmtId="1" fontId="3" fillId="3" borderId="20" xfId="0" applyNumberFormat="1" applyFont="1" applyFill="1" applyBorder="1" applyAlignment="1">
      <alignment horizontal="right"/>
    </xf>
    <xf numFmtId="1" fontId="3" fillId="7" borderId="85" xfId="0" applyNumberFormat="1" applyFont="1" applyFill="1" applyBorder="1"/>
    <xf numFmtId="1" fontId="3" fillId="7" borderId="257" xfId="0" applyNumberFormat="1" applyFont="1" applyFill="1" applyBorder="1"/>
    <xf numFmtId="1" fontId="3" fillId="3" borderId="763" xfId="0" applyNumberFormat="1" applyFont="1" applyFill="1" applyBorder="1" applyAlignment="1">
      <alignment horizontal="right" wrapText="1"/>
    </xf>
    <xf numFmtId="1" fontId="3" fillId="6" borderId="693" xfId="0" applyNumberFormat="1" applyFont="1" applyFill="1" applyBorder="1" applyAlignment="1">
      <alignment horizontal="right" wrapText="1"/>
    </xf>
    <xf numFmtId="1" fontId="3" fillId="7" borderId="762" xfId="0" applyNumberFormat="1" applyFont="1" applyFill="1" applyBorder="1"/>
    <xf numFmtId="1" fontId="3" fillId="6" borderId="717" xfId="0" applyNumberFormat="1" applyFont="1" applyFill="1" applyBorder="1"/>
    <xf numFmtId="1" fontId="3" fillId="6" borderId="761" xfId="0" applyNumberFormat="1" applyFont="1" applyFill="1" applyBorder="1"/>
    <xf numFmtId="1" fontId="3" fillId="3" borderId="333" xfId="0" applyNumberFormat="1" applyFont="1" applyFill="1" applyBorder="1" applyAlignment="1">
      <alignment horizontal="right" wrapText="1"/>
    </xf>
    <xf numFmtId="1" fontId="3" fillId="3" borderId="299" xfId="0" applyNumberFormat="1" applyFont="1" applyFill="1" applyBorder="1" applyAlignment="1">
      <alignment horizontal="right" wrapText="1"/>
    </xf>
    <xf numFmtId="1" fontId="3" fillId="3" borderId="251" xfId="0" applyNumberFormat="1" applyFont="1" applyFill="1" applyBorder="1" applyAlignment="1">
      <alignment horizontal="right" wrapText="1"/>
    </xf>
    <xf numFmtId="1" fontId="3" fillId="6" borderId="299" xfId="0" applyNumberFormat="1" applyFont="1" applyFill="1" applyBorder="1"/>
    <xf numFmtId="1" fontId="3" fillId="6" borderId="745" xfId="0" applyNumberFormat="1" applyFont="1" applyFill="1" applyBorder="1"/>
    <xf numFmtId="1" fontId="3" fillId="5" borderId="798" xfId="0" applyNumberFormat="1" applyFont="1" applyFill="1" applyBorder="1" applyAlignment="1">
      <alignment horizontal="center" vertical="center"/>
    </xf>
    <xf numFmtId="1" fontId="3" fillId="3" borderId="734" xfId="0" applyNumberFormat="1" applyFont="1" applyFill="1" applyBorder="1" applyAlignment="1">
      <alignment horizontal="right" wrapText="1"/>
    </xf>
    <xf numFmtId="1" fontId="3" fillId="3" borderId="799" xfId="0" applyNumberFormat="1" applyFont="1" applyFill="1" applyBorder="1" applyAlignment="1">
      <alignment horizontal="right" wrapText="1"/>
    </xf>
    <xf numFmtId="1" fontId="3" fillId="6" borderId="734" xfId="0" applyNumberFormat="1" applyFont="1" applyFill="1" applyBorder="1" applyAlignment="1">
      <alignment horizontal="right" wrapText="1"/>
    </xf>
    <xf numFmtId="1" fontId="3" fillId="7" borderId="800" xfId="0" applyNumberFormat="1" applyFont="1" applyFill="1" applyBorder="1"/>
    <xf numFmtId="1" fontId="3" fillId="7" borderId="801" xfId="0" applyNumberFormat="1" applyFont="1" applyFill="1" applyBorder="1"/>
    <xf numFmtId="1" fontId="3" fillId="7" borderId="799" xfId="0" applyNumberFormat="1" applyFont="1" applyFill="1" applyBorder="1"/>
    <xf numFmtId="1" fontId="3" fillId="6" borderId="801" xfId="0" applyNumberFormat="1" applyFont="1" applyFill="1" applyBorder="1"/>
    <xf numFmtId="1" fontId="3" fillId="0" borderId="800" xfId="0" applyNumberFormat="1" applyFont="1" applyBorder="1"/>
    <xf numFmtId="1" fontId="3" fillId="6" borderId="734" xfId="0" applyNumberFormat="1" applyFont="1" applyFill="1" applyBorder="1"/>
    <xf numFmtId="1" fontId="3" fillId="0" borderId="802" xfId="0" applyNumberFormat="1" applyFont="1" applyBorder="1"/>
    <xf numFmtId="1" fontId="3" fillId="6" borderId="802" xfId="0" applyNumberFormat="1" applyFont="1" applyFill="1" applyBorder="1"/>
    <xf numFmtId="1" fontId="3" fillId="6" borderId="803" xfId="0" applyNumberFormat="1" applyFont="1" applyFill="1" applyBorder="1"/>
    <xf numFmtId="1" fontId="3" fillId="0" borderId="804" xfId="0" applyNumberFormat="1" applyFont="1" applyBorder="1"/>
    <xf numFmtId="1" fontId="3" fillId="0" borderId="805" xfId="0" applyNumberFormat="1" applyFont="1" applyBorder="1"/>
    <xf numFmtId="1" fontId="3" fillId="0" borderId="734" xfId="0" applyNumberFormat="1" applyFont="1" applyBorder="1"/>
    <xf numFmtId="1" fontId="3" fillId="3" borderId="22" xfId="0" applyNumberFormat="1" applyFont="1" applyFill="1" applyBorder="1" applyAlignment="1">
      <alignment horizontal="right" wrapText="1"/>
    </xf>
    <xf numFmtId="1" fontId="3" fillId="7" borderId="280" xfId="0" applyNumberFormat="1" applyFont="1" applyFill="1" applyBorder="1"/>
    <xf numFmtId="1" fontId="3" fillId="6" borderId="281" xfId="0" applyNumberFormat="1" applyFont="1" applyFill="1" applyBorder="1"/>
    <xf numFmtId="1" fontId="3" fillId="3" borderId="237" xfId="0" applyNumberFormat="1" applyFont="1" applyFill="1" applyBorder="1" applyAlignment="1">
      <alignment vertical="center" wrapText="1"/>
    </xf>
    <xf numFmtId="1" fontId="3" fillId="3" borderId="406" xfId="0" applyNumberFormat="1" applyFont="1" applyFill="1" applyBorder="1" applyAlignment="1">
      <alignment horizontal="right" wrapText="1"/>
    </xf>
    <xf numFmtId="1" fontId="3" fillId="3" borderId="404" xfId="0" applyNumberFormat="1" applyFont="1" applyFill="1" applyBorder="1" applyAlignment="1">
      <alignment horizontal="right" wrapText="1"/>
    </xf>
    <xf numFmtId="1" fontId="3" fillId="6" borderId="770" xfId="0" applyNumberFormat="1" applyFont="1" applyFill="1" applyBorder="1" applyAlignment="1">
      <alignment horizontal="right"/>
    </xf>
    <xf numFmtId="1" fontId="3" fillId="6" borderId="366" xfId="0" applyNumberFormat="1" applyFont="1" applyFill="1" applyBorder="1"/>
    <xf numFmtId="1" fontId="3" fillId="4" borderId="300" xfId="0" applyNumberFormat="1" applyFont="1" applyFill="1" applyBorder="1" applyProtection="1">
      <protection locked="0"/>
    </xf>
    <xf numFmtId="1" fontId="3" fillId="5" borderId="761" xfId="0" applyNumberFormat="1" applyFont="1" applyFill="1" applyBorder="1" applyAlignment="1">
      <alignment horizontal="center" vertical="center"/>
    </xf>
    <xf numFmtId="1" fontId="3" fillId="0" borderId="299" xfId="0" applyNumberFormat="1" applyFont="1" applyBorder="1" applyAlignment="1">
      <alignment horizontal="right" wrapText="1"/>
    </xf>
    <xf numFmtId="1" fontId="3" fillId="5" borderId="251" xfId="0" applyNumberFormat="1" applyFont="1" applyFill="1" applyBorder="1"/>
    <xf numFmtId="1" fontId="3" fillId="5" borderId="257" xfId="0" applyNumberFormat="1" applyFont="1" applyFill="1" applyBorder="1"/>
    <xf numFmtId="1" fontId="3" fillId="5" borderId="770" xfId="0" applyNumberFormat="1" applyFont="1" applyFill="1" applyBorder="1"/>
    <xf numFmtId="1" fontId="3" fillId="5" borderId="255" xfId="0" applyNumberFormat="1" applyFont="1" applyFill="1" applyBorder="1"/>
    <xf numFmtId="1" fontId="3" fillId="5" borderId="259" xfId="0" applyNumberFormat="1" applyFont="1" applyFill="1" applyBorder="1"/>
    <xf numFmtId="1" fontId="3" fillId="5" borderId="256" xfId="0" applyNumberFormat="1" applyFont="1" applyFill="1" applyBorder="1"/>
    <xf numFmtId="1" fontId="3" fillId="5" borderId="761" xfId="0" applyNumberFormat="1" applyFont="1" applyFill="1" applyBorder="1" applyAlignment="1">
      <alignment horizontal="left" vertical="center"/>
    </xf>
    <xf numFmtId="1" fontId="3" fillId="3" borderId="693" xfId="0" applyNumberFormat="1" applyFont="1" applyFill="1" applyBorder="1" applyAlignment="1">
      <alignment horizontal="right" wrapText="1"/>
    </xf>
    <xf numFmtId="1" fontId="3" fillId="5" borderId="299" xfId="0" applyNumberFormat="1" applyFont="1" applyFill="1" applyBorder="1" applyAlignment="1">
      <alignment horizontal="left" vertical="center" wrapText="1"/>
    </xf>
    <xf numFmtId="1" fontId="3" fillId="5" borderId="302" xfId="0" applyNumberFormat="1" applyFont="1" applyFill="1" applyBorder="1" applyAlignment="1">
      <alignment horizontal="left" vertical="center" wrapText="1"/>
    </xf>
    <xf numFmtId="1" fontId="3" fillId="3" borderId="134" xfId="0" applyNumberFormat="1" applyFont="1" applyFill="1" applyBorder="1" applyAlignment="1">
      <alignment horizontal="right" wrapText="1"/>
    </xf>
    <xf numFmtId="1" fontId="3" fillId="6" borderId="357" xfId="0" applyNumberFormat="1" applyFont="1" applyFill="1" applyBorder="1"/>
    <xf numFmtId="1" fontId="3" fillId="6" borderId="360" xfId="0" applyNumberFormat="1" applyFont="1" applyFill="1" applyBorder="1"/>
    <xf numFmtId="1" fontId="3" fillId="5" borderId="406" xfId="0" applyNumberFormat="1" applyFont="1" applyFill="1" applyBorder="1" applyAlignment="1">
      <alignment horizontal="left" vertical="center" wrapText="1"/>
    </xf>
    <xf numFmtId="1" fontId="3" fillId="3" borderId="797" xfId="0" applyNumberFormat="1" applyFont="1" applyFill="1" applyBorder="1" applyAlignment="1">
      <alignment horizontal="right" wrapText="1"/>
    </xf>
    <xf numFmtId="1" fontId="3" fillId="3" borderId="704" xfId="0" applyNumberFormat="1" applyFont="1" applyFill="1" applyBorder="1" applyAlignment="1">
      <alignment horizontal="right" wrapText="1"/>
    </xf>
    <xf numFmtId="1" fontId="3" fillId="3" borderId="354" xfId="0" applyNumberFormat="1" applyFont="1" applyFill="1" applyBorder="1" applyAlignment="1">
      <alignment horizontal="right"/>
    </xf>
    <xf numFmtId="1" fontId="3" fillId="0" borderId="761" xfId="0" applyNumberFormat="1" applyFont="1" applyBorder="1" applyAlignment="1">
      <alignment vertical="center" wrapText="1"/>
    </xf>
    <xf numFmtId="1" fontId="3" fillId="3" borderId="762" xfId="0" applyNumberFormat="1" applyFont="1" applyFill="1" applyBorder="1" applyAlignment="1">
      <alignment horizontal="right" wrapText="1"/>
    </xf>
    <xf numFmtId="1" fontId="3" fillId="0" borderId="300" xfId="0" applyNumberFormat="1" applyFont="1" applyBorder="1" applyAlignment="1">
      <alignment vertical="center" wrapText="1"/>
    </xf>
    <xf numFmtId="1" fontId="3" fillId="3" borderId="327" xfId="0" applyNumberFormat="1" applyFont="1" applyFill="1" applyBorder="1" applyAlignment="1">
      <alignment horizontal="right" wrapText="1"/>
    </xf>
    <xf numFmtId="1" fontId="3" fillId="3" borderId="255" xfId="0" applyNumberFormat="1" applyFont="1" applyFill="1" applyBorder="1" applyAlignment="1">
      <alignment horizontal="right" wrapText="1"/>
    </xf>
    <xf numFmtId="1" fontId="3" fillId="6" borderId="361" xfId="0" applyNumberFormat="1" applyFont="1" applyFill="1" applyBorder="1"/>
    <xf numFmtId="1" fontId="3" fillId="6" borderId="6" xfId="0" applyNumberFormat="1" applyFont="1" applyFill="1" applyBorder="1"/>
    <xf numFmtId="1" fontId="3" fillId="8" borderId="280" xfId="0" applyNumberFormat="1" applyFont="1" applyFill="1" applyBorder="1" applyProtection="1">
      <protection locked="0"/>
    </xf>
    <xf numFmtId="1" fontId="3" fillId="6" borderId="338" xfId="0" applyNumberFormat="1" applyFont="1" applyFill="1" applyBorder="1"/>
    <xf numFmtId="1" fontId="3" fillId="6" borderId="232" xfId="0" applyNumberFormat="1" applyFont="1" applyFill="1" applyBorder="1" applyAlignment="1">
      <alignment horizontal="right" wrapText="1"/>
    </xf>
    <xf numFmtId="1" fontId="3" fillId="6" borderId="353" xfId="0" applyNumberFormat="1" applyFont="1" applyFill="1" applyBorder="1" applyAlignment="1">
      <alignment horizontal="right"/>
    </xf>
    <xf numFmtId="1" fontId="3" fillId="6" borderId="2" xfId="0" applyNumberFormat="1" applyFont="1" applyFill="1" applyBorder="1" applyAlignment="1">
      <alignment horizontal="right"/>
    </xf>
    <xf numFmtId="1" fontId="3" fillId="7" borderId="364" xfId="0" applyNumberFormat="1" applyFont="1" applyFill="1" applyBorder="1"/>
    <xf numFmtId="1" fontId="3" fillId="6" borderId="356" xfId="0" applyNumberFormat="1" applyFont="1" applyFill="1" applyBorder="1"/>
    <xf numFmtId="1" fontId="3" fillId="8" borderId="21" xfId="0" applyNumberFormat="1" applyFont="1" applyFill="1" applyBorder="1" applyProtection="1">
      <protection locked="0"/>
    </xf>
    <xf numFmtId="1" fontId="3" fillId="7" borderId="356" xfId="0" applyNumberFormat="1" applyFont="1" applyFill="1" applyBorder="1"/>
    <xf numFmtId="1" fontId="3" fillId="6" borderId="406" xfId="0" applyNumberFormat="1" applyFont="1" applyFill="1" applyBorder="1" applyAlignment="1">
      <alignment horizontal="right" wrapText="1"/>
    </xf>
    <xf numFmtId="1" fontId="3" fillId="6" borderId="404" xfId="0" applyNumberFormat="1" applyFont="1" applyFill="1" applyBorder="1" applyAlignment="1">
      <alignment horizontal="right"/>
    </xf>
    <xf numFmtId="1" fontId="3" fillId="7" borderId="369" xfId="0" applyNumberFormat="1" applyFont="1" applyFill="1" applyBorder="1"/>
    <xf numFmtId="1" fontId="3" fillId="6" borderId="358" xfId="0" applyNumberFormat="1" applyFont="1" applyFill="1" applyBorder="1"/>
    <xf numFmtId="1" fontId="3" fillId="8" borderId="359" xfId="0" applyNumberFormat="1" applyFont="1" applyFill="1" applyBorder="1" applyProtection="1">
      <protection locked="0"/>
    </xf>
    <xf numFmtId="1" fontId="3" fillId="7" borderId="358" xfId="0" applyNumberFormat="1" applyFont="1" applyFill="1" applyBorder="1"/>
    <xf numFmtId="1" fontId="6" fillId="0" borderId="81" xfId="0" applyNumberFormat="1" applyFont="1" applyBorder="1"/>
    <xf numFmtId="1" fontId="6" fillId="0" borderId="82" xfId="0" applyNumberFormat="1" applyFont="1" applyBorder="1"/>
    <xf numFmtId="1" fontId="3" fillId="8" borderId="759" xfId="0" applyNumberFormat="1" applyFont="1" applyFill="1" applyBorder="1" applyProtection="1">
      <protection locked="0"/>
    </xf>
    <xf numFmtId="1" fontId="3" fillId="8" borderId="1120" xfId="0" applyNumberFormat="1" applyFont="1" applyFill="1" applyBorder="1" applyProtection="1">
      <protection locked="0"/>
    </xf>
    <xf numFmtId="1" fontId="3" fillId="8" borderId="332" xfId="0" applyNumberFormat="1" applyFont="1" applyFill="1" applyBorder="1" applyProtection="1">
      <protection locked="0"/>
    </xf>
    <xf numFmtId="1" fontId="3" fillId="8" borderId="986" xfId="0" applyNumberFormat="1" applyFont="1" applyFill="1" applyBorder="1" applyProtection="1">
      <protection locked="0"/>
    </xf>
    <xf numFmtId="1" fontId="3" fillId="8" borderId="968" xfId="0" applyNumberFormat="1" applyFont="1" applyFill="1" applyBorder="1" applyProtection="1">
      <protection locked="0"/>
    </xf>
    <xf numFmtId="1" fontId="3" fillId="5" borderId="0" xfId="0" applyNumberFormat="1" applyFont="1" applyFill="1" applyAlignment="1">
      <alignment horizontal="left" wrapText="1"/>
    </xf>
    <xf numFmtId="1" fontId="3" fillId="5" borderId="252" xfId="0" applyNumberFormat="1" applyFont="1" applyFill="1" applyBorder="1" applyAlignment="1">
      <alignment wrapText="1"/>
    </xf>
    <xf numFmtId="1" fontId="3" fillId="0" borderId="252" xfId="0" applyNumberFormat="1" applyFont="1" applyBorder="1" applyAlignment="1">
      <alignment wrapText="1"/>
    </xf>
    <xf numFmtId="1" fontId="3" fillId="5" borderId="806" xfId="0" applyNumberFormat="1" applyFont="1" applyFill="1" applyBorder="1" applyAlignment="1">
      <alignment wrapText="1"/>
    </xf>
    <xf numFmtId="1" fontId="3" fillId="5" borderId="807" xfId="0" applyNumberFormat="1" applyFont="1" applyFill="1" applyBorder="1" applyAlignment="1">
      <alignment wrapText="1"/>
    </xf>
    <xf numFmtId="1" fontId="3" fillId="3" borderId="667" xfId="0" applyNumberFormat="1" applyFont="1" applyFill="1" applyBorder="1" applyAlignment="1">
      <alignment horizontal="center" vertical="center" wrapText="1"/>
    </xf>
    <xf numFmtId="1" fontId="3" fillId="3" borderId="255" xfId="0" applyNumberFormat="1" applyFont="1" applyFill="1" applyBorder="1" applyAlignment="1">
      <alignment horizontal="center" vertical="center" wrapText="1"/>
    </xf>
    <xf numFmtId="1" fontId="3" fillId="3" borderId="762" xfId="0" applyNumberFormat="1" applyFont="1" applyFill="1" applyBorder="1" applyAlignment="1">
      <alignment horizontal="right" vertical="center" wrapText="1"/>
    </xf>
    <xf numFmtId="1" fontId="3" fillId="4" borderId="762" xfId="0" applyNumberFormat="1" applyFont="1" applyFill="1" applyBorder="1" applyAlignment="1" applyProtection="1">
      <alignment wrapText="1"/>
      <protection locked="0"/>
    </xf>
    <xf numFmtId="1" fontId="3" fillId="4" borderId="763" xfId="0" applyNumberFormat="1" applyFont="1" applyFill="1" applyBorder="1" applyAlignment="1" applyProtection="1">
      <alignment wrapText="1"/>
      <protection locked="0"/>
    </xf>
    <xf numFmtId="1" fontId="3" fillId="4" borderId="765" xfId="0" applyNumberFormat="1" applyFont="1" applyFill="1" applyBorder="1" applyAlignment="1" applyProtection="1">
      <alignment wrapText="1"/>
      <protection locked="0"/>
    </xf>
    <xf numFmtId="1" fontId="3" fillId="6" borderId="808" xfId="0" applyNumberFormat="1" applyFont="1" applyFill="1" applyBorder="1" applyAlignment="1">
      <alignment wrapText="1"/>
    </xf>
    <xf numFmtId="1" fontId="3" fillId="6" borderId="809" xfId="0" applyNumberFormat="1" applyFont="1" applyFill="1" applyBorder="1" applyAlignment="1">
      <alignment wrapText="1"/>
    </xf>
    <xf numFmtId="1" fontId="3" fillId="6" borderId="338" xfId="0" applyNumberFormat="1" applyFont="1" applyFill="1" applyBorder="1" applyAlignment="1">
      <alignment wrapText="1"/>
    </xf>
    <xf numFmtId="1" fontId="3" fillId="6" borderId="717" xfId="0" applyNumberFormat="1" applyFont="1" applyFill="1" applyBorder="1" applyAlignment="1">
      <alignment wrapText="1"/>
    </xf>
    <xf numFmtId="1" fontId="3" fillId="3" borderId="328" xfId="0" applyNumberFormat="1" applyFont="1" applyFill="1" applyBorder="1" applyAlignment="1">
      <alignment horizontal="right" vertical="center" wrapText="1"/>
    </xf>
    <xf numFmtId="1" fontId="3" fillId="4" borderId="328" xfId="0" applyNumberFormat="1" applyFont="1" applyFill="1" applyBorder="1" applyAlignment="1" applyProtection="1">
      <alignment wrapText="1"/>
      <protection locked="0"/>
    </xf>
    <xf numFmtId="1" fontId="3" fillId="4" borderId="366" xfId="0" applyNumberFormat="1" applyFont="1" applyFill="1" applyBorder="1" applyAlignment="1" applyProtection="1">
      <alignment wrapText="1"/>
      <protection locked="0"/>
    </xf>
    <xf numFmtId="1" fontId="3" fillId="4" borderId="404" xfId="0" applyNumberFormat="1" applyFont="1" applyFill="1" applyBorder="1" applyAlignment="1" applyProtection="1">
      <alignment wrapText="1"/>
      <protection locked="0"/>
    </xf>
    <xf numFmtId="1" fontId="3" fillId="4" borderId="369" xfId="0" applyNumberFormat="1" applyFont="1" applyFill="1" applyBorder="1" applyAlignment="1" applyProtection="1">
      <alignment wrapText="1"/>
      <protection locked="0"/>
    </xf>
    <xf numFmtId="1" fontId="3" fillId="6" borderId="366" xfId="0" applyNumberFormat="1" applyFont="1" applyFill="1" applyBorder="1" applyAlignment="1">
      <alignment wrapText="1"/>
    </xf>
    <xf numFmtId="1" fontId="3" fillId="4" borderId="289" xfId="0" applyNumberFormat="1" applyFont="1" applyFill="1" applyBorder="1" applyAlignment="1" applyProtection="1">
      <alignment wrapText="1"/>
      <protection locked="0"/>
    </xf>
    <xf numFmtId="1" fontId="3" fillId="4" borderId="271" xfId="0" applyNumberFormat="1" applyFont="1" applyFill="1" applyBorder="1" applyAlignment="1" applyProtection="1">
      <alignment wrapText="1"/>
      <protection locked="0"/>
    </xf>
    <xf numFmtId="1" fontId="3" fillId="4" borderId="22" xfId="0" applyNumberFormat="1" applyFont="1" applyFill="1" applyBorder="1" applyAlignment="1" applyProtection="1">
      <alignment wrapText="1"/>
      <protection locked="0"/>
    </xf>
    <xf numFmtId="1" fontId="3" fillId="4" borderId="276" xfId="0" applyNumberFormat="1" applyFont="1" applyFill="1" applyBorder="1" applyAlignment="1" applyProtection="1">
      <alignment wrapText="1"/>
      <protection locked="0"/>
    </xf>
    <xf numFmtId="1" fontId="3" fillId="3" borderId="808" xfId="0" applyNumberFormat="1" applyFont="1" applyFill="1" applyBorder="1" applyAlignment="1">
      <alignment horizontal="right" wrapText="1"/>
    </xf>
    <xf numFmtId="1" fontId="3" fillId="3" borderId="811" xfId="0" applyNumberFormat="1" applyFont="1" applyFill="1" applyBorder="1" applyAlignment="1">
      <alignment horizontal="right" vertical="center" wrapText="1"/>
    </xf>
    <xf numFmtId="1" fontId="3" fillId="4" borderId="808" xfId="0" applyNumberFormat="1" applyFont="1" applyFill="1" applyBorder="1" applyAlignment="1" applyProtection="1">
      <alignment wrapText="1"/>
      <protection locked="0"/>
    </xf>
    <xf numFmtId="1" fontId="3" fillId="4" borderId="809" xfId="0" applyNumberFormat="1" applyFont="1" applyFill="1" applyBorder="1" applyAlignment="1" applyProtection="1">
      <alignment wrapText="1"/>
      <protection locked="0"/>
    </xf>
    <xf numFmtId="1" fontId="3" fillId="4" borderId="812" xfId="0" applyNumberFormat="1" applyFont="1" applyFill="1" applyBorder="1" applyAlignment="1" applyProtection="1">
      <alignment wrapText="1"/>
      <protection locked="0"/>
    </xf>
    <xf numFmtId="1" fontId="3" fillId="4" borderId="813" xfId="0" applyNumberFormat="1" applyFont="1" applyFill="1" applyBorder="1" applyAlignment="1" applyProtection="1">
      <alignment wrapText="1"/>
      <protection locked="0"/>
    </xf>
    <xf numFmtId="1" fontId="3" fillId="4" borderId="814" xfId="0" applyNumberFormat="1" applyFont="1" applyFill="1" applyBorder="1" applyAlignment="1" applyProtection="1">
      <alignment wrapText="1"/>
      <protection locked="0"/>
    </xf>
    <xf numFmtId="1" fontId="3" fillId="6" borderId="812" xfId="0" applyNumberFormat="1" applyFont="1" applyFill="1" applyBorder="1" applyAlignment="1">
      <alignment wrapText="1"/>
    </xf>
    <xf numFmtId="1" fontId="3" fillId="4" borderId="204" xfId="0" applyNumberFormat="1" applyFont="1" applyFill="1" applyBorder="1" applyAlignment="1" applyProtection="1">
      <alignment wrapText="1"/>
      <protection locked="0"/>
    </xf>
    <xf numFmtId="1" fontId="3" fillId="4" borderId="361" xfId="0" applyNumberFormat="1" applyFont="1" applyFill="1" applyBorder="1" applyAlignment="1" applyProtection="1">
      <alignment wrapText="1"/>
      <protection locked="0"/>
    </xf>
    <xf numFmtId="1" fontId="3" fillId="4" borderId="353" xfId="0" applyNumberFormat="1" applyFont="1" applyFill="1" applyBorder="1" applyAlignment="1" applyProtection="1">
      <alignment wrapText="1"/>
      <protection locked="0"/>
    </xf>
    <xf numFmtId="1" fontId="3" fillId="4" borderId="364" xfId="0" applyNumberFormat="1" applyFont="1" applyFill="1" applyBorder="1" applyAlignment="1" applyProtection="1">
      <alignment wrapText="1"/>
      <protection locked="0"/>
    </xf>
    <xf numFmtId="1" fontId="3" fillId="6" borderId="204" xfId="0" applyNumberFormat="1" applyFont="1" applyFill="1" applyBorder="1" applyAlignment="1">
      <alignment wrapText="1"/>
    </xf>
    <xf numFmtId="1" fontId="3" fillId="6" borderId="361" xfId="0" applyNumberFormat="1" applyFont="1" applyFill="1" applyBorder="1" applyAlignment="1">
      <alignment wrapText="1"/>
    </xf>
    <xf numFmtId="1" fontId="3" fillId="6" borderId="5" xfId="0" applyNumberFormat="1" applyFont="1" applyFill="1" applyBorder="1" applyAlignment="1">
      <alignment wrapText="1"/>
    </xf>
    <xf numFmtId="1" fontId="3" fillId="6" borderId="328" xfId="0" applyNumberFormat="1" applyFont="1" applyFill="1" applyBorder="1" applyAlignment="1">
      <alignment wrapText="1"/>
    </xf>
    <xf numFmtId="1" fontId="3" fillId="6" borderId="367" xfId="0" applyNumberFormat="1" applyFont="1" applyFill="1" applyBorder="1" applyAlignment="1">
      <alignment wrapText="1"/>
    </xf>
    <xf numFmtId="1" fontId="3" fillId="3" borderId="718" xfId="0" applyNumberFormat="1" applyFont="1" applyFill="1" applyBorder="1" applyAlignment="1">
      <alignment horizontal="right" vertical="center" wrapText="1"/>
    </xf>
    <xf numFmtId="1" fontId="3" fillId="0" borderId="669" xfId="0" applyNumberFormat="1" applyFont="1" applyBorder="1" applyAlignment="1">
      <alignment horizontal="right" vertical="center" wrapText="1"/>
    </xf>
    <xf numFmtId="1" fontId="3" fillId="0" borderId="809" xfId="0" applyNumberFormat="1" applyFont="1" applyBorder="1" applyAlignment="1">
      <alignment horizontal="right" vertical="center" wrapText="1"/>
    </xf>
    <xf numFmtId="1" fontId="3" fillId="3" borderId="3" xfId="0" applyNumberFormat="1" applyFont="1" applyFill="1" applyBorder="1" applyAlignment="1">
      <alignment horizontal="right" vertical="center" wrapText="1"/>
    </xf>
    <xf numFmtId="1" fontId="3" fillId="0" borderId="20" xfId="0" applyNumberFormat="1" applyFont="1" applyBorder="1" applyAlignment="1">
      <alignment horizontal="right" vertical="center" wrapText="1"/>
    </xf>
    <xf numFmtId="1" fontId="3" fillId="0" borderId="271" xfId="0" applyNumberFormat="1" applyFont="1" applyBorder="1" applyAlignment="1">
      <alignment horizontal="right" vertical="center" wrapText="1"/>
    </xf>
    <xf numFmtId="1" fontId="3" fillId="0" borderId="85" xfId="0" applyNumberFormat="1" applyFont="1" applyBorder="1" applyAlignment="1">
      <alignment horizontal="right" vertical="center" wrapText="1"/>
    </xf>
    <xf numFmtId="1" fontId="3" fillId="4" borderId="251" xfId="0" applyNumberFormat="1" applyFont="1" applyFill="1" applyBorder="1" applyAlignment="1" applyProtection="1">
      <alignment wrapText="1"/>
      <protection locked="0"/>
    </xf>
    <xf numFmtId="1" fontId="3" fillId="4" borderId="770" xfId="0" applyNumberFormat="1" applyFont="1" applyFill="1" applyBorder="1" applyAlignment="1" applyProtection="1">
      <alignment wrapText="1"/>
      <protection locked="0"/>
    </xf>
    <xf numFmtId="1" fontId="3" fillId="6" borderId="255" xfId="0" applyNumberFormat="1" applyFont="1" applyFill="1" applyBorder="1" applyAlignment="1">
      <alignment wrapText="1"/>
    </xf>
    <xf numFmtId="1" fontId="3" fillId="6" borderId="257" xfId="0" applyNumberFormat="1" applyFont="1" applyFill="1" applyBorder="1" applyAlignment="1">
      <alignment wrapText="1"/>
    </xf>
    <xf numFmtId="1" fontId="3" fillId="4" borderId="255" xfId="0" applyNumberFormat="1" applyFont="1" applyFill="1" applyBorder="1" applyAlignment="1" applyProtection="1">
      <alignment wrapText="1"/>
      <protection locked="0"/>
    </xf>
    <xf numFmtId="1" fontId="3" fillId="0" borderId="673" xfId="0" applyNumberFormat="1" applyFont="1" applyBorder="1" applyAlignment="1">
      <alignment horizontal="right" vertical="center" wrapText="1"/>
    </xf>
    <xf numFmtId="1" fontId="3" fillId="7" borderId="762" xfId="0" applyNumberFormat="1" applyFont="1" applyFill="1" applyBorder="1" applyAlignment="1">
      <alignment wrapText="1"/>
    </xf>
    <xf numFmtId="1" fontId="3" fillId="7" borderId="717" xfId="0" applyNumberFormat="1" applyFont="1" applyFill="1" applyBorder="1" applyAlignment="1">
      <alignment wrapText="1"/>
    </xf>
    <xf numFmtId="1" fontId="3" fillId="7" borderId="763" xfId="0" applyNumberFormat="1" applyFont="1" applyFill="1" applyBorder="1" applyAlignment="1">
      <alignment wrapText="1"/>
    </xf>
    <xf numFmtId="1" fontId="3" fillId="6" borderId="762" xfId="0" applyNumberFormat="1" applyFont="1" applyFill="1" applyBorder="1" applyAlignment="1">
      <alignment wrapText="1"/>
    </xf>
    <xf numFmtId="1" fontId="3" fillId="6" borderId="763" xfId="0" applyNumberFormat="1" applyFont="1" applyFill="1" applyBorder="1" applyAlignment="1">
      <alignment wrapText="1"/>
    </xf>
    <xf numFmtId="1" fontId="3" fillId="7" borderId="812" xfId="0" applyNumberFormat="1" applyFont="1" applyFill="1" applyBorder="1" applyAlignment="1">
      <alignment wrapText="1"/>
    </xf>
    <xf numFmtId="1" fontId="3" fillId="7" borderId="809" xfId="0" applyNumberFormat="1" applyFont="1" applyFill="1" applyBorder="1" applyAlignment="1">
      <alignment wrapText="1"/>
    </xf>
    <xf numFmtId="1" fontId="3" fillId="7" borderId="353" xfId="0" applyNumberFormat="1" applyFont="1" applyFill="1" applyBorder="1" applyAlignment="1">
      <alignment wrapText="1"/>
    </xf>
    <xf numFmtId="1" fontId="3" fillId="7" borderId="361" xfId="0" applyNumberFormat="1" applyFont="1" applyFill="1" applyBorder="1" applyAlignment="1">
      <alignment wrapText="1"/>
    </xf>
    <xf numFmtId="1" fontId="3" fillId="7" borderId="328" xfId="0" applyNumberFormat="1" applyFont="1" applyFill="1" applyBorder="1" applyAlignment="1">
      <alignment wrapText="1"/>
    </xf>
    <xf numFmtId="1" fontId="3" fillId="7" borderId="366" xfId="0" applyNumberFormat="1" applyFont="1" applyFill="1" applyBorder="1" applyAlignment="1">
      <alignment wrapText="1"/>
    </xf>
    <xf numFmtId="1" fontId="3" fillId="7" borderId="404" xfId="0" applyNumberFormat="1" applyFont="1" applyFill="1" applyBorder="1" applyAlignment="1">
      <alignment wrapText="1"/>
    </xf>
    <xf numFmtId="1" fontId="3" fillId="7" borderId="276" xfId="0" applyNumberFormat="1" applyFont="1" applyFill="1" applyBorder="1" applyAlignment="1">
      <alignment wrapText="1"/>
    </xf>
    <xf numFmtId="1" fontId="3" fillId="7" borderId="271" xfId="0" applyNumberFormat="1" applyFont="1" applyFill="1" applyBorder="1" applyAlignment="1">
      <alignment wrapText="1"/>
    </xf>
    <xf numFmtId="1" fontId="3" fillId="7" borderId="22" xfId="0" applyNumberFormat="1" applyFont="1" applyFill="1" applyBorder="1" applyAlignment="1">
      <alignment wrapText="1"/>
    </xf>
    <xf numFmtId="1" fontId="3" fillId="6" borderId="22" xfId="0" applyNumberFormat="1" applyFont="1" applyFill="1" applyBorder="1" applyAlignment="1">
      <alignment wrapText="1"/>
    </xf>
    <xf numFmtId="1" fontId="3" fillId="6" borderId="271" xfId="0" applyNumberFormat="1" applyFont="1" applyFill="1" applyBorder="1" applyAlignment="1">
      <alignment wrapText="1"/>
    </xf>
    <xf numFmtId="1" fontId="3" fillId="7" borderId="808" xfId="0" applyNumberFormat="1" applyFont="1" applyFill="1" applyBorder="1" applyAlignment="1">
      <alignment wrapText="1"/>
    </xf>
    <xf numFmtId="1" fontId="3" fillId="7" borderId="204" xfId="0" applyNumberFormat="1" applyFont="1" applyFill="1" applyBorder="1" applyAlignment="1">
      <alignment wrapText="1"/>
    </xf>
    <xf numFmtId="1" fontId="3" fillId="6" borderId="276" xfId="0" applyNumberFormat="1" applyFont="1" applyFill="1" applyBorder="1" applyAlignment="1">
      <alignment wrapText="1"/>
    </xf>
    <xf numFmtId="1" fontId="3" fillId="6" borderId="9" xfId="0" applyNumberFormat="1" applyFont="1" applyFill="1" applyBorder="1" applyAlignment="1">
      <alignment wrapText="1"/>
    </xf>
    <xf numFmtId="1" fontId="3" fillId="6" borderId="85" xfId="0" applyNumberFormat="1" applyFont="1" applyFill="1" applyBorder="1" applyAlignment="1">
      <alignment wrapText="1"/>
    </xf>
    <xf numFmtId="1" fontId="3" fillId="6" borderId="133" xfId="0" applyNumberFormat="1" applyFont="1" applyFill="1" applyBorder="1" applyAlignment="1">
      <alignment wrapText="1"/>
    </xf>
    <xf numFmtId="1" fontId="3" fillId="6" borderId="251" xfId="0" applyNumberFormat="1" applyFont="1" applyFill="1" applyBorder="1" applyAlignment="1">
      <alignment wrapText="1"/>
    </xf>
    <xf numFmtId="1" fontId="3" fillId="2" borderId="816" xfId="1" applyNumberFormat="1" applyFont="1" applyBorder="1" applyAlignment="1" applyProtection="1">
      <alignment wrapText="1"/>
      <protection locked="0"/>
    </xf>
    <xf numFmtId="1" fontId="3" fillId="2" borderId="817" xfId="1" applyNumberFormat="1" applyFont="1" applyBorder="1" applyAlignment="1" applyProtection="1">
      <alignment wrapText="1"/>
      <protection locked="0"/>
    </xf>
    <xf numFmtId="1" fontId="3" fillId="2" borderId="818" xfId="1" applyNumberFormat="1" applyFont="1" applyBorder="1" applyAlignment="1" applyProtection="1">
      <alignment wrapText="1"/>
      <protection locked="0"/>
    </xf>
    <xf numFmtId="1" fontId="3" fillId="2" borderId="819" xfId="1" applyNumberFormat="1" applyFont="1" applyBorder="1" applyAlignment="1" applyProtection="1">
      <alignment wrapText="1"/>
      <protection locked="0"/>
    </xf>
    <xf numFmtId="1" fontId="3" fillId="2" borderId="820" xfId="1" applyNumberFormat="1" applyFont="1" applyBorder="1" applyAlignment="1" applyProtection="1">
      <alignment wrapText="1"/>
      <protection locked="0"/>
    </xf>
    <xf numFmtId="1" fontId="3" fillId="2" borderId="821" xfId="1" applyNumberFormat="1" applyFont="1" applyBorder="1" applyAlignment="1" applyProtection="1">
      <alignment wrapText="1"/>
      <protection locked="0"/>
    </xf>
    <xf numFmtId="1" fontId="3" fillId="2" borderId="669" xfId="1" applyNumberFormat="1" applyFont="1" applyBorder="1" applyAlignment="1" applyProtection="1">
      <alignment wrapText="1"/>
      <protection locked="0"/>
    </xf>
    <xf numFmtId="1" fontId="3" fillId="0" borderId="808" xfId="0" applyNumberFormat="1" applyFont="1" applyBorder="1" applyAlignment="1">
      <alignment horizontal="right" wrapText="1"/>
    </xf>
    <xf numFmtId="1" fontId="3" fillId="2" borderId="822" xfId="1" applyNumberFormat="1" applyFont="1" applyBorder="1" applyAlignment="1" applyProtection="1">
      <alignment wrapText="1"/>
      <protection locked="0"/>
    </xf>
    <xf numFmtId="1" fontId="3" fillId="2" borderId="823" xfId="1" applyNumberFormat="1" applyFont="1" applyBorder="1" applyAlignment="1" applyProtection="1">
      <alignment wrapText="1"/>
      <protection locked="0"/>
    </xf>
    <xf numFmtId="1" fontId="3" fillId="2" borderId="824" xfId="1" applyNumberFormat="1" applyFont="1" applyBorder="1" applyAlignment="1" applyProtection="1">
      <alignment wrapText="1"/>
      <protection locked="0"/>
    </xf>
    <xf numFmtId="1" fontId="3" fillId="2" borderId="825" xfId="1" applyNumberFormat="1" applyFont="1" applyBorder="1" applyAlignment="1" applyProtection="1">
      <alignment wrapText="1"/>
      <protection locked="0"/>
    </xf>
    <xf numFmtId="1" fontId="3" fillId="2" borderId="826" xfId="1" applyNumberFormat="1" applyFont="1" applyBorder="1" applyAlignment="1" applyProtection="1">
      <alignment wrapText="1"/>
      <protection locked="0"/>
    </xf>
    <xf numFmtId="1" fontId="3" fillId="2" borderId="827" xfId="1" applyNumberFormat="1" applyFont="1" applyBorder="1" applyAlignment="1" applyProtection="1">
      <alignment wrapText="1"/>
      <protection locked="0"/>
    </xf>
    <xf numFmtId="1" fontId="3" fillId="2" borderId="828" xfId="1" applyNumberFormat="1" applyFont="1" applyBorder="1" applyAlignment="1" applyProtection="1">
      <alignment wrapText="1"/>
      <protection locked="0"/>
    </xf>
    <xf numFmtId="1" fontId="3" fillId="2" borderId="829" xfId="1" applyNumberFormat="1" applyFont="1" applyBorder="1" applyAlignment="1" applyProtection="1">
      <alignment wrapText="1"/>
      <protection locked="0"/>
    </xf>
    <xf numFmtId="1" fontId="3" fillId="2" borderId="830" xfId="1" applyNumberFormat="1" applyFont="1" applyBorder="1" applyAlignment="1" applyProtection="1">
      <alignment wrapText="1"/>
      <protection locked="0"/>
    </xf>
    <xf numFmtId="1" fontId="3" fillId="2" borderId="831" xfId="1" applyNumberFormat="1" applyFont="1" applyBorder="1" applyAlignment="1" applyProtection="1">
      <alignment wrapText="1"/>
      <protection locked="0"/>
    </xf>
    <xf numFmtId="1" fontId="3" fillId="4" borderId="832" xfId="0" applyNumberFormat="1" applyFont="1" applyFill="1" applyBorder="1" applyAlignment="1" applyProtection="1">
      <alignment wrapText="1"/>
      <protection locked="0"/>
    </xf>
    <xf numFmtId="1" fontId="3" fillId="4" borderId="833" xfId="0" applyNumberFormat="1" applyFont="1" applyFill="1" applyBorder="1" applyAlignment="1" applyProtection="1">
      <alignment wrapText="1"/>
      <protection locked="0"/>
    </xf>
    <xf numFmtId="1" fontId="3" fillId="4" borderId="834" xfId="0" applyNumberFormat="1" applyFont="1" applyFill="1" applyBorder="1" applyAlignment="1" applyProtection="1">
      <alignment wrapText="1"/>
      <protection locked="0"/>
    </xf>
    <xf numFmtId="1" fontId="3" fillId="4" borderId="835" xfId="0" applyNumberFormat="1" applyFont="1" applyFill="1" applyBorder="1" applyAlignment="1" applyProtection="1">
      <alignment wrapText="1"/>
      <protection locked="0"/>
    </xf>
    <xf numFmtId="1" fontId="3" fillId="4" borderId="133" xfId="0" applyNumberFormat="1" applyFont="1" applyFill="1" applyBorder="1" applyAlignment="1" applyProtection="1">
      <alignment wrapText="1"/>
      <protection locked="0"/>
    </xf>
    <xf numFmtId="1" fontId="3" fillId="4" borderId="87" xfId="0" applyNumberFormat="1" applyFont="1" applyFill="1" applyBorder="1" applyAlignment="1" applyProtection="1">
      <alignment wrapText="1"/>
      <protection locked="0"/>
    </xf>
    <xf numFmtId="1" fontId="3" fillId="4" borderId="9" xfId="0" applyNumberFormat="1" applyFont="1" applyFill="1" applyBorder="1" applyAlignment="1" applyProtection="1">
      <alignment wrapText="1"/>
      <protection locked="0"/>
    </xf>
    <xf numFmtId="1" fontId="3" fillId="4" borderId="20" xfId="0" applyNumberFormat="1" applyFont="1" applyFill="1" applyBorder="1" applyAlignment="1" applyProtection="1">
      <alignment wrapText="1"/>
      <protection locked="0"/>
    </xf>
    <xf numFmtId="1" fontId="3" fillId="2" borderId="836" xfId="1" applyNumberFormat="1" applyFont="1" applyBorder="1" applyAlignment="1" applyProtection="1">
      <alignment wrapText="1"/>
      <protection locked="0"/>
    </xf>
    <xf numFmtId="1" fontId="3" fillId="2" borderId="837" xfId="1" applyNumberFormat="1" applyFont="1" applyBorder="1" applyAlignment="1" applyProtection="1">
      <alignment wrapText="1"/>
      <protection locked="0"/>
    </xf>
    <xf numFmtId="1" fontId="3" fillId="2" borderId="838" xfId="1" applyNumberFormat="1" applyFont="1" applyBorder="1" applyAlignment="1" applyProtection="1">
      <alignment wrapText="1"/>
      <protection locked="0"/>
    </xf>
    <xf numFmtId="1" fontId="3" fillId="2" borderId="839" xfId="1" applyNumberFormat="1" applyFont="1" applyBorder="1" applyAlignment="1" applyProtection="1">
      <alignment wrapText="1"/>
      <protection locked="0"/>
    </xf>
    <xf numFmtId="1" fontId="3" fillId="4" borderId="840" xfId="0" applyNumberFormat="1" applyFont="1" applyFill="1" applyBorder="1" applyAlignment="1" applyProtection="1">
      <alignment wrapText="1"/>
      <protection locked="0"/>
    </xf>
    <xf numFmtId="1" fontId="3" fillId="4" borderId="85" xfId="0" applyNumberFormat="1" applyFont="1" applyFill="1" applyBorder="1" applyAlignment="1" applyProtection="1">
      <alignment wrapText="1"/>
      <protection locked="0"/>
    </xf>
    <xf numFmtId="1" fontId="3" fillId="3" borderId="699" xfId="0" applyNumberFormat="1" applyFont="1" applyFill="1" applyBorder="1" applyAlignment="1">
      <alignment horizontal="right" wrapText="1"/>
    </xf>
    <xf numFmtId="1" fontId="3" fillId="3" borderId="280" xfId="0" applyNumberFormat="1" applyFont="1" applyFill="1" applyBorder="1" applyAlignment="1">
      <alignment horizontal="right" wrapText="1"/>
    </xf>
    <xf numFmtId="1" fontId="3" fillId="3" borderId="271" xfId="0" applyNumberFormat="1" applyFont="1" applyFill="1" applyBorder="1" applyAlignment="1">
      <alignment horizontal="right" wrapText="1"/>
    </xf>
    <xf numFmtId="1" fontId="3" fillId="3" borderId="812" xfId="0" applyNumberFormat="1" applyFont="1" applyFill="1" applyBorder="1" applyAlignment="1">
      <alignment horizontal="right" wrapText="1"/>
    </xf>
    <xf numFmtId="1" fontId="3" fillId="6" borderId="808" xfId="0" applyNumberFormat="1" applyFont="1" applyFill="1" applyBorder="1" applyAlignment="1">
      <alignment horizontal="right" wrapText="1"/>
    </xf>
    <xf numFmtId="1" fontId="3" fillId="6" borderId="809" xfId="0" applyNumberFormat="1" applyFont="1" applyFill="1" applyBorder="1" applyAlignment="1">
      <alignment horizontal="right" wrapText="1"/>
    </xf>
    <xf numFmtId="1" fontId="3" fillId="3" borderId="809" xfId="0" applyNumberFormat="1" applyFont="1" applyFill="1" applyBorder="1" applyAlignment="1">
      <alignment horizontal="right" wrapText="1"/>
    </xf>
    <xf numFmtId="1" fontId="3" fillId="3" borderId="256" xfId="0" applyNumberFormat="1" applyFont="1" applyFill="1" applyBorder="1" applyAlignment="1">
      <alignment horizontal="right" wrapText="1"/>
    </xf>
    <xf numFmtId="1" fontId="3" fillId="3" borderId="257" xfId="0" applyNumberFormat="1" applyFont="1" applyFill="1" applyBorder="1" applyAlignment="1">
      <alignment horizontal="right" wrapText="1"/>
    </xf>
    <xf numFmtId="1" fontId="3" fillId="3" borderId="770" xfId="0" applyNumberFormat="1" applyFont="1" applyFill="1" applyBorder="1" applyAlignment="1">
      <alignment horizontal="right" wrapText="1"/>
    </xf>
    <xf numFmtId="1" fontId="3" fillId="6" borderId="328" xfId="0" applyNumberFormat="1" applyFont="1" applyFill="1" applyBorder="1" applyAlignment="1">
      <alignment horizontal="right" wrapText="1"/>
    </xf>
    <xf numFmtId="1" fontId="3" fillId="6" borderId="366" xfId="0" applyNumberFormat="1" applyFont="1" applyFill="1" applyBorder="1" applyAlignment="1">
      <alignment horizontal="right" wrapText="1"/>
    </xf>
    <xf numFmtId="1" fontId="3" fillId="3" borderId="366" xfId="0" applyNumberFormat="1" applyFont="1" applyFill="1" applyBorder="1" applyAlignment="1">
      <alignment horizontal="right" wrapText="1"/>
    </xf>
    <xf numFmtId="1" fontId="3" fillId="0" borderId="815" xfId="0" applyNumberFormat="1" applyFont="1" applyBorder="1" applyAlignment="1">
      <alignment horizontal="left" vertical="center" wrapText="1"/>
    </xf>
    <xf numFmtId="1" fontId="3" fillId="4" borderId="812" xfId="0" applyNumberFormat="1" applyFont="1" applyFill="1" applyBorder="1" applyProtection="1">
      <protection locked="0"/>
    </xf>
    <xf numFmtId="1" fontId="3" fillId="4" borderId="809" xfId="0" applyNumberFormat="1" applyFont="1" applyFill="1" applyBorder="1" applyProtection="1">
      <protection locked="0"/>
    </xf>
    <xf numFmtId="1" fontId="1" fillId="5" borderId="252" xfId="0" applyNumberFormat="1" applyFont="1" applyFill="1" applyBorder="1" applyAlignment="1">
      <alignment horizontal="left"/>
    </xf>
    <xf numFmtId="1" fontId="1" fillId="3" borderId="252" xfId="0" applyNumberFormat="1" applyFont="1" applyFill="1" applyBorder="1" applyAlignment="1">
      <alignment horizontal="left"/>
    </xf>
    <xf numFmtId="1" fontId="1" fillId="3" borderId="0" xfId="0" applyNumberFormat="1" applyFont="1" applyFill="1"/>
    <xf numFmtId="1" fontId="3" fillId="0" borderId="845" xfId="0" applyNumberFormat="1" applyFont="1" applyBorder="1" applyAlignment="1" applyProtection="1">
      <alignment horizontal="center" vertical="center" wrapText="1"/>
      <protection hidden="1"/>
    </xf>
    <xf numFmtId="1" fontId="3" fillId="0" borderId="846" xfId="0" applyNumberFormat="1" applyFont="1" applyBorder="1" applyAlignment="1" applyProtection="1">
      <alignment horizontal="center" vertical="center" wrapText="1"/>
      <protection hidden="1"/>
    </xf>
    <xf numFmtId="1" fontId="3" fillId="0" borderId="847" xfId="0" applyNumberFormat="1" applyFont="1" applyBorder="1" applyAlignment="1" applyProtection="1">
      <alignment horizontal="center" vertical="center" wrapText="1"/>
      <protection hidden="1"/>
    </xf>
    <xf numFmtId="1" fontId="41" fillId="3" borderId="0" xfId="0" applyNumberFormat="1" applyFont="1" applyFill="1"/>
    <xf numFmtId="1" fontId="45" fillId="3" borderId="0" xfId="0" applyNumberFormat="1" applyFont="1" applyFill="1"/>
    <xf numFmtId="1" fontId="0" fillId="5" borderId="0" xfId="0" applyNumberFormat="1" applyFill="1" applyProtection="1">
      <protection locked="0"/>
    </xf>
    <xf numFmtId="1" fontId="0" fillId="0" borderId="0" xfId="0" applyNumberFormat="1" applyProtection="1">
      <protection locked="0"/>
    </xf>
    <xf numFmtId="1" fontId="2" fillId="5" borderId="0" xfId="0" applyNumberFormat="1" applyFont="1" applyFill="1" applyAlignment="1">
      <alignment vertical="center"/>
    </xf>
    <xf numFmtId="1" fontId="3" fillId="0" borderId="849" xfId="0" applyNumberFormat="1" applyFont="1" applyBorder="1" applyAlignment="1">
      <alignment horizontal="center" vertical="center" wrapText="1"/>
    </xf>
    <xf numFmtId="1" fontId="3" fillId="0" borderId="850" xfId="0" applyNumberFormat="1" applyFont="1" applyBorder="1" applyAlignment="1">
      <alignment horizontal="center" vertical="center"/>
    </xf>
    <xf numFmtId="1" fontId="3" fillId="0" borderId="851" xfId="0" applyNumberFormat="1" applyFont="1" applyBorder="1" applyAlignment="1">
      <alignment horizontal="center" vertical="center" wrapText="1"/>
    </xf>
    <xf numFmtId="1" fontId="3" fillId="0" borderId="852" xfId="0" applyNumberFormat="1" applyFont="1" applyBorder="1" applyAlignment="1">
      <alignment horizontal="center" vertical="center" wrapText="1"/>
    </xf>
    <xf numFmtId="1" fontId="3" fillId="0" borderId="850" xfId="0" applyNumberFormat="1" applyFont="1" applyBorder="1" applyAlignment="1">
      <alignment horizontal="center" vertical="center" wrapText="1"/>
    </xf>
    <xf numFmtId="1" fontId="3" fillId="0" borderId="847" xfId="0" applyNumberFormat="1" applyFont="1" applyBorder="1" applyAlignment="1">
      <alignment horizontal="center" vertical="center" wrapText="1"/>
    </xf>
    <xf numFmtId="1" fontId="3" fillId="0" borderId="845" xfId="0" applyNumberFormat="1" applyFont="1" applyBorder="1" applyAlignment="1">
      <alignment horizontal="center" vertical="center" wrapText="1"/>
    </xf>
    <xf numFmtId="1" fontId="3" fillId="0" borderId="846" xfId="0" applyNumberFormat="1" applyFont="1" applyBorder="1" applyAlignment="1">
      <alignment horizontal="center" vertical="center" wrapText="1"/>
    </xf>
    <xf numFmtId="1" fontId="3" fillId="0" borderId="855" xfId="0" applyNumberFormat="1" applyFont="1" applyBorder="1" applyAlignment="1">
      <alignment horizontal="center" vertical="center" wrapText="1"/>
    </xf>
    <xf numFmtId="1" fontId="3" fillId="0" borderId="856" xfId="0" applyNumberFormat="1" applyFont="1" applyBorder="1" applyAlignment="1">
      <alignment horizontal="center" vertical="center" wrapText="1"/>
    </xf>
    <xf numFmtId="1" fontId="3" fillId="0" borderId="857" xfId="0" applyNumberFormat="1" applyFont="1" applyBorder="1" applyAlignment="1">
      <alignment horizontal="center" vertical="center" wrapText="1"/>
    </xf>
    <xf numFmtId="1" fontId="3" fillId="0" borderId="764" xfId="0" applyNumberFormat="1" applyFont="1" applyBorder="1" applyAlignment="1">
      <alignment horizontal="left" vertical="center"/>
    </xf>
    <xf numFmtId="1" fontId="3" fillId="0" borderId="848" xfId="0" applyNumberFormat="1" applyFont="1" applyBorder="1" applyAlignment="1">
      <alignment horizontal="right"/>
    </xf>
    <xf numFmtId="1" fontId="3" fillId="6" borderId="812" xfId="0" applyNumberFormat="1" applyFont="1" applyFill="1" applyBorder="1" applyAlignment="1">
      <alignment horizontal="right"/>
    </xf>
    <xf numFmtId="1" fontId="3" fillId="4" borderId="858" xfId="0" applyNumberFormat="1" applyFont="1" applyFill="1" applyBorder="1" applyAlignment="1" applyProtection="1">
      <alignment horizontal="right"/>
      <protection locked="0"/>
    </xf>
    <xf numFmtId="1" fontId="3" fillId="4" borderId="813" xfId="0" applyNumberFormat="1" applyFont="1" applyFill="1" applyBorder="1" applyAlignment="1" applyProtection="1">
      <alignment horizontal="right"/>
      <protection locked="0"/>
    </xf>
    <xf numFmtId="1" fontId="3" fillId="4" borderId="812" xfId="0" applyNumberFormat="1" applyFont="1" applyFill="1" applyBorder="1" applyAlignment="1" applyProtection="1">
      <alignment horizontal="right"/>
      <protection locked="0"/>
    </xf>
    <xf numFmtId="1" fontId="3" fillId="4" borderId="809" xfId="0" applyNumberFormat="1" applyFont="1" applyFill="1" applyBorder="1" applyAlignment="1" applyProtection="1">
      <alignment horizontal="right"/>
      <protection locked="0"/>
    </xf>
    <xf numFmtId="1" fontId="0" fillId="23" borderId="0" xfId="0" applyNumberFormat="1" applyFill="1"/>
    <xf numFmtId="1" fontId="3" fillId="0" borderId="815" xfId="0" applyNumberFormat="1" applyFont="1" applyBorder="1" applyAlignment="1">
      <alignment horizontal="left" vertical="center"/>
    </xf>
    <xf numFmtId="1" fontId="3" fillId="0" borderId="808" xfId="0" applyNumberFormat="1" applyFont="1" applyBorder="1" applyAlignment="1">
      <alignment horizontal="right"/>
    </xf>
    <xf numFmtId="1" fontId="3" fillId="7" borderId="808" xfId="0" applyNumberFormat="1" applyFont="1" applyFill="1" applyBorder="1" applyAlignment="1">
      <alignment horizontal="right"/>
    </xf>
    <xf numFmtId="1" fontId="3" fillId="7" borderId="811" xfId="0" applyNumberFormat="1" applyFont="1" applyFill="1" applyBorder="1" applyAlignment="1">
      <alignment horizontal="right"/>
    </xf>
    <xf numFmtId="1" fontId="3" fillId="7" borderId="809" xfId="0" applyNumberFormat="1" applyFont="1" applyFill="1" applyBorder="1" applyAlignment="1">
      <alignment horizontal="right"/>
    </xf>
    <xf numFmtId="1" fontId="3" fillId="4" borderId="811" xfId="0" applyNumberFormat="1" applyFont="1" applyFill="1" applyBorder="1" applyAlignment="1" applyProtection="1">
      <alignment horizontal="right"/>
      <protection locked="0"/>
    </xf>
    <xf numFmtId="1" fontId="3" fillId="4" borderId="808" xfId="0" applyNumberFormat="1" applyFont="1" applyFill="1" applyBorder="1" applyAlignment="1" applyProtection="1">
      <alignment horizontal="right"/>
      <protection locked="0"/>
    </xf>
    <xf numFmtId="1" fontId="3" fillId="6" borderId="808" xfId="0" applyNumberFormat="1" applyFont="1" applyFill="1" applyBorder="1" applyAlignment="1">
      <alignment horizontal="right"/>
    </xf>
    <xf numFmtId="1" fontId="3" fillId="6" borderId="811" xfId="0" applyNumberFormat="1" applyFont="1" applyFill="1" applyBorder="1" applyAlignment="1">
      <alignment horizontal="right"/>
    </xf>
    <xf numFmtId="1" fontId="3" fillId="6" borderId="858" xfId="0" applyNumberFormat="1" applyFont="1" applyFill="1" applyBorder="1" applyAlignment="1">
      <alignment horizontal="right"/>
    </xf>
    <xf numFmtId="0" fontId="0" fillId="28" borderId="0" xfId="0" applyFill="1" applyAlignment="1">
      <alignment vertical="center"/>
    </xf>
    <xf numFmtId="1" fontId="3" fillId="7" borderId="812" xfId="0" applyNumberFormat="1" applyFont="1" applyFill="1" applyBorder="1" applyAlignment="1">
      <alignment horizontal="right"/>
    </xf>
    <xf numFmtId="1" fontId="3" fillId="6" borderId="809" xfId="0" applyNumberFormat="1" applyFont="1" applyFill="1" applyBorder="1" applyAlignment="1">
      <alignment horizontal="right"/>
    </xf>
    <xf numFmtId="1" fontId="3" fillId="7" borderId="858" xfId="0" applyNumberFormat="1" applyFont="1" applyFill="1" applyBorder="1" applyAlignment="1">
      <alignment horizontal="right"/>
    </xf>
    <xf numFmtId="1" fontId="2" fillId="0" borderId="851" xfId="0" applyNumberFormat="1" applyFont="1" applyBorder="1" applyAlignment="1">
      <alignment vertical="center"/>
    </xf>
    <xf numFmtId="1" fontId="0" fillId="48" borderId="0" xfId="0" applyNumberFormat="1" applyFill="1"/>
    <xf numFmtId="1" fontId="3" fillId="0" borderId="810" xfId="0" applyNumberFormat="1" applyFont="1" applyBorder="1" applyAlignment="1">
      <alignment horizontal="left" vertical="center"/>
    </xf>
    <xf numFmtId="1" fontId="3" fillId="0" borderId="810" xfId="0" applyNumberFormat="1" applyFont="1" applyBorder="1" applyAlignment="1">
      <alignment horizontal="left" vertical="center" wrapText="1"/>
    </xf>
    <xf numFmtId="1" fontId="3" fillId="0" borderId="843" xfId="0" applyNumberFormat="1" applyFont="1" applyBorder="1" applyAlignment="1">
      <alignment horizontal="center" vertical="center" wrapText="1"/>
    </xf>
    <xf numFmtId="1" fontId="3" fillId="0" borderId="859" xfId="0" applyNumberFormat="1" applyFont="1" applyBorder="1" applyAlignment="1">
      <alignment horizontal="center" vertical="center"/>
    </xf>
    <xf numFmtId="1" fontId="3" fillId="4" borderId="860" xfId="0" applyNumberFormat="1" applyFont="1" applyFill="1" applyBorder="1" applyAlignment="1" applyProtection="1">
      <alignment horizontal="right"/>
      <protection locked="0"/>
    </xf>
    <xf numFmtId="1" fontId="3" fillId="4" borderId="862" xfId="0" applyNumberFormat="1" applyFont="1" applyFill="1" applyBorder="1" applyAlignment="1" applyProtection="1">
      <alignment horizontal="right"/>
      <protection locked="0"/>
    </xf>
    <xf numFmtId="1" fontId="3" fillId="4" borderId="861" xfId="0" applyNumberFormat="1" applyFont="1" applyFill="1" applyBorder="1" applyAlignment="1" applyProtection="1">
      <alignment horizontal="right"/>
      <protection locked="0"/>
    </xf>
    <xf numFmtId="1" fontId="3" fillId="4" borderId="848" xfId="0" applyNumberFormat="1" applyFont="1" applyFill="1" applyBorder="1" applyAlignment="1" applyProtection="1">
      <alignment horizontal="right"/>
      <protection locked="0"/>
    </xf>
    <xf numFmtId="1" fontId="3" fillId="0" borderId="845" xfId="0" applyNumberFormat="1" applyFont="1" applyBorder="1" applyAlignment="1">
      <alignment horizontal="center" wrapText="1"/>
    </xf>
    <xf numFmtId="1" fontId="3" fillId="0" borderId="846" xfId="0" applyNumberFormat="1" applyFont="1" applyBorder="1" applyAlignment="1">
      <alignment horizontal="center" wrapText="1"/>
    </xf>
    <xf numFmtId="1" fontId="3" fillId="0" borderId="847" xfId="0" applyNumberFormat="1" applyFont="1" applyBorder="1" applyAlignment="1">
      <alignment horizontal="center" wrapText="1"/>
    </xf>
    <xf numFmtId="1" fontId="3" fillId="0" borderId="855" xfId="0" applyNumberFormat="1" applyFont="1" applyBorder="1" applyAlignment="1">
      <alignment horizontal="center" wrapText="1"/>
    </xf>
    <xf numFmtId="1" fontId="3" fillId="0" borderId="810" xfId="0" applyNumberFormat="1" applyFont="1" applyBorder="1" applyAlignment="1">
      <alignment vertical="center" wrapText="1"/>
    </xf>
    <xf numFmtId="1" fontId="2" fillId="3" borderId="252" xfId="0" applyNumberFormat="1" applyFont="1" applyFill="1" applyBorder="1" applyAlignment="1">
      <alignment vertical="center" wrapText="1"/>
    </xf>
    <xf numFmtId="0" fontId="3" fillId="0" borderId="847" xfId="0" applyFont="1" applyBorder="1" applyAlignment="1">
      <alignment horizontal="center" vertical="center" wrapText="1"/>
    </xf>
    <xf numFmtId="0" fontId="3" fillId="0" borderId="852" xfId="0" applyFont="1" applyBorder="1" applyAlignment="1">
      <alignment horizontal="center" vertical="center" wrapText="1"/>
    </xf>
    <xf numFmtId="1" fontId="3" fillId="0" borderId="864" xfId="0" applyNumberFormat="1" applyFont="1" applyBorder="1" applyAlignment="1">
      <alignment horizontal="center" vertical="center" wrapText="1"/>
    </xf>
    <xf numFmtId="1" fontId="3" fillId="7" borderId="762" xfId="0" applyNumberFormat="1" applyFont="1" applyFill="1" applyBorder="1" applyAlignment="1">
      <alignment horizontal="right"/>
    </xf>
    <xf numFmtId="1" fontId="3" fillId="6" borderId="22" xfId="0" applyNumberFormat="1" applyFont="1" applyFill="1" applyBorder="1" applyAlignment="1">
      <alignment horizontal="right"/>
    </xf>
    <xf numFmtId="1" fontId="3" fillId="6" borderId="134" xfId="0" applyNumberFormat="1" applyFont="1" applyFill="1" applyBorder="1" applyAlignment="1">
      <alignment horizontal="right"/>
    </xf>
    <xf numFmtId="1" fontId="3" fillId="4" borderId="842" xfId="0" applyNumberFormat="1" applyFont="1" applyFill="1" applyBorder="1" applyAlignment="1" applyProtection="1">
      <alignment horizontal="right"/>
      <protection locked="0"/>
    </xf>
    <xf numFmtId="0" fontId="0" fillId="15" borderId="0" xfId="0" applyFill="1" applyAlignment="1">
      <alignment vertical="center"/>
    </xf>
    <xf numFmtId="0" fontId="0" fillId="32" borderId="0" xfId="0" applyFill="1"/>
    <xf numFmtId="0" fontId="0" fillId="48" borderId="0" xfId="0" applyFill="1" applyAlignment="1">
      <alignment vertical="center"/>
    </xf>
    <xf numFmtId="1" fontId="3" fillId="0" borderId="809" xfId="0" applyNumberFormat="1" applyFont="1" applyBorder="1" applyAlignment="1">
      <alignment horizontal="right"/>
    </xf>
    <xf numFmtId="1" fontId="3" fillId="4" borderId="813" xfId="0" applyNumberFormat="1" applyFont="1" applyFill="1" applyBorder="1" applyAlignment="1" applyProtection="1">
      <alignment horizontal="right" wrapText="1"/>
      <protection locked="0"/>
    </xf>
    <xf numFmtId="1" fontId="3" fillId="4" borderId="808" xfId="0" applyNumberFormat="1" applyFont="1" applyFill="1" applyBorder="1" applyAlignment="1" applyProtection="1">
      <alignment horizontal="right" wrapText="1"/>
      <protection locked="0"/>
    </xf>
    <xf numFmtId="1" fontId="3" fillId="7" borderId="860" xfId="0" applyNumberFormat="1" applyFont="1" applyFill="1" applyBorder="1" applyAlignment="1">
      <alignment horizontal="right"/>
    </xf>
    <xf numFmtId="1" fontId="3" fillId="7" borderId="861" xfId="0" applyNumberFormat="1" applyFont="1" applyFill="1" applyBorder="1" applyAlignment="1">
      <alignment horizontal="right"/>
    </xf>
    <xf numFmtId="1" fontId="3" fillId="4" borderId="841" xfId="0" applyNumberFormat="1" applyFont="1" applyFill="1" applyBorder="1" applyAlignment="1" applyProtection="1">
      <alignment horizontal="right"/>
      <protection locked="0"/>
    </xf>
    <xf numFmtId="1" fontId="3" fillId="4" borderId="865" xfId="0" applyNumberFormat="1" applyFont="1" applyFill="1" applyBorder="1" applyAlignment="1" applyProtection="1">
      <alignment horizontal="right"/>
      <protection locked="0"/>
    </xf>
    <xf numFmtId="1" fontId="3" fillId="6" borderId="716" xfId="0" applyNumberFormat="1" applyFont="1" applyFill="1" applyBorder="1" applyAlignment="1">
      <alignment horizontal="right"/>
    </xf>
    <xf numFmtId="1" fontId="3" fillId="6" borderId="848" xfId="0" applyNumberFormat="1" applyFont="1" applyFill="1" applyBorder="1" applyAlignment="1">
      <alignment horizontal="right"/>
    </xf>
    <xf numFmtId="1" fontId="3" fillId="6" borderId="813" xfId="0" applyNumberFormat="1" applyFont="1" applyFill="1" applyBorder="1" applyAlignment="1">
      <alignment horizontal="right"/>
    </xf>
    <xf numFmtId="1" fontId="3" fillId="6" borderId="358" xfId="0" applyNumberFormat="1" applyFont="1" applyFill="1" applyBorder="1" applyAlignment="1">
      <alignment horizontal="right"/>
    </xf>
    <xf numFmtId="1" fontId="3" fillId="0" borderId="361" xfId="0" applyNumberFormat="1" applyFont="1" applyBorder="1" applyAlignment="1">
      <alignment horizontal="right"/>
    </xf>
    <xf numFmtId="1" fontId="2" fillId="3" borderId="851" xfId="0" applyNumberFormat="1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1" fontId="2" fillId="3" borderId="851" xfId="0" applyNumberFormat="1" applyFont="1" applyFill="1" applyBorder="1" applyAlignment="1">
      <alignment vertical="center"/>
    </xf>
    <xf numFmtId="0" fontId="3" fillId="0" borderId="866" xfId="0" applyFont="1" applyBorder="1" applyAlignment="1">
      <alignment horizontal="center" vertical="center" wrapText="1"/>
    </xf>
    <xf numFmtId="0" fontId="3" fillId="0" borderId="859" xfId="0" applyFont="1" applyBorder="1" applyAlignment="1">
      <alignment horizontal="center" vertical="center" wrapText="1"/>
    </xf>
    <xf numFmtId="0" fontId="3" fillId="0" borderId="856" xfId="0" applyFont="1" applyBorder="1" applyAlignment="1">
      <alignment horizontal="center" vertical="center" wrapText="1"/>
    </xf>
    <xf numFmtId="0" fontId="3" fillId="0" borderId="860" xfId="0" applyFont="1" applyBorder="1" applyAlignment="1">
      <alignment horizontal="center" vertical="center" wrapText="1"/>
    </xf>
    <xf numFmtId="0" fontId="3" fillId="0" borderId="845" xfId="0" applyFont="1" applyBorder="1" applyAlignment="1">
      <alignment horizontal="center" vertical="center" wrapText="1"/>
    </xf>
    <xf numFmtId="1" fontId="3" fillId="0" borderId="815" xfId="0" applyNumberFormat="1" applyFont="1" applyBorder="1" applyAlignment="1">
      <alignment horizontal="left"/>
    </xf>
    <xf numFmtId="1" fontId="3" fillId="4" borderId="810" xfId="0" applyNumberFormat="1" applyFont="1" applyFill="1" applyBorder="1" applyAlignment="1" applyProtection="1">
      <alignment horizontal="right"/>
      <protection locked="0"/>
    </xf>
    <xf numFmtId="1" fontId="3" fillId="0" borderId="815" xfId="0" applyNumberFormat="1" applyFont="1" applyBorder="1" applyAlignment="1">
      <alignment horizontal="left" wrapText="1"/>
    </xf>
    <xf numFmtId="1" fontId="2" fillId="3" borderId="851" xfId="0" applyNumberFormat="1" applyFont="1" applyFill="1" applyBorder="1"/>
    <xf numFmtId="0" fontId="3" fillId="0" borderId="852" xfId="0" applyFont="1" applyBorder="1" applyAlignment="1">
      <alignment horizontal="center" vertical="center"/>
    </xf>
    <xf numFmtId="1" fontId="3" fillId="0" borderId="865" xfId="0" applyNumberFormat="1" applyFont="1" applyBorder="1" applyAlignment="1">
      <alignment horizontal="right"/>
    </xf>
    <xf numFmtId="0" fontId="45" fillId="6" borderId="121" xfId="10" applyFont="1" applyFill="1" applyBorder="1" applyAlignment="1">
      <alignment horizontal="right"/>
    </xf>
    <xf numFmtId="0" fontId="45" fillId="6" borderId="122" xfId="10" applyFont="1" applyFill="1" applyBorder="1" applyAlignment="1">
      <alignment horizontal="right"/>
    </xf>
    <xf numFmtId="0" fontId="45" fillId="6" borderId="123" xfId="10" applyFont="1" applyFill="1" applyBorder="1" applyAlignment="1">
      <alignment horizontal="right"/>
    </xf>
    <xf numFmtId="1" fontId="3" fillId="6" borderId="842" xfId="0" applyNumberFormat="1" applyFont="1" applyFill="1" applyBorder="1" applyAlignment="1">
      <alignment horizontal="right"/>
    </xf>
    <xf numFmtId="1" fontId="3" fillId="0" borderId="810" xfId="0" applyNumberFormat="1" applyFont="1" applyBorder="1"/>
    <xf numFmtId="1" fontId="3" fillId="0" borderId="812" xfId="0" applyNumberFormat="1" applyFont="1" applyBorder="1" applyAlignment="1">
      <alignment horizontal="right"/>
    </xf>
    <xf numFmtId="0" fontId="45" fillId="6" borderId="124" xfId="10" applyFont="1" applyFill="1" applyBorder="1" applyAlignment="1">
      <alignment horizontal="right"/>
    </xf>
    <xf numFmtId="0" fontId="45" fillId="6" borderId="125" xfId="10" applyFont="1" applyFill="1" applyBorder="1" applyAlignment="1">
      <alignment horizontal="right"/>
    </xf>
    <xf numFmtId="0" fontId="45" fillId="6" borderId="126" xfId="10" applyFont="1" applyFill="1" applyBorder="1" applyAlignment="1">
      <alignment horizontal="right"/>
    </xf>
    <xf numFmtId="1" fontId="3" fillId="0" borderId="810" xfId="0" applyNumberFormat="1" applyFont="1" applyBorder="1" applyAlignment="1">
      <alignment wrapText="1"/>
    </xf>
    <xf numFmtId="1" fontId="3" fillId="4" borderId="127" xfId="0" applyNumberFormat="1" applyFont="1" applyFill="1" applyBorder="1" applyAlignment="1" applyProtection="1">
      <alignment horizontal="right"/>
      <protection locked="0"/>
    </xf>
    <xf numFmtId="1" fontId="3" fillId="4" borderId="128" xfId="0" applyNumberFormat="1" applyFont="1" applyFill="1" applyBorder="1" applyAlignment="1" applyProtection="1">
      <alignment horizontal="right"/>
      <protection locked="0"/>
    </xf>
    <xf numFmtId="0" fontId="45" fillId="6" borderId="129" xfId="10" applyFont="1" applyFill="1" applyBorder="1" applyAlignment="1">
      <alignment horizontal="right"/>
    </xf>
    <xf numFmtId="0" fontId="45" fillId="6" borderId="130" xfId="10" applyFont="1" applyFill="1" applyBorder="1" applyAlignment="1">
      <alignment horizontal="right"/>
    </xf>
    <xf numFmtId="0" fontId="3" fillId="0" borderId="336" xfId="0" applyFont="1" applyBorder="1" applyAlignment="1">
      <alignment horizontal="right"/>
    </xf>
    <xf numFmtId="1" fontId="3" fillId="0" borderId="810" xfId="0" applyNumberFormat="1" applyFont="1" applyBorder="1" applyAlignment="1">
      <alignment vertical="top" wrapText="1"/>
    </xf>
    <xf numFmtId="1" fontId="3" fillId="0" borderId="812" xfId="0" applyNumberFormat="1" applyFont="1" applyBorder="1" applyAlignment="1">
      <alignment horizontal="right" wrapText="1"/>
    </xf>
    <xf numFmtId="0" fontId="45" fillId="6" borderId="870" xfId="10" applyFont="1" applyFill="1" applyBorder="1" applyAlignment="1">
      <alignment horizontal="right"/>
    </xf>
    <xf numFmtId="0" fontId="45" fillId="6" borderId="131" xfId="10" applyFont="1" applyFill="1" applyBorder="1" applyAlignment="1">
      <alignment horizontal="right"/>
    </xf>
    <xf numFmtId="0" fontId="3" fillId="0" borderId="812" xfId="0" applyFont="1" applyBorder="1" applyAlignment="1">
      <alignment horizontal="right"/>
    </xf>
    <xf numFmtId="0" fontId="45" fillId="6" borderId="132" xfId="10" applyFont="1" applyFill="1" applyBorder="1" applyAlignment="1">
      <alignment horizontal="right"/>
    </xf>
    <xf numFmtId="1" fontId="3" fillId="0" borderId="404" xfId="0" applyNumberFormat="1" applyFont="1" applyBorder="1" applyAlignment="1">
      <alignment horizontal="right"/>
    </xf>
    <xf numFmtId="0" fontId="45" fillId="6" borderId="255" xfId="10" applyFont="1" applyFill="1" applyBorder="1" applyAlignment="1">
      <alignment horizontal="right"/>
    </xf>
    <xf numFmtId="0" fontId="45" fillId="6" borderId="257" xfId="10" applyFont="1" applyFill="1" applyBorder="1" applyAlignment="1">
      <alignment horizontal="right"/>
    </xf>
    <xf numFmtId="0" fontId="45" fillId="6" borderId="251" xfId="10" applyFont="1" applyFill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3" fillId="0" borderId="134" xfId="0" applyFont="1" applyBorder="1" applyAlignment="1">
      <alignment horizontal="right"/>
    </xf>
    <xf numFmtId="0" fontId="3" fillId="0" borderId="404" xfId="0" applyFont="1" applyBorder="1" applyAlignment="1">
      <alignment horizontal="right"/>
    </xf>
    <xf numFmtId="0" fontId="3" fillId="0" borderId="354" xfId="0" applyFont="1" applyBorder="1" applyAlignment="1">
      <alignment horizontal="right"/>
    </xf>
    <xf numFmtId="0" fontId="3" fillId="0" borderId="845" xfId="0" applyFont="1" applyBorder="1" applyAlignment="1">
      <alignment horizontal="center"/>
    </xf>
    <xf numFmtId="0" fontId="3" fillId="0" borderId="761" xfId="0" applyFont="1" applyBorder="1" applyAlignment="1">
      <alignment horizontal="left" wrapText="1"/>
    </xf>
    <xf numFmtId="1" fontId="3" fillId="0" borderId="865" xfId="0" applyNumberFormat="1" applyFont="1" applyBorder="1" applyAlignment="1">
      <alignment horizontal="right" wrapText="1"/>
    </xf>
    <xf numFmtId="0" fontId="3" fillId="0" borderId="848" xfId="0" applyFont="1" applyBorder="1" applyAlignment="1">
      <alignment horizontal="right"/>
    </xf>
    <xf numFmtId="1" fontId="3" fillId="4" borderId="808" xfId="0" applyNumberFormat="1" applyFont="1" applyFill="1" applyBorder="1" applyProtection="1">
      <protection locked="0"/>
    </xf>
    <xf numFmtId="0" fontId="3" fillId="0" borderId="255" xfId="0" applyFont="1" applyBorder="1" applyAlignment="1">
      <alignment horizontal="right" wrapText="1"/>
    </xf>
    <xf numFmtId="0" fontId="3" fillId="0" borderId="251" xfId="0" applyFont="1" applyBorder="1" applyAlignment="1">
      <alignment horizontal="right" wrapText="1"/>
    </xf>
    <xf numFmtId="1" fontId="3" fillId="0" borderId="770" xfId="0" applyNumberFormat="1" applyFont="1" applyBorder="1" applyAlignment="1">
      <alignment horizontal="right" wrapText="1"/>
    </xf>
    <xf numFmtId="1" fontId="2" fillId="3" borderId="252" xfId="0" applyNumberFormat="1" applyFont="1" applyFill="1" applyBorder="1" applyAlignment="1">
      <alignment horizontal="left"/>
    </xf>
    <xf numFmtId="1" fontId="3" fillId="0" borderId="865" xfId="0" applyNumberFormat="1" applyFont="1" applyBorder="1" applyAlignment="1">
      <alignment horizontal="right" vertical="center" wrapText="1"/>
    </xf>
    <xf numFmtId="0" fontId="3" fillId="0" borderId="810" xfId="0" applyFont="1" applyBorder="1" applyAlignment="1">
      <alignment horizontal="left" wrapText="1"/>
    </xf>
    <xf numFmtId="0" fontId="3" fillId="0" borderId="808" xfId="0" applyFont="1" applyBorder="1" applyAlignment="1">
      <alignment horizontal="right" wrapText="1"/>
    </xf>
    <xf numFmtId="0" fontId="3" fillId="0" borderId="812" xfId="0" applyFont="1" applyBorder="1" applyAlignment="1">
      <alignment horizontal="right" wrapText="1"/>
    </xf>
    <xf numFmtId="0" fontId="3" fillId="0" borderId="406" xfId="0" applyFont="1" applyBorder="1" applyAlignment="1">
      <alignment horizontal="left" wrapText="1"/>
    </xf>
    <xf numFmtId="0" fontId="3" fillId="0" borderId="255" xfId="0" applyFont="1" applyBorder="1" applyAlignment="1">
      <alignment horizontal="right"/>
    </xf>
    <xf numFmtId="0" fontId="3" fillId="0" borderId="251" xfId="0" applyFont="1" applyBorder="1" applyAlignment="1">
      <alignment horizontal="right"/>
    </xf>
    <xf numFmtId="0" fontId="27" fillId="5" borderId="252" xfId="0" applyFont="1" applyFill="1" applyBorder="1" applyAlignment="1">
      <alignment wrapText="1"/>
    </xf>
    <xf numFmtId="0" fontId="3" fillId="0" borderId="845" xfId="0" applyFont="1" applyBorder="1" applyAlignment="1">
      <alignment horizontal="center" vertical="center"/>
    </xf>
    <xf numFmtId="0" fontId="3" fillId="0" borderId="846" xfId="0" applyFont="1" applyBorder="1" applyAlignment="1">
      <alignment horizontal="center" vertical="center"/>
    </xf>
    <xf numFmtId="0" fontId="3" fillId="6" borderId="850" xfId="0" applyFont="1" applyFill="1" applyBorder="1" applyAlignment="1">
      <alignment vertical="center"/>
    </xf>
    <xf numFmtId="0" fontId="3" fillId="6" borderId="851" xfId="0" applyFont="1" applyFill="1" applyBorder="1" applyAlignment="1">
      <alignment vertical="center"/>
    </xf>
    <xf numFmtId="0" fontId="3" fillId="6" borderId="852" xfId="0" applyFont="1" applyFill="1" applyBorder="1" applyAlignment="1">
      <alignment vertical="center"/>
    </xf>
    <xf numFmtId="0" fontId="3" fillId="6" borderId="863" xfId="0" applyFont="1" applyFill="1" applyBorder="1" applyAlignment="1">
      <alignment horizontal="center" vertical="center" wrapText="1"/>
    </xf>
    <xf numFmtId="0" fontId="3" fillId="6" borderId="847" xfId="0" applyFont="1" applyFill="1" applyBorder="1" applyAlignment="1">
      <alignment horizontal="center" vertical="center" wrapText="1"/>
    </xf>
    <xf numFmtId="0" fontId="3" fillId="0" borderId="761" xfId="0" applyFont="1" applyBorder="1" applyAlignment="1">
      <alignment wrapText="1"/>
    </xf>
    <xf numFmtId="1" fontId="3" fillId="0" borderId="848" xfId="0" applyNumberFormat="1" applyFont="1" applyBorder="1" applyAlignment="1">
      <alignment horizontal="right" wrapText="1"/>
    </xf>
    <xf numFmtId="0" fontId="3" fillId="0" borderId="299" xfId="0" applyFont="1" applyBorder="1" applyAlignment="1">
      <alignment wrapText="1"/>
    </xf>
    <xf numFmtId="0" fontId="3" fillId="6" borderId="300" xfId="0" applyFont="1" applyFill="1" applyBorder="1" applyAlignment="1">
      <alignment vertical="center"/>
    </xf>
    <xf numFmtId="1" fontId="3" fillId="6" borderId="252" xfId="0" applyNumberFormat="1" applyFont="1" applyFill="1" applyBorder="1"/>
    <xf numFmtId="1" fontId="3" fillId="6" borderId="746" xfId="0" applyNumberFormat="1" applyFont="1" applyFill="1" applyBorder="1"/>
    <xf numFmtId="1" fontId="3" fillId="6" borderId="260" xfId="0" applyNumberFormat="1" applyFont="1" applyFill="1" applyBorder="1"/>
    <xf numFmtId="0" fontId="0" fillId="0" borderId="859" xfId="0" applyBorder="1" applyAlignment="1">
      <alignment horizontal="center" vertical="center" wrapText="1"/>
    </xf>
    <xf numFmtId="0" fontId="3" fillId="0" borderId="864" xfId="0" applyFont="1" applyBorder="1" applyAlignment="1">
      <alignment horizontal="center" vertical="center" wrapText="1"/>
    </xf>
    <xf numFmtId="0" fontId="3" fillId="0" borderId="856" xfId="0" applyFont="1" applyBorder="1" applyAlignment="1">
      <alignment horizontal="center" vertical="center"/>
    </xf>
    <xf numFmtId="0" fontId="45" fillId="0" borderId="859" xfId="0" applyFont="1" applyBorder="1" applyAlignment="1">
      <alignment wrapText="1"/>
    </xf>
    <xf numFmtId="1" fontId="3" fillId="4" borderId="592" xfId="0" applyNumberFormat="1" applyFont="1" applyFill="1" applyBorder="1" applyAlignment="1" applyProtection="1">
      <alignment horizontal="right"/>
      <protection locked="0"/>
    </xf>
    <xf numFmtId="1" fontId="3" fillId="0" borderId="810" xfId="0" applyNumberFormat="1" applyFont="1" applyBorder="1" applyAlignment="1">
      <alignment horizontal="right"/>
    </xf>
    <xf numFmtId="1" fontId="3" fillId="4" borderId="251" xfId="0" applyNumberFormat="1" applyFont="1" applyFill="1" applyBorder="1" applyAlignment="1" applyProtection="1">
      <alignment horizontal="right"/>
      <protection locked="0"/>
    </xf>
    <xf numFmtId="1" fontId="3" fillId="0" borderId="302" xfId="0" applyNumberFormat="1" applyFont="1" applyBorder="1" applyAlignment="1">
      <alignment horizontal="right"/>
    </xf>
    <xf numFmtId="0" fontId="58" fillId="0" borderId="859" xfId="0" applyFont="1" applyBorder="1" applyAlignment="1">
      <alignment horizontal="center" vertical="center" wrapText="1"/>
    </xf>
    <xf numFmtId="0" fontId="3" fillId="0" borderId="857" xfId="0" applyFont="1" applyBorder="1" applyAlignment="1">
      <alignment horizontal="center" vertical="center"/>
    </xf>
    <xf numFmtId="0" fontId="3" fillId="0" borderId="859" xfId="0" applyFont="1" applyBorder="1" applyAlignment="1">
      <alignment vertical="center" wrapText="1"/>
    </xf>
    <xf numFmtId="0" fontId="3" fillId="6" borderId="850" xfId="0" applyFont="1" applyFill="1" applyBorder="1" applyAlignment="1">
      <alignment horizontal="center" vertical="center"/>
    </xf>
    <xf numFmtId="0" fontId="3" fillId="6" borderId="851" xfId="0" applyFont="1" applyFill="1" applyBorder="1" applyAlignment="1">
      <alignment horizontal="center" vertical="center"/>
    </xf>
    <xf numFmtId="0" fontId="3" fillId="6" borderId="852" xfId="0" applyFont="1" applyFill="1" applyBorder="1" applyAlignment="1">
      <alignment horizontal="center" vertical="center"/>
    </xf>
    <xf numFmtId="0" fontId="3" fillId="6" borderId="851" xfId="0" applyFont="1" applyFill="1" applyBorder="1" applyAlignment="1">
      <alignment horizontal="center" vertical="center" wrapText="1"/>
    </xf>
    <xf numFmtId="1" fontId="3" fillId="5" borderId="848" xfId="0" applyNumberFormat="1" applyFont="1" applyFill="1" applyBorder="1" applyAlignment="1">
      <alignment horizontal="right"/>
    </xf>
    <xf numFmtId="0" fontId="3" fillId="6" borderId="252" xfId="0" applyFont="1" applyFill="1" applyBorder="1" applyAlignment="1">
      <alignment horizontal="right" vertical="center"/>
    </xf>
    <xf numFmtId="1" fontId="3" fillId="6" borderId="251" xfId="0" applyNumberFormat="1" applyFont="1" applyFill="1" applyBorder="1" applyAlignment="1">
      <alignment horizontal="right"/>
    </xf>
    <xf numFmtId="1" fontId="3" fillId="6" borderId="263" xfId="0" applyNumberFormat="1" applyFont="1" applyFill="1" applyBorder="1" applyAlignment="1">
      <alignment horizontal="right"/>
    </xf>
    <xf numFmtId="1" fontId="3" fillId="6" borderId="746" xfId="0" applyNumberFormat="1" applyFont="1" applyFill="1" applyBorder="1" applyAlignment="1">
      <alignment horizontal="right"/>
    </xf>
    <xf numFmtId="1" fontId="3" fillId="6" borderId="252" xfId="0" applyNumberFormat="1" applyFont="1" applyFill="1" applyBorder="1" applyAlignment="1">
      <alignment horizontal="right"/>
    </xf>
    <xf numFmtId="1" fontId="3" fillId="6" borderId="260" xfId="0" applyNumberFormat="1" applyFont="1" applyFill="1" applyBorder="1" applyAlignment="1">
      <alignment horizontal="right"/>
    </xf>
    <xf numFmtId="1" fontId="3" fillId="5" borderId="770" xfId="0" applyNumberFormat="1" applyFont="1" applyFill="1" applyBorder="1" applyAlignment="1">
      <alignment horizontal="right"/>
    </xf>
    <xf numFmtId="0" fontId="3" fillId="0" borderId="847" xfId="0" applyFont="1" applyBorder="1" applyAlignment="1">
      <alignment vertical="center" wrapText="1"/>
    </xf>
    <xf numFmtId="0" fontId="3" fillId="6" borderId="850" xfId="0" applyFont="1" applyFill="1" applyBorder="1" applyAlignment="1">
      <alignment horizontal="center"/>
    </xf>
    <xf numFmtId="0" fontId="3" fillId="6" borderId="857" xfId="0" applyFont="1" applyFill="1" applyBorder="1" applyAlignment="1">
      <alignment horizontal="center" vertical="center"/>
    </xf>
    <xf numFmtId="0" fontId="3" fillId="0" borderId="406" xfId="0" applyFont="1" applyBorder="1" applyAlignment="1">
      <alignment vertical="top" wrapText="1"/>
    </xf>
    <xf numFmtId="1" fontId="3" fillId="5" borderId="406" xfId="0" applyNumberFormat="1" applyFont="1" applyFill="1" applyBorder="1" applyAlignment="1">
      <alignment horizontal="right"/>
    </xf>
    <xf numFmtId="1" fontId="3" fillId="6" borderId="300" xfId="0" applyNumberFormat="1" applyFont="1" applyFill="1" applyBorder="1" applyAlignment="1">
      <alignment horizontal="right"/>
    </xf>
    <xf numFmtId="1" fontId="3" fillId="6" borderId="262" xfId="0" applyNumberFormat="1" applyFont="1" applyFill="1" applyBorder="1" applyAlignment="1">
      <alignment horizontal="right"/>
    </xf>
    <xf numFmtId="0" fontId="3" fillId="0" borderId="846" xfId="0" applyFont="1" applyBorder="1" applyAlignment="1">
      <alignment horizontal="center" vertical="center" wrapText="1"/>
    </xf>
    <xf numFmtId="0" fontId="3" fillId="0" borderId="761" xfId="0" applyFont="1" applyBorder="1" applyAlignment="1">
      <alignment horizontal="left" vertical="center" wrapText="1"/>
    </xf>
    <xf numFmtId="1" fontId="3" fillId="4" borderId="813" xfId="0" applyNumberFormat="1" applyFont="1" applyFill="1" applyBorder="1" applyProtection="1">
      <protection locked="0"/>
    </xf>
    <xf numFmtId="0" fontId="3" fillId="0" borderId="810" xfId="0" applyFont="1" applyBorder="1" applyAlignment="1">
      <alignment horizontal="left" vertical="center" wrapText="1"/>
    </xf>
    <xf numFmtId="3" fontId="3" fillId="0" borderId="810" xfId="0" applyNumberFormat="1" applyFont="1" applyBorder="1" applyAlignment="1">
      <alignment horizontal="right" wrapText="1"/>
    </xf>
    <xf numFmtId="1" fontId="3" fillId="4" borderId="842" xfId="0" applyNumberFormat="1" applyFont="1" applyFill="1" applyBorder="1" applyProtection="1">
      <protection locked="0"/>
    </xf>
    <xf numFmtId="0" fontId="3" fillId="0" borderId="810" xfId="0" applyFont="1" applyBorder="1" applyAlignment="1">
      <alignment horizontal="right"/>
    </xf>
    <xf numFmtId="0" fontId="3" fillId="0" borderId="299" xfId="0" applyFont="1" applyBorder="1" applyAlignment="1">
      <alignment horizontal="left" vertical="center" wrapText="1"/>
    </xf>
    <xf numFmtId="0" fontId="3" fillId="0" borderId="406" xfId="0" applyFont="1" applyBorder="1" applyAlignment="1">
      <alignment horizontal="right"/>
    </xf>
    <xf numFmtId="0" fontId="3" fillId="0" borderId="846" xfId="0" applyFont="1" applyBorder="1" applyAlignment="1">
      <alignment horizontal="center"/>
    </xf>
    <xf numFmtId="0" fontId="3" fillId="0" borderId="852" xfId="0" applyFont="1" applyBorder="1" applyAlignment="1">
      <alignment horizontal="center"/>
    </xf>
    <xf numFmtId="1" fontId="3" fillId="4" borderId="841" xfId="0" applyNumberFormat="1" applyFont="1" applyFill="1" applyBorder="1" applyProtection="1">
      <protection locked="0"/>
    </xf>
    <xf numFmtId="1" fontId="3" fillId="4" borderId="848" xfId="0" applyNumberFormat="1" applyFont="1" applyFill="1" applyBorder="1" applyProtection="1">
      <protection locked="0"/>
    </xf>
    <xf numFmtId="1" fontId="3" fillId="0" borderId="810" xfId="0" applyNumberFormat="1" applyFont="1" applyBorder="1" applyAlignment="1">
      <alignment horizontal="right" vertical="center" wrapText="1"/>
    </xf>
    <xf numFmtId="0" fontId="3" fillId="0" borderId="810" xfId="0" applyFont="1" applyBorder="1" applyAlignment="1">
      <alignment wrapText="1"/>
    </xf>
    <xf numFmtId="0" fontId="3" fillId="0" borderId="299" xfId="0" applyFont="1" applyBorder="1" applyAlignment="1">
      <alignment horizontal="right"/>
    </xf>
    <xf numFmtId="0" fontId="3" fillId="0" borderId="276" xfId="0" applyFont="1" applyBorder="1" applyAlignment="1">
      <alignment horizontal="right" wrapText="1"/>
    </xf>
    <xf numFmtId="0" fontId="3" fillId="0" borderId="22" xfId="0" applyFont="1" applyBorder="1" applyAlignment="1">
      <alignment horizontal="right" wrapText="1"/>
    </xf>
    <xf numFmtId="1" fontId="31" fillId="31" borderId="0" xfId="0" applyNumberFormat="1" applyFont="1" applyFill="1" applyAlignment="1">
      <alignment wrapText="1"/>
    </xf>
    <xf numFmtId="1" fontId="31" fillId="33" borderId="0" xfId="0" applyNumberFormat="1" applyFont="1" applyFill="1"/>
    <xf numFmtId="1" fontId="0" fillId="3" borderId="0" xfId="0" applyNumberFormat="1" applyFill="1" applyProtection="1">
      <protection locked="0"/>
    </xf>
    <xf numFmtId="1" fontId="3" fillId="0" borderId="859" xfId="0" applyNumberFormat="1" applyFont="1" applyBorder="1" applyAlignment="1">
      <alignment horizontal="center" vertical="center" wrapText="1"/>
    </xf>
    <xf numFmtId="1" fontId="3" fillId="0" borderId="871" xfId="0" applyNumberFormat="1" applyFont="1" applyBorder="1" applyAlignment="1">
      <alignment horizontal="right"/>
    </xf>
    <xf numFmtId="1" fontId="3" fillId="4" borderId="673" xfId="0" applyNumberFormat="1" applyFont="1" applyFill="1" applyBorder="1" applyAlignment="1" applyProtection="1">
      <alignment horizontal="right"/>
      <protection locked="0"/>
    </xf>
    <xf numFmtId="1" fontId="3" fillId="4" borderId="843" xfId="0" applyNumberFormat="1" applyFont="1" applyFill="1" applyBorder="1" applyAlignment="1" applyProtection="1">
      <alignment horizontal="right"/>
      <protection locked="0"/>
    </xf>
    <xf numFmtId="1" fontId="3" fillId="4" borderId="854" xfId="0" applyNumberFormat="1" applyFont="1" applyFill="1" applyBorder="1" applyAlignment="1" applyProtection="1">
      <alignment horizontal="right"/>
      <protection locked="0"/>
    </xf>
    <xf numFmtId="1" fontId="3" fillId="4" borderId="872" xfId="0" applyNumberFormat="1" applyFont="1" applyFill="1" applyBorder="1" applyAlignment="1" applyProtection="1">
      <alignment horizontal="right"/>
      <protection locked="0"/>
    </xf>
    <xf numFmtId="1" fontId="3" fillId="4" borderId="668" xfId="0" applyNumberFormat="1" applyFont="1" applyFill="1" applyBorder="1" applyAlignment="1" applyProtection="1">
      <alignment horizontal="right"/>
      <protection locked="0"/>
    </xf>
    <xf numFmtId="1" fontId="3" fillId="4" borderId="761" xfId="0" applyNumberFormat="1" applyFont="1" applyFill="1" applyBorder="1" applyAlignment="1" applyProtection="1">
      <alignment horizontal="right"/>
      <protection locked="0"/>
    </xf>
    <xf numFmtId="1" fontId="3" fillId="6" borderId="761" xfId="0" applyNumberFormat="1" applyFont="1" applyFill="1" applyBorder="1" applyAlignment="1">
      <alignment horizontal="right"/>
    </xf>
    <xf numFmtId="1" fontId="3" fillId="0" borderId="815" xfId="0" applyNumberFormat="1" applyFont="1" applyBorder="1"/>
    <xf numFmtId="1" fontId="3" fillId="0" borderId="338" xfId="0" applyNumberFormat="1" applyFont="1" applyBorder="1" applyAlignment="1">
      <alignment horizontal="right"/>
    </xf>
    <xf numFmtId="1" fontId="3" fillId="4" borderId="815" xfId="0" applyNumberFormat="1" applyFont="1" applyFill="1" applyBorder="1" applyAlignment="1" applyProtection="1">
      <alignment horizontal="right"/>
      <protection locked="0"/>
    </xf>
    <xf numFmtId="1" fontId="3" fillId="4" borderId="873" xfId="0" applyNumberFormat="1" applyFont="1" applyFill="1" applyBorder="1" applyAlignment="1" applyProtection="1">
      <alignment horizontal="right"/>
      <protection locked="0"/>
    </xf>
    <xf numFmtId="1" fontId="3" fillId="6" borderId="810" xfId="0" applyNumberFormat="1" applyFont="1" applyFill="1" applyBorder="1" applyAlignment="1">
      <alignment horizontal="right"/>
    </xf>
    <xf numFmtId="1" fontId="3" fillId="0" borderId="815" xfId="0" applyNumberFormat="1" applyFont="1" applyBorder="1" applyAlignment="1">
      <alignment wrapText="1"/>
    </xf>
    <xf numFmtId="1" fontId="3" fillId="0" borderId="5" xfId="0" applyNumberFormat="1" applyFont="1" applyBorder="1" applyAlignment="1">
      <alignment horizontal="right"/>
    </xf>
    <xf numFmtId="1" fontId="3" fillId="4" borderId="313" xfId="0" applyNumberFormat="1" applyFont="1" applyFill="1" applyBorder="1" applyAlignment="1" applyProtection="1">
      <alignment horizontal="right"/>
      <protection locked="0"/>
    </xf>
    <xf numFmtId="1" fontId="3" fillId="0" borderId="367" xfId="0" applyNumberFormat="1" applyFont="1" applyBorder="1" applyAlignment="1">
      <alignment horizontal="right"/>
    </xf>
    <xf numFmtId="1" fontId="3" fillId="7" borderId="673" xfId="0" applyNumberFormat="1" applyFont="1" applyFill="1" applyBorder="1" applyAlignment="1">
      <alignment horizontal="right"/>
    </xf>
    <xf numFmtId="1" fontId="3" fillId="7" borderId="2" xfId="0" applyNumberFormat="1" applyFont="1" applyFill="1" applyBorder="1" applyAlignment="1">
      <alignment horizontal="right"/>
    </xf>
    <xf numFmtId="1" fontId="3" fillId="7" borderId="770" xfId="0" applyNumberFormat="1" applyFont="1" applyFill="1" applyBorder="1" applyAlignment="1">
      <alignment horizontal="right"/>
    </xf>
    <xf numFmtId="1" fontId="3" fillId="4" borderId="300" xfId="0" applyNumberFormat="1" applyFont="1" applyFill="1" applyBorder="1" applyAlignment="1" applyProtection="1">
      <alignment horizontal="right"/>
      <protection locked="0"/>
    </xf>
    <xf numFmtId="1" fontId="3" fillId="6" borderId="302" xfId="0" applyNumberFormat="1" applyFont="1" applyFill="1" applyBorder="1" applyAlignment="1">
      <alignment horizontal="right"/>
    </xf>
    <xf numFmtId="1" fontId="3" fillId="4" borderId="849" xfId="0" applyNumberFormat="1" applyFont="1" applyFill="1" applyBorder="1" applyAlignment="1" applyProtection="1">
      <alignment horizontal="right"/>
      <protection locked="0"/>
    </xf>
    <xf numFmtId="1" fontId="0" fillId="10" borderId="0" xfId="0" applyNumberFormat="1" applyFill="1"/>
    <xf numFmtId="1" fontId="3" fillId="4" borderId="232" xfId="0" applyNumberFormat="1" applyFont="1" applyFill="1" applyBorder="1" applyAlignment="1" applyProtection="1">
      <alignment horizontal="right"/>
      <protection locked="0"/>
    </xf>
    <xf numFmtId="1" fontId="3" fillId="7" borderId="764" xfId="0" applyNumberFormat="1" applyFont="1" applyFill="1" applyBorder="1" applyAlignment="1">
      <alignment horizontal="right"/>
    </xf>
    <xf numFmtId="1" fontId="3" fillId="7" borderId="815" xfId="0" applyNumberFormat="1" applyFont="1" applyFill="1" applyBorder="1" applyAlignment="1">
      <alignment horizontal="right"/>
    </xf>
    <xf numFmtId="1" fontId="3" fillId="7" borderId="361" xfId="0" applyNumberFormat="1" applyFont="1" applyFill="1" applyBorder="1" applyAlignment="1">
      <alignment horizontal="right"/>
    </xf>
    <xf numFmtId="1" fontId="3" fillId="7" borderId="394" xfId="0" applyNumberFormat="1" applyFont="1" applyFill="1" applyBorder="1" applyAlignment="1">
      <alignment horizontal="right"/>
    </xf>
    <xf numFmtId="1" fontId="3" fillId="7" borderId="668" xfId="0" applyNumberFormat="1" applyFont="1" applyFill="1" applyBorder="1" applyAlignment="1">
      <alignment horizontal="right"/>
    </xf>
    <xf numFmtId="1" fontId="3" fillId="0" borderId="394" xfId="0" applyNumberFormat="1" applyFont="1" applyBorder="1"/>
    <xf numFmtId="1" fontId="3" fillId="6" borderId="366" xfId="0" applyNumberFormat="1" applyFont="1" applyFill="1" applyBorder="1" applyAlignment="1">
      <alignment horizontal="right"/>
    </xf>
    <xf numFmtId="1" fontId="3" fillId="0" borderId="808" xfId="0" applyNumberFormat="1" applyFont="1" applyBorder="1"/>
    <xf numFmtId="1" fontId="3" fillId="0" borderId="812" xfId="0" applyNumberFormat="1" applyFont="1" applyBorder="1"/>
    <xf numFmtId="1" fontId="3" fillId="0" borderId="5" xfId="0" applyNumberFormat="1" applyFont="1" applyBorder="1"/>
    <xf numFmtId="1" fontId="3" fillId="0" borderId="367" xfId="0" applyNumberFormat="1" applyFont="1" applyBorder="1"/>
    <xf numFmtId="1" fontId="3" fillId="0" borderId="862" xfId="0" applyNumberFormat="1" applyFont="1" applyBorder="1" applyAlignment="1">
      <alignment horizontal="center" vertical="center" wrapText="1"/>
    </xf>
    <xf numFmtId="1" fontId="3" fillId="0" borderId="764" xfId="0" applyNumberFormat="1" applyFont="1" applyBorder="1" applyAlignment="1">
      <alignment vertical="top" wrapText="1"/>
    </xf>
    <xf numFmtId="1" fontId="3" fillId="6" borderId="762" xfId="0" applyNumberFormat="1" applyFont="1" applyFill="1" applyBorder="1" applyAlignment="1">
      <alignment horizontal="right"/>
    </xf>
    <xf numFmtId="1" fontId="3" fillId="6" borderId="871" xfId="0" applyNumberFormat="1" applyFont="1" applyFill="1" applyBorder="1" applyAlignment="1">
      <alignment horizontal="right"/>
    </xf>
    <xf numFmtId="1" fontId="3" fillId="4" borderId="765" xfId="0" applyNumberFormat="1" applyFont="1" applyFill="1" applyBorder="1" applyAlignment="1" applyProtection="1">
      <alignment horizontal="right"/>
      <protection locked="0"/>
    </xf>
    <xf numFmtId="1" fontId="3" fillId="4" borderId="871" xfId="0" applyNumberFormat="1" applyFont="1" applyFill="1" applyBorder="1" applyAlignment="1" applyProtection="1">
      <alignment horizontal="right"/>
      <protection locked="0"/>
    </xf>
    <xf numFmtId="1" fontId="3" fillId="6" borderId="728" xfId="0" applyNumberFormat="1" applyFont="1" applyFill="1" applyBorder="1" applyAlignment="1">
      <alignment horizontal="right"/>
    </xf>
    <xf numFmtId="1" fontId="3" fillId="7" borderId="5" xfId="0" applyNumberFormat="1" applyFont="1" applyFill="1" applyBorder="1" applyAlignment="1">
      <alignment horizontal="right"/>
    </xf>
    <xf numFmtId="1" fontId="3" fillId="7" borderId="364" xfId="0" applyNumberFormat="1" applyFont="1" applyFill="1" applyBorder="1" applyAlignment="1">
      <alignment horizontal="right"/>
    </xf>
    <xf numFmtId="1" fontId="3" fillId="6" borderId="394" xfId="0" applyNumberFormat="1" applyFont="1" applyFill="1" applyBorder="1" applyAlignment="1">
      <alignment horizontal="right"/>
    </xf>
    <xf numFmtId="1" fontId="3" fillId="6" borderId="364" xfId="0" applyNumberFormat="1" applyFont="1" applyFill="1" applyBorder="1" applyAlignment="1">
      <alignment horizontal="right"/>
    </xf>
    <xf numFmtId="1" fontId="3" fillId="6" borderId="362" xfId="0" applyNumberFormat="1" applyFont="1" applyFill="1" applyBorder="1" applyAlignment="1">
      <alignment horizontal="right"/>
    </xf>
    <xf numFmtId="1" fontId="0" fillId="10" borderId="0" xfId="0" applyNumberFormat="1" applyFill="1" applyProtection="1">
      <protection locked="0"/>
    </xf>
    <xf numFmtId="1" fontId="0" fillId="23" borderId="0" xfId="0" applyNumberFormat="1" applyFill="1" applyProtection="1">
      <protection locked="0"/>
    </xf>
    <xf numFmtId="1" fontId="3" fillId="7" borderId="810" xfId="0" applyNumberFormat="1" applyFont="1" applyFill="1" applyBorder="1" applyAlignment="1">
      <alignment horizontal="right"/>
    </xf>
    <xf numFmtId="1" fontId="3" fillId="4" borderId="299" xfId="0" applyNumberFormat="1" applyFont="1" applyFill="1" applyBorder="1" applyAlignment="1" applyProtection="1">
      <alignment horizontal="right"/>
      <protection locked="0"/>
    </xf>
    <xf numFmtId="1" fontId="3" fillId="4" borderId="672" xfId="0" applyNumberFormat="1" applyFont="1" applyFill="1" applyBorder="1" applyAlignment="1" applyProtection="1">
      <alignment horizontal="right"/>
      <protection locked="0"/>
    </xf>
    <xf numFmtId="1" fontId="3" fillId="4" borderId="874" xfId="0" applyNumberFormat="1" applyFont="1" applyFill="1" applyBorder="1" applyAlignment="1" applyProtection="1">
      <alignment horizontal="right"/>
      <protection locked="0"/>
    </xf>
    <xf numFmtId="1" fontId="3" fillId="0" borderId="866" xfId="0" applyNumberFormat="1" applyFont="1" applyBorder="1" applyAlignment="1">
      <alignment horizontal="center" vertical="center" wrapText="1"/>
    </xf>
    <xf numFmtId="1" fontId="3" fillId="0" borderId="849" xfId="0" applyNumberFormat="1" applyFont="1" applyBorder="1" applyAlignment="1">
      <alignment horizontal="right"/>
    </xf>
    <xf numFmtId="1" fontId="3" fillId="4" borderId="869" xfId="0" applyNumberFormat="1" applyFont="1" applyFill="1" applyBorder="1" applyAlignment="1" applyProtection="1">
      <alignment horizontal="right"/>
      <protection locked="0"/>
    </xf>
    <xf numFmtId="1" fontId="3" fillId="0" borderId="232" xfId="0" applyNumberFormat="1" applyFont="1" applyBorder="1" applyAlignment="1">
      <alignment horizontal="right"/>
    </xf>
    <xf numFmtId="1" fontId="3" fillId="4" borderId="875" xfId="0" applyNumberFormat="1" applyFont="1" applyFill="1" applyBorder="1" applyAlignment="1" applyProtection="1">
      <alignment horizontal="right"/>
      <protection locked="0"/>
    </xf>
    <xf numFmtId="1" fontId="3" fillId="0" borderId="327" xfId="0" applyNumberFormat="1" applyFont="1" applyBorder="1" applyAlignment="1">
      <alignment horizontal="right"/>
    </xf>
    <xf numFmtId="1" fontId="3" fillId="4" borderId="165" xfId="0" applyNumberFormat="1" applyFont="1" applyFill="1" applyBorder="1" applyAlignment="1" applyProtection="1">
      <alignment horizontal="right"/>
      <protection locked="0"/>
    </xf>
    <xf numFmtId="1" fontId="3" fillId="0" borderId="761" xfId="0" applyNumberFormat="1" applyFont="1" applyBorder="1" applyAlignment="1">
      <alignment horizontal="right"/>
    </xf>
    <xf numFmtId="1" fontId="3" fillId="4" borderId="396" xfId="0" applyNumberFormat="1" applyFont="1" applyFill="1" applyBorder="1" applyAlignment="1" applyProtection="1">
      <alignment horizontal="right"/>
      <protection locked="0"/>
    </xf>
    <xf numFmtId="1" fontId="3" fillId="34" borderId="280" xfId="0" applyNumberFormat="1" applyFont="1" applyFill="1" applyBorder="1" applyAlignment="1" applyProtection="1">
      <alignment horizontal="right"/>
      <protection locked="0"/>
    </xf>
    <xf numFmtId="1" fontId="3" fillId="34" borderId="699" xfId="0" applyNumberFormat="1" applyFont="1" applyFill="1" applyBorder="1" applyAlignment="1" applyProtection="1">
      <alignment horizontal="right"/>
      <protection locked="0"/>
    </xf>
    <xf numFmtId="1" fontId="3" fillId="34" borderId="717" xfId="0" applyNumberFormat="1" applyFont="1" applyFill="1" applyBorder="1" applyAlignment="1" applyProtection="1">
      <alignment horizontal="right"/>
      <protection locked="0"/>
    </xf>
    <xf numFmtId="1" fontId="3" fillId="4" borderId="871" xfId="0" applyNumberFormat="1" applyFont="1" applyFill="1" applyBorder="1" applyProtection="1">
      <protection locked="0"/>
    </xf>
    <xf numFmtId="1" fontId="3" fillId="34" borderId="699" xfId="0" applyNumberFormat="1" applyFont="1" applyFill="1" applyBorder="1" applyProtection="1">
      <protection locked="0"/>
    </xf>
    <xf numFmtId="1" fontId="3" fillId="34" borderId="848" xfId="0" applyNumberFormat="1" applyFont="1" applyFill="1" applyBorder="1" applyProtection="1">
      <protection locked="0"/>
    </xf>
    <xf numFmtId="1" fontId="3" fillId="0" borderId="849" xfId="0" applyNumberFormat="1" applyFont="1" applyBorder="1" applyAlignment="1">
      <alignment vertical="center" wrapText="1"/>
    </xf>
    <xf numFmtId="1" fontId="3" fillId="0" borderId="672" xfId="0" applyNumberFormat="1" applyFont="1" applyBorder="1" applyAlignment="1">
      <alignment horizontal="right"/>
    </xf>
    <xf numFmtId="1" fontId="3" fillId="0" borderId="252" xfId="0" applyNumberFormat="1" applyFont="1" applyBorder="1" applyAlignment="1">
      <alignment horizontal="right"/>
    </xf>
    <xf numFmtId="1" fontId="3" fillId="0" borderId="257" xfId="0" applyNumberFormat="1" applyFont="1" applyBorder="1" applyAlignment="1">
      <alignment horizontal="right"/>
    </xf>
    <xf numFmtId="1" fontId="3" fillId="0" borderId="421" xfId="0" applyNumberFormat="1" applyFont="1" applyBorder="1" applyAlignment="1">
      <alignment horizontal="right"/>
    </xf>
    <xf numFmtId="1" fontId="3" fillId="0" borderId="855" xfId="0" applyNumberFormat="1" applyFont="1" applyBorder="1" applyAlignment="1">
      <alignment horizontal="right"/>
    </xf>
    <xf numFmtId="1" fontId="3" fillId="0" borderId="845" xfId="0" applyNumberFormat="1" applyFont="1" applyBorder="1" applyAlignment="1">
      <alignment horizontal="right"/>
    </xf>
    <xf numFmtId="1" fontId="3" fillId="3" borderId="761" xfId="0" applyNumberFormat="1" applyFont="1" applyFill="1" applyBorder="1" applyAlignment="1">
      <alignment horizontal="right"/>
    </xf>
    <xf numFmtId="1" fontId="3" fillId="3" borderId="237" xfId="0" applyNumberFormat="1" applyFont="1" applyFill="1" applyBorder="1" applyAlignment="1">
      <alignment horizontal="right"/>
    </xf>
    <xf numFmtId="1" fontId="3" fillId="0" borderId="815" xfId="0" applyNumberFormat="1" applyFont="1" applyBorder="1" applyAlignment="1">
      <alignment vertical="center" wrapText="1"/>
    </xf>
    <xf numFmtId="1" fontId="3" fillId="0" borderId="860" xfId="0" applyNumberFormat="1" applyFont="1" applyBorder="1" applyAlignment="1">
      <alignment horizontal="center" vertical="center"/>
    </xf>
    <xf numFmtId="1" fontId="3" fillId="0" borderId="861" xfId="0" applyNumberFormat="1" applyFont="1" applyBorder="1" applyAlignment="1">
      <alignment horizontal="center" vertical="center"/>
    </xf>
    <xf numFmtId="1" fontId="3" fillId="0" borderId="864" xfId="0" applyNumberFormat="1" applyFont="1" applyBorder="1" applyAlignment="1">
      <alignment horizontal="center" vertical="center"/>
    </xf>
    <xf numFmtId="1" fontId="3" fillId="3" borderId="850" xfId="0" applyNumberFormat="1" applyFont="1" applyFill="1" applyBorder="1" applyAlignment="1">
      <alignment horizontal="right"/>
    </xf>
    <xf numFmtId="1" fontId="3" fillId="3" borderId="845" xfId="0" applyNumberFormat="1" applyFont="1" applyFill="1" applyBorder="1" applyAlignment="1">
      <alignment horizontal="right"/>
    </xf>
    <xf numFmtId="1" fontId="3" fillId="3" borderId="855" xfId="0" applyNumberFormat="1" applyFont="1" applyFill="1" applyBorder="1" applyAlignment="1">
      <alignment horizontal="right"/>
    </xf>
    <xf numFmtId="1" fontId="3" fillId="3" borderId="847" xfId="0" applyNumberFormat="1" applyFont="1" applyFill="1" applyBorder="1" applyAlignment="1">
      <alignment horizontal="right"/>
    </xf>
    <xf numFmtId="1" fontId="3" fillId="3" borderId="846" xfId="0" applyNumberFormat="1" applyFont="1" applyFill="1" applyBorder="1" applyAlignment="1">
      <alignment horizontal="right"/>
    </xf>
    <xf numFmtId="1" fontId="3" fillId="3" borderId="857" xfId="0" applyNumberFormat="1" applyFont="1" applyFill="1" applyBorder="1" applyAlignment="1">
      <alignment horizontal="right"/>
    </xf>
    <xf numFmtId="1" fontId="3" fillId="3" borderId="864" xfId="0" applyNumberFormat="1" applyFont="1" applyFill="1" applyBorder="1" applyAlignment="1">
      <alignment horizontal="right"/>
    </xf>
    <xf numFmtId="1" fontId="3" fillId="0" borderId="237" xfId="0" applyNumberFormat="1" applyFont="1" applyBorder="1" applyAlignment="1">
      <alignment horizontal="right"/>
    </xf>
    <xf numFmtId="1" fontId="6" fillId="15" borderId="0" xfId="0" applyNumberFormat="1" applyFont="1" applyFill="1"/>
    <xf numFmtId="1" fontId="3" fillId="0" borderId="815" xfId="0" applyNumberFormat="1" applyFont="1" applyBorder="1" applyAlignment="1">
      <alignment horizontal="right"/>
    </xf>
    <xf numFmtId="1" fontId="3" fillId="3" borderId="859" xfId="0" applyNumberFormat="1" applyFont="1" applyFill="1" applyBorder="1" applyAlignment="1">
      <alignment horizontal="right"/>
    </xf>
    <xf numFmtId="0" fontId="0" fillId="0" borderId="851" xfId="0" applyBorder="1"/>
    <xf numFmtId="1" fontId="3" fillId="3" borderId="856" xfId="0" applyNumberFormat="1" applyFont="1" applyFill="1" applyBorder="1" applyAlignment="1">
      <alignment horizontal="right"/>
    </xf>
    <xf numFmtId="1" fontId="6" fillId="57" borderId="0" xfId="0" applyNumberFormat="1" applyFont="1" applyFill="1"/>
    <xf numFmtId="0" fontId="0" fillId="0" borderId="313" xfId="0" applyBorder="1"/>
    <xf numFmtId="1" fontId="3" fillId="0" borderId="876" xfId="0" applyNumberFormat="1" applyFont="1" applyBorder="1" applyAlignment="1">
      <alignment horizontal="center" vertical="center" wrapText="1"/>
    </xf>
    <xf numFmtId="1" fontId="3" fillId="0" borderId="848" xfId="0" applyNumberFormat="1" applyFont="1" applyBorder="1" applyAlignment="1">
      <alignment wrapText="1"/>
    </xf>
    <xf numFmtId="1" fontId="3" fillId="0" borderId="860" xfId="0" applyNumberFormat="1" applyFont="1" applyBorder="1" applyAlignment="1">
      <alignment horizontal="right"/>
    </xf>
    <xf numFmtId="1" fontId="3" fillId="0" borderId="859" xfId="0" applyNumberFormat="1" applyFont="1" applyBorder="1" applyAlignment="1">
      <alignment horizontal="center" wrapText="1"/>
    </xf>
    <xf numFmtId="1" fontId="3" fillId="0" borderId="847" xfId="0" applyNumberFormat="1" applyFont="1" applyBorder="1" applyAlignment="1">
      <alignment wrapText="1"/>
    </xf>
    <xf numFmtId="1" fontId="3" fillId="0" borderId="846" xfId="0" applyNumberFormat="1" applyFont="1" applyBorder="1" applyAlignment="1">
      <alignment horizontal="right"/>
    </xf>
    <xf numFmtId="1" fontId="3" fillId="0" borderId="856" xfId="0" applyNumberFormat="1" applyFont="1" applyBorder="1" applyAlignment="1">
      <alignment horizontal="right"/>
    </xf>
    <xf numFmtId="1" fontId="3" fillId="0" borderId="852" xfId="0" applyNumberFormat="1" applyFont="1" applyBorder="1" applyAlignment="1">
      <alignment horizontal="right"/>
    </xf>
    <xf numFmtId="1" fontId="3" fillId="0" borderId="851" xfId="0" applyNumberFormat="1" applyFont="1" applyBorder="1" applyAlignment="1">
      <alignment horizontal="right"/>
    </xf>
    <xf numFmtId="1" fontId="3" fillId="0" borderId="857" xfId="0" applyNumberFormat="1" applyFont="1" applyBorder="1" applyAlignment="1">
      <alignment horizontal="right"/>
    </xf>
    <xf numFmtId="1" fontId="3" fillId="0" borderId="864" xfId="0" applyNumberFormat="1" applyFont="1" applyBorder="1" applyAlignment="1">
      <alignment horizontal="right"/>
    </xf>
    <xf numFmtId="1" fontId="3" fillId="0" borderId="847" xfId="0" applyNumberFormat="1" applyFont="1" applyBorder="1" applyAlignment="1">
      <alignment horizontal="right"/>
    </xf>
    <xf numFmtId="1" fontId="3" fillId="0" borderId="764" xfId="0" applyNumberFormat="1" applyFont="1" applyBorder="1" applyAlignment="1">
      <alignment wrapText="1"/>
    </xf>
    <xf numFmtId="1" fontId="3" fillId="0" borderId="394" xfId="0" applyNumberFormat="1" applyFont="1" applyBorder="1" applyAlignment="1">
      <alignment wrapText="1"/>
    </xf>
    <xf numFmtId="1" fontId="3" fillId="0" borderId="859" xfId="0" applyNumberFormat="1" applyFont="1" applyBorder="1" applyAlignment="1">
      <alignment horizontal="right"/>
    </xf>
    <xf numFmtId="1" fontId="3" fillId="0" borderId="876" xfId="0" applyNumberFormat="1" applyFont="1" applyBorder="1" applyAlignment="1">
      <alignment horizontal="right"/>
    </xf>
    <xf numFmtId="1" fontId="3" fillId="0" borderId="327" xfId="0" applyNumberFormat="1" applyFont="1" applyBorder="1" applyAlignment="1">
      <alignment wrapText="1"/>
    </xf>
    <xf numFmtId="1" fontId="3" fillId="4" borderId="697" xfId="0" applyNumberFormat="1" applyFont="1" applyFill="1" applyBorder="1" applyAlignment="1" applyProtection="1">
      <alignment horizontal="right"/>
      <protection locked="0"/>
    </xf>
    <xf numFmtId="1" fontId="3" fillId="4" borderId="7" xfId="0" applyNumberFormat="1" applyFont="1" applyFill="1" applyBorder="1" applyAlignment="1" applyProtection="1">
      <alignment horizontal="right"/>
      <protection locked="0"/>
    </xf>
    <xf numFmtId="1" fontId="3" fillId="0" borderId="859" xfId="0" applyNumberFormat="1" applyFont="1" applyBorder="1" applyAlignment="1">
      <alignment wrapText="1"/>
    </xf>
    <xf numFmtId="1" fontId="3" fillId="0" borderId="846" xfId="0" applyNumberFormat="1" applyFont="1" applyBorder="1" applyAlignment="1">
      <alignment wrapText="1"/>
    </xf>
    <xf numFmtId="1" fontId="3" fillId="0" borderId="852" xfId="0" applyNumberFormat="1" applyFont="1" applyBorder="1" applyAlignment="1">
      <alignment wrapText="1"/>
    </xf>
    <xf numFmtId="1" fontId="2" fillId="5" borderId="252" xfId="6" applyNumberFormat="1" applyFont="1" applyFill="1" applyBorder="1"/>
    <xf numFmtId="1" fontId="3" fillId="3" borderId="845" xfId="0" applyNumberFormat="1" applyFont="1" applyFill="1" applyBorder="1" applyAlignment="1">
      <alignment horizontal="center" vertical="center" wrapText="1"/>
    </xf>
    <xf numFmtId="1" fontId="3" fillId="3" borderId="846" xfId="0" applyNumberFormat="1" applyFont="1" applyFill="1" applyBorder="1" applyAlignment="1">
      <alignment horizontal="center" vertical="center" wrapText="1"/>
    </xf>
    <xf numFmtId="1" fontId="3" fillId="3" borderId="847" xfId="0" applyNumberFormat="1" applyFont="1" applyFill="1" applyBorder="1" applyAlignment="1">
      <alignment horizontal="center" vertical="center" wrapText="1"/>
    </xf>
    <xf numFmtId="1" fontId="3" fillId="3" borderId="852" xfId="0" applyNumberFormat="1" applyFont="1" applyFill="1" applyBorder="1" applyAlignment="1">
      <alignment horizontal="center" vertical="center" wrapText="1"/>
    </xf>
    <xf numFmtId="1" fontId="3" fillId="3" borderId="856" xfId="0" applyNumberFormat="1" applyFont="1" applyFill="1" applyBorder="1" applyAlignment="1">
      <alignment horizontal="center" vertical="center" wrapText="1"/>
    </xf>
    <xf numFmtId="1" fontId="3" fillId="3" borderId="855" xfId="0" applyNumberFormat="1" applyFont="1" applyFill="1" applyBorder="1" applyAlignment="1">
      <alignment horizontal="center" vertical="center" wrapText="1"/>
    </xf>
    <xf numFmtId="1" fontId="3" fillId="3" borderId="859" xfId="0" applyNumberFormat="1" applyFont="1" applyFill="1" applyBorder="1" applyAlignment="1">
      <alignment horizontal="center" vertical="center"/>
    </xf>
    <xf numFmtId="1" fontId="3" fillId="3" borderId="845" xfId="0" applyNumberFormat="1" applyFont="1" applyFill="1" applyBorder="1" applyAlignment="1">
      <alignment horizontal="right" vertical="center"/>
    </xf>
    <xf numFmtId="2" fontId="3" fillId="3" borderId="856" xfId="0" applyNumberFormat="1" applyFont="1" applyFill="1" applyBorder="1" applyAlignment="1">
      <alignment horizontal="right" vertical="center"/>
    </xf>
    <xf numFmtId="2" fontId="3" fillId="3" borderId="846" xfId="0" applyNumberFormat="1" applyFont="1" applyFill="1" applyBorder="1" applyAlignment="1">
      <alignment horizontal="right" vertical="center"/>
    </xf>
    <xf numFmtId="2" fontId="3" fillId="3" borderId="847" xfId="0" applyNumberFormat="1" applyFont="1" applyFill="1" applyBorder="1" applyAlignment="1">
      <alignment horizontal="right" vertical="center"/>
    </xf>
    <xf numFmtId="2" fontId="3" fillId="3" borderId="845" xfId="0" applyNumberFormat="1" applyFont="1" applyFill="1" applyBorder="1" applyAlignment="1">
      <alignment horizontal="right" vertical="center"/>
    </xf>
    <xf numFmtId="2" fontId="3" fillId="3" borderId="852" xfId="0" applyNumberFormat="1" applyFont="1" applyFill="1" applyBorder="1" applyAlignment="1">
      <alignment horizontal="right" vertical="center"/>
    </xf>
    <xf numFmtId="2" fontId="3" fillId="3" borderId="855" xfId="0" applyNumberFormat="1" applyFont="1" applyFill="1" applyBorder="1" applyAlignment="1">
      <alignment horizontal="right" vertical="center"/>
    </xf>
    <xf numFmtId="1" fontId="3" fillId="3" borderId="302" xfId="0" applyNumberFormat="1" applyFont="1" applyFill="1" applyBorder="1" applyAlignment="1">
      <alignment horizontal="left" vertical="center"/>
    </xf>
    <xf numFmtId="1" fontId="3" fillId="2" borderId="877" xfId="1" applyNumberFormat="1" applyFont="1" applyBorder="1" applyAlignment="1" applyProtection="1">
      <alignment horizontal="right" vertical="center"/>
      <protection locked="0"/>
    </xf>
    <xf numFmtId="2" fontId="3" fillId="2" borderId="877" xfId="1" applyNumberFormat="1" applyFont="1" applyBorder="1" applyAlignment="1" applyProtection="1">
      <alignment horizontal="right" vertical="center"/>
      <protection locked="0"/>
    </xf>
    <xf numFmtId="2" fontId="3" fillId="3" borderId="276" xfId="0" applyNumberFormat="1" applyFont="1" applyFill="1" applyBorder="1" applyAlignment="1">
      <alignment horizontal="right" vertical="center"/>
    </xf>
    <xf numFmtId="2" fontId="3" fillId="2" borderId="878" xfId="1" applyNumberFormat="1" applyFont="1" applyBorder="1" applyAlignment="1" applyProtection="1">
      <alignment horizontal="right" vertical="center"/>
      <protection locked="0"/>
    </xf>
    <xf numFmtId="2" fontId="3" fillId="3" borderId="762" xfId="0" applyNumberFormat="1" applyFont="1" applyFill="1" applyBorder="1" applyAlignment="1">
      <alignment horizontal="right" vertical="center"/>
    </xf>
    <xf numFmtId="2" fontId="3" fillId="2" borderId="879" xfId="1" applyNumberFormat="1" applyFont="1" applyBorder="1" applyAlignment="1" applyProtection="1">
      <alignment horizontal="right" vertical="center"/>
      <protection locked="0"/>
    </xf>
    <xf numFmtId="2" fontId="3" fillId="2" borderId="880" xfId="1" applyNumberFormat="1" applyFont="1" applyBorder="1" applyAlignment="1" applyProtection="1">
      <alignment horizontal="right" vertical="center"/>
      <protection locked="0"/>
    </xf>
    <xf numFmtId="2" fontId="3" fillId="2" borderId="881" xfId="1" applyNumberFormat="1" applyFont="1" applyBorder="1" applyAlignment="1" applyProtection="1">
      <alignment horizontal="right" vertical="center"/>
      <protection locked="0"/>
    </xf>
    <xf numFmtId="2" fontId="3" fillId="3" borderId="865" xfId="0" applyNumberFormat="1" applyFont="1" applyFill="1" applyBorder="1" applyAlignment="1">
      <alignment horizontal="right" vertical="center"/>
    </xf>
    <xf numFmtId="2" fontId="3" fillId="2" borderId="20" xfId="1" applyNumberFormat="1" applyFont="1" applyBorder="1" applyAlignment="1" applyProtection="1">
      <alignment horizontal="right" vertical="center"/>
      <protection locked="0"/>
    </xf>
    <xf numFmtId="1" fontId="3" fillId="3" borderId="810" xfId="0" applyNumberFormat="1" applyFont="1" applyFill="1" applyBorder="1" applyAlignment="1">
      <alignment horizontal="left" vertical="center"/>
    </xf>
    <xf numFmtId="1" fontId="3" fillId="2" borderId="1" xfId="1" applyNumberFormat="1" applyFont="1" applyAlignment="1" applyProtection="1">
      <alignment horizontal="right" vertical="center"/>
      <protection locked="0"/>
    </xf>
    <xf numFmtId="2" fontId="3" fillId="2" borderId="1" xfId="1" applyNumberFormat="1" applyFont="1" applyAlignment="1" applyProtection="1">
      <alignment horizontal="right" vertical="center"/>
      <protection locked="0"/>
    </xf>
    <xf numFmtId="2" fontId="3" fillId="3" borderId="808" xfId="0" applyNumberFormat="1" applyFont="1" applyFill="1" applyBorder="1" applyAlignment="1">
      <alignment horizontal="right" vertical="center"/>
    </xf>
    <xf numFmtId="2" fontId="3" fillId="2" borderId="14" xfId="1" applyNumberFormat="1" applyFont="1" applyBorder="1" applyAlignment="1" applyProtection="1">
      <alignment horizontal="right" vertical="center"/>
      <protection locked="0"/>
    </xf>
    <xf numFmtId="2" fontId="3" fillId="2" borderId="882" xfId="1" applyNumberFormat="1" applyFont="1" applyBorder="1" applyAlignment="1" applyProtection="1">
      <alignment horizontal="right" vertical="center"/>
      <protection locked="0"/>
    </xf>
    <xf numFmtId="2" fontId="3" fillId="2" borderId="883" xfId="1" applyNumberFormat="1" applyFont="1" applyBorder="1" applyAlignment="1" applyProtection="1">
      <alignment horizontal="right" vertical="center"/>
      <protection locked="0"/>
    </xf>
    <xf numFmtId="2" fontId="3" fillId="2" borderId="884" xfId="1" applyNumberFormat="1" applyFont="1" applyBorder="1" applyAlignment="1" applyProtection="1">
      <alignment horizontal="right" vertical="center"/>
      <protection locked="0"/>
    </xf>
    <xf numFmtId="2" fontId="3" fillId="3" borderId="812" xfId="0" applyNumberFormat="1" applyFont="1" applyFill="1" applyBorder="1" applyAlignment="1">
      <alignment horizontal="right" vertical="center"/>
    </xf>
    <xf numFmtId="2" fontId="3" fillId="2" borderId="15" xfId="1" applyNumberFormat="1" applyFont="1" applyBorder="1" applyAlignment="1" applyProtection="1">
      <alignment horizontal="right" vertical="center"/>
      <protection locked="0"/>
    </xf>
    <xf numFmtId="1" fontId="3" fillId="5" borderId="810" xfId="0" applyNumberFormat="1" applyFont="1" applyFill="1" applyBorder="1" applyAlignment="1">
      <alignment horizontal="left" vertical="center"/>
    </xf>
    <xf numFmtId="2" fontId="3" fillId="2" borderId="0" xfId="1" applyNumberFormat="1" applyFont="1" applyBorder="1" applyAlignment="1" applyProtection="1">
      <alignment horizontal="right" vertical="center"/>
      <protection locked="0"/>
    </xf>
    <xf numFmtId="2" fontId="3" fillId="2" borderId="885" xfId="1" applyNumberFormat="1" applyFont="1" applyBorder="1" applyAlignment="1" applyProtection="1">
      <alignment horizontal="right" vertical="center"/>
      <protection locked="0"/>
    </xf>
    <xf numFmtId="2" fontId="3" fillId="2" borderId="886" xfId="1" applyNumberFormat="1" applyFont="1" applyBorder="1" applyAlignment="1" applyProtection="1">
      <alignment horizontal="right" vertical="center"/>
      <protection locked="0"/>
    </xf>
    <xf numFmtId="2" fontId="3" fillId="2" borderId="887" xfId="1" applyNumberFormat="1" applyFont="1" applyBorder="1" applyAlignment="1" applyProtection="1">
      <alignment horizontal="right" vertical="center"/>
      <protection locked="0"/>
    </xf>
    <xf numFmtId="1" fontId="3" fillId="3" borderId="406" xfId="6" applyNumberFormat="1" applyFont="1" applyFill="1" applyBorder="1" applyAlignment="1">
      <alignment horizontal="left" vertical="center"/>
    </xf>
    <xf numFmtId="1" fontId="3" fillId="2" borderId="888" xfId="1" applyNumberFormat="1" applyFont="1" applyBorder="1" applyAlignment="1" applyProtection="1">
      <alignment horizontal="right" vertical="center"/>
      <protection locked="0"/>
    </xf>
    <xf numFmtId="2" fontId="3" fillId="2" borderId="889" xfId="1" applyNumberFormat="1" applyFont="1" applyBorder="1" applyAlignment="1" applyProtection="1">
      <alignment horizontal="right" vertical="center"/>
      <protection locked="0"/>
    </xf>
    <xf numFmtId="2" fontId="3" fillId="2" borderId="16" xfId="1" applyNumberFormat="1" applyFont="1" applyBorder="1" applyAlignment="1" applyProtection="1">
      <alignment horizontal="right" vertical="center"/>
      <protection locked="0"/>
    </xf>
    <xf numFmtId="2" fontId="3" fillId="2" borderId="17" xfId="1" applyNumberFormat="1" applyFont="1" applyBorder="1" applyAlignment="1" applyProtection="1">
      <alignment horizontal="right" vertical="center"/>
      <protection locked="0"/>
    </xf>
    <xf numFmtId="2" fontId="3" fillId="3" borderId="255" xfId="0" applyNumberFormat="1" applyFont="1" applyFill="1" applyBorder="1" applyAlignment="1">
      <alignment horizontal="right" vertical="center"/>
    </xf>
    <xf numFmtId="2" fontId="3" fillId="2" borderId="18" xfId="1" applyNumberFormat="1" applyFont="1" applyBorder="1" applyAlignment="1" applyProtection="1">
      <alignment horizontal="right" vertical="center"/>
      <protection locked="0"/>
    </xf>
    <xf numFmtId="2" fontId="3" fillId="2" borderId="19" xfId="1" applyNumberFormat="1" applyFont="1" applyBorder="1" applyAlignment="1" applyProtection="1">
      <alignment horizontal="right" vertical="center"/>
      <protection locked="0"/>
    </xf>
    <xf numFmtId="2" fontId="3" fillId="2" borderId="890" xfId="1" applyNumberFormat="1" applyFont="1" applyBorder="1" applyAlignment="1" applyProtection="1">
      <alignment horizontal="right" vertical="center"/>
      <protection locked="0"/>
    </xf>
    <xf numFmtId="2" fontId="3" fillId="3" borderId="328" xfId="0" applyNumberFormat="1" applyFont="1" applyFill="1" applyBorder="1" applyAlignment="1">
      <alignment horizontal="right" vertical="center"/>
    </xf>
    <xf numFmtId="2" fontId="3" fillId="2" borderId="891" xfId="1" applyNumberFormat="1" applyFont="1" applyBorder="1" applyAlignment="1" applyProtection="1">
      <alignment horizontal="right" vertical="center"/>
      <protection locked="0"/>
    </xf>
    <xf numFmtId="2" fontId="3" fillId="2" borderId="892" xfId="1" applyNumberFormat="1" applyFont="1" applyBorder="1" applyAlignment="1" applyProtection="1">
      <alignment horizontal="right" vertical="center"/>
      <protection locked="0"/>
    </xf>
    <xf numFmtId="2" fontId="3" fillId="2" borderId="893" xfId="1" applyNumberFormat="1" applyFont="1" applyBorder="1" applyAlignment="1" applyProtection="1">
      <alignment horizontal="right" vertical="center"/>
      <protection locked="0"/>
    </xf>
    <xf numFmtId="2" fontId="3" fillId="3" borderId="251" xfId="0" applyNumberFormat="1" applyFont="1" applyFill="1" applyBorder="1" applyAlignment="1">
      <alignment horizontal="right" vertical="center"/>
    </xf>
    <xf numFmtId="2" fontId="3" fillId="2" borderId="770" xfId="1" applyNumberFormat="1" applyFont="1" applyBorder="1" applyAlignment="1" applyProtection="1">
      <alignment horizontal="right" vertical="center"/>
      <protection locked="0"/>
    </xf>
    <xf numFmtId="1" fontId="1" fillId="3" borderId="0" xfId="6" applyNumberFormat="1" applyFont="1" applyFill="1" applyAlignment="1">
      <alignment horizontal="left" vertical="center"/>
    </xf>
    <xf numFmtId="1" fontId="2" fillId="0" borderId="0" xfId="6" applyNumberFormat="1" applyFont="1"/>
    <xf numFmtId="1" fontId="2" fillId="0" borderId="0" xfId="6" applyNumberFormat="1" applyFont="1" applyAlignment="1">
      <alignment horizontal="center"/>
    </xf>
    <xf numFmtId="1" fontId="6" fillId="0" borderId="894" xfId="6" applyNumberFormat="1" applyFont="1" applyBorder="1" applyProtection="1">
      <protection hidden="1"/>
    </xf>
    <xf numFmtId="1" fontId="3" fillId="0" borderId="895" xfId="6" applyNumberFormat="1" applyFont="1" applyBorder="1" applyAlignment="1">
      <alignment horizontal="center" vertical="center" wrapText="1"/>
    </xf>
    <xf numFmtId="1" fontId="3" fillId="0" borderId="896" xfId="6" applyNumberFormat="1" applyFont="1" applyBorder="1" applyAlignment="1">
      <alignment horizontal="center" vertical="center" wrapText="1"/>
    </xf>
    <xf numFmtId="1" fontId="3" fillId="0" borderId="897" xfId="6" applyNumberFormat="1" applyFont="1" applyBorder="1" applyAlignment="1">
      <alignment horizontal="center" vertical="center" wrapText="1"/>
    </xf>
    <xf numFmtId="1" fontId="3" fillId="0" borderId="898" xfId="6" applyNumberFormat="1" applyFont="1" applyBorder="1" applyAlignment="1">
      <alignment horizontal="center" vertical="center" wrapText="1"/>
    </xf>
    <xf numFmtId="1" fontId="3" fillId="0" borderId="899" xfId="6" applyNumberFormat="1" applyFont="1" applyBorder="1"/>
    <xf numFmtId="1" fontId="3" fillId="0" borderId="900" xfId="6" applyNumberFormat="1" applyFont="1" applyBorder="1"/>
    <xf numFmtId="1" fontId="3" fillId="4" borderId="699" xfId="6" applyNumberFormat="1" applyFont="1" applyFill="1" applyBorder="1" applyProtection="1">
      <protection locked="0"/>
    </xf>
    <xf numFmtId="1" fontId="3" fillId="4" borderId="717" xfId="6" applyNumberFormat="1" applyFont="1" applyFill="1" applyBorder="1" applyProtection="1">
      <protection locked="0"/>
    </xf>
    <xf numFmtId="1" fontId="3" fillId="0" borderId="901" xfId="6" applyNumberFormat="1" applyFont="1" applyBorder="1"/>
    <xf numFmtId="1" fontId="3" fillId="0" borderId="902" xfId="6" applyNumberFormat="1" applyFont="1" applyBorder="1"/>
    <xf numFmtId="1" fontId="3" fillId="4" borderId="903" xfId="6" applyNumberFormat="1" applyFont="1" applyFill="1" applyBorder="1" applyProtection="1">
      <protection locked="0"/>
    </xf>
    <xf numFmtId="1" fontId="3" fillId="4" borderId="904" xfId="6" applyNumberFormat="1" applyFont="1" applyFill="1" applyBorder="1" applyProtection="1">
      <protection locked="0"/>
    </xf>
    <xf numFmtId="1" fontId="3" fillId="0" borderId="300" xfId="6" applyNumberFormat="1" applyFont="1" applyBorder="1"/>
    <xf numFmtId="1" fontId="3" fillId="0" borderId="406" xfId="6" applyNumberFormat="1" applyFont="1" applyBorder="1"/>
    <xf numFmtId="1" fontId="3" fillId="4" borderId="256" xfId="6" applyNumberFormat="1" applyFont="1" applyFill="1" applyBorder="1" applyProtection="1">
      <protection locked="0"/>
    </xf>
    <xf numFmtId="1" fontId="3" fillId="4" borderId="257" xfId="6" applyNumberFormat="1" applyFont="1" applyFill="1" applyBorder="1" applyProtection="1">
      <protection locked="0"/>
    </xf>
    <xf numFmtId="1" fontId="6" fillId="0" borderId="0" xfId="6" applyNumberFormat="1" applyFont="1"/>
    <xf numFmtId="1" fontId="6" fillId="0" borderId="905" xfId="6" applyNumberFormat="1" applyFont="1" applyBorder="1"/>
    <xf numFmtId="1" fontId="6" fillId="0" borderId="906" xfId="6" applyNumberFormat="1" applyFont="1" applyBorder="1"/>
    <xf numFmtId="1" fontId="6" fillId="0" borderId="907" xfId="6" applyNumberFormat="1" applyFont="1" applyBorder="1"/>
    <xf numFmtId="1" fontId="3" fillId="0" borderId="908" xfId="6" applyNumberFormat="1" applyFont="1" applyBorder="1" applyAlignment="1">
      <alignment horizontal="center" vertical="center" wrapText="1"/>
    </xf>
    <xf numFmtId="1" fontId="3" fillId="0" borderId="1142" xfId="6" applyNumberFormat="1" applyFont="1" applyBorder="1" applyAlignment="1">
      <alignment horizontal="center" vertical="center" wrapText="1"/>
    </xf>
    <xf numFmtId="1" fontId="3" fillId="0" borderId="1093" xfId="6" applyNumberFormat="1" applyFont="1" applyBorder="1" applyAlignment="1">
      <alignment horizontal="center" vertical="center" wrapText="1"/>
    </xf>
    <xf numFmtId="1" fontId="3" fillId="0" borderId="1115" xfId="6" applyNumberFormat="1" applyFont="1" applyBorder="1" applyAlignment="1">
      <alignment horizontal="center" vertical="center" wrapText="1"/>
    </xf>
    <xf numFmtId="1" fontId="3" fillId="0" borderId="1139" xfId="6" applyNumberFormat="1" applyFont="1" applyBorder="1" applyAlignment="1">
      <alignment horizontal="center" vertical="center" wrapText="1"/>
    </xf>
    <xf numFmtId="1" fontId="3" fillId="0" borderId="916" xfId="6" applyNumberFormat="1" applyFont="1" applyBorder="1" applyAlignment="1">
      <alignment horizontal="center" vertical="center" wrapText="1"/>
    </xf>
    <xf numFmtId="1" fontId="3" fillId="0" borderId="237" xfId="6" applyNumberFormat="1" applyFont="1" applyBorder="1"/>
    <xf numFmtId="1" fontId="3" fillId="4" borderId="276" xfId="6" applyNumberFormat="1" applyFont="1" applyFill="1" applyBorder="1" applyAlignment="1" applyProtection="1">
      <alignment horizontal="right"/>
      <protection locked="0"/>
    </xf>
    <xf numFmtId="1" fontId="3" fillId="4" borderId="280" xfId="6" applyNumberFormat="1" applyFont="1" applyFill="1" applyBorder="1" applyAlignment="1" applyProtection="1">
      <alignment horizontal="right"/>
      <protection locked="0"/>
    </xf>
    <xf numFmtId="1" fontId="3" fillId="4" borderId="268" xfId="6" applyNumberFormat="1" applyFont="1" applyFill="1" applyBorder="1" applyAlignment="1" applyProtection="1">
      <alignment horizontal="right"/>
      <protection locked="0"/>
    </xf>
    <xf numFmtId="1" fontId="3" fillId="4" borderId="1134" xfId="6" applyNumberFormat="1" applyFont="1" applyFill="1" applyBorder="1" applyAlignment="1" applyProtection="1">
      <alignment horizontal="right"/>
      <protection locked="0"/>
    </xf>
    <xf numFmtId="1" fontId="3" fillId="4" borderId="302" xfId="6" applyNumberFormat="1" applyFont="1" applyFill="1" applyBorder="1" applyAlignment="1" applyProtection="1">
      <alignment horizontal="right"/>
      <protection locked="0"/>
    </xf>
    <xf numFmtId="1" fontId="3" fillId="4" borderId="983" xfId="6" applyNumberFormat="1" applyFont="1" applyFill="1" applyBorder="1" applyAlignment="1" applyProtection="1">
      <alignment horizontal="right"/>
      <protection locked="0"/>
    </xf>
    <xf numFmtId="1" fontId="3" fillId="4" borderId="987" xfId="6" applyNumberFormat="1" applyFont="1" applyFill="1" applyBorder="1" applyAlignment="1" applyProtection="1">
      <alignment horizontal="right"/>
      <protection locked="0"/>
    </xf>
    <xf numFmtId="1" fontId="3" fillId="4" borderId="985" xfId="6" applyNumberFormat="1" applyFont="1" applyFill="1" applyBorder="1" applyAlignment="1" applyProtection="1">
      <alignment horizontal="right"/>
      <protection locked="0"/>
    </xf>
    <xf numFmtId="1" fontId="3" fillId="59" borderId="1134" xfId="6" applyNumberFormat="1" applyFont="1" applyFill="1" applyBorder="1" applyAlignment="1">
      <alignment horizontal="right"/>
    </xf>
    <xf numFmtId="1" fontId="3" fillId="59" borderId="302" xfId="6" applyNumberFormat="1" applyFont="1" applyFill="1" applyBorder="1" applyAlignment="1">
      <alignment horizontal="right"/>
    </xf>
    <xf numFmtId="1" fontId="3" fillId="0" borderId="421" xfId="6" applyNumberFormat="1" applyFont="1" applyBorder="1" applyAlignment="1">
      <alignment horizontal="left"/>
    </xf>
    <xf numFmtId="1" fontId="3" fillId="0" borderId="421" xfId="6" applyNumberFormat="1" applyFont="1" applyBorder="1"/>
    <xf numFmtId="1" fontId="3" fillId="59" borderId="354" xfId="6" applyNumberFormat="1" applyFont="1" applyFill="1" applyBorder="1" applyAlignment="1">
      <alignment horizontal="right"/>
    </xf>
    <xf numFmtId="1" fontId="3" fillId="59" borderId="406" xfId="6" applyNumberFormat="1" applyFont="1" applyFill="1" applyBorder="1" applyAlignment="1">
      <alignment horizontal="right"/>
    </xf>
    <xf numFmtId="1" fontId="3" fillId="0" borderId="313" xfId="6" applyNumberFormat="1" applyFont="1" applyBorder="1" applyAlignment="1">
      <alignment horizontal="left"/>
    </xf>
    <xf numFmtId="1" fontId="3" fillId="59" borderId="491" xfId="6" applyNumberFormat="1" applyFont="1" applyFill="1" applyBorder="1" applyAlignment="1">
      <alignment horizontal="right"/>
    </xf>
    <xf numFmtId="1" fontId="3" fillId="59" borderId="299" xfId="6" applyNumberFormat="1" applyFont="1" applyFill="1" applyBorder="1" applyAlignment="1">
      <alignment horizontal="right"/>
    </xf>
    <xf numFmtId="1" fontId="3" fillId="4" borderId="988" xfId="6" applyNumberFormat="1" applyFont="1" applyFill="1" applyBorder="1" applyAlignment="1" applyProtection="1">
      <alignment horizontal="right"/>
      <protection locked="0"/>
    </xf>
    <xf numFmtId="1" fontId="3" fillId="4" borderId="967" xfId="6" applyNumberFormat="1" applyFont="1" applyFill="1" applyBorder="1" applyAlignment="1" applyProtection="1">
      <alignment horizontal="right"/>
      <protection locked="0"/>
    </xf>
    <xf numFmtId="1" fontId="3" fillId="4" borderId="990" xfId="6" applyNumberFormat="1" applyFont="1" applyFill="1" applyBorder="1" applyAlignment="1" applyProtection="1">
      <alignment horizontal="right"/>
      <protection locked="0"/>
    </xf>
    <xf numFmtId="1" fontId="2" fillId="0" borderId="907" xfId="6" applyNumberFormat="1" applyFont="1" applyBorder="1" applyProtection="1">
      <protection hidden="1"/>
    </xf>
    <xf numFmtId="1" fontId="6" fillId="0" borderId="907" xfId="6" applyNumberFormat="1" applyFont="1" applyBorder="1" applyProtection="1">
      <protection hidden="1"/>
    </xf>
    <xf numFmtId="1" fontId="3" fillId="0" borderId="313" xfId="6" applyNumberFormat="1" applyFont="1" applyBorder="1"/>
    <xf numFmtId="1" fontId="3" fillId="4" borderId="327" xfId="6" applyNumberFormat="1" applyFont="1" applyFill="1" applyBorder="1" applyAlignment="1" applyProtection="1">
      <alignment horizontal="right"/>
      <protection locked="0"/>
    </xf>
    <xf numFmtId="1" fontId="3" fillId="4" borderId="406" xfId="6" applyNumberFormat="1" applyFont="1" applyFill="1" applyBorder="1" applyAlignment="1" applyProtection="1">
      <alignment horizontal="right"/>
      <protection locked="0"/>
    </xf>
    <xf numFmtId="1" fontId="2" fillId="5" borderId="923" xfId="6" applyNumberFormat="1" applyFont="1" applyFill="1" applyBorder="1" applyProtection="1">
      <protection hidden="1"/>
    </xf>
    <xf numFmtId="1" fontId="6" fillId="0" borderId="923" xfId="6" applyNumberFormat="1" applyFont="1" applyBorder="1" applyProtection="1">
      <protection hidden="1"/>
    </xf>
    <xf numFmtId="1" fontId="3" fillId="0" borderId="302" xfId="6" applyNumberFormat="1" applyFont="1" applyBorder="1" applyAlignment="1">
      <alignment horizontal="right"/>
    </xf>
    <xf numFmtId="1" fontId="3" fillId="4" borderId="302" xfId="6" applyNumberFormat="1" applyFont="1" applyFill="1" applyBorder="1" applyProtection="1">
      <protection locked="0"/>
    </xf>
    <xf numFmtId="1" fontId="3" fillId="0" borderId="406" xfId="6" applyNumberFormat="1" applyFont="1" applyBorder="1" applyAlignment="1">
      <alignment horizontal="right"/>
    </xf>
    <xf numFmtId="1" fontId="3" fillId="4" borderId="406" xfId="6" applyNumberFormat="1" applyFont="1" applyFill="1" applyBorder="1" applyProtection="1">
      <protection locked="0"/>
    </xf>
    <xf numFmtId="1" fontId="2" fillId="0" borderId="923" xfId="6" applyNumberFormat="1" applyFont="1" applyBorder="1" applyProtection="1">
      <protection hidden="1"/>
    </xf>
    <xf numFmtId="1" fontId="3" fillId="0" borderId="0" xfId="6" applyNumberFormat="1" applyFont="1" applyAlignment="1">
      <alignment horizontal="right"/>
    </xf>
    <xf numFmtId="1" fontId="6" fillId="0" borderId="0" xfId="6" applyNumberFormat="1" applyFont="1" applyAlignment="1">
      <alignment horizontal="right"/>
    </xf>
    <xf numFmtId="1" fontId="6" fillId="0" borderId="0" xfId="6" applyNumberFormat="1" applyFont="1" applyProtection="1">
      <protection locked="0"/>
    </xf>
    <xf numFmtId="1" fontId="6" fillId="0" borderId="905" xfId="6" applyNumberFormat="1" applyFont="1" applyBorder="1" applyProtection="1">
      <protection hidden="1"/>
    </xf>
    <xf numFmtId="1" fontId="3" fillId="0" borderId="914" xfId="6" applyNumberFormat="1" applyFont="1" applyBorder="1" applyAlignment="1">
      <alignment horizontal="center" vertical="center" wrapText="1"/>
    </xf>
    <xf numFmtId="1" fontId="3" fillId="0" borderId="924" xfId="6" applyNumberFormat="1" applyFont="1" applyBorder="1" applyAlignment="1">
      <alignment horizontal="center" vertical="center" wrapText="1"/>
    </xf>
    <xf numFmtId="1" fontId="3" fillId="0" borderId="925" xfId="6" applyNumberFormat="1" applyFont="1" applyBorder="1" applyAlignment="1">
      <alignment horizontal="center" vertical="center" wrapText="1"/>
    </xf>
    <xf numFmtId="1" fontId="3" fillId="0" borderId="913" xfId="6" applyNumberFormat="1" applyFont="1" applyBorder="1" applyAlignment="1">
      <alignment horizontal="center" vertical="center" wrapText="1"/>
    </xf>
    <xf numFmtId="0" fontId="3" fillId="0" borderId="900" xfId="0" applyFont="1" applyBorder="1" applyAlignment="1">
      <alignment vertical="center" wrapText="1"/>
    </xf>
    <xf numFmtId="1" fontId="3" fillId="4" borderId="134" xfId="6" applyNumberFormat="1" applyFont="1" applyFill="1" applyBorder="1" applyProtection="1">
      <protection locked="0"/>
    </xf>
    <xf numFmtId="0" fontId="3" fillId="0" borderId="902" xfId="0" applyFont="1" applyBorder="1" applyAlignment="1">
      <alignment vertical="center" wrapText="1"/>
    </xf>
    <xf numFmtId="1" fontId="3" fillId="0" borderId="902" xfId="0" applyNumberFormat="1" applyFont="1" applyBorder="1" applyAlignment="1">
      <alignment horizontal="right" vertical="center"/>
    </xf>
    <xf numFmtId="1" fontId="3" fillId="4" borderId="927" xfId="0" applyNumberFormat="1" applyFont="1" applyFill="1" applyBorder="1" applyProtection="1">
      <protection locked="0"/>
    </xf>
    <xf numFmtId="1" fontId="3" fillId="4" borderId="928" xfId="0" applyNumberFormat="1" applyFont="1" applyFill="1" applyBorder="1" applyProtection="1">
      <protection locked="0"/>
    </xf>
    <xf numFmtId="1" fontId="3" fillId="4" borderId="929" xfId="0" applyNumberFormat="1" applyFont="1" applyFill="1" applyBorder="1" applyProtection="1">
      <protection locked="0"/>
    </xf>
    <xf numFmtId="1" fontId="3" fillId="0" borderId="299" xfId="0" applyNumberFormat="1" applyFont="1" applyBorder="1" applyAlignment="1">
      <alignment horizontal="right" vertical="center"/>
    </xf>
    <xf numFmtId="1" fontId="3" fillId="4" borderId="930" xfId="0" applyNumberFormat="1" applyFont="1" applyFill="1" applyBorder="1" applyProtection="1">
      <protection locked="0"/>
    </xf>
    <xf numFmtId="1" fontId="3" fillId="4" borderId="354" xfId="6" applyNumberFormat="1" applyFont="1" applyFill="1" applyBorder="1" applyProtection="1">
      <protection locked="0"/>
    </xf>
    <xf numFmtId="1" fontId="2" fillId="0" borderId="279" xfId="6" applyNumberFormat="1" applyFont="1" applyBorder="1" applyProtection="1">
      <protection hidden="1"/>
    </xf>
    <xf numFmtId="1" fontId="3" fillId="3" borderId="916" xfId="0" applyNumberFormat="1" applyFont="1" applyFill="1" applyBorder="1" applyAlignment="1">
      <alignment horizontal="center" vertical="center" wrapText="1"/>
    </xf>
    <xf numFmtId="0" fontId="3" fillId="0" borderId="255" xfId="0" applyFont="1" applyBorder="1" applyAlignment="1">
      <alignment horizontal="center" wrapText="1"/>
    </xf>
    <xf numFmtId="1" fontId="3" fillId="0" borderId="60" xfId="0" applyNumberFormat="1" applyFont="1" applyBorder="1" applyAlignment="1">
      <alignment horizontal="center" vertical="center" wrapText="1"/>
    </xf>
    <xf numFmtId="1" fontId="3" fillId="0" borderId="216" xfId="0" applyNumberFormat="1" applyFont="1" applyBorder="1" applyAlignment="1">
      <alignment horizontal="center" vertical="center" wrapText="1"/>
    </xf>
    <xf numFmtId="1" fontId="3" fillId="5" borderId="900" xfId="0" applyNumberFormat="1" applyFont="1" applyFill="1" applyBorder="1"/>
    <xf numFmtId="1" fontId="3" fillId="4" borderId="932" xfId="0" applyNumberFormat="1" applyFont="1" applyFill="1" applyBorder="1" applyProtection="1">
      <protection locked="0"/>
    </xf>
    <xf numFmtId="1" fontId="3" fillId="4" borderId="934" xfId="0" applyNumberFormat="1" applyFont="1" applyFill="1" applyBorder="1" applyProtection="1">
      <protection locked="0"/>
    </xf>
    <xf numFmtId="1" fontId="3" fillId="4" borderId="900" xfId="0" applyNumberFormat="1" applyFont="1" applyFill="1" applyBorder="1" applyProtection="1">
      <protection locked="0"/>
    </xf>
    <xf numFmtId="1" fontId="3" fillId="0" borderId="927" xfId="0" applyNumberFormat="1" applyFont="1" applyBorder="1"/>
    <xf numFmtId="1" fontId="3" fillId="5" borderId="902" xfId="0" applyNumberFormat="1" applyFont="1" applyFill="1" applyBorder="1"/>
    <xf numFmtId="1" fontId="3" fillId="4" borderId="935" xfId="0" applyNumberFormat="1" applyFont="1" applyFill="1" applyBorder="1" applyProtection="1">
      <protection locked="0"/>
    </xf>
    <xf numFmtId="1" fontId="3" fillId="4" borderId="936" xfId="0" applyNumberFormat="1" applyFont="1" applyFill="1" applyBorder="1" applyProtection="1">
      <protection locked="0"/>
    </xf>
    <xf numFmtId="1" fontId="3" fillId="4" borderId="937" xfId="0" applyNumberFormat="1" applyFont="1" applyFill="1" applyBorder="1" applyProtection="1">
      <protection locked="0"/>
    </xf>
    <xf numFmtId="1" fontId="3" fillId="4" borderId="902" xfId="0" applyNumberFormat="1" applyFont="1" applyFill="1" applyBorder="1" applyProtection="1">
      <protection locked="0"/>
    </xf>
    <xf numFmtId="1" fontId="3" fillId="4" borderId="919" xfId="0" applyNumberFormat="1" applyFont="1" applyFill="1" applyBorder="1" applyProtection="1">
      <protection locked="0"/>
    </xf>
    <xf numFmtId="1" fontId="3" fillId="0" borderId="920" xfId="0" applyNumberFormat="1" applyFont="1" applyBorder="1"/>
    <xf numFmtId="1" fontId="3" fillId="4" borderId="938" xfId="0" applyNumberFormat="1" applyFont="1" applyFill="1" applyBorder="1" applyProtection="1">
      <protection locked="0"/>
    </xf>
    <xf numFmtId="1" fontId="3" fillId="0" borderId="939" xfId="0" applyNumberFormat="1" applyFont="1" applyBorder="1"/>
    <xf numFmtId="1" fontId="3" fillId="0" borderId="922" xfId="0" applyNumberFormat="1" applyFont="1" applyBorder="1"/>
    <xf numFmtId="0" fontId="2" fillId="0" borderId="206" xfId="0" applyFont="1" applyBorder="1"/>
    <xf numFmtId="1" fontId="3" fillId="0" borderId="79" xfId="6" applyNumberFormat="1" applyFont="1" applyBorder="1" applyAlignment="1">
      <alignment horizontal="center" vertical="center" wrapText="1"/>
    </xf>
    <xf numFmtId="1" fontId="3" fillId="0" borderId="100" xfId="6" applyNumberFormat="1" applyFont="1" applyBorder="1" applyAlignment="1">
      <alignment horizontal="center" vertical="center" wrapText="1"/>
    </xf>
    <xf numFmtId="1" fontId="3" fillId="0" borderId="33" xfId="6" applyNumberFormat="1" applyFont="1" applyBorder="1" applyAlignment="1">
      <alignment horizontal="center" vertical="center" wrapText="1"/>
    </xf>
    <xf numFmtId="1" fontId="3" fillId="0" borderId="107" xfId="6" applyNumberFormat="1" applyFont="1" applyBorder="1" applyAlignment="1">
      <alignment horizontal="center" vertical="center" wrapText="1"/>
    </xf>
    <xf numFmtId="1" fontId="3" fillId="0" borderId="99" xfId="6" applyNumberFormat="1" applyFont="1" applyBorder="1" applyAlignment="1">
      <alignment horizontal="center" vertical="center" wrapText="1"/>
    </xf>
    <xf numFmtId="1" fontId="3" fillId="0" borderId="34" xfId="6" applyNumberFormat="1" applyFont="1" applyBorder="1" applyAlignment="1">
      <alignment horizontal="center" vertical="center" wrapText="1"/>
    </xf>
    <xf numFmtId="1" fontId="3" fillId="0" borderId="32" xfId="6" applyNumberFormat="1" applyFont="1" applyBorder="1" applyAlignment="1">
      <alignment horizontal="center" vertical="center" wrapText="1"/>
    </xf>
    <xf numFmtId="1" fontId="3" fillId="4" borderId="940" xfId="0" applyNumberFormat="1" applyFont="1" applyFill="1" applyBorder="1" applyProtection="1">
      <protection locked="0"/>
    </xf>
    <xf numFmtId="1" fontId="3" fillId="4" borderId="941" xfId="0" applyNumberFormat="1" applyFont="1" applyFill="1" applyBorder="1" applyProtection="1">
      <protection locked="0"/>
    </xf>
    <xf numFmtId="1" fontId="3" fillId="4" borderId="942" xfId="0" applyNumberFormat="1" applyFont="1" applyFill="1" applyBorder="1" applyProtection="1">
      <protection locked="0"/>
    </xf>
    <xf numFmtId="1" fontId="3" fillId="4" borderId="943" xfId="0" applyNumberFormat="1" applyFont="1" applyFill="1" applyBorder="1" applyProtection="1">
      <protection locked="0"/>
    </xf>
    <xf numFmtId="1" fontId="3" fillId="4" borderId="944" xfId="0" applyNumberFormat="1" applyFont="1" applyFill="1" applyBorder="1" applyProtection="1">
      <protection locked="0"/>
    </xf>
    <xf numFmtId="1" fontId="3" fillId="4" borderId="945" xfId="0" applyNumberFormat="1" applyFont="1" applyFill="1" applyBorder="1" applyProtection="1">
      <protection locked="0"/>
    </xf>
    <xf numFmtId="1" fontId="3" fillId="4" borderId="946" xfId="0" applyNumberFormat="1" applyFont="1" applyFill="1" applyBorder="1" applyProtection="1">
      <protection locked="0"/>
    </xf>
    <xf numFmtId="1" fontId="3" fillId="4" borderId="947" xfId="0" applyNumberFormat="1" applyFont="1" applyFill="1" applyBorder="1" applyProtection="1">
      <protection locked="0"/>
    </xf>
    <xf numFmtId="1" fontId="3" fillId="4" borderId="948" xfId="0" applyNumberFormat="1" applyFont="1" applyFill="1" applyBorder="1" applyProtection="1">
      <protection locked="0"/>
    </xf>
    <xf numFmtId="1" fontId="3" fillId="4" borderId="949" xfId="0" applyNumberFormat="1" applyFont="1" applyFill="1" applyBorder="1" applyProtection="1">
      <protection locked="0"/>
    </xf>
    <xf numFmtId="1" fontId="3" fillId="4" borderId="689" xfId="0" applyNumberFormat="1" applyFont="1" applyFill="1" applyBorder="1" applyProtection="1">
      <protection locked="0"/>
    </xf>
    <xf numFmtId="1" fontId="3" fillId="4" borderId="541" xfId="0" applyNumberFormat="1" applyFont="1" applyFill="1" applyBorder="1" applyProtection="1">
      <protection locked="0"/>
    </xf>
    <xf numFmtId="1" fontId="6" fillId="0" borderId="952" xfId="6" applyNumberFormat="1" applyFont="1" applyBorder="1"/>
    <xf numFmtId="1" fontId="3" fillId="0" borderId="914" xfId="6" applyNumberFormat="1" applyFont="1" applyBorder="1" applyAlignment="1">
      <alignment horizontal="center" vertical="center"/>
    </xf>
    <xf numFmtId="1" fontId="3" fillId="0" borderId="915" xfId="7" applyNumberFormat="1" applyFont="1" applyBorder="1" applyAlignment="1">
      <alignment horizontal="center" vertical="center" wrapText="1"/>
    </xf>
    <xf numFmtId="1" fontId="3" fillId="0" borderId="915" xfId="7" applyNumberFormat="1" applyFont="1" applyBorder="1" applyAlignment="1">
      <alignment horizontal="center" vertical="center"/>
    </xf>
    <xf numFmtId="1" fontId="3" fillId="0" borderId="913" xfId="7" applyNumberFormat="1" applyFont="1" applyBorder="1" applyAlignment="1">
      <alignment horizontal="center" vertical="center"/>
    </xf>
    <xf numFmtId="1" fontId="3" fillId="0" borderId="916" xfId="6" applyNumberFormat="1" applyFont="1" applyBorder="1" applyAlignment="1">
      <alignment horizontal="right"/>
    </xf>
    <xf numFmtId="1" fontId="3" fillId="4" borderId="914" xfId="6" applyNumberFormat="1" applyFont="1" applyFill="1" applyBorder="1" applyAlignment="1" applyProtection="1">
      <alignment horizontal="right"/>
      <protection locked="0"/>
    </xf>
    <xf numFmtId="1" fontId="3" fillId="4" borderId="915" xfId="6" applyNumberFormat="1" applyFont="1" applyFill="1" applyBorder="1" applyAlignment="1" applyProtection="1">
      <alignment horizontal="right"/>
      <protection locked="0"/>
    </xf>
    <xf numFmtId="1" fontId="3" fillId="4" borderId="913" xfId="6" applyNumberFormat="1" applyFont="1" applyFill="1" applyBorder="1" applyAlignment="1" applyProtection="1">
      <alignment horizontal="right"/>
      <protection locked="0"/>
    </xf>
    <xf numFmtId="1" fontId="3" fillId="0" borderId="899" xfId="6" applyNumberFormat="1" applyFont="1" applyBorder="1" applyAlignment="1">
      <alignment wrapText="1"/>
    </xf>
    <xf numFmtId="1" fontId="3" fillId="0" borderId="900" xfId="6" applyNumberFormat="1" applyFont="1" applyBorder="1" applyAlignment="1">
      <alignment horizontal="right"/>
    </xf>
    <xf numFmtId="1" fontId="3" fillId="4" borderId="134" xfId="6" applyNumberFormat="1" applyFont="1" applyFill="1" applyBorder="1" applyAlignment="1" applyProtection="1">
      <alignment horizontal="right"/>
      <protection locked="0"/>
    </xf>
    <xf numFmtId="1" fontId="3" fillId="0" borderId="313" xfId="6" applyNumberFormat="1" applyFont="1" applyBorder="1" applyAlignment="1">
      <alignment wrapText="1"/>
    </xf>
    <xf numFmtId="1" fontId="3" fillId="0" borderId="327" xfId="6" applyNumberFormat="1" applyFont="1" applyBorder="1" applyAlignment="1">
      <alignment horizontal="right"/>
    </xf>
    <xf numFmtId="1" fontId="3" fillId="4" borderId="9" xfId="6" applyNumberFormat="1" applyFont="1" applyFill="1" applyBorder="1" applyAlignment="1" applyProtection="1">
      <alignment horizontal="right"/>
      <protection locked="0"/>
    </xf>
    <xf numFmtId="1" fontId="3" fillId="4" borderId="3" xfId="6" applyNumberFormat="1" applyFont="1" applyFill="1" applyBorder="1" applyAlignment="1" applyProtection="1">
      <alignment horizontal="right"/>
      <protection locked="0"/>
    </xf>
    <xf numFmtId="1" fontId="3" fillId="4" borderId="20" xfId="6" applyNumberFormat="1" applyFont="1" applyFill="1" applyBorder="1" applyAlignment="1" applyProtection="1">
      <alignment horizontal="right"/>
      <protection locked="0"/>
    </xf>
    <xf numFmtId="1" fontId="3" fillId="4" borderId="918" xfId="6" applyNumberFormat="1" applyFont="1" applyFill="1" applyBorder="1" applyAlignment="1" applyProtection="1">
      <alignment horizontal="right"/>
      <protection locked="0"/>
    </xf>
    <xf numFmtId="1" fontId="3" fillId="4" borderId="699" xfId="6" applyNumberFormat="1" applyFont="1" applyFill="1" applyBorder="1" applyAlignment="1" applyProtection="1">
      <alignment horizontal="right"/>
      <protection locked="0"/>
    </xf>
    <xf numFmtId="1" fontId="3" fillId="4" borderId="917" xfId="6" applyNumberFormat="1" applyFont="1" applyFill="1" applyBorder="1" applyAlignment="1" applyProtection="1">
      <alignment horizontal="right"/>
      <protection locked="0"/>
    </xf>
    <xf numFmtId="1" fontId="3" fillId="0" borderId="300" xfId="6" applyNumberFormat="1" applyFont="1" applyBorder="1" applyAlignment="1">
      <alignment wrapText="1"/>
    </xf>
    <xf numFmtId="1" fontId="3" fillId="0" borderId="299" xfId="6" applyNumberFormat="1" applyFont="1" applyBorder="1" applyAlignment="1">
      <alignment horizontal="right"/>
    </xf>
    <xf numFmtId="1" fontId="3" fillId="4" borderId="920" xfId="6" applyNumberFormat="1" applyFont="1" applyFill="1" applyBorder="1" applyAlignment="1" applyProtection="1">
      <alignment horizontal="right"/>
      <protection locked="0"/>
    </xf>
    <xf numFmtId="1" fontId="3" fillId="4" borderId="921" xfId="6" applyNumberFormat="1" applyFont="1" applyFill="1" applyBorder="1" applyAlignment="1" applyProtection="1">
      <alignment horizontal="right"/>
      <protection locked="0"/>
    </xf>
    <xf numFmtId="1" fontId="3" fillId="4" borderId="354" xfId="6" applyNumberFormat="1" applyFont="1" applyFill="1" applyBorder="1" applyAlignment="1" applyProtection="1">
      <alignment horizontal="right"/>
      <protection locked="0"/>
    </xf>
    <xf numFmtId="1" fontId="6" fillId="0" borderId="953" xfId="6" applyNumberFormat="1" applyFont="1" applyBorder="1"/>
    <xf numFmtId="1" fontId="3" fillId="0" borderId="910" xfId="6" applyNumberFormat="1" applyFont="1" applyBorder="1" applyAlignment="1">
      <alignment horizontal="center" vertical="center" wrapText="1"/>
    </xf>
    <xf numFmtId="1" fontId="3" fillId="0" borderId="954" xfId="6" applyNumberFormat="1" applyFont="1" applyBorder="1" applyAlignment="1">
      <alignment horizontal="center" vertical="center" wrapText="1"/>
    </xf>
    <xf numFmtId="1" fontId="3" fillId="0" borderId="900" xfId="6" applyNumberFormat="1" applyFont="1" applyBorder="1" applyAlignment="1">
      <alignment wrapText="1"/>
    </xf>
    <xf numFmtId="1" fontId="3" fillId="4" borderId="276" xfId="6" applyNumberFormat="1" applyFont="1" applyFill="1" applyBorder="1" applyProtection="1">
      <protection locked="0"/>
    </xf>
    <xf numFmtId="0" fontId="0" fillId="42" borderId="0" xfId="0" applyFill="1"/>
    <xf numFmtId="1" fontId="3" fillId="0" borderId="955" xfId="6" applyNumberFormat="1" applyFont="1" applyBorder="1" applyAlignment="1">
      <alignment wrapText="1"/>
    </xf>
    <xf numFmtId="1" fontId="3" fillId="4" borderId="956" xfId="6" applyNumberFormat="1" applyFont="1" applyFill="1" applyBorder="1" applyAlignment="1" applyProtection="1">
      <alignment horizontal="right"/>
      <protection locked="0"/>
    </xf>
    <xf numFmtId="1" fontId="3" fillId="4" borderId="957" xfId="6" applyNumberFormat="1" applyFont="1" applyFill="1" applyBorder="1" applyAlignment="1" applyProtection="1">
      <alignment horizontal="right"/>
      <protection locked="0"/>
    </xf>
    <xf numFmtId="1" fontId="3" fillId="4" borderId="956" xfId="6" applyNumberFormat="1" applyFont="1" applyFill="1" applyBorder="1" applyProtection="1">
      <protection locked="0"/>
    </xf>
    <xf numFmtId="1" fontId="3" fillId="4" borderId="957" xfId="6" applyNumberFormat="1" applyFont="1" applyFill="1" applyBorder="1" applyProtection="1">
      <protection locked="0"/>
    </xf>
    <xf numFmtId="1" fontId="3" fillId="0" borderId="916" xfId="6" applyNumberFormat="1" applyFont="1" applyBorder="1" applyAlignment="1">
      <alignment horizontal="center" wrapText="1"/>
    </xf>
    <xf numFmtId="1" fontId="3" fillId="0" borderId="914" xfId="6" applyNumberFormat="1" applyFont="1" applyBorder="1" applyAlignment="1">
      <alignment horizontal="right"/>
    </xf>
    <xf numFmtId="1" fontId="3" fillId="0" borderId="924" xfId="6" applyNumberFormat="1" applyFont="1" applyBorder="1" applyAlignment="1">
      <alignment horizontal="right"/>
    </xf>
    <xf numFmtId="1" fontId="3" fillId="0" borderId="913" xfId="6" applyNumberFormat="1" applyFont="1" applyBorder="1" applyAlignment="1">
      <alignment horizontal="right"/>
    </xf>
    <xf numFmtId="1" fontId="3" fillId="0" borderId="911" xfId="6" applyNumberFormat="1" applyFont="1" applyBorder="1" applyAlignment="1">
      <alignment horizontal="center" vertical="center" wrapText="1"/>
    </xf>
    <xf numFmtId="1" fontId="3" fillId="4" borderId="21" xfId="6" applyNumberFormat="1" applyFont="1" applyFill="1" applyBorder="1" applyProtection="1">
      <protection locked="0"/>
    </xf>
    <xf numFmtId="1" fontId="3" fillId="4" borderId="22" xfId="6" applyNumberFormat="1" applyFont="1" applyFill="1" applyBorder="1" applyProtection="1">
      <protection locked="0"/>
    </xf>
    <xf numFmtId="1" fontId="3" fillId="4" borderId="271" xfId="6" applyNumberFormat="1" applyFont="1" applyFill="1" applyBorder="1" applyProtection="1">
      <protection locked="0"/>
    </xf>
    <xf numFmtId="1" fontId="3" fillId="0" borderId="958" xfId="6" applyNumberFormat="1" applyFont="1" applyBorder="1" applyAlignment="1">
      <alignment wrapText="1"/>
    </xf>
    <xf numFmtId="1" fontId="3" fillId="4" borderId="959" xfId="6" applyNumberFormat="1" applyFont="1" applyFill="1" applyBorder="1" applyProtection="1">
      <protection locked="0"/>
    </xf>
    <xf numFmtId="1" fontId="3" fillId="4" borderId="960" xfId="6" applyNumberFormat="1" applyFont="1" applyFill="1" applyBorder="1" applyProtection="1">
      <protection locked="0"/>
    </xf>
    <xf numFmtId="1" fontId="3" fillId="0" borderId="299" xfId="6" applyNumberFormat="1" applyFont="1" applyBorder="1" applyAlignment="1">
      <alignment wrapText="1"/>
    </xf>
    <xf numFmtId="1" fontId="3" fillId="0" borderId="299" xfId="6" applyNumberFormat="1" applyFont="1" applyBorder="1"/>
    <xf numFmtId="1" fontId="3" fillId="4" borderId="961" xfId="6" applyNumberFormat="1" applyFont="1" applyFill="1" applyBorder="1" applyProtection="1">
      <protection locked="0"/>
    </xf>
    <xf numFmtId="1" fontId="3" fillId="0" borderId="962" xfId="6" applyNumberFormat="1" applyFont="1" applyBorder="1" applyAlignment="1">
      <alignment horizontal="center" wrapText="1"/>
    </xf>
    <xf numFmtId="1" fontId="3" fillId="0" borderId="916" xfId="6" applyNumberFormat="1" applyFont="1" applyBorder="1"/>
    <xf numFmtId="1" fontId="3" fillId="0" borderId="914" xfId="6" applyNumberFormat="1" applyFont="1" applyBorder="1"/>
    <xf numFmtId="1" fontId="3" fillId="0" borderId="911" xfId="6" applyNumberFormat="1" applyFont="1" applyBorder="1"/>
    <xf numFmtId="1" fontId="3" fillId="0" borderId="924" xfId="6" applyNumberFormat="1" applyFont="1" applyBorder="1"/>
    <xf numFmtId="1" fontId="3" fillId="0" borderId="954" xfId="6" applyNumberFormat="1" applyFont="1" applyBorder="1"/>
    <xf numFmtId="1" fontId="3" fillId="0" borderId="0" xfId="6" applyNumberFormat="1" applyFont="1"/>
    <xf numFmtId="1" fontId="3" fillId="0" borderId="963" xfId="0" applyNumberFormat="1" applyFont="1" applyBorder="1" applyAlignment="1">
      <alignment horizontal="center" vertical="center"/>
    </xf>
    <xf numFmtId="1" fontId="3" fillId="0" borderId="900" xfId="0" applyNumberFormat="1" applyFont="1" applyBorder="1" applyAlignment="1">
      <alignment horizontal="left"/>
    </xf>
    <xf numFmtId="1" fontId="3" fillId="0" borderId="962" xfId="0" applyNumberFormat="1" applyFont="1" applyBorder="1" applyAlignment="1">
      <alignment horizontal="left"/>
    </xf>
    <xf numFmtId="1" fontId="3" fillId="7" borderId="968" xfId="0" applyNumberFormat="1" applyFont="1" applyFill="1" applyBorder="1"/>
    <xf numFmtId="1" fontId="2" fillId="5" borderId="0" xfId="0" applyNumberFormat="1" applyFont="1" applyFill="1" applyAlignment="1">
      <alignment horizontal="left"/>
    </xf>
    <xf numFmtId="1" fontId="3" fillId="5" borderId="916" xfId="6" applyNumberFormat="1" applyFont="1" applyFill="1" applyBorder="1" applyAlignment="1">
      <alignment horizontal="center" vertical="center" wrapText="1"/>
    </xf>
    <xf numFmtId="2" fontId="3" fillId="5" borderId="924" xfId="0" applyNumberFormat="1" applyFont="1" applyFill="1" applyBorder="1" applyAlignment="1">
      <alignment horizontal="center" vertical="center" wrapText="1"/>
    </xf>
    <xf numFmtId="1" fontId="3" fillId="5" borderId="915" xfId="0" applyNumberFormat="1" applyFont="1" applyFill="1" applyBorder="1" applyAlignment="1">
      <alignment horizontal="center" vertical="center" wrapText="1"/>
    </xf>
    <xf numFmtId="1" fontId="3" fillId="5" borderId="964" xfId="0" applyNumberFormat="1" applyFont="1" applyFill="1" applyBorder="1" applyAlignment="1">
      <alignment horizontal="center" vertical="center" wrapText="1"/>
    </xf>
    <xf numFmtId="1" fontId="3" fillId="5" borderId="0" xfId="0" applyNumberFormat="1" applyFont="1" applyFill="1" applyAlignment="1">
      <alignment horizontal="center" vertical="center" wrapText="1"/>
    </xf>
    <xf numFmtId="2" fontId="3" fillId="0" borderId="916" xfId="0" applyNumberFormat="1" applyFont="1" applyBorder="1"/>
    <xf numFmtId="2" fontId="3" fillId="0" borderId="924" xfId="0" applyNumberFormat="1" applyFont="1" applyBorder="1"/>
    <xf numFmtId="2" fontId="3" fillId="0" borderId="915" xfId="0" applyNumberFormat="1" applyFont="1" applyBorder="1"/>
    <xf numFmtId="2" fontId="3" fillId="0" borderId="964" xfId="0" applyNumberFormat="1" applyFont="1" applyBorder="1"/>
    <xf numFmtId="1" fontId="3" fillId="0" borderId="900" xfId="6" applyNumberFormat="1" applyFont="1" applyBorder="1" applyAlignment="1">
      <alignment horizontal="left" vertical="center" wrapText="1"/>
    </xf>
    <xf numFmtId="2" fontId="3" fillId="4" borderId="900" xfId="6" applyNumberFormat="1" applyFont="1" applyFill="1" applyBorder="1" applyAlignment="1" applyProtection="1">
      <alignment horizontal="right"/>
      <protection locked="0"/>
    </xf>
    <xf numFmtId="2" fontId="3" fillId="4" borderId="926" xfId="6" applyNumberFormat="1" applyFont="1" applyFill="1" applyBorder="1" applyAlignment="1" applyProtection="1">
      <alignment horizontal="right"/>
      <protection locked="0"/>
    </xf>
    <xf numFmtId="2" fontId="3" fillId="4" borderId="699" xfId="6" applyNumberFormat="1" applyFont="1" applyFill="1" applyBorder="1" applyAlignment="1" applyProtection="1">
      <alignment horizontal="right"/>
      <protection locked="0"/>
    </xf>
    <xf numFmtId="2" fontId="3" fillId="4" borderId="717" xfId="6" applyNumberFormat="1" applyFont="1" applyFill="1" applyBorder="1" applyAlignment="1" applyProtection="1">
      <alignment horizontal="right"/>
      <protection locked="0"/>
    </xf>
    <xf numFmtId="1" fontId="3" fillId="5" borderId="0" xfId="6" applyNumberFormat="1" applyFont="1" applyFill="1" applyAlignment="1" applyProtection="1">
      <alignment horizontal="right"/>
      <protection locked="0"/>
    </xf>
    <xf numFmtId="0" fontId="3" fillId="0" borderId="962" xfId="0" applyFont="1" applyBorder="1"/>
    <xf numFmtId="2" fontId="3" fillId="4" borderId="962" xfId="6" applyNumberFormat="1" applyFont="1" applyFill="1" applyBorder="1" applyAlignment="1" applyProtection="1">
      <alignment horizontal="right"/>
      <protection locked="0"/>
    </xf>
    <xf numFmtId="2" fontId="3" fillId="4" borderId="969" xfId="0" applyNumberFormat="1" applyFont="1" applyFill="1" applyBorder="1" applyProtection="1">
      <protection locked="0"/>
    </xf>
    <xf numFmtId="2" fontId="3" fillId="4" borderId="967" xfId="0" applyNumberFormat="1" applyFont="1" applyFill="1" applyBorder="1" applyProtection="1">
      <protection locked="0"/>
    </xf>
    <xf numFmtId="2" fontId="3" fillId="4" borderId="961" xfId="0" applyNumberFormat="1" applyFont="1" applyFill="1" applyBorder="1" applyProtection="1">
      <protection locked="0"/>
    </xf>
    <xf numFmtId="2" fontId="3" fillId="4" borderId="961" xfId="6" applyNumberFormat="1" applyFont="1" applyFill="1" applyBorder="1" applyAlignment="1" applyProtection="1">
      <alignment horizontal="right"/>
      <protection locked="0"/>
    </xf>
    <xf numFmtId="0" fontId="2" fillId="0" borderId="205" xfId="0" applyFont="1" applyBorder="1"/>
    <xf numFmtId="1" fontId="2" fillId="5" borderId="0" xfId="6" applyNumberFormat="1" applyFont="1" applyFill="1" applyAlignment="1" applyProtection="1">
      <alignment wrapText="1"/>
      <protection hidden="1"/>
    </xf>
    <xf numFmtId="1" fontId="3" fillId="5" borderId="914" xfId="6" applyNumberFormat="1" applyFont="1" applyFill="1" applyBorder="1" applyAlignment="1">
      <alignment horizontal="center" vertical="center" wrapText="1"/>
    </xf>
    <xf numFmtId="1" fontId="3" fillId="5" borderId="924" xfId="6" applyNumberFormat="1" applyFont="1" applyFill="1" applyBorder="1" applyAlignment="1">
      <alignment horizontal="center" vertical="center" wrapText="1"/>
    </xf>
    <xf numFmtId="1" fontId="3" fillId="5" borderId="913" xfId="6" applyNumberFormat="1" applyFont="1" applyFill="1" applyBorder="1" applyAlignment="1">
      <alignment horizontal="center" vertical="center" wrapText="1"/>
    </xf>
    <xf numFmtId="1" fontId="3" fillId="0" borderId="232" xfId="6" applyNumberFormat="1" applyFont="1" applyBorder="1" applyAlignment="1">
      <alignment wrapText="1"/>
    </xf>
    <xf numFmtId="1" fontId="3" fillId="4" borderId="204" xfId="6" applyNumberFormat="1" applyFont="1" applyFill="1" applyBorder="1" applyAlignment="1" applyProtection="1">
      <alignment horizontal="right"/>
      <protection locked="0"/>
    </xf>
    <xf numFmtId="1" fontId="3" fillId="4" borderId="2" xfId="6" applyNumberFormat="1" applyFont="1" applyFill="1" applyBorder="1" applyAlignment="1" applyProtection="1">
      <alignment horizontal="right"/>
      <protection locked="0"/>
    </xf>
    <xf numFmtId="1" fontId="3" fillId="4" borderId="204" xfId="6" applyNumberFormat="1" applyFont="1" applyFill="1" applyBorder="1" applyProtection="1">
      <protection locked="0"/>
    </xf>
    <xf numFmtId="1" fontId="3" fillId="4" borderId="970" xfId="6" applyNumberFormat="1" applyFont="1" applyFill="1" applyBorder="1" applyProtection="1">
      <protection locked="0"/>
    </xf>
    <xf numFmtId="1" fontId="3" fillId="4" borderId="20" xfId="6" applyNumberFormat="1" applyFont="1" applyFill="1" applyBorder="1" applyProtection="1">
      <protection locked="0"/>
    </xf>
    <xf numFmtId="1" fontId="3" fillId="5" borderId="916" xfId="6" applyNumberFormat="1" applyFont="1" applyFill="1" applyBorder="1" applyAlignment="1">
      <alignment horizontal="center" wrapText="1"/>
    </xf>
    <xf numFmtId="1" fontId="3" fillId="5" borderId="914" xfId="6" applyNumberFormat="1" applyFont="1" applyFill="1" applyBorder="1" applyAlignment="1">
      <alignment horizontal="right"/>
    </xf>
    <xf numFmtId="1" fontId="3" fillId="5" borderId="913" xfId="6" applyNumberFormat="1" applyFont="1" applyFill="1" applyBorder="1" applyAlignment="1">
      <alignment horizontal="right"/>
    </xf>
    <xf numFmtId="1" fontId="3" fillId="0" borderId="971" xfId="0" applyNumberFormat="1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wrapText="1"/>
    </xf>
    <xf numFmtId="1" fontId="3" fillId="0" borderId="6" xfId="6" applyNumberFormat="1" applyFont="1" applyBorder="1"/>
    <xf numFmtId="1" fontId="3" fillId="4" borderId="208" xfId="6" applyNumberFormat="1" applyFont="1" applyFill="1" applyBorder="1" applyProtection="1">
      <protection locked="0"/>
    </xf>
    <xf numFmtId="1" fontId="3" fillId="4" borderId="207" xfId="6" applyNumberFormat="1" applyFont="1" applyFill="1" applyBorder="1" applyProtection="1">
      <protection locked="0"/>
    </xf>
    <xf numFmtId="1" fontId="3" fillId="4" borderId="209" xfId="6" applyNumberFormat="1" applyFont="1" applyFill="1" applyBorder="1" applyProtection="1">
      <protection locked="0"/>
    </xf>
    <xf numFmtId="1" fontId="3" fillId="4" borderId="314" xfId="6" applyNumberFormat="1" applyFont="1" applyFill="1" applyBorder="1" applyProtection="1">
      <protection locked="0"/>
    </xf>
    <xf numFmtId="1" fontId="3" fillId="6" borderId="337" xfId="6" applyNumberFormat="1" applyFont="1" applyFill="1" applyBorder="1"/>
    <xf numFmtId="1" fontId="3" fillId="6" borderId="134" xfId="6" applyNumberFormat="1" applyFont="1" applyFill="1" applyBorder="1"/>
    <xf numFmtId="1" fontId="3" fillId="4" borderId="972" xfId="6" applyNumberFormat="1" applyFont="1" applyFill="1" applyBorder="1" applyProtection="1">
      <protection locked="0"/>
    </xf>
    <xf numFmtId="1" fontId="3" fillId="4" borderId="973" xfId="6" applyNumberFormat="1" applyFont="1" applyFill="1" applyBorder="1" applyProtection="1">
      <protection locked="0"/>
    </xf>
    <xf numFmtId="1" fontId="3" fillId="4" borderId="974" xfId="6" applyNumberFormat="1" applyFont="1" applyFill="1" applyBorder="1" applyProtection="1">
      <protection locked="0"/>
    </xf>
    <xf numFmtId="1" fontId="3" fillId="4" borderId="975" xfId="6" applyNumberFormat="1" applyFont="1" applyFill="1" applyBorder="1" applyProtection="1">
      <protection locked="0"/>
    </xf>
    <xf numFmtId="1" fontId="3" fillId="6" borderId="975" xfId="6" applyNumberFormat="1" applyFont="1" applyFill="1" applyBorder="1"/>
    <xf numFmtId="1" fontId="3" fillId="4" borderId="976" xfId="6" applyNumberFormat="1" applyFont="1" applyFill="1" applyBorder="1" applyProtection="1">
      <protection locked="0"/>
    </xf>
    <xf numFmtId="1" fontId="3" fillId="5" borderId="911" xfId="6" applyNumberFormat="1" applyFont="1" applyFill="1" applyBorder="1" applyAlignment="1">
      <alignment horizontal="right"/>
    </xf>
    <xf numFmtId="1" fontId="3" fillId="5" borderId="913" xfId="6" applyNumberFormat="1" applyFont="1" applyFill="1" applyBorder="1" applyAlignment="1">
      <alignment horizontal="center"/>
    </xf>
    <xf numFmtId="1" fontId="3" fillId="5" borderId="210" xfId="6" applyNumberFormat="1" applyFont="1" applyFill="1" applyBorder="1"/>
    <xf numFmtId="1" fontId="3" fillId="5" borderId="931" xfId="6" applyNumberFormat="1" applyFont="1" applyFill="1" applyBorder="1" applyAlignment="1">
      <alignment horizontal="right"/>
    </xf>
    <xf numFmtId="1" fontId="0" fillId="33" borderId="0" xfId="0" applyNumberFormat="1" applyFill="1"/>
    <xf numFmtId="0" fontId="0" fillId="33" borderId="0" xfId="0" applyFill="1"/>
    <xf numFmtId="1" fontId="2" fillId="3" borderId="305" xfId="0" applyNumberFormat="1" applyFont="1" applyFill="1" applyBorder="1" applyAlignment="1">
      <alignment horizontal="left"/>
    </xf>
    <xf numFmtId="1" fontId="3" fillId="0" borderId="979" xfId="0" applyNumberFormat="1" applyFont="1" applyBorder="1" applyAlignment="1">
      <alignment horizontal="center" vertical="center" wrapText="1"/>
    </xf>
    <xf numFmtId="1" fontId="3" fillId="0" borderId="898" xfId="0" applyNumberFormat="1" applyFont="1" applyBorder="1" applyAlignment="1">
      <alignment horizontal="center" vertical="center" wrapText="1"/>
    </xf>
    <xf numFmtId="1" fontId="3" fillId="5" borderId="913" xfId="0" applyNumberFormat="1" applyFont="1" applyFill="1" applyBorder="1" applyAlignment="1">
      <alignment horizontal="center" vertical="center" wrapText="1"/>
    </xf>
    <xf numFmtId="1" fontId="3" fillId="0" borderId="993" xfId="0" applyNumberFormat="1" applyFont="1" applyBorder="1" applyAlignment="1">
      <alignment horizontal="center" vertical="center" wrapText="1"/>
    </xf>
    <xf numFmtId="1" fontId="3" fillId="0" borderId="909" xfId="0" applyNumberFormat="1" applyFont="1" applyBorder="1" applyAlignment="1">
      <alignment wrapText="1"/>
    </xf>
    <xf numFmtId="1" fontId="3" fillId="0" borderId="914" xfId="0" applyNumberFormat="1" applyFont="1" applyBorder="1" applyAlignment="1">
      <alignment wrapText="1"/>
    </xf>
    <xf numFmtId="1" fontId="3" fillId="0" borderId="915" xfId="0" applyNumberFormat="1" applyFont="1" applyBorder="1" applyAlignment="1">
      <alignment wrapText="1"/>
    </xf>
    <xf numFmtId="1" fontId="3" fillId="0" borderId="924" xfId="0" applyNumberFormat="1" applyFont="1" applyBorder="1" applyAlignment="1">
      <alignment wrapText="1"/>
    </xf>
    <xf numFmtId="1" fontId="3" fillId="0" borderId="913" xfId="0" applyNumberFormat="1" applyFont="1" applyBorder="1" applyAlignment="1">
      <alignment wrapText="1"/>
    </xf>
    <xf numFmtId="1" fontId="3" fillId="0" borderId="991" xfId="0" applyNumberFormat="1" applyFont="1" applyBorder="1" applyAlignment="1">
      <alignment wrapText="1"/>
    </xf>
    <xf numFmtId="1" fontId="3" fillId="0" borderId="964" xfId="0" applyNumberFormat="1" applyFont="1" applyBorder="1" applyAlignment="1">
      <alignment wrapText="1"/>
    </xf>
    <xf numFmtId="1" fontId="3" fillId="0" borderId="916" xfId="0" applyNumberFormat="1" applyFont="1" applyBorder="1" applyAlignment="1">
      <alignment wrapText="1"/>
    </xf>
    <xf numFmtId="1" fontId="3" fillId="0" borderId="925" xfId="0" applyNumberFormat="1" applyFont="1" applyBorder="1" applyAlignment="1">
      <alignment wrapText="1"/>
    </xf>
    <xf numFmtId="1" fontId="3" fillId="0" borderId="963" xfId="0" applyNumberFormat="1" applyFont="1" applyBorder="1" applyAlignment="1">
      <alignment wrapText="1"/>
    </xf>
    <xf numFmtId="1" fontId="3" fillId="0" borderId="911" xfId="0" applyNumberFormat="1" applyFont="1" applyBorder="1" applyAlignment="1">
      <alignment wrapText="1"/>
    </xf>
    <xf numFmtId="1" fontId="3" fillId="4" borderId="958" xfId="0" applyNumberFormat="1" applyFont="1" applyFill="1" applyBorder="1" applyProtection="1">
      <protection locked="0"/>
    </xf>
    <xf numFmtId="1" fontId="3" fillId="4" borderId="962" xfId="0" applyNumberFormat="1" applyFont="1" applyFill="1" applyBorder="1" applyProtection="1">
      <protection locked="0"/>
    </xf>
    <xf numFmtId="1" fontId="3" fillId="4" borderId="922" xfId="0" applyNumberFormat="1" applyFont="1" applyFill="1" applyBorder="1" applyProtection="1">
      <protection locked="0"/>
    </xf>
    <xf numFmtId="1" fontId="3" fillId="4" borderId="979" xfId="0" applyNumberFormat="1" applyFont="1" applyFill="1" applyBorder="1" applyProtection="1">
      <protection locked="0"/>
    </xf>
    <xf numFmtId="1" fontId="3" fillId="4" borderId="897" xfId="0" applyNumberFormat="1" applyFont="1" applyFill="1" applyBorder="1" applyProtection="1">
      <protection locked="0"/>
    </xf>
    <xf numFmtId="1" fontId="3" fillId="4" borderId="896" xfId="0" applyNumberFormat="1" applyFont="1" applyFill="1" applyBorder="1" applyProtection="1">
      <protection locked="0"/>
    </xf>
    <xf numFmtId="1" fontId="3" fillId="4" borderId="980" xfId="0" applyNumberFormat="1" applyFont="1" applyFill="1" applyBorder="1" applyProtection="1">
      <protection locked="0"/>
    </xf>
    <xf numFmtId="1" fontId="3" fillId="4" borderId="977" xfId="0" applyNumberFormat="1" applyFont="1" applyFill="1" applyBorder="1" applyProtection="1">
      <protection locked="0"/>
    </xf>
    <xf numFmtId="1" fontId="3" fillId="4" borderId="898" xfId="0" applyNumberFormat="1" applyFont="1" applyFill="1" applyBorder="1" applyProtection="1">
      <protection locked="0"/>
    </xf>
    <xf numFmtId="1" fontId="3" fillId="4" borderId="971" xfId="0" applyNumberFormat="1" applyFont="1" applyFill="1" applyBorder="1" applyProtection="1">
      <protection locked="0"/>
    </xf>
    <xf numFmtId="1" fontId="3" fillId="4" borderId="978" xfId="0" applyNumberFormat="1" applyFont="1" applyFill="1" applyBorder="1" applyProtection="1">
      <protection locked="0"/>
    </xf>
    <xf numFmtId="1" fontId="3" fillId="0" borderId="134" xfId="0" applyNumberFormat="1" applyFont="1" applyBorder="1" applyAlignment="1">
      <alignment vertical="center" wrapText="1"/>
    </xf>
    <xf numFmtId="1" fontId="3" fillId="4" borderId="133" xfId="0" applyNumberFormat="1" applyFont="1" applyFill="1" applyBorder="1" applyProtection="1">
      <protection locked="0"/>
    </xf>
    <xf numFmtId="1" fontId="3" fillId="4" borderId="162" xfId="0" applyNumberFormat="1" applyFont="1" applyFill="1" applyBorder="1" applyProtection="1">
      <protection locked="0"/>
    </xf>
    <xf numFmtId="1" fontId="3" fillId="4" borderId="86" xfId="0" applyNumberFormat="1" applyFont="1" applyFill="1" applyBorder="1" applyProtection="1">
      <protection locked="0"/>
    </xf>
    <xf numFmtId="1" fontId="6" fillId="3" borderId="0" xfId="0" applyNumberFormat="1" applyFont="1" applyFill="1" applyAlignment="1">
      <alignment horizontal="left" vertical="center"/>
    </xf>
    <xf numFmtId="1" fontId="6" fillId="3" borderId="0" xfId="0" applyNumberFormat="1" applyFont="1" applyFill="1" applyAlignment="1" applyProtection="1">
      <alignment horizontal="right"/>
      <protection locked="0"/>
    </xf>
    <xf numFmtId="1" fontId="6" fillId="3" borderId="0" xfId="0" applyNumberFormat="1" applyFont="1" applyFill="1" applyAlignment="1">
      <alignment horizontal="right"/>
    </xf>
    <xf numFmtId="1" fontId="3" fillId="3" borderId="915" xfId="0" applyNumberFormat="1" applyFont="1" applyFill="1" applyBorder="1" applyAlignment="1">
      <alignment horizontal="center" vertical="center" wrapText="1"/>
    </xf>
    <xf numFmtId="1" fontId="3" fillId="4" borderId="914" xfId="0" applyNumberFormat="1" applyFont="1" applyFill="1" applyBorder="1" applyAlignment="1" applyProtection="1">
      <alignment vertical="center" wrapText="1"/>
      <protection locked="0"/>
    </xf>
    <xf numFmtId="1" fontId="3" fillId="4" borderId="915" xfId="0" applyNumberFormat="1" applyFont="1" applyFill="1" applyBorder="1" applyAlignment="1" applyProtection="1">
      <alignment vertical="center" wrapText="1"/>
      <protection locked="0"/>
    </xf>
    <xf numFmtId="1" fontId="3" fillId="4" borderId="913" xfId="0" applyNumberFormat="1" applyFont="1" applyFill="1" applyBorder="1" applyAlignment="1" applyProtection="1">
      <alignment vertical="center" wrapText="1"/>
      <protection locked="0"/>
    </xf>
    <xf numFmtId="1" fontId="3" fillId="4" borderId="918" xfId="0" applyNumberFormat="1" applyFont="1" applyFill="1" applyBorder="1" applyAlignment="1" applyProtection="1">
      <alignment vertical="center" wrapText="1"/>
      <protection locked="0"/>
    </xf>
    <xf numFmtId="1" fontId="3" fillId="4" borderId="699" xfId="0" applyNumberFormat="1" applyFont="1" applyFill="1" applyBorder="1" applyAlignment="1" applyProtection="1">
      <alignment vertical="center" wrapText="1"/>
      <protection locked="0"/>
    </xf>
    <xf numFmtId="1" fontId="3" fillId="4" borderId="917" xfId="0" applyNumberFormat="1" applyFont="1" applyFill="1" applyBorder="1" applyAlignment="1" applyProtection="1">
      <alignment vertical="center" wrapText="1"/>
      <protection locked="0"/>
    </xf>
    <xf numFmtId="1" fontId="3" fillId="4" borderId="255" xfId="0" applyNumberFormat="1" applyFont="1" applyFill="1" applyBorder="1" applyAlignment="1" applyProtection="1">
      <alignment vertical="center" wrapText="1"/>
      <protection locked="0"/>
    </xf>
    <xf numFmtId="1" fontId="3" fillId="4" borderId="256" xfId="0" applyNumberFormat="1" applyFont="1" applyFill="1" applyBorder="1" applyAlignment="1" applyProtection="1">
      <alignment vertical="center" wrapText="1"/>
      <protection locked="0"/>
    </xf>
    <xf numFmtId="1" fontId="3" fillId="4" borderId="770" xfId="0" applyNumberFormat="1" applyFont="1" applyFill="1" applyBorder="1" applyAlignment="1" applyProtection="1">
      <alignment vertical="center" wrapText="1"/>
      <protection locked="0"/>
    </xf>
    <xf numFmtId="1" fontId="3" fillId="4" borderId="983" xfId="0" applyNumberFormat="1" applyFont="1" applyFill="1" applyBorder="1" applyAlignment="1" applyProtection="1">
      <alignment vertical="center" wrapText="1"/>
      <protection locked="0"/>
    </xf>
    <xf numFmtId="1" fontId="3" fillId="4" borderId="987" xfId="0" applyNumberFormat="1" applyFont="1" applyFill="1" applyBorder="1" applyAlignment="1" applyProtection="1">
      <alignment vertical="center" wrapText="1"/>
      <protection locked="0"/>
    </xf>
    <xf numFmtId="1" fontId="3" fillId="4" borderId="970" xfId="0" applyNumberFormat="1" applyFont="1" applyFill="1" applyBorder="1" applyAlignment="1" applyProtection="1">
      <alignment vertical="center" wrapText="1"/>
      <protection locked="0"/>
    </xf>
    <xf numFmtId="1" fontId="6" fillId="5" borderId="0" xfId="0" applyNumberFormat="1" applyFont="1" applyFill="1" applyAlignment="1">
      <alignment horizontal="left" vertical="center"/>
    </xf>
    <xf numFmtId="1" fontId="6" fillId="5" borderId="0" xfId="0" applyNumberFormat="1" applyFont="1" applyFill="1" applyAlignment="1" applyProtection="1">
      <alignment horizontal="right"/>
      <protection locked="0"/>
    </xf>
    <xf numFmtId="1" fontId="3" fillId="5" borderId="913" xfId="0" applyNumberFormat="1" applyFont="1" applyFill="1" applyBorder="1" applyAlignment="1">
      <alignment horizontal="center" vertical="center"/>
    </xf>
    <xf numFmtId="1" fontId="3" fillId="5" borderId="914" xfId="0" applyNumberFormat="1" applyFont="1" applyFill="1" applyBorder="1" applyAlignment="1">
      <alignment horizontal="center" vertical="center" wrapText="1"/>
    </xf>
    <xf numFmtId="1" fontId="3" fillId="5" borderId="962" xfId="0" applyNumberFormat="1" applyFont="1" applyFill="1" applyBorder="1" applyAlignment="1">
      <alignment horizontal="left" vertical="center"/>
    </xf>
    <xf numFmtId="1" fontId="3" fillId="5" borderId="900" xfId="0" applyNumberFormat="1" applyFont="1" applyFill="1" applyBorder="1" applyAlignment="1">
      <alignment horizontal="left" vertical="center"/>
    </xf>
    <xf numFmtId="1" fontId="3" fillId="5" borderId="134" xfId="0" applyNumberFormat="1" applyFont="1" applyFill="1" applyBorder="1" applyAlignment="1">
      <alignment horizontal="left" vertical="center"/>
    </xf>
    <xf numFmtId="1" fontId="3" fillId="5" borderId="970" xfId="0" applyNumberFormat="1" applyFont="1" applyFill="1" applyBorder="1" applyAlignment="1">
      <alignment vertical="center"/>
    </xf>
    <xf numFmtId="1" fontId="3" fillId="5" borderId="354" xfId="0" applyNumberFormat="1" applyFont="1" applyFill="1" applyBorder="1" applyAlignment="1">
      <alignment vertical="center" wrapText="1"/>
    </xf>
    <xf numFmtId="1" fontId="3" fillId="0" borderId="914" xfId="0" applyNumberFormat="1" applyFont="1" applyBorder="1" applyAlignment="1">
      <alignment horizontal="right" vertical="center" wrapText="1"/>
    </xf>
    <xf numFmtId="1" fontId="3" fillId="0" borderId="915" xfId="0" applyNumberFormat="1" applyFont="1" applyBorder="1" applyAlignment="1">
      <alignment horizontal="right" vertical="center" wrapText="1"/>
    </xf>
    <xf numFmtId="1" fontId="3" fillId="0" borderId="991" xfId="0" applyNumberFormat="1" applyFont="1" applyBorder="1" applyAlignment="1">
      <alignment horizontal="right" vertical="center" wrapText="1"/>
    </xf>
    <xf numFmtId="1" fontId="3" fillId="0" borderId="925" xfId="0" applyNumberFormat="1" applyFont="1" applyBorder="1" applyAlignment="1">
      <alignment horizontal="right" vertical="center" wrapText="1"/>
    </xf>
    <xf numFmtId="1" fontId="3" fillId="0" borderId="10" xfId="0" applyNumberFormat="1" applyFont="1" applyBorder="1" applyAlignment="1">
      <alignment horizontal="right" vertical="center" wrapText="1"/>
    </xf>
    <xf numFmtId="1" fontId="3" fillId="0" borderId="913" xfId="0" applyNumberFormat="1" applyFont="1" applyBorder="1" applyAlignment="1">
      <alignment horizontal="right" vertical="center" wrapText="1"/>
    </xf>
    <xf numFmtId="1" fontId="3" fillId="0" borderId="910" xfId="0" applyNumberFormat="1" applyFont="1" applyBorder="1" applyAlignment="1">
      <alignment horizontal="right" vertical="center" wrapText="1"/>
    </xf>
    <xf numFmtId="1" fontId="3" fillId="0" borderId="964" xfId="0" applyNumberFormat="1" applyFont="1" applyBorder="1" applyAlignment="1">
      <alignment horizontal="right" vertical="center" wrapText="1"/>
    </xf>
    <xf numFmtId="1" fontId="3" fillId="0" borderId="916" xfId="0" applyNumberFormat="1" applyFont="1" applyBorder="1" applyAlignment="1">
      <alignment horizontal="left" vertical="center"/>
    </xf>
    <xf numFmtId="1" fontId="6" fillId="5" borderId="252" xfId="0" applyNumberFormat="1" applyFont="1" applyFill="1" applyBorder="1"/>
    <xf numFmtId="1" fontId="6" fillId="5" borderId="0" xfId="0" applyNumberFormat="1" applyFont="1" applyFill="1" applyAlignment="1">
      <alignment vertical="center" wrapText="1"/>
    </xf>
    <xf numFmtId="1" fontId="3" fillId="6" borderId="967" xfId="0" applyNumberFormat="1" applyFont="1" applyFill="1" applyBorder="1"/>
    <xf numFmtId="1" fontId="3" fillId="6" borderId="987" xfId="0" applyNumberFormat="1" applyFont="1" applyFill="1" applyBorder="1"/>
    <xf numFmtId="1" fontId="3" fillId="5" borderId="970" xfId="0" applyNumberFormat="1" applyFont="1" applyFill="1" applyBorder="1" applyAlignment="1">
      <alignment horizontal="left" vertical="center"/>
    </xf>
    <xf numFmtId="1" fontId="3" fillId="5" borderId="20" xfId="0" applyNumberFormat="1" applyFont="1" applyFill="1" applyBorder="1" applyAlignment="1">
      <alignment horizontal="left" vertical="center" wrapText="1"/>
    </xf>
    <xf numFmtId="1" fontId="3" fillId="5" borderId="2" xfId="0" applyNumberFormat="1" applyFont="1" applyFill="1" applyBorder="1" applyAlignment="1">
      <alignment horizontal="left" vertical="center" wrapText="1"/>
    </xf>
    <xf numFmtId="1" fontId="3" fillId="6" borderId="915" xfId="0" applyNumberFormat="1" applyFont="1" applyFill="1" applyBorder="1"/>
    <xf numFmtId="1" fontId="3" fillId="4" borderId="915" xfId="0" applyNumberFormat="1" applyFont="1" applyFill="1" applyBorder="1" applyProtection="1">
      <protection locked="0"/>
    </xf>
    <xf numFmtId="1" fontId="3" fillId="5" borderId="913" xfId="0" applyNumberFormat="1" applyFont="1" applyFill="1" applyBorder="1"/>
    <xf numFmtId="1" fontId="2" fillId="5" borderId="0" xfId="0" applyNumberFormat="1" applyFont="1" applyFill="1" applyAlignment="1">
      <alignment horizontal="left" wrapText="1"/>
    </xf>
    <xf numFmtId="1" fontId="3" fillId="0" borderId="999" xfId="0" applyNumberFormat="1" applyFont="1" applyBorder="1" applyAlignment="1">
      <alignment horizontal="center" vertical="center"/>
    </xf>
    <xf numFmtId="1" fontId="4" fillId="5" borderId="0" xfId="0" applyNumberFormat="1" applyFont="1" applyFill="1"/>
    <xf numFmtId="1" fontId="6" fillId="3" borderId="0" xfId="0" applyNumberFormat="1" applyFont="1" applyFill="1" applyAlignment="1">
      <alignment horizontal="center"/>
    </xf>
    <xf numFmtId="1" fontId="3" fillId="3" borderId="896" xfId="0" applyNumberFormat="1" applyFont="1" applyFill="1" applyBorder="1" applyAlignment="1">
      <alignment horizontal="center" vertical="center" wrapText="1"/>
    </xf>
    <xf numFmtId="1" fontId="6" fillId="4" borderId="914" xfId="0" applyNumberFormat="1" applyFont="1" applyFill="1" applyBorder="1" applyProtection="1">
      <protection locked="0"/>
    </xf>
    <xf numFmtId="1" fontId="6" fillId="4" borderId="913" xfId="0" applyNumberFormat="1" applyFont="1" applyFill="1" applyBorder="1" applyProtection="1">
      <protection locked="0"/>
    </xf>
    <xf numFmtId="1" fontId="6" fillId="4" borderId="915" xfId="0" applyNumberFormat="1" applyFont="1" applyFill="1" applyBorder="1" applyProtection="1">
      <protection locked="0"/>
    </xf>
    <xf numFmtId="1" fontId="3" fillId="0" borderId="900" xfId="0" applyNumberFormat="1" applyFont="1" applyBorder="1" applyAlignment="1">
      <alignment horizontal="right" vertical="center"/>
    </xf>
    <xf numFmtId="1" fontId="3" fillId="8" borderId="918" xfId="0" applyNumberFormat="1" applyFont="1" applyFill="1" applyBorder="1" applyProtection="1">
      <protection locked="0"/>
    </xf>
    <xf numFmtId="1" fontId="3" fillId="8" borderId="933" xfId="0" applyNumberFormat="1" applyFont="1" applyFill="1" applyBorder="1" applyProtection="1">
      <protection locked="0"/>
    </xf>
    <xf numFmtId="1" fontId="3" fillId="8" borderId="965" xfId="0" applyNumberFormat="1" applyFont="1" applyFill="1" applyBorder="1" applyProtection="1">
      <protection locked="0"/>
    </xf>
    <xf numFmtId="1" fontId="3" fillId="8" borderId="917" xfId="0" applyNumberFormat="1" applyFont="1" applyFill="1" applyBorder="1" applyProtection="1">
      <protection locked="0"/>
    </xf>
    <xf numFmtId="1" fontId="6" fillId="23" borderId="0" xfId="0" applyNumberFormat="1" applyFont="1" applyFill="1"/>
    <xf numFmtId="1" fontId="3" fillId="8" borderId="276" xfId="0" applyNumberFormat="1" applyFont="1" applyFill="1" applyBorder="1" applyProtection="1">
      <protection locked="0"/>
    </xf>
    <xf numFmtId="1" fontId="3" fillId="8" borderId="301" xfId="0" applyNumberFormat="1" applyFont="1" applyFill="1" applyBorder="1" applyProtection="1">
      <protection locked="0"/>
    </xf>
    <xf numFmtId="1" fontId="3" fillId="8" borderId="134" xfId="0" applyNumberFormat="1" applyFont="1" applyFill="1" applyBorder="1" applyProtection="1">
      <protection locked="0"/>
    </xf>
    <xf numFmtId="1" fontId="3" fillId="8" borderId="983" xfId="0" applyNumberFormat="1" applyFont="1" applyFill="1" applyBorder="1" applyProtection="1">
      <protection locked="0"/>
    </xf>
    <xf numFmtId="1" fontId="3" fillId="8" borderId="959" xfId="0" applyNumberFormat="1" applyFont="1" applyFill="1" applyBorder="1" applyProtection="1">
      <protection locked="0"/>
    </xf>
    <xf numFmtId="1" fontId="3" fillId="8" borderId="970" xfId="0" applyNumberFormat="1" applyFont="1" applyFill="1" applyBorder="1" applyProtection="1">
      <protection locked="0"/>
    </xf>
    <xf numFmtId="1" fontId="3" fillId="8" borderId="7" xfId="0" applyNumberFormat="1" applyFont="1" applyFill="1" applyBorder="1" applyProtection="1">
      <protection locked="0"/>
    </xf>
    <xf numFmtId="1" fontId="3" fillId="8" borderId="10" xfId="0" applyNumberFormat="1" applyFont="1" applyFill="1" applyBorder="1" applyProtection="1">
      <protection locked="0"/>
    </xf>
    <xf numFmtId="1" fontId="3" fillId="0" borderId="999" xfId="0" applyNumberFormat="1" applyFont="1" applyBorder="1" applyAlignment="1">
      <alignment vertical="center" wrapText="1"/>
    </xf>
    <xf numFmtId="1" fontId="3" fillId="8" borderId="255" xfId="0" applyNumberFormat="1" applyFont="1" applyFill="1" applyBorder="1" applyProtection="1">
      <protection locked="0"/>
    </xf>
    <xf numFmtId="1" fontId="3" fillId="8" borderId="922" xfId="0" applyNumberFormat="1" applyFont="1" applyFill="1" applyBorder="1" applyProtection="1">
      <protection locked="0"/>
    </xf>
    <xf numFmtId="1" fontId="3" fillId="8" borderId="259" xfId="0" applyNumberFormat="1" applyFont="1" applyFill="1" applyBorder="1" applyProtection="1">
      <protection locked="0"/>
    </xf>
    <xf numFmtId="1" fontId="3" fillId="8" borderId="770" xfId="0" applyNumberFormat="1" applyFont="1" applyFill="1" applyBorder="1" applyProtection="1">
      <protection locked="0"/>
    </xf>
    <xf numFmtId="1" fontId="3" fillId="5" borderId="900" xfId="0" applyNumberFormat="1" applyFont="1" applyFill="1" applyBorder="1" applyAlignment="1">
      <alignment horizontal="left" wrapText="1"/>
    </xf>
    <xf numFmtId="1" fontId="3" fillId="5" borderId="999" xfId="0" applyNumberFormat="1" applyFont="1" applyFill="1" applyBorder="1" applyAlignment="1">
      <alignment horizontal="left" wrapText="1"/>
    </xf>
    <xf numFmtId="1" fontId="3" fillId="5" borderId="958" xfId="0" applyNumberFormat="1" applyFont="1" applyFill="1" applyBorder="1"/>
    <xf numFmtId="1" fontId="3" fillId="5" borderId="999" xfId="0" applyNumberFormat="1" applyFont="1" applyFill="1" applyBorder="1"/>
    <xf numFmtId="1" fontId="2" fillId="3" borderId="910" xfId="0" applyNumberFormat="1" applyFont="1" applyFill="1" applyBorder="1"/>
    <xf numFmtId="0" fontId="3" fillId="0" borderId="925" xfId="0" applyFont="1" applyBorder="1" applyAlignment="1">
      <alignment horizontal="center" vertical="center"/>
    </xf>
    <xf numFmtId="0" fontId="3" fillId="0" borderId="252" xfId="0" applyFont="1" applyBorder="1" applyAlignment="1">
      <alignment horizontal="center" vertical="center" wrapText="1"/>
    </xf>
    <xf numFmtId="1" fontId="3" fillId="6" borderId="728" xfId="0" applyNumberFormat="1" applyFont="1" applyFill="1" applyBorder="1"/>
    <xf numFmtId="1" fontId="3" fillId="6" borderId="1000" xfId="0" applyNumberFormat="1" applyFont="1" applyFill="1" applyBorder="1"/>
    <xf numFmtId="1" fontId="3" fillId="6" borderId="900" xfId="0" applyNumberFormat="1" applyFont="1" applyFill="1" applyBorder="1"/>
    <xf numFmtId="1" fontId="3" fillId="0" borderId="1001" xfId="0" applyNumberFormat="1" applyFont="1" applyBorder="1"/>
    <xf numFmtId="1" fontId="3" fillId="5" borderId="916" xfId="0" applyNumberFormat="1" applyFont="1" applyFill="1" applyBorder="1" applyAlignment="1">
      <alignment vertical="center"/>
    </xf>
    <xf numFmtId="1" fontId="3" fillId="8" borderId="900" xfId="0" applyNumberFormat="1" applyFont="1" applyFill="1" applyBorder="1" applyProtection="1">
      <protection locked="0"/>
    </xf>
    <xf numFmtId="1" fontId="3" fillId="8" borderId="962" xfId="0" applyNumberFormat="1" applyFont="1" applyFill="1" applyBorder="1" applyProtection="1">
      <protection locked="0"/>
    </xf>
    <xf numFmtId="1" fontId="3" fillId="8" borderId="988" xfId="0" applyNumberFormat="1" applyFont="1" applyFill="1" applyBorder="1" applyProtection="1">
      <protection locked="0"/>
    </xf>
    <xf numFmtId="1" fontId="3" fillId="0" borderId="999" xfId="0" applyNumberFormat="1" applyFont="1" applyBorder="1" applyAlignment="1">
      <alignment horizontal="center" vertical="center" wrapText="1"/>
    </xf>
    <xf numFmtId="1" fontId="3" fillId="0" borderId="1002" xfId="0" applyNumberFormat="1" applyFont="1" applyBorder="1" applyAlignment="1">
      <alignment horizontal="center" vertical="center" wrapText="1"/>
    </xf>
    <xf numFmtId="1" fontId="3" fillId="8" borderId="1003" xfId="0" applyNumberFormat="1" applyFont="1" applyFill="1" applyBorder="1" applyProtection="1">
      <protection locked="0"/>
    </xf>
    <xf numFmtId="1" fontId="3" fillId="8" borderId="1005" xfId="0" applyNumberFormat="1" applyFont="1" applyFill="1" applyBorder="1" applyProtection="1">
      <protection locked="0"/>
    </xf>
    <xf numFmtId="0" fontId="3" fillId="0" borderId="999" xfId="0" applyFont="1" applyBorder="1"/>
    <xf numFmtId="1" fontId="3" fillId="0" borderId="916" xfId="0" applyNumberFormat="1" applyFont="1" applyBorder="1" applyAlignment="1">
      <alignment vertical="center"/>
    </xf>
    <xf numFmtId="1" fontId="3" fillId="7" borderId="926" xfId="0" applyNumberFormat="1" applyFont="1" applyFill="1" applyBorder="1"/>
    <xf numFmtId="1" fontId="3" fillId="7" borderId="251" xfId="0" applyNumberFormat="1" applyFont="1" applyFill="1" applyBorder="1"/>
    <xf numFmtId="1" fontId="3" fillId="0" borderId="237" xfId="0" applyNumberFormat="1" applyFont="1" applyBorder="1" applyAlignment="1">
      <alignment horizontal="left" wrapText="1"/>
    </xf>
    <xf numFmtId="1" fontId="3" fillId="0" borderId="988" xfId="0" applyNumberFormat="1" applyFont="1" applyBorder="1" applyAlignment="1">
      <alignment horizontal="right" wrapText="1"/>
    </xf>
    <xf numFmtId="1" fontId="3" fillId="0" borderId="967" xfId="0" applyNumberFormat="1" applyFont="1" applyBorder="1" applyAlignment="1">
      <alignment horizontal="right" wrapText="1"/>
    </xf>
    <xf numFmtId="1" fontId="3" fillId="4" borderId="1001" xfId="0" applyNumberFormat="1" applyFont="1" applyFill="1" applyBorder="1" applyProtection="1">
      <protection locked="0"/>
    </xf>
    <xf numFmtId="1" fontId="3" fillId="0" borderId="983" xfId="0" applyNumberFormat="1" applyFont="1" applyBorder="1" applyAlignment="1">
      <alignment horizontal="right" wrapText="1"/>
    </xf>
    <xf numFmtId="1" fontId="3" fillId="0" borderId="999" xfId="0" applyNumberFormat="1" applyFont="1" applyBorder="1" applyAlignment="1">
      <alignment horizontal="left" vertical="center"/>
    </xf>
    <xf numFmtId="1" fontId="3" fillId="0" borderId="992" xfId="0" applyNumberFormat="1" applyFont="1" applyBorder="1" applyAlignment="1">
      <alignment wrapText="1"/>
    </xf>
    <xf numFmtId="1" fontId="3" fillId="5" borderId="916" xfId="14" applyNumberFormat="1" applyFont="1" applyFill="1" applyBorder="1" applyAlignment="1">
      <alignment horizontal="center" wrapText="1"/>
    </xf>
    <xf numFmtId="1" fontId="3" fillId="5" borderId="916" xfId="17" applyNumberFormat="1" applyFont="1" applyFill="1" applyBorder="1" applyAlignment="1">
      <alignment horizontal="center" vertical="center" wrapText="1"/>
    </xf>
    <xf numFmtId="1" fontId="3" fillId="5" borderId="914" xfId="14" applyNumberFormat="1" applyFont="1" applyFill="1" applyBorder="1" applyAlignment="1">
      <alignment horizontal="center" vertical="center" wrapText="1"/>
    </xf>
    <xf numFmtId="1" fontId="3" fillId="5" borderId="913" xfId="14" applyNumberFormat="1" applyFont="1" applyFill="1" applyBorder="1" applyAlignment="1">
      <alignment horizontal="center" vertical="center" wrapText="1"/>
    </xf>
    <xf numFmtId="1" fontId="3" fillId="5" borderId="916" xfId="0" applyNumberFormat="1" applyFont="1" applyFill="1" applyBorder="1" applyAlignment="1">
      <alignment horizontal="left" vertical="center" wrapText="1"/>
    </xf>
    <xf numFmtId="1" fontId="3" fillId="5" borderId="916" xfId="0" applyNumberFormat="1" applyFont="1" applyFill="1" applyBorder="1" applyAlignment="1">
      <alignment horizontal="right"/>
    </xf>
    <xf numFmtId="1" fontId="3" fillId="4" borderId="914" xfId="0" applyNumberFormat="1" applyFont="1" applyFill="1" applyBorder="1" applyAlignment="1" applyProtection="1">
      <alignment horizontal="right"/>
      <protection locked="0"/>
    </xf>
    <xf numFmtId="1" fontId="3" fillId="4" borderId="913" xfId="0" applyNumberFormat="1" applyFont="1" applyFill="1" applyBorder="1" applyAlignment="1" applyProtection="1">
      <alignment horizontal="right"/>
      <protection locked="0"/>
    </xf>
    <xf numFmtId="1" fontId="3" fillId="5" borderId="916" xfId="14" applyNumberFormat="1" applyFont="1" applyFill="1" applyBorder="1" applyAlignment="1">
      <alignment horizontal="left" vertical="center" wrapText="1"/>
    </xf>
    <xf numFmtId="1" fontId="3" fillId="5" borderId="999" xfId="0" applyNumberFormat="1" applyFont="1" applyFill="1" applyBorder="1" applyAlignment="1">
      <alignment horizontal="right"/>
    </xf>
    <xf numFmtId="1" fontId="3" fillId="5" borderId="999" xfId="14" applyNumberFormat="1" applyFont="1" applyFill="1" applyBorder="1" applyAlignment="1">
      <alignment horizontal="left" vertical="center" wrapText="1"/>
    </xf>
    <xf numFmtId="1" fontId="2" fillId="3" borderId="0" xfId="14" applyNumberFormat="1" applyFont="1" applyFill="1" applyAlignment="1">
      <alignment wrapText="1"/>
    </xf>
    <xf numFmtId="1" fontId="3" fillId="3" borderId="896" xfId="17" applyNumberFormat="1" applyFont="1" applyFill="1" applyBorder="1" applyAlignment="1">
      <alignment horizontal="center" vertical="center" wrapText="1"/>
    </xf>
    <xf numFmtId="1" fontId="3" fillId="0" borderId="999" xfId="0" applyNumberFormat="1" applyFont="1" applyBorder="1" applyAlignment="1">
      <alignment horizontal="right" vertical="center"/>
    </xf>
    <xf numFmtId="1" fontId="3" fillId="0" borderId="917" xfId="0" applyNumberFormat="1" applyFont="1" applyBorder="1" applyAlignment="1">
      <alignment vertical="center" wrapText="1"/>
    </xf>
    <xf numFmtId="1" fontId="3" fillId="4" borderId="999" xfId="0" applyNumberFormat="1" applyFont="1" applyFill="1" applyBorder="1" applyProtection="1">
      <protection locked="0"/>
    </xf>
    <xf numFmtId="1" fontId="3" fillId="3" borderId="913" xfId="14" applyNumberFormat="1" applyFont="1" applyFill="1" applyBorder="1" applyAlignment="1">
      <alignment horizontal="center" vertical="center" wrapText="1"/>
    </xf>
    <xf numFmtId="1" fontId="3" fillId="3" borderId="914" xfId="14" applyNumberFormat="1" applyFont="1" applyFill="1" applyBorder="1" applyAlignment="1">
      <alignment horizontal="center" vertical="center" wrapText="1"/>
    </xf>
    <xf numFmtId="1" fontId="3" fillId="3" borderId="915" xfId="14" applyNumberFormat="1" applyFont="1" applyFill="1" applyBorder="1" applyAlignment="1">
      <alignment horizontal="center" vertical="center" wrapText="1"/>
    </xf>
    <xf numFmtId="1" fontId="3" fillId="4" borderId="918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917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983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970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987" xfId="0" applyNumberFormat="1" applyFont="1" applyFill="1" applyBorder="1" applyAlignment="1" applyProtection="1">
      <alignment horizontal="right" vertical="center" wrapText="1"/>
      <protection locked="0"/>
    </xf>
    <xf numFmtId="1" fontId="3" fillId="0" borderId="910" xfId="0" applyNumberFormat="1" applyFont="1" applyBorder="1"/>
    <xf numFmtId="1" fontId="3" fillId="4" borderId="926" xfId="0" applyNumberFormat="1" applyFont="1" applyFill="1" applyBorder="1" applyAlignment="1" applyProtection="1">
      <alignment horizontal="right" vertical="center" wrapText="1"/>
      <protection locked="0"/>
    </xf>
    <xf numFmtId="1" fontId="3" fillId="3" borderId="896" xfId="14" applyNumberFormat="1" applyFont="1" applyFill="1" applyBorder="1" applyAlignment="1">
      <alignment horizontal="center" vertical="center" wrapText="1"/>
    </xf>
    <xf numFmtId="1" fontId="3" fillId="3" borderId="897" xfId="14" applyNumberFormat="1" applyFont="1" applyFill="1" applyBorder="1" applyAlignment="1">
      <alignment horizontal="center" vertical="center" wrapText="1"/>
    </xf>
    <xf numFmtId="1" fontId="3" fillId="0" borderId="916" xfId="0" applyNumberFormat="1" applyFont="1" applyBorder="1" applyAlignment="1">
      <alignment horizontal="right" vertical="center" wrapText="1"/>
    </xf>
    <xf numFmtId="1" fontId="3" fillId="4" borderId="914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915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988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967" xfId="0" applyNumberFormat="1" applyFont="1" applyFill="1" applyBorder="1" applyAlignment="1" applyProtection="1">
      <alignment horizontal="right" vertical="center" wrapText="1"/>
      <protection locked="0"/>
    </xf>
    <xf numFmtId="1" fontId="3" fillId="6" borderId="134" xfId="0" applyNumberFormat="1" applyFont="1" applyFill="1" applyBorder="1" applyAlignment="1">
      <alignment horizontal="left" vertical="center" wrapText="1"/>
    </xf>
    <xf numFmtId="1" fontId="3" fillId="0" borderId="999" xfId="0" applyNumberFormat="1" applyFont="1" applyBorder="1" applyAlignment="1">
      <alignment horizontal="right" vertical="center" wrapText="1"/>
    </xf>
    <xf numFmtId="1" fontId="3" fillId="6" borderId="354" xfId="0" applyNumberFormat="1" applyFont="1" applyFill="1" applyBorder="1" applyAlignment="1">
      <alignment horizontal="left"/>
    </xf>
    <xf numFmtId="1" fontId="3" fillId="4" borderId="913" xfId="0" applyNumberFormat="1" applyFont="1" applyFill="1" applyBorder="1" applyAlignment="1" applyProtection="1">
      <alignment horizontal="right" vertical="center" wrapText="1"/>
      <protection locked="0"/>
    </xf>
    <xf numFmtId="1" fontId="2" fillId="5" borderId="0" xfId="14" applyNumberFormat="1" applyFont="1" applyFill="1" applyAlignment="1">
      <alignment wrapText="1"/>
    </xf>
    <xf numFmtId="1" fontId="3" fillId="4" borderId="900" xfId="0" applyNumberFormat="1" applyFont="1" applyFill="1" applyBorder="1" applyAlignment="1" applyProtection="1">
      <alignment vertical="center" wrapText="1"/>
      <protection locked="0"/>
    </xf>
    <xf numFmtId="1" fontId="3" fillId="4" borderId="958" xfId="0" applyNumberFormat="1" applyFont="1" applyFill="1" applyBorder="1" applyAlignment="1" applyProtection="1">
      <alignment vertical="center" wrapText="1"/>
      <protection locked="0"/>
    </xf>
    <xf numFmtId="1" fontId="3" fillId="4" borderId="962" xfId="0" applyNumberFormat="1" applyFont="1" applyFill="1" applyBorder="1" applyAlignment="1" applyProtection="1">
      <alignment vertical="center" wrapText="1"/>
      <protection locked="0"/>
    </xf>
    <xf numFmtId="1" fontId="6" fillId="5" borderId="0" xfId="0" applyNumberFormat="1" applyFont="1" applyFill="1" applyAlignment="1">
      <alignment wrapText="1"/>
    </xf>
    <xf numFmtId="1" fontId="2" fillId="3" borderId="252" xfId="14" applyNumberFormat="1" applyFont="1" applyFill="1" applyBorder="1"/>
    <xf numFmtId="1" fontId="3" fillId="3" borderId="896" xfId="0" applyNumberFormat="1" applyFont="1" applyFill="1" applyBorder="1" applyAlignment="1">
      <alignment horizontal="right" vertical="center" wrapText="1"/>
    </xf>
    <xf numFmtId="1" fontId="3" fillId="4" borderId="979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897" xfId="0" applyNumberFormat="1" applyFont="1" applyFill="1" applyBorder="1" applyAlignment="1" applyProtection="1">
      <alignment horizontal="right" vertical="center" wrapText="1"/>
      <protection locked="0"/>
    </xf>
    <xf numFmtId="1" fontId="3" fillId="4" borderId="908" xfId="0" applyNumberFormat="1" applyFont="1" applyFill="1" applyBorder="1" applyAlignment="1" applyProtection="1">
      <alignment horizontal="right" vertical="center" wrapText="1"/>
      <protection locked="0"/>
    </xf>
    <xf numFmtId="1" fontId="3" fillId="3" borderId="900" xfId="0" applyNumberFormat="1" applyFont="1" applyFill="1" applyBorder="1" applyAlignment="1">
      <alignment horizontal="right" vertical="center" wrapText="1"/>
    </xf>
    <xf numFmtId="1" fontId="3" fillId="3" borderId="958" xfId="0" applyNumberFormat="1" applyFont="1" applyFill="1" applyBorder="1"/>
    <xf numFmtId="1" fontId="6" fillId="3" borderId="0" xfId="0" applyNumberFormat="1" applyFont="1" applyFill="1" applyProtection="1">
      <protection locked="0"/>
    </xf>
    <xf numFmtId="1" fontId="3" fillId="4" borderId="918" xfId="0" applyNumberFormat="1" applyFont="1" applyFill="1" applyBorder="1" applyAlignment="1" applyProtection="1">
      <alignment wrapText="1"/>
      <protection locked="0"/>
    </xf>
    <xf numFmtId="1" fontId="3" fillId="4" borderId="917" xfId="0" applyNumberFormat="1" applyFont="1" applyFill="1" applyBorder="1" applyAlignment="1" applyProtection="1">
      <alignment wrapText="1"/>
      <protection locked="0"/>
    </xf>
    <xf numFmtId="1" fontId="3" fillId="4" borderId="983" xfId="0" applyNumberFormat="1" applyFont="1" applyFill="1" applyBorder="1" applyAlignment="1" applyProtection="1">
      <alignment wrapText="1"/>
      <protection locked="0"/>
    </xf>
    <xf numFmtId="1" fontId="3" fillId="4" borderId="987" xfId="0" applyNumberFormat="1" applyFont="1" applyFill="1" applyBorder="1" applyAlignment="1" applyProtection="1">
      <alignment wrapText="1"/>
      <protection locked="0"/>
    </xf>
    <xf numFmtId="1" fontId="3" fillId="4" borderId="970" xfId="0" applyNumberFormat="1" applyFont="1" applyFill="1" applyBorder="1" applyAlignment="1" applyProtection="1">
      <alignment wrapText="1"/>
      <protection locked="0"/>
    </xf>
    <xf numFmtId="1" fontId="3" fillId="4" borderId="988" xfId="0" applyNumberFormat="1" applyFont="1" applyFill="1" applyBorder="1" applyAlignment="1" applyProtection="1">
      <alignment wrapText="1"/>
      <protection locked="0"/>
    </xf>
    <xf numFmtId="1" fontId="3" fillId="4" borderId="967" xfId="0" applyNumberFormat="1" applyFont="1" applyFill="1" applyBorder="1" applyAlignment="1" applyProtection="1">
      <alignment wrapText="1"/>
      <protection locked="0"/>
    </xf>
    <xf numFmtId="1" fontId="3" fillId="6" borderId="917" xfId="0" applyNumberFormat="1" applyFont="1" applyFill="1" applyBorder="1"/>
    <xf numFmtId="1" fontId="3" fillId="0" borderId="934" xfId="0" applyNumberFormat="1" applyFont="1" applyBorder="1"/>
    <xf numFmtId="1" fontId="6" fillId="4" borderId="900" xfId="0" applyNumberFormat="1" applyFont="1" applyFill="1" applyBorder="1" applyAlignment="1" applyProtection="1">
      <alignment wrapText="1"/>
      <protection locked="0"/>
    </xf>
    <xf numFmtId="1" fontId="3" fillId="0" borderId="367" xfId="0" applyNumberFormat="1" applyFont="1" applyBorder="1" applyAlignment="1">
      <alignment vertical="center" wrapText="1"/>
    </xf>
    <xf numFmtId="1" fontId="6" fillId="4" borderId="962" xfId="0" applyNumberFormat="1" applyFont="1" applyFill="1" applyBorder="1" applyAlignment="1" applyProtection="1">
      <alignment wrapText="1"/>
      <protection locked="0"/>
    </xf>
    <xf numFmtId="1" fontId="3" fillId="3" borderId="896" xfId="0" applyNumberFormat="1" applyFont="1" applyFill="1" applyBorder="1" applyAlignment="1">
      <alignment horizontal="center" vertical="center"/>
    </xf>
    <xf numFmtId="1" fontId="3" fillId="3" borderId="1001" xfId="0" applyNumberFormat="1" applyFont="1" applyFill="1" applyBorder="1"/>
    <xf numFmtId="1" fontId="3" fillId="3" borderId="770" xfId="0" applyNumberFormat="1" applyFont="1" applyFill="1" applyBorder="1"/>
    <xf numFmtId="1" fontId="3" fillId="0" borderId="999" xfId="0" applyNumberFormat="1" applyFont="1" applyBorder="1" applyAlignment="1">
      <alignment wrapText="1"/>
    </xf>
    <xf numFmtId="1" fontId="4" fillId="3" borderId="913" xfId="0" applyNumberFormat="1" applyFont="1" applyFill="1" applyBorder="1"/>
    <xf numFmtId="1" fontId="3" fillId="3" borderId="916" xfId="0" applyNumberFormat="1" applyFont="1" applyFill="1" applyBorder="1"/>
    <xf numFmtId="1" fontId="3" fillId="3" borderId="914" xfId="0" applyNumberFormat="1" applyFont="1" applyFill="1" applyBorder="1"/>
    <xf numFmtId="1" fontId="3" fillId="3" borderId="915" xfId="0" applyNumberFormat="1" applyFont="1" applyFill="1" applyBorder="1"/>
    <xf numFmtId="1" fontId="3" fillId="3" borderId="913" xfId="0" applyNumberFormat="1" applyFont="1" applyFill="1" applyBorder="1"/>
    <xf numFmtId="0" fontId="3" fillId="0" borderId="916" xfId="0" applyFont="1" applyBorder="1" applyAlignment="1">
      <alignment horizontal="center"/>
    </xf>
    <xf numFmtId="0" fontId="3" fillId="0" borderId="909" xfId="0" applyFont="1" applyBorder="1" applyAlignment="1">
      <alignment horizontal="center"/>
    </xf>
    <xf numFmtId="0" fontId="3" fillId="0" borderId="999" xfId="0" applyFont="1" applyBorder="1" applyAlignment="1">
      <alignment vertical="center"/>
    </xf>
    <xf numFmtId="0" fontId="3" fillId="0" borderId="916" xfId="0" applyFont="1" applyBorder="1" applyAlignment="1">
      <alignment horizontal="center" vertical="center"/>
    </xf>
    <xf numFmtId="0" fontId="3" fillId="0" borderId="900" xfId="0" applyFont="1" applyBorder="1"/>
    <xf numFmtId="0" fontId="3" fillId="0" borderId="958" xfId="0" applyFont="1" applyBorder="1"/>
    <xf numFmtId="0" fontId="3" fillId="0" borderId="958" xfId="0" applyFont="1" applyBorder="1" applyAlignment="1">
      <alignment horizontal="left" vertical="center"/>
    </xf>
    <xf numFmtId="0" fontId="3" fillId="0" borderId="302" xfId="0" applyFont="1" applyBorder="1" applyAlignment="1">
      <alignment horizontal="left" vertical="center"/>
    </xf>
    <xf numFmtId="0" fontId="3" fillId="0" borderId="999" xfId="0" applyFont="1" applyBorder="1" applyAlignment="1">
      <alignment horizontal="left" vertical="center"/>
    </xf>
    <xf numFmtId="0" fontId="3" fillId="0" borderId="916" xfId="0" applyFont="1" applyBorder="1" applyAlignment="1">
      <alignment horizontal="left" vertical="center"/>
    </xf>
    <xf numFmtId="1" fontId="3" fillId="4" borderId="914" xfId="0" applyNumberFormat="1" applyFont="1" applyFill="1" applyBorder="1" applyAlignment="1" applyProtection="1">
      <alignment wrapText="1"/>
      <protection locked="0"/>
    </xf>
    <xf numFmtId="1" fontId="3" fillId="4" borderId="915" xfId="0" applyNumberFormat="1" applyFont="1" applyFill="1" applyBorder="1" applyAlignment="1" applyProtection="1">
      <alignment wrapText="1"/>
      <protection locked="0"/>
    </xf>
    <xf numFmtId="1" fontId="3" fillId="4" borderId="960" xfId="0" applyNumberFormat="1" applyFont="1" applyFill="1" applyBorder="1" applyAlignment="1" applyProtection="1">
      <alignment wrapText="1"/>
      <protection locked="0"/>
    </xf>
    <xf numFmtId="1" fontId="3" fillId="5" borderId="255" xfId="0" applyNumberFormat="1" applyFont="1" applyFill="1" applyBorder="1" applyAlignment="1">
      <alignment wrapText="1"/>
    </xf>
    <xf numFmtId="1" fontId="3" fillId="5" borderId="770" xfId="0" applyNumberFormat="1" applyFont="1" applyFill="1" applyBorder="1" applyAlignment="1">
      <alignment wrapText="1"/>
    </xf>
    <xf numFmtId="1" fontId="3" fillId="5" borderId="276" xfId="0" applyNumberFormat="1" applyFont="1" applyFill="1" applyBorder="1" applyAlignment="1">
      <alignment wrapText="1"/>
    </xf>
    <xf numFmtId="0" fontId="3" fillId="0" borderId="915" xfId="0" applyFont="1" applyBorder="1" applyAlignment="1">
      <alignment horizontal="center" vertical="center" wrapText="1"/>
    </xf>
    <xf numFmtId="0" fontId="3" fillId="0" borderId="302" xfId="0" applyFont="1" applyBorder="1"/>
    <xf numFmtId="1" fontId="3" fillId="4" borderId="958" xfId="0" applyNumberFormat="1" applyFont="1" applyFill="1" applyBorder="1" applyAlignment="1" applyProtection="1">
      <alignment wrapText="1"/>
      <protection locked="0"/>
    </xf>
    <xf numFmtId="0" fontId="3" fillId="0" borderId="982" xfId="0" applyFont="1" applyBorder="1" applyAlignment="1">
      <alignment horizontal="left" vertical="center" wrapText="1"/>
    </xf>
    <xf numFmtId="0" fontId="3" fillId="0" borderId="992" xfId="0" applyFont="1" applyBorder="1" applyAlignment="1">
      <alignment horizontal="left" vertical="center" wrapText="1"/>
    </xf>
    <xf numFmtId="1" fontId="3" fillId="0" borderId="1197" xfId="0" applyNumberFormat="1" applyFont="1" applyBorder="1" applyAlignment="1">
      <alignment horizontal="center" vertical="center" wrapText="1"/>
    </xf>
    <xf numFmtId="1" fontId="3" fillId="0" borderId="970" xfId="0" applyNumberFormat="1" applyFont="1" applyBorder="1" applyAlignment="1">
      <alignment vertical="center" wrapText="1"/>
    </xf>
    <xf numFmtId="1" fontId="3" fillId="0" borderId="1134" xfId="0" applyNumberFormat="1" applyFont="1" applyBorder="1" applyAlignment="1">
      <alignment vertical="center" wrapText="1"/>
    </xf>
    <xf numFmtId="1" fontId="3" fillId="0" borderId="1196" xfId="0" applyNumberFormat="1" applyFont="1" applyBorder="1"/>
    <xf numFmtId="1" fontId="3" fillId="0" borderId="232" xfId="0" quotePrefix="1" applyNumberFormat="1" applyFont="1" applyBorder="1"/>
    <xf numFmtId="1" fontId="3" fillId="4" borderId="232" xfId="0" applyNumberFormat="1" applyFont="1" applyFill="1" applyBorder="1" applyAlignment="1" applyProtection="1">
      <alignment horizontal="right" vertical="center"/>
      <protection locked="0"/>
    </xf>
    <xf numFmtId="1" fontId="3" fillId="0" borderId="1152" xfId="0" quotePrefix="1" applyNumberFormat="1" applyFont="1" applyBorder="1"/>
    <xf numFmtId="1" fontId="3" fillId="4" borderId="1153" xfId="0" applyNumberFormat="1" applyFont="1" applyFill="1" applyBorder="1" applyAlignment="1" applyProtection="1">
      <alignment horizontal="right" vertical="center"/>
      <protection locked="0"/>
    </xf>
    <xf numFmtId="1" fontId="3" fillId="0" borderId="979" xfId="0" applyNumberFormat="1" applyFont="1" applyBorder="1" applyAlignment="1">
      <alignment horizontal="right"/>
    </xf>
    <xf numFmtId="1" fontId="3" fillId="4" borderId="898" xfId="0" applyNumberFormat="1" applyFont="1" applyFill="1" applyBorder="1" applyAlignment="1" applyProtection="1">
      <alignment horizontal="right"/>
      <protection locked="0"/>
    </xf>
    <xf numFmtId="1" fontId="3" fillId="0" borderId="966" xfId="0" applyNumberFormat="1" applyFont="1" applyBorder="1" applyAlignment="1">
      <alignment horizontal="right"/>
    </xf>
    <xf numFmtId="0" fontId="3" fillId="0" borderId="278" xfId="0" applyFont="1" applyBorder="1"/>
    <xf numFmtId="1" fontId="3" fillId="7" borderId="971" xfId="0" applyNumberFormat="1" applyFont="1" applyFill="1" applyBorder="1"/>
    <xf numFmtId="1" fontId="3" fillId="7" borderId="898" xfId="0" applyNumberFormat="1" applyFont="1" applyFill="1" applyBorder="1"/>
    <xf numFmtId="1" fontId="3" fillId="7" borderId="897" xfId="0" applyNumberFormat="1" applyFont="1" applyFill="1" applyBorder="1"/>
    <xf numFmtId="1" fontId="3" fillId="7" borderId="1007" xfId="0" applyNumberFormat="1" applyFont="1" applyFill="1" applyBorder="1"/>
    <xf numFmtId="1" fontId="3" fillId="8" borderId="993" xfId="0" applyNumberFormat="1" applyFont="1" applyFill="1" applyBorder="1" applyProtection="1">
      <protection locked="0"/>
    </xf>
    <xf numFmtId="1" fontId="3" fillId="7" borderId="980" xfId="0" applyNumberFormat="1" applyFont="1" applyFill="1" applyBorder="1"/>
    <xf numFmtId="1" fontId="3" fillId="7" borderId="977" xfId="0" applyNumberFormat="1" applyFont="1" applyFill="1" applyBorder="1"/>
    <xf numFmtId="1" fontId="3" fillId="8" borderId="926" xfId="0" applyNumberFormat="1" applyFont="1" applyFill="1" applyBorder="1" applyProtection="1">
      <protection locked="0"/>
    </xf>
    <xf numFmtId="1" fontId="3" fillId="8" borderId="22" xfId="0" applyNumberFormat="1" applyFont="1" applyFill="1" applyBorder="1" applyProtection="1">
      <protection locked="0"/>
    </xf>
    <xf numFmtId="1" fontId="3" fillId="6" borderId="985" xfId="0" applyNumberFormat="1" applyFont="1" applyFill="1" applyBorder="1"/>
    <xf numFmtId="1" fontId="3" fillId="8" borderId="960" xfId="0" applyNumberFormat="1" applyFont="1" applyFill="1" applyBorder="1" applyProtection="1">
      <protection locked="0"/>
    </xf>
    <xf numFmtId="1" fontId="3" fillId="0" borderId="999" xfId="0" applyNumberFormat="1" applyFont="1" applyBorder="1"/>
    <xf numFmtId="1" fontId="3" fillId="8" borderId="251" xfId="0" applyNumberFormat="1" applyFont="1" applyFill="1" applyBorder="1" applyProtection="1">
      <protection locked="0"/>
    </xf>
    <xf numFmtId="1" fontId="3" fillId="0" borderId="2" xfId="0" applyNumberFormat="1" applyFont="1" applyBorder="1" applyAlignment="1">
      <alignment horizontal="left" vertical="center"/>
    </xf>
    <xf numFmtId="1" fontId="3" fillId="7" borderId="87" xfId="0" applyNumberFormat="1" applyFont="1" applyFill="1" applyBorder="1"/>
    <xf numFmtId="1" fontId="3" fillId="7" borderId="981" xfId="0" applyNumberFormat="1" applyFont="1" applyFill="1" applyBorder="1"/>
    <xf numFmtId="1" fontId="3" fillId="7" borderId="988" xfId="0" applyNumberFormat="1" applyFont="1" applyFill="1" applyBorder="1"/>
    <xf numFmtId="1" fontId="3" fillId="7" borderId="967" xfId="0" applyNumberFormat="1" applyFont="1" applyFill="1" applyBorder="1"/>
    <xf numFmtId="1" fontId="3" fillId="7" borderId="989" xfId="0" applyNumberFormat="1" applyFont="1" applyFill="1" applyBorder="1"/>
    <xf numFmtId="1" fontId="3" fillId="6" borderId="961" xfId="0" applyNumberFormat="1" applyFont="1" applyFill="1" applyBorder="1"/>
    <xf numFmtId="1" fontId="3" fillId="7" borderId="255" xfId="0" applyNumberFormat="1" applyFont="1" applyFill="1" applyBorder="1"/>
    <xf numFmtId="1" fontId="3" fillId="0" borderId="908" xfId="0" applyNumberFormat="1" applyFont="1" applyBorder="1" applyAlignment="1">
      <alignment horizontal="left" vertical="center"/>
    </xf>
    <xf numFmtId="1" fontId="3" fillId="7" borderId="86" xfId="0" applyNumberFormat="1" applyFont="1" applyFill="1" applyBorder="1"/>
    <xf numFmtId="1" fontId="3" fillId="6" borderId="966" xfId="0" applyNumberFormat="1" applyFont="1" applyFill="1" applyBorder="1"/>
    <xf numFmtId="1" fontId="3" fillId="7" borderId="960" xfId="0" applyNumberFormat="1" applyFont="1" applyFill="1" applyBorder="1"/>
    <xf numFmtId="1" fontId="3" fillId="8" borderId="356" xfId="0" applyNumberFormat="1" applyFont="1" applyFill="1" applyBorder="1" applyProtection="1">
      <protection locked="0"/>
    </xf>
    <xf numFmtId="1" fontId="3" fillId="7" borderId="362" xfId="0" applyNumberFormat="1" applyFont="1" applyFill="1" applyBorder="1"/>
    <xf numFmtId="1" fontId="3" fillId="7" borderId="969" xfId="0" applyNumberFormat="1" applyFont="1" applyFill="1" applyBorder="1"/>
    <xf numFmtId="1" fontId="3" fillId="7" borderId="961" xfId="0" applyNumberFormat="1" applyFont="1" applyFill="1" applyBorder="1"/>
    <xf numFmtId="1" fontId="3" fillId="7" borderId="990" xfId="0" applyNumberFormat="1" applyFont="1" applyFill="1" applyBorder="1"/>
    <xf numFmtId="1" fontId="3" fillId="8" borderId="977" xfId="0" applyNumberFormat="1" applyFont="1" applyFill="1" applyBorder="1" applyProtection="1">
      <protection locked="0"/>
    </xf>
    <xf numFmtId="1" fontId="3" fillId="7" borderId="984" xfId="0" applyNumberFormat="1" applyFont="1" applyFill="1" applyBorder="1"/>
    <xf numFmtId="1" fontId="3" fillId="4" borderId="963" xfId="0" applyNumberFormat="1" applyFont="1" applyFill="1" applyBorder="1" applyProtection="1">
      <protection locked="0"/>
    </xf>
    <xf numFmtId="1" fontId="3" fillId="0" borderId="934" xfId="0" applyNumberFormat="1" applyFont="1" applyBorder="1" applyAlignment="1">
      <alignment horizontal="left" wrapText="1"/>
    </xf>
    <xf numFmtId="1" fontId="3" fillId="3" borderId="973" xfId="0" applyNumberFormat="1" applyFont="1" applyFill="1" applyBorder="1" applyAlignment="1">
      <alignment horizontal="left" wrapText="1"/>
    </xf>
    <xf numFmtId="1" fontId="3" fillId="0" borderId="958" xfId="0" applyNumberFormat="1" applyFont="1" applyBorder="1" applyAlignment="1">
      <alignment horizontal="left" wrapText="1"/>
    </xf>
    <xf numFmtId="1" fontId="3" fillId="0" borderId="0" xfId="0" applyNumberFormat="1" applyFont="1" applyAlignment="1">
      <alignment horizontal="left" wrapText="1"/>
    </xf>
    <xf numFmtId="1" fontId="3" fillId="7" borderId="133" xfId="0" applyNumberFormat="1" applyFont="1" applyFill="1" applyBorder="1"/>
    <xf numFmtId="1" fontId="3" fillId="3" borderId="900" xfId="0" applyNumberFormat="1" applyFont="1" applyFill="1" applyBorder="1" applyAlignment="1">
      <alignment horizontal="left" vertical="top" wrapText="1"/>
    </xf>
    <xf numFmtId="1" fontId="3" fillId="3" borderId="958" xfId="0" applyNumberFormat="1" applyFont="1" applyFill="1" applyBorder="1" applyAlignment="1">
      <alignment horizontal="left" wrapText="1"/>
    </xf>
    <xf numFmtId="1" fontId="3" fillId="3" borderId="958" xfId="0" applyNumberFormat="1" applyFont="1" applyFill="1" applyBorder="1" applyAlignment="1">
      <alignment horizontal="left" vertical="top" wrapText="1"/>
    </xf>
    <xf numFmtId="1" fontId="3" fillId="3" borderId="232" xfId="0" applyNumberFormat="1" applyFont="1" applyFill="1" applyBorder="1" applyAlignment="1">
      <alignment horizontal="left" vertical="top" wrapText="1"/>
    </xf>
    <xf numFmtId="1" fontId="3" fillId="7" borderId="965" xfId="0" applyNumberFormat="1" applyFont="1" applyFill="1" applyBorder="1"/>
    <xf numFmtId="1" fontId="3" fillId="0" borderId="963" xfId="0" applyNumberFormat="1" applyFont="1" applyBorder="1"/>
    <xf numFmtId="1" fontId="6" fillId="3" borderId="252" xfId="0" applyNumberFormat="1" applyFont="1" applyFill="1" applyBorder="1"/>
    <xf numFmtId="1" fontId="3" fillId="4" borderId="1007" xfId="0" applyNumberFormat="1" applyFont="1" applyFill="1" applyBorder="1" applyProtection="1">
      <protection locked="0"/>
    </xf>
    <xf numFmtId="1" fontId="3" fillId="4" borderId="994" xfId="0" applyNumberFormat="1" applyFont="1" applyFill="1" applyBorder="1" applyProtection="1">
      <protection locked="0"/>
    </xf>
    <xf numFmtId="1" fontId="3" fillId="4" borderId="261" xfId="0" applyNumberFormat="1" applyFont="1" applyFill="1" applyBorder="1" applyProtection="1">
      <protection locked="0"/>
    </xf>
    <xf numFmtId="1" fontId="3" fillId="4" borderId="365" xfId="0" applyNumberFormat="1" applyFont="1" applyFill="1" applyBorder="1" applyProtection="1">
      <protection locked="0"/>
    </xf>
    <xf numFmtId="1" fontId="3" fillId="3" borderId="1100" xfId="0" applyNumberFormat="1" applyFont="1" applyFill="1" applyBorder="1" applyAlignment="1">
      <alignment vertical="center" wrapText="1"/>
    </xf>
    <xf numFmtId="1" fontId="3" fillId="0" borderId="476" xfId="0" applyNumberFormat="1" applyFont="1" applyBorder="1"/>
    <xf numFmtId="1" fontId="3" fillId="4" borderId="1097" xfId="0" applyNumberFormat="1" applyFont="1" applyFill="1" applyBorder="1" applyProtection="1">
      <protection locked="0"/>
    </xf>
    <xf numFmtId="1" fontId="3" fillId="4" borderId="1098" xfId="0" applyNumberFormat="1" applyFont="1" applyFill="1" applyBorder="1" applyProtection="1">
      <protection locked="0"/>
    </xf>
    <xf numFmtId="1" fontId="3" fillId="3" borderId="1153" xfId="0" applyNumberFormat="1" applyFont="1" applyFill="1" applyBorder="1" applyAlignment="1">
      <alignment horizontal="left" vertical="center" wrapText="1"/>
    </xf>
    <xf numFmtId="1" fontId="3" fillId="4" borderId="420" xfId="0" applyNumberFormat="1" applyFont="1" applyFill="1" applyBorder="1" applyProtection="1">
      <protection locked="0"/>
    </xf>
    <xf numFmtId="1" fontId="3" fillId="4" borderId="4" xfId="0" applyNumberFormat="1" applyFont="1" applyFill="1" applyBorder="1" applyProtection="1">
      <protection locked="0"/>
    </xf>
    <xf numFmtId="1" fontId="3" fillId="0" borderId="1100" xfId="0" applyNumberFormat="1" applyFont="1" applyBorder="1" applyAlignment="1">
      <alignment horizontal="left" vertical="center" wrapText="1"/>
    </xf>
    <xf numFmtId="1" fontId="3" fillId="0" borderId="1100" xfId="0" applyNumberFormat="1" applyFont="1" applyBorder="1"/>
    <xf numFmtId="1" fontId="3" fillId="4" borderId="998" xfId="0" applyNumberFormat="1" applyFont="1" applyFill="1" applyBorder="1" applyProtection="1">
      <protection locked="0"/>
    </xf>
    <xf numFmtId="1" fontId="3" fillId="0" borderId="962" xfId="0" applyNumberFormat="1" applyFont="1" applyBorder="1" applyAlignment="1">
      <alignment horizontal="left" wrapText="1"/>
    </xf>
    <xf numFmtId="1" fontId="3" fillId="4" borderId="1195" xfId="0" applyNumberFormat="1" applyFont="1" applyFill="1" applyBorder="1" applyProtection="1">
      <protection locked="0"/>
    </xf>
    <xf numFmtId="1" fontId="6" fillId="3" borderId="0" xfId="0" applyNumberFormat="1" applyFont="1" applyFill="1" applyAlignment="1">
      <alignment wrapText="1"/>
    </xf>
    <xf numFmtId="1" fontId="3" fillId="0" borderId="917" xfId="0" applyNumberFormat="1" applyFont="1" applyBorder="1"/>
    <xf numFmtId="1" fontId="6" fillId="4" borderId="302" xfId="0" applyNumberFormat="1" applyFont="1" applyFill="1" applyBorder="1" applyProtection="1">
      <protection locked="0"/>
    </xf>
    <xf numFmtId="1" fontId="6" fillId="4" borderId="962" xfId="0" applyNumberFormat="1" applyFont="1" applyFill="1" applyBorder="1" applyProtection="1">
      <protection locked="0"/>
    </xf>
    <xf numFmtId="1" fontId="27" fillId="3" borderId="910" xfId="0" applyNumberFormat="1" applyFont="1" applyFill="1" applyBorder="1"/>
    <xf numFmtId="1" fontId="39" fillId="3" borderId="910" xfId="0" applyNumberFormat="1" applyFont="1" applyFill="1" applyBorder="1"/>
    <xf numFmtId="1" fontId="31" fillId="0" borderId="0" xfId="0" applyNumberFormat="1" applyFont="1" applyAlignment="1">
      <alignment wrapText="1"/>
    </xf>
    <xf numFmtId="1" fontId="3" fillId="3" borderId="1008" xfId="0" applyNumberFormat="1" applyFont="1" applyFill="1" applyBorder="1" applyAlignment="1">
      <alignment horizontal="center" vertical="center" wrapText="1"/>
    </xf>
    <xf numFmtId="1" fontId="3" fillId="3" borderId="911" xfId="0" applyNumberFormat="1" applyFont="1" applyFill="1" applyBorder="1" applyAlignment="1">
      <alignment horizontal="center" vertical="center" wrapText="1"/>
    </xf>
    <xf numFmtId="1" fontId="3" fillId="5" borderId="900" xfId="0" applyNumberFormat="1" applyFont="1" applyFill="1" applyBorder="1" applyAlignment="1">
      <alignment vertical="center"/>
    </xf>
    <xf numFmtId="1" fontId="3" fillId="4" borderId="175" xfId="0" applyNumberFormat="1" applyFont="1" applyFill="1" applyBorder="1" applyAlignment="1" applyProtection="1">
      <alignment vertical="center"/>
      <protection locked="0"/>
    </xf>
    <xf numFmtId="1" fontId="3" fillId="5" borderId="278" xfId="0" applyNumberFormat="1" applyFont="1" applyFill="1" applyBorder="1" applyAlignment="1">
      <alignment vertical="center"/>
    </xf>
    <xf numFmtId="1" fontId="3" fillId="4" borderId="1009" xfId="0" applyNumberFormat="1" applyFont="1" applyFill="1" applyBorder="1" applyAlignment="1" applyProtection="1">
      <alignment vertical="center"/>
      <protection locked="0"/>
    </xf>
    <xf numFmtId="1" fontId="3" fillId="5" borderId="999" xfId="0" applyNumberFormat="1" applyFont="1" applyFill="1" applyBorder="1" applyAlignment="1">
      <alignment vertical="center"/>
    </xf>
    <xf numFmtId="1" fontId="3" fillId="4" borderId="359" xfId="0" applyNumberFormat="1" applyFont="1" applyFill="1" applyBorder="1" applyAlignment="1" applyProtection="1">
      <alignment vertical="center"/>
      <protection locked="0"/>
    </xf>
    <xf numFmtId="1" fontId="3" fillId="4" borderId="311" xfId="0" applyNumberFormat="1" applyFont="1" applyFill="1" applyBorder="1" applyAlignment="1" applyProtection="1">
      <alignment vertical="center"/>
      <protection locked="0"/>
    </xf>
    <xf numFmtId="1" fontId="3" fillId="0" borderId="910" xfId="0" applyNumberFormat="1" applyFont="1" applyBorder="1" applyAlignment="1">
      <alignment vertical="center"/>
    </xf>
    <xf numFmtId="1" fontId="3" fillId="0" borderId="911" xfId="0" applyNumberFormat="1" applyFont="1" applyBorder="1" applyAlignment="1">
      <alignment vertical="center"/>
    </xf>
    <xf numFmtId="1" fontId="3" fillId="0" borderId="913" xfId="0" applyNumberFormat="1" applyFont="1" applyBorder="1" applyAlignment="1">
      <alignment vertical="center"/>
    </xf>
    <xf numFmtId="1" fontId="3" fillId="5" borderId="302" xfId="0" applyNumberFormat="1" applyFont="1" applyFill="1" applyBorder="1" applyAlignment="1">
      <alignment vertical="center"/>
    </xf>
    <xf numFmtId="1" fontId="3" fillId="4" borderId="21" xfId="0" applyNumberFormat="1" applyFont="1" applyFill="1" applyBorder="1" applyAlignment="1" applyProtection="1">
      <alignment vertical="center"/>
      <protection locked="0"/>
    </xf>
    <xf numFmtId="1" fontId="3" fillId="4" borderId="1010" xfId="0" applyNumberFormat="1" applyFont="1" applyFill="1" applyBorder="1" applyAlignment="1" applyProtection="1">
      <alignment vertical="center"/>
      <protection locked="0"/>
    </xf>
    <xf numFmtId="1" fontId="3" fillId="0" borderId="925" xfId="0" applyNumberFormat="1" applyFont="1" applyBorder="1" applyAlignment="1">
      <alignment horizontal="center" vertical="center"/>
    </xf>
    <xf numFmtId="1" fontId="3" fillId="5" borderId="917" xfId="0" applyNumberFormat="1" applyFont="1" applyFill="1" applyBorder="1" applyAlignment="1">
      <alignment vertical="center"/>
    </xf>
    <xf numFmtId="1" fontId="3" fillId="5" borderId="354" xfId="0" applyNumberFormat="1" applyFont="1" applyFill="1" applyBorder="1" applyAlignment="1">
      <alignment vertical="center"/>
    </xf>
    <xf numFmtId="1" fontId="48" fillId="0" borderId="0" xfId="0" applyNumberFormat="1" applyFont="1" applyAlignment="1">
      <alignment wrapText="1"/>
    </xf>
    <xf numFmtId="1" fontId="27" fillId="3" borderId="672" xfId="0" applyNumberFormat="1" applyFont="1" applyFill="1" applyBorder="1"/>
    <xf numFmtId="1" fontId="3" fillId="4" borderId="931" xfId="0" applyNumberFormat="1" applyFont="1" applyFill="1" applyBorder="1" applyProtection="1">
      <protection locked="0"/>
    </xf>
    <xf numFmtId="1" fontId="3" fillId="4" borderId="916" xfId="0" applyNumberFormat="1" applyFont="1" applyFill="1" applyBorder="1" applyProtection="1">
      <protection locked="0"/>
    </xf>
    <xf numFmtId="1" fontId="0" fillId="3" borderId="278" xfId="0" applyNumberFormat="1" applyFill="1" applyBorder="1"/>
    <xf numFmtId="1" fontId="27" fillId="3" borderId="252" xfId="0" applyNumberFormat="1" applyFont="1" applyFill="1" applyBorder="1"/>
    <xf numFmtId="1" fontId="3" fillId="3" borderId="900" xfId="0" applyNumberFormat="1" applyFont="1" applyFill="1" applyBorder="1"/>
    <xf numFmtId="1" fontId="3" fillId="3" borderId="999" xfId="0" applyNumberFormat="1" applyFont="1" applyFill="1" applyBorder="1" applyAlignment="1">
      <alignment vertical="center"/>
    </xf>
    <xf numFmtId="1" fontId="3" fillId="3" borderId="999" xfId="0" applyNumberFormat="1" applyFont="1" applyFill="1" applyBorder="1"/>
    <xf numFmtId="0" fontId="4" fillId="6" borderId="1002" xfId="10" applyFont="1" applyFill="1" applyBorder="1" applyProtection="1"/>
    <xf numFmtId="1" fontId="39" fillId="29" borderId="54" xfId="2" applyNumberFormat="1" applyFont="1" applyFill="1" applyBorder="1"/>
    <xf numFmtId="1" fontId="48" fillId="0" borderId="0" xfId="2" applyNumberFormat="1" applyFont="1" applyAlignment="1">
      <alignment wrapText="1"/>
    </xf>
    <xf numFmtId="1" fontId="22" fillId="29" borderId="0" xfId="2" applyNumberFormat="1" applyFont="1" applyFill="1"/>
    <xf numFmtId="1" fontId="6" fillId="0" borderId="0" xfId="2" applyNumberFormat="1" applyFont="1"/>
    <xf numFmtId="1" fontId="3" fillId="0" borderId="60" xfId="2" applyNumberFormat="1" applyFont="1" applyBorder="1" applyAlignment="1">
      <alignment horizontal="center" vertical="center" wrapText="1"/>
    </xf>
    <xf numFmtId="1" fontId="3" fillId="0" borderId="114" xfId="2" applyNumberFormat="1" applyFont="1" applyBorder="1" applyAlignment="1">
      <alignment horizontal="center" vertical="center" wrapText="1"/>
    </xf>
    <xf numFmtId="1" fontId="3" fillId="0" borderId="216" xfId="2" applyNumberFormat="1" applyFont="1" applyBorder="1" applyAlignment="1">
      <alignment horizontal="center" vertical="center" wrapText="1"/>
    </xf>
    <xf numFmtId="1" fontId="3" fillId="0" borderId="33" xfId="2" applyNumberFormat="1" applyFont="1" applyBorder="1" applyAlignment="1">
      <alignment horizontal="center" vertical="center" wrapText="1"/>
    </xf>
    <xf numFmtId="1" fontId="3" fillId="0" borderId="34" xfId="2" applyNumberFormat="1" applyFont="1" applyBorder="1" applyAlignment="1">
      <alignment horizontal="center" vertical="center" wrapText="1"/>
    </xf>
    <xf numFmtId="1" fontId="3" fillId="0" borderId="36" xfId="2" applyNumberFormat="1" applyFont="1" applyBorder="1" applyAlignment="1">
      <alignment vertical="center"/>
    </xf>
    <xf numFmtId="1" fontId="3" fillId="0" borderId="58" xfId="2" applyNumberFormat="1" applyFont="1" applyBorder="1"/>
    <xf numFmtId="1" fontId="3" fillId="18" borderId="38" xfId="2" applyNumberFormat="1" applyFont="1" applyFill="1" applyBorder="1" applyProtection="1">
      <protection locked="0"/>
    </xf>
    <xf numFmtId="1" fontId="3" fillId="30" borderId="67" xfId="2" applyNumberFormat="1" applyFont="1" applyFill="1" applyBorder="1"/>
    <xf numFmtId="1" fontId="3" fillId="30" borderId="66" xfId="2" applyNumberFormat="1" applyFont="1" applyFill="1" applyBorder="1"/>
    <xf numFmtId="1" fontId="3" fillId="18" borderId="108" xfId="2" applyNumberFormat="1" applyFont="1" applyFill="1" applyBorder="1" applyProtection="1">
      <protection locked="0"/>
    </xf>
    <xf numFmtId="1" fontId="3" fillId="18" borderId="101" xfId="2" applyNumberFormat="1" applyFont="1" applyFill="1" applyBorder="1" applyProtection="1">
      <protection locked="0"/>
    </xf>
    <xf numFmtId="1" fontId="3" fillId="0" borderId="43" xfId="2" applyNumberFormat="1" applyFont="1" applyBorder="1" applyAlignment="1">
      <alignment vertical="center"/>
    </xf>
    <xf numFmtId="1" fontId="3" fillId="30" borderId="44" xfId="2" applyNumberFormat="1" applyFont="1" applyFill="1" applyBorder="1"/>
    <xf numFmtId="1" fontId="3" fillId="18" borderId="71" xfId="2" applyNumberFormat="1" applyFont="1" applyFill="1" applyBorder="1" applyProtection="1">
      <protection locked="0"/>
    </xf>
    <xf numFmtId="1" fontId="3" fillId="30" borderId="71" xfId="2" applyNumberFormat="1" applyFont="1" applyFill="1" applyBorder="1"/>
    <xf numFmtId="1" fontId="3" fillId="30" borderId="40" xfId="2" applyNumberFormat="1" applyFont="1" applyFill="1" applyBorder="1"/>
    <xf numFmtId="1" fontId="3" fillId="18" borderId="41" xfId="2" applyNumberFormat="1" applyFont="1" applyFill="1" applyBorder="1" applyProtection="1">
      <protection locked="0"/>
    </xf>
    <xf numFmtId="1" fontId="3" fillId="18" borderId="109" xfId="2" applyNumberFormat="1" applyFont="1" applyFill="1" applyBorder="1" applyProtection="1">
      <protection locked="0"/>
    </xf>
    <xf numFmtId="1" fontId="3" fillId="0" borderId="58" xfId="2" applyNumberFormat="1" applyFont="1" applyBorder="1" applyAlignment="1">
      <alignment vertical="center"/>
    </xf>
    <xf numFmtId="1" fontId="3" fillId="18" borderId="187" xfId="2" applyNumberFormat="1" applyFont="1" applyFill="1" applyBorder="1" applyProtection="1">
      <protection locked="0"/>
    </xf>
    <xf numFmtId="1" fontId="3" fillId="18" borderId="73" xfId="2" applyNumberFormat="1" applyFont="1" applyFill="1" applyBorder="1" applyProtection="1">
      <protection locked="0"/>
    </xf>
    <xf numFmtId="1" fontId="3" fillId="18" borderId="110" xfId="2" applyNumberFormat="1" applyFont="1" applyFill="1" applyBorder="1" applyProtection="1">
      <protection locked="0"/>
    </xf>
    <xf numFmtId="1" fontId="3" fillId="0" borderId="135" xfId="2" applyNumberFormat="1" applyFont="1" applyBorder="1" applyAlignment="1">
      <alignment vertical="center" wrapText="1"/>
    </xf>
    <xf numFmtId="1" fontId="3" fillId="0" borderId="136" xfId="2" applyNumberFormat="1" applyFont="1" applyBorder="1"/>
    <xf numFmtId="1" fontId="3" fillId="30" borderId="47" xfId="2" applyNumberFormat="1" applyFont="1" applyFill="1" applyBorder="1"/>
    <xf numFmtId="1" fontId="3" fillId="30" borderId="103" xfId="2" applyNumberFormat="1" applyFont="1" applyFill="1" applyBorder="1"/>
    <xf numFmtId="1" fontId="3" fillId="18" borderId="103" xfId="2" applyNumberFormat="1" applyFont="1" applyFill="1" applyBorder="1" applyProtection="1">
      <protection locked="0"/>
    </xf>
    <xf numFmtId="1" fontId="3" fillId="18" borderId="115" xfId="2" applyNumberFormat="1" applyFont="1" applyFill="1" applyBorder="1" applyProtection="1">
      <protection locked="0"/>
    </xf>
    <xf numFmtId="1" fontId="3" fillId="18" borderId="48" xfId="2" applyNumberFormat="1" applyFont="1" applyFill="1" applyBorder="1" applyProtection="1">
      <protection locked="0"/>
    </xf>
    <xf numFmtId="1" fontId="3" fillId="18" borderId="102" xfId="2" applyNumberFormat="1" applyFont="1" applyFill="1" applyBorder="1" applyProtection="1">
      <protection locked="0"/>
    </xf>
    <xf numFmtId="1" fontId="3" fillId="0" borderId="351" xfId="2" applyNumberFormat="1" applyFont="1" applyBorder="1" applyAlignment="1">
      <alignment vertical="center"/>
    </xf>
    <xf numFmtId="1" fontId="3" fillId="0" borderId="352" xfId="2" applyNumberFormat="1" applyFont="1" applyBorder="1"/>
    <xf numFmtId="1" fontId="3" fillId="18" borderId="112" xfId="2" applyNumberFormat="1" applyFont="1" applyFill="1" applyBorder="1" applyProtection="1">
      <protection locked="0"/>
    </xf>
    <xf numFmtId="1" fontId="3" fillId="30" borderId="111" xfId="2" applyNumberFormat="1" applyFont="1" applyFill="1" applyBorder="1"/>
    <xf numFmtId="1" fontId="3" fillId="30" borderId="52" xfId="2" applyNumberFormat="1" applyFont="1" applyFill="1" applyBorder="1"/>
    <xf numFmtId="1" fontId="3" fillId="18" borderId="113" xfId="2" applyNumberFormat="1" applyFont="1" applyFill="1" applyBorder="1" applyProtection="1">
      <protection locked="0"/>
    </xf>
    <xf numFmtId="1" fontId="3" fillId="0" borderId="119" xfId="2" applyNumberFormat="1" applyFont="1" applyBorder="1"/>
    <xf numFmtId="1" fontId="3" fillId="30" borderId="41" xfId="2" applyNumberFormat="1" applyFont="1" applyFill="1" applyBorder="1"/>
    <xf numFmtId="1" fontId="3" fillId="60" borderId="71" xfId="2" applyNumberFormat="1" applyFont="1" applyFill="1" applyBorder="1" applyProtection="1">
      <protection locked="0"/>
    </xf>
    <xf numFmtId="1" fontId="3" fillId="60" borderId="40" xfId="2" applyNumberFormat="1" applyFont="1" applyFill="1" applyBorder="1" applyProtection="1">
      <protection locked="0"/>
    </xf>
    <xf numFmtId="1" fontId="3" fillId="0" borderId="106" xfId="2" applyNumberFormat="1" applyFont="1" applyBorder="1" applyAlignment="1">
      <alignment vertical="center" wrapText="1"/>
    </xf>
    <xf numFmtId="1" fontId="3" fillId="0" borderId="137" xfId="2" applyNumberFormat="1" applyFont="1" applyBorder="1"/>
    <xf numFmtId="1" fontId="3" fillId="30" borderId="48" xfId="2" applyNumberFormat="1" applyFont="1" applyFill="1" applyBorder="1"/>
    <xf numFmtId="1" fontId="3" fillId="30" borderId="114" xfId="2" applyNumberFormat="1" applyFont="1" applyFill="1" applyBorder="1"/>
    <xf numFmtId="1" fontId="3" fillId="61" borderId="114" xfId="2" applyNumberFormat="1" applyFont="1" applyFill="1" applyBorder="1"/>
    <xf numFmtId="1" fontId="3" fillId="18" borderId="114" xfId="2" applyNumberFormat="1" applyFont="1" applyFill="1" applyBorder="1" applyProtection="1">
      <protection locked="0"/>
    </xf>
    <xf numFmtId="1" fontId="39" fillId="0" borderId="0" xfId="0" applyNumberFormat="1" applyFont="1"/>
    <xf numFmtId="1" fontId="3" fillId="0" borderId="911" xfId="0" applyNumberFormat="1" applyFont="1" applyBorder="1"/>
    <xf numFmtId="1" fontId="3" fillId="0" borderId="998" xfId="0" applyNumberFormat="1" applyFont="1" applyBorder="1"/>
    <xf numFmtId="1" fontId="27" fillId="3" borderId="1014" xfId="0" applyNumberFormat="1" applyFont="1" applyFill="1" applyBorder="1"/>
    <xf numFmtId="1" fontId="3" fillId="3" borderId="1015" xfId="0" applyNumberFormat="1" applyFont="1" applyFill="1" applyBorder="1"/>
    <xf numFmtId="1" fontId="3" fillId="3" borderId="1021" xfId="1" applyNumberFormat="1" applyFont="1" applyFill="1" applyBorder="1" applyAlignment="1">
      <alignment horizontal="right"/>
    </xf>
    <xf numFmtId="1" fontId="3" fillId="3" borderId="960" xfId="1" applyNumberFormat="1" applyFont="1" applyFill="1" applyBorder="1" applyAlignment="1">
      <alignment horizontal="right"/>
    </xf>
    <xf numFmtId="1" fontId="3" fillId="3" borderId="970" xfId="1" applyNumberFormat="1" applyFont="1" applyFill="1" applyBorder="1" applyAlignment="1">
      <alignment horizontal="right"/>
    </xf>
    <xf numFmtId="1" fontId="3" fillId="0" borderId="958" xfId="0" applyNumberFormat="1" applyFont="1" applyBorder="1" applyAlignment="1">
      <alignment horizontal="left"/>
    </xf>
    <xf numFmtId="1" fontId="3" fillId="3" borderId="1022" xfId="1" applyNumberFormat="1" applyFont="1" applyFill="1" applyBorder="1" applyAlignment="1">
      <alignment horizontal="right"/>
    </xf>
    <xf numFmtId="1" fontId="3" fillId="3" borderId="353" xfId="1" applyNumberFormat="1" applyFont="1" applyFill="1" applyBorder="1" applyAlignment="1">
      <alignment horizontal="right"/>
    </xf>
    <xf numFmtId="1" fontId="3" fillId="3" borderId="2" xfId="1" applyNumberFormat="1" applyFont="1" applyFill="1" applyBorder="1" applyAlignment="1">
      <alignment horizontal="right"/>
    </xf>
    <xf numFmtId="1" fontId="3" fillId="3" borderId="983" xfId="1" applyNumberFormat="1" applyFont="1" applyFill="1" applyBorder="1" applyAlignment="1">
      <alignment horizontal="right"/>
    </xf>
    <xf numFmtId="1" fontId="3" fillId="3" borderId="918" xfId="1" applyNumberFormat="1" applyFont="1" applyFill="1" applyBorder="1" applyAlignment="1">
      <alignment horizontal="right"/>
    </xf>
    <xf numFmtId="1" fontId="3" fillId="3" borderId="926" xfId="1" applyNumberFormat="1" applyFont="1" applyFill="1" applyBorder="1" applyAlignment="1">
      <alignment horizontal="right"/>
    </xf>
    <xf numFmtId="1" fontId="3" fillId="3" borderId="917" xfId="1" applyNumberFormat="1" applyFont="1" applyFill="1" applyBorder="1" applyAlignment="1">
      <alignment horizontal="right"/>
    </xf>
    <xf numFmtId="1" fontId="3" fillId="3" borderId="988" xfId="1" applyNumberFormat="1" applyFont="1" applyFill="1" applyBorder="1" applyAlignment="1">
      <alignment horizontal="right"/>
    </xf>
    <xf numFmtId="1" fontId="3" fillId="3" borderId="969" xfId="1" applyNumberFormat="1" applyFont="1" applyFill="1" applyBorder="1" applyAlignment="1">
      <alignment horizontal="right"/>
    </xf>
    <xf numFmtId="1" fontId="3" fillId="3" borderId="354" xfId="1" applyNumberFormat="1" applyFont="1" applyFill="1" applyBorder="1" applyAlignment="1">
      <alignment horizontal="right"/>
    </xf>
    <xf numFmtId="1" fontId="0" fillId="31" borderId="0" xfId="0" applyNumberFormat="1" applyFill="1"/>
    <xf numFmtId="1" fontId="4" fillId="3" borderId="0" xfId="0" applyNumberFormat="1" applyFont="1" applyFill="1" applyAlignment="1">
      <alignment vertical="center" wrapText="1"/>
    </xf>
    <xf numFmtId="1" fontId="4" fillId="0" borderId="1016" xfId="0" applyNumberFormat="1" applyFont="1" applyBorder="1"/>
    <xf numFmtId="1" fontId="3" fillId="0" borderId="1019" xfId="0" applyNumberFormat="1" applyFont="1" applyBorder="1"/>
    <xf numFmtId="1" fontId="3" fillId="4" borderId="1019" xfId="0" applyNumberFormat="1" applyFont="1" applyFill="1" applyBorder="1" applyProtection="1">
      <protection locked="0"/>
    </xf>
    <xf numFmtId="1" fontId="3" fillId="4" borderId="911" xfId="0" applyNumberFormat="1" applyFont="1" applyFill="1" applyBorder="1" applyProtection="1">
      <protection locked="0"/>
    </xf>
    <xf numFmtId="1" fontId="3" fillId="0" borderId="276" xfId="0" applyNumberFormat="1" applyFont="1" applyBorder="1" applyAlignment="1">
      <alignment vertical="center" wrapText="1"/>
    </xf>
    <xf numFmtId="1" fontId="3" fillId="0" borderId="960" xfId="0" applyNumberFormat="1" applyFont="1" applyBorder="1" applyAlignment="1">
      <alignment vertical="center" wrapText="1"/>
    </xf>
    <xf numFmtId="1" fontId="3" fillId="3" borderId="958" xfId="0" applyNumberFormat="1" applyFont="1" applyFill="1" applyBorder="1" applyAlignment="1">
      <alignment vertical="center" wrapText="1"/>
    </xf>
    <xf numFmtId="1" fontId="3" fillId="3" borderId="983" xfId="0" applyNumberFormat="1" applyFont="1" applyFill="1" applyBorder="1" applyAlignment="1">
      <alignment vertical="center" wrapText="1"/>
    </xf>
    <xf numFmtId="1" fontId="3" fillId="0" borderId="966" xfId="0" applyNumberFormat="1" applyFont="1" applyBorder="1"/>
    <xf numFmtId="1" fontId="3" fillId="3" borderId="1028" xfId="0" applyNumberFormat="1" applyFont="1" applyFill="1" applyBorder="1" applyAlignment="1">
      <alignment vertical="center" wrapText="1"/>
    </xf>
    <xf numFmtId="1" fontId="3" fillId="0" borderId="1027" xfId="0" applyNumberFormat="1" applyFont="1" applyBorder="1"/>
    <xf numFmtId="1" fontId="3" fillId="3" borderId="133" xfId="0" applyNumberFormat="1" applyFont="1" applyFill="1" applyBorder="1" applyAlignment="1">
      <alignment vertical="center" wrapText="1"/>
    </xf>
    <xf numFmtId="1" fontId="3" fillId="0" borderId="966" xfId="0" applyNumberFormat="1" applyFont="1" applyBorder="1" applyAlignment="1">
      <alignment vertical="center" wrapText="1"/>
    </xf>
    <xf numFmtId="1" fontId="0" fillId="12" borderId="0" xfId="0" applyNumberFormat="1" applyFill="1"/>
    <xf numFmtId="1" fontId="3" fillId="4" borderId="1019" xfId="0" applyNumberFormat="1" applyFont="1" applyFill="1" applyBorder="1" applyAlignment="1" applyProtection="1">
      <alignment horizontal="right"/>
      <protection locked="0"/>
    </xf>
    <xf numFmtId="1" fontId="3" fillId="4" borderId="964" xfId="0" applyNumberFormat="1" applyFont="1" applyFill="1" applyBorder="1" applyAlignment="1" applyProtection="1">
      <alignment horizontal="right"/>
      <protection locked="0"/>
    </xf>
    <xf numFmtId="1" fontId="3" fillId="4" borderId="924" xfId="0" applyNumberFormat="1" applyFont="1" applyFill="1" applyBorder="1" applyAlignment="1" applyProtection="1">
      <alignment horizontal="right"/>
      <protection locked="0"/>
    </xf>
    <xf numFmtId="1" fontId="3" fillId="4" borderId="910" xfId="0" applyNumberFormat="1" applyFont="1" applyFill="1" applyBorder="1" applyAlignment="1" applyProtection="1">
      <alignment horizontal="right"/>
      <protection locked="0"/>
    </xf>
    <xf numFmtId="1" fontId="3" fillId="4" borderId="998" xfId="0" applyNumberFormat="1" applyFont="1" applyFill="1" applyBorder="1" applyAlignment="1" applyProtection="1">
      <alignment horizontal="right"/>
      <protection locked="0"/>
    </xf>
    <xf numFmtId="1" fontId="8" fillId="10" borderId="0" xfId="0" applyNumberFormat="1" applyFont="1" applyFill="1"/>
    <xf numFmtId="1" fontId="3" fillId="5" borderId="970" xfId="0" applyNumberFormat="1" applyFont="1" applyFill="1" applyBorder="1" applyAlignment="1">
      <alignment horizontal="left"/>
    </xf>
    <xf numFmtId="1" fontId="3" fillId="5" borderId="983" xfId="0" applyNumberFormat="1" applyFont="1" applyFill="1" applyBorder="1" applyAlignment="1">
      <alignment horizontal="right"/>
    </xf>
    <xf numFmtId="1" fontId="3" fillId="5" borderId="970" xfId="0" applyNumberFormat="1" applyFont="1" applyFill="1" applyBorder="1" applyAlignment="1">
      <alignment horizontal="left" wrapText="1"/>
    </xf>
    <xf numFmtId="1" fontId="3" fillId="5" borderId="983" xfId="0" applyNumberFormat="1" applyFont="1" applyFill="1" applyBorder="1" applyAlignment="1">
      <alignment horizontal="right" wrapText="1"/>
    </xf>
    <xf numFmtId="1" fontId="3" fillId="5" borderId="983" xfId="0" applyNumberFormat="1" applyFont="1" applyFill="1" applyBorder="1" applyAlignment="1">
      <alignment horizontal="right" vertical="center" wrapText="1"/>
    </xf>
    <xf numFmtId="1" fontId="3" fillId="5" borderId="958" xfId="0" applyNumberFormat="1" applyFont="1" applyFill="1" applyBorder="1" applyAlignment="1">
      <alignment horizontal="left"/>
    </xf>
    <xf numFmtId="1" fontId="3" fillId="5" borderId="9" xfId="0" applyNumberFormat="1" applyFont="1" applyFill="1" applyBorder="1" applyAlignment="1">
      <alignment horizontal="right"/>
    </xf>
    <xf numFmtId="1" fontId="3" fillId="0" borderId="133" xfId="0" applyNumberFormat="1" applyFont="1" applyBorder="1" applyAlignment="1">
      <alignment horizontal="right" vertical="center"/>
    </xf>
    <xf numFmtId="1" fontId="3" fillId="0" borderId="276" xfId="0" applyNumberFormat="1" applyFont="1" applyBorder="1" applyAlignment="1">
      <alignment vertical="center"/>
    </xf>
    <xf numFmtId="1" fontId="3" fillId="0" borderId="988" xfId="0" applyNumberFormat="1" applyFont="1" applyBorder="1" applyAlignment="1">
      <alignment vertical="center"/>
    </xf>
    <xf numFmtId="1" fontId="3" fillId="0" borderId="0" xfId="0" applyNumberFormat="1" applyFont="1" applyAlignment="1">
      <alignment horizontal="left" vertical="center"/>
    </xf>
    <xf numFmtId="1" fontId="3" fillId="5" borderId="963" xfId="0" applyNumberFormat="1" applyFont="1" applyFill="1" applyBorder="1" applyAlignment="1">
      <alignment horizontal="center" vertical="center" wrapText="1"/>
    </xf>
    <xf numFmtId="1" fontId="3" fillId="0" borderId="302" xfId="0" applyNumberFormat="1" applyFont="1" applyBorder="1" applyAlignment="1">
      <alignment horizontal="left"/>
    </xf>
    <xf numFmtId="1" fontId="3" fillId="4" borderId="268" xfId="0" applyNumberFormat="1" applyFont="1" applyFill="1" applyBorder="1" applyAlignment="1" applyProtection="1">
      <alignment wrapText="1"/>
      <protection locked="0"/>
    </xf>
    <xf numFmtId="1" fontId="3" fillId="4" borderId="985" xfId="0" applyNumberFormat="1" applyFont="1" applyFill="1" applyBorder="1" applyAlignment="1" applyProtection="1">
      <alignment wrapText="1"/>
      <protection locked="0"/>
    </xf>
    <xf numFmtId="1" fontId="3" fillId="4" borderId="986" xfId="0" applyNumberFormat="1" applyFont="1" applyFill="1" applyBorder="1" applyAlignment="1" applyProtection="1">
      <alignment wrapText="1"/>
      <protection locked="0"/>
    </xf>
    <xf numFmtId="1" fontId="3" fillId="4" borderId="969" xfId="0" applyNumberFormat="1" applyFont="1" applyFill="1" applyBorder="1" applyAlignment="1" applyProtection="1">
      <alignment wrapText="1"/>
      <protection locked="0"/>
    </xf>
    <xf numFmtId="1" fontId="3" fillId="4" borderId="990" xfId="0" applyNumberFormat="1" applyFont="1" applyFill="1" applyBorder="1" applyAlignment="1" applyProtection="1">
      <alignment wrapText="1"/>
      <protection locked="0"/>
    </xf>
    <xf numFmtId="1" fontId="3" fillId="4" borderId="968" xfId="0" applyNumberFormat="1" applyFont="1" applyFill="1" applyBorder="1" applyAlignment="1" applyProtection="1">
      <alignment wrapText="1"/>
      <protection locked="0"/>
    </xf>
    <xf numFmtId="1" fontId="3" fillId="3" borderId="909" xfId="0" applyNumberFormat="1" applyFont="1" applyFill="1" applyBorder="1" applyAlignment="1">
      <alignment horizontal="center" wrapText="1"/>
    </xf>
    <xf numFmtId="1" fontId="3" fillId="3" borderId="1016" xfId="0" applyNumberFormat="1" applyFont="1" applyFill="1" applyBorder="1" applyAlignment="1">
      <alignment horizontal="right" wrapText="1"/>
    </xf>
    <xf numFmtId="1" fontId="3" fillId="0" borderId="359" xfId="0" applyNumberFormat="1" applyFont="1" applyBorder="1" applyAlignment="1">
      <alignment wrapText="1"/>
    </xf>
    <xf numFmtId="1" fontId="3" fillId="0" borderId="968" xfId="0" applyNumberFormat="1" applyFont="1" applyBorder="1" applyAlignment="1">
      <alignment wrapText="1"/>
    </xf>
    <xf numFmtId="1" fontId="3" fillId="5" borderId="1019" xfId="0" applyNumberFormat="1" applyFont="1" applyFill="1" applyBorder="1" applyAlignment="1">
      <alignment horizontal="center" vertical="center"/>
    </xf>
    <xf numFmtId="1" fontId="3" fillId="5" borderId="915" xfId="0" applyNumberFormat="1" applyFont="1" applyFill="1" applyBorder="1" applyAlignment="1">
      <alignment horizontal="center" vertical="center"/>
    </xf>
    <xf numFmtId="1" fontId="3" fillId="5" borderId="911" xfId="0" applyNumberFormat="1" applyFont="1" applyFill="1" applyBorder="1" applyAlignment="1">
      <alignment horizontal="center" vertical="center"/>
    </xf>
    <xf numFmtId="1" fontId="3" fillId="5" borderId="1019" xfId="0" applyNumberFormat="1" applyFont="1" applyFill="1" applyBorder="1" applyAlignment="1">
      <alignment horizontal="center" vertical="center" wrapText="1"/>
    </xf>
    <xf numFmtId="1" fontId="3" fillId="4" borderId="959" xfId="0" applyNumberFormat="1" applyFont="1" applyFill="1" applyBorder="1" applyAlignment="1" applyProtection="1">
      <alignment wrapText="1"/>
      <protection locked="0"/>
    </xf>
    <xf numFmtId="1" fontId="3" fillId="5" borderId="962" xfId="0" applyNumberFormat="1" applyFont="1" applyFill="1" applyBorder="1"/>
    <xf numFmtId="1" fontId="3" fillId="3" borderId="1016" xfId="0" applyNumberFormat="1" applyFont="1" applyFill="1" applyBorder="1"/>
    <xf numFmtId="1" fontId="3" fillId="5" borderId="1019" xfId="0" applyNumberFormat="1" applyFont="1" applyFill="1" applyBorder="1"/>
    <xf numFmtId="1" fontId="3" fillId="5" borderId="915" xfId="0" applyNumberFormat="1" applyFont="1" applyFill="1" applyBorder="1"/>
    <xf numFmtId="1" fontId="3" fillId="5" borderId="911" xfId="0" applyNumberFormat="1" applyFont="1" applyFill="1" applyBorder="1"/>
    <xf numFmtId="1" fontId="3" fillId="5" borderId="963" xfId="0" applyNumberFormat="1" applyFont="1" applyFill="1" applyBorder="1"/>
    <xf numFmtId="1" fontId="3" fillId="3" borderId="963" xfId="0" applyNumberFormat="1" applyFont="1" applyFill="1" applyBorder="1"/>
    <xf numFmtId="1" fontId="3" fillId="3" borderId="924" xfId="0" applyNumberFormat="1" applyFont="1" applyFill="1" applyBorder="1"/>
    <xf numFmtId="1" fontId="3" fillId="3" borderId="1019" xfId="0" applyNumberFormat="1" applyFont="1" applyFill="1" applyBorder="1"/>
    <xf numFmtId="1" fontId="6" fillId="3" borderId="0" xfId="0" applyNumberFormat="1" applyFont="1" applyFill="1" applyAlignment="1">
      <alignment horizontal="left" wrapText="1"/>
    </xf>
    <xf numFmtId="1" fontId="3" fillId="20" borderId="958" xfId="0" applyNumberFormat="1" applyFont="1" applyFill="1" applyBorder="1" applyAlignment="1">
      <alignment horizontal="left" wrapText="1"/>
    </xf>
    <xf numFmtId="1" fontId="3" fillId="0" borderId="162" xfId="0" applyNumberFormat="1" applyFont="1" applyBorder="1" applyAlignment="1">
      <alignment horizontal="left" wrapText="1"/>
    </xf>
    <xf numFmtId="1" fontId="3" fillId="3" borderId="964" xfId="0" applyNumberFormat="1" applyFont="1" applyFill="1" applyBorder="1"/>
    <xf numFmtId="1" fontId="3" fillId="3" borderId="1016" xfId="0" applyNumberFormat="1" applyFont="1" applyFill="1" applyBorder="1" applyAlignment="1">
      <alignment horizontal="center" vertical="center"/>
    </xf>
    <xf numFmtId="1" fontId="3" fillId="3" borderId="1016" xfId="0" applyNumberFormat="1" applyFont="1" applyFill="1" applyBorder="1" applyAlignment="1">
      <alignment horizontal="center" wrapText="1"/>
    </xf>
    <xf numFmtId="1" fontId="2" fillId="3" borderId="0" xfId="0" applyNumberFormat="1" applyFont="1" applyFill="1" applyAlignment="1">
      <alignment horizontal="center" vertical="center" wrapText="1"/>
    </xf>
    <xf numFmtId="1" fontId="3" fillId="3" borderId="899" xfId="0" applyNumberFormat="1" applyFont="1" applyFill="1" applyBorder="1" applyAlignment="1">
      <alignment vertical="center"/>
    </xf>
    <xf numFmtId="1" fontId="3" fillId="3" borderId="1017" xfId="0" applyNumberFormat="1" applyFont="1" applyFill="1" applyBorder="1" applyAlignment="1">
      <alignment vertical="center"/>
    </xf>
    <xf numFmtId="1" fontId="3" fillId="3" borderId="1018" xfId="0" applyNumberFormat="1" applyFont="1" applyFill="1" applyBorder="1"/>
    <xf numFmtId="1" fontId="3" fillId="4" borderId="1028" xfId="0" applyNumberFormat="1" applyFont="1" applyFill="1" applyBorder="1" applyProtection="1">
      <protection locked="0"/>
    </xf>
    <xf numFmtId="1" fontId="6" fillId="0" borderId="1031" xfId="0" applyNumberFormat="1" applyFont="1" applyBorder="1" applyProtection="1">
      <protection locked="0"/>
    </xf>
    <xf numFmtId="1" fontId="6" fillId="0" borderId="1032" xfId="0" applyNumberFormat="1" applyFont="1" applyBorder="1" applyAlignment="1">
      <alignment vertical="center"/>
    </xf>
    <xf numFmtId="1" fontId="6" fillId="0" borderId="1031" xfId="0" applyNumberFormat="1" applyFont="1" applyBorder="1"/>
    <xf numFmtId="1" fontId="6" fillId="0" borderId="1033" xfId="0" applyNumberFormat="1" applyFont="1" applyBorder="1"/>
    <xf numFmtId="1" fontId="3" fillId="0" borderId="1016" xfId="0" applyNumberFormat="1" applyFont="1" applyBorder="1" applyAlignment="1">
      <alignment horizontal="left" vertical="center"/>
    </xf>
    <xf numFmtId="1" fontId="6" fillId="0" borderId="1034" xfId="0" applyNumberFormat="1" applyFont="1" applyBorder="1"/>
    <xf numFmtId="1" fontId="6" fillId="0" borderId="1035" xfId="0" applyNumberFormat="1" applyFont="1" applyBorder="1"/>
    <xf numFmtId="1" fontId="6" fillId="0" borderId="1036" xfId="0" applyNumberFormat="1" applyFont="1" applyBorder="1"/>
    <xf numFmtId="1" fontId="3" fillId="3" borderId="1019" xfId="0" applyNumberFormat="1" applyFont="1" applyFill="1" applyBorder="1" applyAlignment="1">
      <alignment horizontal="center" vertical="center" wrapText="1"/>
    </xf>
    <xf numFmtId="1" fontId="3" fillId="3" borderId="1037" xfId="0" applyNumberFormat="1" applyFont="1" applyFill="1" applyBorder="1" applyAlignment="1">
      <alignment horizontal="center" vertical="center" wrapText="1"/>
    </xf>
    <xf numFmtId="1" fontId="3" fillId="3" borderId="1029" xfId="0" applyNumberFormat="1" applyFont="1" applyFill="1" applyBorder="1" applyAlignment="1">
      <alignment horizontal="center" vertical="center" wrapText="1"/>
    </xf>
    <xf numFmtId="1" fontId="3" fillId="0" borderId="1007" xfId="0" applyNumberFormat="1" applyFont="1" applyBorder="1" applyAlignment="1">
      <alignment horizontal="center" vertical="center" wrapText="1"/>
    </xf>
    <xf numFmtId="1" fontId="3" fillId="0" borderId="967" xfId="0" applyNumberFormat="1" applyFont="1" applyBorder="1" applyAlignment="1">
      <alignment horizontal="center" vertical="center" wrapText="1"/>
    </xf>
    <xf numFmtId="1" fontId="3" fillId="0" borderId="961" xfId="0" applyNumberFormat="1" applyFont="1" applyBorder="1" applyAlignment="1">
      <alignment horizontal="center" vertical="center" wrapText="1"/>
    </xf>
    <xf numFmtId="1" fontId="3" fillId="3" borderId="900" xfId="0" applyNumberFormat="1" applyFont="1" applyFill="1" applyBorder="1" applyAlignment="1">
      <alignment horizontal="left" wrapText="1"/>
    </xf>
    <xf numFmtId="1" fontId="3" fillId="3" borderId="934" xfId="0" applyNumberFormat="1" applyFont="1" applyFill="1" applyBorder="1" applyAlignment="1">
      <alignment horizontal="right" wrapText="1"/>
    </xf>
    <xf numFmtId="1" fontId="3" fillId="3" borderId="6" xfId="0" applyNumberFormat="1" applyFont="1" applyFill="1" applyBorder="1" applyAlignment="1">
      <alignment horizontal="right" wrapText="1"/>
    </xf>
    <xf numFmtId="1" fontId="3" fillId="5" borderId="1018" xfId="0" applyNumberFormat="1" applyFont="1" applyFill="1" applyBorder="1" applyAlignment="1">
      <alignment horizontal="left"/>
    </xf>
    <xf numFmtId="1" fontId="3" fillId="0" borderId="1016" xfId="0" applyNumberFormat="1" applyFont="1" applyBorder="1" applyAlignment="1">
      <alignment horizontal="center"/>
    </xf>
    <xf numFmtId="1" fontId="3" fillId="3" borderId="1019" xfId="0" applyNumberFormat="1" applyFont="1" applyFill="1" applyBorder="1" applyAlignment="1">
      <alignment horizontal="right" wrapText="1"/>
    </xf>
    <xf numFmtId="1" fontId="3" fillId="3" borderId="915" xfId="0" applyNumberFormat="1" applyFont="1" applyFill="1" applyBorder="1" applyAlignment="1">
      <alignment horizontal="right" wrapText="1"/>
    </xf>
    <xf numFmtId="1" fontId="3" fillId="3" borderId="910" xfId="0" applyNumberFormat="1" applyFont="1" applyFill="1" applyBorder="1" applyAlignment="1">
      <alignment horizontal="right" wrapText="1"/>
    </xf>
    <xf numFmtId="1" fontId="3" fillId="3" borderId="9" xfId="0" applyNumberFormat="1" applyFont="1" applyFill="1" applyBorder="1" applyAlignment="1">
      <alignment horizontal="right" wrapText="1"/>
    </xf>
    <xf numFmtId="1" fontId="3" fillId="3" borderId="967" xfId="0" applyNumberFormat="1" applyFont="1" applyFill="1" applyBorder="1" applyAlignment="1">
      <alignment horizontal="right" wrapText="1"/>
    </xf>
    <xf numFmtId="1" fontId="3" fillId="3" borderId="367" xfId="0" applyNumberFormat="1" applyFont="1" applyFill="1" applyBorder="1" applyAlignment="1">
      <alignment horizontal="right" wrapText="1"/>
    </xf>
    <xf numFmtId="1" fontId="3" fillId="5" borderId="1018" xfId="0" applyNumberFormat="1" applyFont="1" applyFill="1" applyBorder="1"/>
    <xf numFmtId="1" fontId="3" fillId="3" borderId="1018" xfId="0" applyNumberFormat="1" applyFont="1" applyFill="1" applyBorder="1" applyAlignment="1">
      <alignment horizontal="center" wrapText="1"/>
    </xf>
    <xf numFmtId="1" fontId="3" fillId="5" borderId="1016" xfId="0" applyNumberFormat="1" applyFont="1" applyFill="1" applyBorder="1"/>
    <xf numFmtId="1" fontId="3" fillId="0" borderId="968" xfId="0" applyNumberFormat="1" applyFont="1" applyBorder="1"/>
    <xf numFmtId="1" fontId="3" fillId="0" borderId="967" xfId="0" applyNumberFormat="1" applyFont="1" applyBorder="1"/>
    <xf numFmtId="1" fontId="3" fillId="0" borderId="961" xfId="0" applyNumberFormat="1" applyFont="1" applyBorder="1"/>
    <xf numFmtId="1" fontId="3" fillId="0" borderId="988" xfId="0" applyNumberFormat="1" applyFont="1" applyBorder="1"/>
    <xf numFmtId="1" fontId="3" fillId="5" borderId="746" xfId="0" applyNumberFormat="1" applyFont="1" applyFill="1" applyBorder="1"/>
    <xf numFmtId="1" fontId="3" fillId="3" borderId="958" xfId="0" applyNumberFormat="1" applyFont="1" applyFill="1" applyBorder="1" applyAlignment="1">
      <alignment wrapText="1"/>
    </xf>
    <xf numFmtId="1" fontId="3" fillId="3" borderId="1017" xfId="0" applyNumberFormat="1" applyFont="1" applyFill="1" applyBorder="1" applyAlignment="1">
      <alignment horizontal="center" wrapText="1"/>
    </xf>
    <xf numFmtId="1" fontId="3" fillId="0" borderId="1018" xfId="0" applyNumberFormat="1" applyFont="1" applyBorder="1"/>
    <xf numFmtId="0" fontId="3" fillId="0" borderId="958" xfId="0" applyFont="1" applyBorder="1" applyAlignment="1">
      <alignment vertical="center" wrapText="1"/>
    </xf>
    <xf numFmtId="0" fontId="3" fillId="0" borderId="1018" xfId="0" applyFont="1" applyBorder="1" applyAlignment="1">
      <alignment vertical="center" wrapText="1"/>
    </xf>
    <xf numFmtId="1" fontId="3" fillId="0" borderId="1018" xfId="0" applyNumberFormat="1" applyFont="1" applyBorder="1" applyAlignment="1">
      <alignment horizontal="right" vertical="center" wrapText="1"/>
    </xf>
    <xf numFmtId="1" fontId="6" fillId="0" borderId="0" xfId="0" applyNumberFormat="1" applyFont="1" applyAlignment="1">
      <alignment horizontal="right" vertical="center" wrapText="1"/>
    </xf>
    <xf numFmtId="1" fontId="3" fillId="0" borderId="1018" xfId="0" applyNumberFormat="1" applyFont="1" applyBorder="1" applyAlignment="1">
      <alignment horizontal="left"/>
    </xf>
    <xf numFmtId="1" fontId="31" fillId="35" borderId="0" xfId="33" applyNumberFormat="1" applyFont="1"/>
    <xf numFmtId="0" fontId="3" fillId="0" borderId="900" xfId="0" applyFont="1" applyBorder="1" applyAlignment="1">
      <alignment horizontal="left" vertical="center" wrapText="1"/>
    </xf>
    <xf numFmtId="0" fontId="3" fillId="0" borderId="917" xfId="0" applyFont="1" applyBorder="1" applyAlignment="1">
      <alignment vertical="center"/>
    </xf>
    <xf numFmtId="1" fontId="3" fillId="6" borderId="918" xfId="11" applyNumberFormat="1" applyFont="1" applyFill="1" applyBorder="1"/>
    <xf numFmtId="1" fontId="3" fillId="9" borderId="699" xfId="11" applyNumberFormat="1" applyFont="1" applyBorder="1" applyProtection="1">
      <protection locked="0"/>
    </xf>
    <xf numFmtId="1" fontId="3" fillId="9" borderId="728" xfId="11" applyNumberFormat="1" applyFont="1" applyBorder="1" applyProtection="1">
      <protection locked="0"/>
    </xf>
    <xf numFmtId="1" fontId="3" fillId="9" borderId="965" xfId="11" applyNumberFormat="1" applyFont="1" applyBorder="1" applyProtection="1">
      <protection locked="0"/>
    </xf>
    <xf numFmtId="1" fontId="3" fillId="9" borderId="933" xfId="11" applyNumberFormat="1" applyFont="1" applyBorder="1" applyProtection="1">
      <protection locked="0"/>
    </xf>
    <xf numFmtId="1" fontId="3" fillId="9" borderId="917" xfId="11" applyNumberFormat="1" applyFont="1" applyBorder="1" applyProtection="1">
      <protection locked="0"/>
    </xf>
    <xf numFmtId="0" fontId="3" fillId="0" borderId="354" xfId="0" applyFont="1" applyBorder="1" applyAlignment="1">
      <alignment vertical="center"/>
    </xf>
    <xf numFmtId="1" fontId="3" fillId="6" borderId="988" xfId="11" applyNumberFormat="1" applyFont="1" applyFill="1" applyBorder="1"/>
    <xf numFmtId="1" fontId="3" fillId="9" borderId="967" xfId="11" applyNumberFormat="1" applyFont="1" applyBorder="1" applyProtection="1">
      <protection locked="0"/>
    </xf>
    <xf numFmtId="1" fontId="3" fillId="9" borderId="990" xfId="11" applyNumberFormat="1" applyFont="1" applyBorder="1" applyProtection="1">
      <protection locked="0"/>
    </xf>
    <xf numFmtId="1" fontId="3" fillId="9" borderId="968" xfId="11" applyNumberFormat="1" applyFont="1" applyBorder="1" applyProtection="1">
      <protection locked="0"/>
    </xf>
    <xf numFmtId="1" fontId="3" fillId="9" borderId="359" xfId="11" applyNumberFormat="1" applyFont="1" applyBorder="1" applyProtection="1">
      <protection locked="0"/>
    </xf>
    <xf numFmtId="1" fontId="3" fillId="9" borderId="354" xfId="11" applyNumberFormat="1" applyFont="1" applyBorder="1" applyProtection="1">
      <protection locked="0"/>
    </xf>
    <xf numFmtId="1" fontId="3" fillId="9" borderId="918" xfId="11" applyNumberFormat="1" applyFont="1" applyBorder="1" applyProtection="1">
      <protection locked="0"/>
    </xf>
    <xf numFmtId="1" fontId="3" fillId="9" borderId="988" xfId="11" applyNumberFormat="1" applyFont="1" applyBorder="1" applyProtection="1">
      <protection locked="0"/>
    </xf>
    <xf numFmtId="1" fontId="1" fillId="3" borderId="0" xfId="0" applyNumberFormat="1" applyFont="1" applyFill="1" applyAlignment="1">
      <alignment horizontal="left"/>
    </xf>
    <xf numFmtId="1" fontId="3" fillId="0" borderId="925" xfId="0" applyNumberFormat="1" applyFont="1" applyBorder="1" applyAlignment="1">
      <alignment vertical="center" wrapText="1"/>
    </xf>
    <xf numFmtId="1" fontId="3" fillId="0" borderId="990" xfId="0" applyNumberFormat="1" applyFont="1" applyBorder="1"/>
    <xf numFmtId="1" fontId="3" fillId="0" borderId="926" xfId="0" applyNumberFormat="1" applyFont="1" applyBorder="1"/>
    <xf numFmtId="1" fontId="3" fillId="0" borderId="981" xfId="0" applyNumberFormat="1" applyFont="1" applyBorder="1"/>
    <xf numFmtId="1" fontId="3" fillId="36" borderId="965" xfId="0" applyNumberFormat="1" applyFont="1" applyFill="1" applyBorder="1" applyProtection="1">
      <protection locked="0"/>
    </xf>
    <xf numFmtId="1" fontId="3" fillId="36" borderId="717" xfId="0" applyNumberFormat="1" applyFont="1" applyFill="1" applyBorder="1" applyProtection="1">
      <protection locked="0"/>
    </xf>
    <xf numFmtId="1" fontId="3" fillId="36" borderId="926" xfId="0" applyNumberFormat="1" applyFont="1" applyFill="1" applyBorder="1" applyProtection="1">
      <protection locked="0"/>
    </xf>
    <xf numFmtId="1" fontId="3" fillId="36" borderId="918" xfId="0" applyNumberFormat="1" applyFont="1" applyFill="1" applyBorder="1" applyProtection="1">
      <protection locked="0"/>
    </xf>
    <xf numFmtId="1" fontId="3" fillId="0" borderId="364" xfId="0" applyNumberFormat="1" applyFont="1" applyBorder="1"/>
    <xf numFmtId="1" fontId="3" fillId="36" borderId="356" xfId="0" applyNumberFormat="1" applyFont="1" applyFill="1" applyBorder="1" applyProtection="1">
      <protection locked="0"/>
    </xf>
    <xf numFmtId="1" fontId="3" fillId="36" borderId="361" xfId="0" applyNumberFormat="1" applyFont="1" applyFill="1" applyBorder="1" applyProtection="1">
      <protection locked="0"/>
    </xf>
    <xf numFmtId="1" fontId="3" fillId="36" borderId="353" xfId="0" applyNumberFormat="1" applyFont="1" applyFill="1" applyBorder="1" applyProtection="1">
      <protection locked="0"/>
    </xf>
    <xf numFmtId="1" fontId="3" fillId="36" borderId="204" xfId="0" applyNumberFormat="1" applyFont="1" applyFill="1" applyBorder="1" applyProtection="1">
      <protection locked="0"/>
    </xf>
    <xf numFmtId="1" fontId="3" fillId="0" borderId="982" xfId="0" applyNumberFormat="1" applyFont="1" applyBorder="1" applyAlignment="1">
      <alignment wrapText="1"/>
    </xf>
    <xf numFmtId="1" fontId="3" fillId="0" borderId="960" xfId="0" applyNumberFormat="1" applyFont="1" applyBorder="1"/>
    <xf numFmtId="1" fontId="3" fillId="0" borderId="983" xfId="0" applyNumberFormat="1" applyFont="1" applyBorder="1"/>
    <xf numFmtId="1" fontId="3" fillId="0" borderId="984" xfId="0" applyNumberFormat="1" applyFont="1" applyBorder="1"/>
    <xf numFmtId="1" fontId="3" fillId="36" borderId="986" xfId="0" applyNumberFormat="1" applyFont="1" applyFill="1" applyBorder="1" applyProtection="1">
      <protection locked="0"/>
    </xf>
    <xf numFmtId="1" fontId="3" fillId="36" borderId="966" xfId="0" applyNumberFormat="1" applyFont="1" applyFill="1" applyBorder="1" applyProtection="1">
      <protection locked="0"/>
    </xf>
    <xf numFmtId="1" fontId="3" fillId="36" borderId="960" xfId="0" applyNumberFormat="1" applyFont="1" applyFill="1" applyBorder="1" applyProtection="1">
      <protection locked="0"/>
    </xf>
    <xf numFmtId="1" fontId="3" fillId="36" borderId="983" xfId="0" applyNumberFormat="1" applyFont="1" applyFill="1" applyBorder="1" applyProtection="1">
      <protection locked="0"/>
    </xf>
    <xf numFmtId="1" fontId="3" fillId="0" borderId="989" xfId="0" applyNumberFormat="1" applyFont="1" applyBorder="1"/>
    <xf numFmtId="1" fontId="3" fillId="36" borderId="968" xfId="0" applyNumberFormat="1" applyFont="1" applyFill="1" applyBorder="1" applyProtection="1">
      <protection locked="0"/>
    </xf>
    <xf numFmtId="1" fontId="3" fillId="36" borderId="961" xfId="0" applyNumberFormat="1" applyFont="1" applyFill="1" applyBorder="1" applyProtection="1">
      <protection locked="0"/>
    </xf>
    <xf numFmtId="1" fontId="3" fillId="36" borderId="969" xfId="0" applyNumberFormat="1" applyFont="1" applyFill="1" applyBorder="1" applyProtection="1">
      <protection locked="0"/>
    </xf>
    <xf numFmtId="1" fontId="3" fillId="36" borderId="988" xfId="0" applyNumberFormat="1" applyFont="1" applyFill="1" applyBorder="1" applyProtection="1">
      <protection locked="0"/>
    </xf>
    <xf numFmtId="1" fontId="3" fillId="0" borderId="1068" xfId="0" applyNumberFormat="1" applyFont="1" applyBorder="1" applyAlignment="1">
      <alignment vertical="center" wrapText="1"/>
    </xf>
    <xf numFmtId="1" fontId="3" fillId="0" borderId="911" xfId="0" applyNumberFormat="1" applyFont="1" applyBorder="1" applyAlignment="1">
      <alignment vertical="center" wrapText="1"/>
    </xf>
    <xf numFmtId="1" fontId="3" fillId="3" borderId="0" xfId="0" applyNumberFormat="1" applyFont="1" applyFill="1" applyProtection="1">
      <protection hidden="1"/>
    </xf>
    <xf numFmtId="1" fontId="3" fillId="0" borderId="1029" xfId="0" applyNumberFormat="1" applyFont="1" applyBorder="1" applyAlignment="1">
      <alignment horizontal="center" vertical="center"/>
    </xf>
    <xf numFmtId="1" fontId="3" fillId="0" borderId="1038" xfId="0" applyNumberFormat="1" applyFont="1" applyBorder="1" applyAlignment="1">
      <alignment horizontal="center" vertical="center"/>
    </xf>
    <xf numFmtId="1" fontId="3" fillId="0" borderId="1028" xfId="0" applyNumberFormat="1" applyFont="1" applyBorder="1" applyAlignment="1">
      <alignment horizontal="center" vertical="center"/>
    </xf>
    <xf numFmtId="1" fontId="3" fillId="0" borderId="1069" xfId="0" applyNumberFormat="1" applyFont="1" applyBorder="1" applyAlignment="1">
      <alignment horizontal="center" vertical="center" wrapText="1"/>
    </xf>
    <xf numFmtId="1" fontId="3" fillId="0" borderId="1016" xfId="8" applyNumberFormat="1" applyFont="1" applyBorder="1" applyAlignment="1" applyProtection="1">
      <alignment vertical="center"/>
    </xf>
    <xf numFmtId="1" fontId="3" fillId="4" borderId="1029" xfId="0" applyNumberFormat="1" applyFont="1" applyFill="1" applyBorder="1" applyProtection="1">
      <protection locked="0"/>
    </xf>
    <xf numFmtId="1" fontId="3" fillId="7" borderId="996" xfId="0" applyNumberFormat="1" applyFont="1" applyFill="1" applyBorder="1"/>
    <xf numFmtId="1" fontId="3" fillId="7" borderId="959" xfId="0" applyNumberFormat="1" applyFont="1" applyFill="1" applyBorder="1"/>
    <xf numFmtId="1" fontId="3" fillId="7" borderId="997" xfId="0" applyNumberFormat="1" applyFont="1" applyFill="1" applyBorder="1"/>
    <xf numFmtId="1" fontId="3" fillId="0" borderId="1028" xfId="0" applyNumberFormat="1" applyFont="1" applyBorder="1"/>
    <xf numFmtId="1" fontId="3" fillId="0" borderId="356" xfId="0" applyNumberFormat="1" applyFont="1" applyBorder="1"/>
    <xf numFmtId="1" fontId="3" fillId="0" borderId="362" xfId="0" applyNumberFormat="1" applyFont="1" applyBorder="1"/>
    <xf numFmtId="1" fontId="3" fillId="36" borderId="1070" xfId="0" applyNumberFormat="1" applyFont="1" applyFill="1" applyBorder="1" applyProtection="1">
      <protection locked="0"/>
    </xf>
    <xf numFmtId="1" fontId="3" fillId="36" borderId="1071" xfId="0" applyNumberFormat="1" applyFont="1" applyFill="1" applyBorder="1" applyProtection="1">
      <protection locked="0"/>
    </xf>
    <xf numFmtId="1" fontId="3" fillId="36" borderId="1029" xfId="0" applyNumberFormat="1" applyFont="1" applyFill="1" applyBorder="1" applyProtection="1">
      <protection locked="0"/>
    </xf>
    <xf numFmtId="1" fontId="3" fillId="36" borderId="1072" xfId="0" applyNumberFormat="1" applyFont="1" applyFill="1" applyBorder="1" applyProtection="1">
      <protection locked="0"/>
    </xf>
    <xf numFmtId="1" fontId="3" fillId="0" borderId="1071" xfId="0" applyNumberFormat="1" applyFont="1" applyBorder="1" applyAlignment="1">
      <alignment vertical="center" wrapText="1"/>
    </xf>
    <xf numFmtId="1" fontId="3" fillId="3" borderId="911" xfId="0" applyNumberFormat="1" applyFont="1" applyFill="1" applyBorder="1"/>
    <xf numFmtId="1" fontId="3" fillId="0" borderId="1064" xfId="0" applyNumberFormat="1" applyFont="1" applyBorder="1"/>
    <xf numFmtId="1" fontId="3" fillId="36" borderId="2" xfId="0" applyNumberFormat="1" applyFont="1" applyFill="1" applyBorder="1" applyProtection="1">
      <protection locked="0"/>
    </xf>
    <xf numFmtId="1" fontId="3" fillId="36" borderId="354" xfId="0" applyNumberFormat="1" applyFont="1" applyFill="1" applyBorder="1" applyProtection="1">
      <protection locked="0"/>
    </xf>
    <xf numFmtId="1" fontId="1" fillId="3" borderId="0" xfId="0" applyNumberFormat="1" applyFont="1" applyFill="1" applyAlignment="1">
      <alignment horizontal="left" vertical="center"/>
    </xf>
    <xf numFmtId="1" fontId="3" fillId="5" borderId="909" xfId="0" applyNumberFormat="1" applyFont="1" applyFill="1" applyBorder="1"/>
    <xf numFmtId="1" fontId="3" fillId="5" borderId="964" xfId="0" applyNumberFormat="1" applyFont="1" applyFill="1" applyBorder="1"/>
    <xf numFmtId="1" fontId="3" fillId="5" borderId="924" xfId="0" applyNumberFormat="1" applyFont="1" applyFill="1" applyBorder="1"/>
    <xf numFmtId="1" fontId="3" fillId="0" borderId="1025" xfId="0" applyNumberFormat="1" applyFont="1" applyBorder="1"/>
    <xf numFmtId="1" fontId="3" fillId="6" borderId="85" xfId="0" applyNumberFormat="1" applyFont="1" applyFill="1" applyBorder="1"/>
    <xf numFmtId="1" fontId="3" fillId="44" borderId="9" xfId="0" applyNumberFormat="1" applyFont="1" applyFill="1" applyBorder="1" applyProtection="1">
      <protection locked="0"/>
    </xf>
    <xf numFmtId="1" fontId="3" fillId="44" borderId="20" xfId="0" applyNumberFormat="1" applyFont="1" applyFill="1" applyBorder="1" applyProtection="1">
      <protection locked="0"/>
    </xf>
    <xf numFmtId="1" fontId="3" fillId="47" borderId="9" xfId="0" applyNumberFormat="1" applyFont="1" applyFill="1" applyBorder="1" applyProtection="1">
      <protection locked="0"/>
    </xf>
    <xf numFmtId="1" fontId="3" fillId="47" borderId="20" xfId="0" applyNumberFormat="1" applyFont="1" applyFill="1" applyBorder="1" applyProtection="1">
      <protection locked="0"/>
    </xf>
    <xf numFmtId="1" fontId="3" fillId="6" borderId="271" xfId="0" applyNumberFormat="1" applyFont="1" applyFill="1" applyBorder="1"/>
    <xf numFmtId="1" fontId="3" fillId="44" borderId="983" xfId="0" applyNumberFormat="1" applyFont="1" applyFill="1" applyBorder="1" applyProtection="1">
      <protection locked="0"/>
    </xf>
    <xf numFmtId="1" fontId="3" fillId="44" borderId="970" xfId="0" applyNumberFormat="1" applyFont="1" applyFill="1" applyBorder="1" applyProtection="1">
      <protection locked="0"/>
    </xf>
    <xf numFmtId="1" fontId="3" fillId="47" borderId="983" xfId="0" applyNumberFormat="1" applyFont="1" applyFill="1" applyBorder="1" applyProtection="1">
      <protection locked="0"/>
    </xf>
    <xf numFmtId="1" fontId="3" fillId="44" borderId="276" xfId="0" applyNumberFormat="1" applyFont="1" applyFill="1" applyBorder="1" applyProtection="1">
      <protection locked="0"/>
    </xf>
    <xf numFmtId="1" fontId="3" fillId="44" borderId="134" xfId="0" applyNumberFormat="1" applyFont="1" applyFill="1" applyBorder="1" applyProtection="1">
      <protection locked="0"/>
    </xf>
    <xf numFmtId="1" fontId="3" fillId="47" borderId="970" xfId="0" applyNumberFormat="1" applyFont="1" applyFill="1" applyBorder="1" applyProtection="1">
      <protection locked="0"/>
    </xf>
    <xf numFmtId="1" fontId="3" fillId="44" borderId="770" xfId="0" applyNumberFormat="1" applyFont="1" applyFill="1" applyBorder="1" applyProtection="1">
      <protection locked="0"/>
    </xf>
    <xf numFmtId="1" fontId="3" fillId="44" borderId="255" xfId="0" applyNumberFormat="1" applyFont="1" applyFill="1" applyBorder="1" applyProtection="1">
      <protection locked="0"/>
    </xf>
    <xf numFmtId="1" fontId="3" fillId="47" borderId="255" xfId="0" applyNumberFormat="1" applyFont="1" applyFill="1" applyBorder="1" applyProtection="1">
      <protection locked="0"/>
    </xf>
    <xf numFmtId="1" fontId="3" fillId="47" borderId="770" xfId="0" applyNumberFormat="1" applyFont="1" applyFill="1" applyBorder="1" applyProtection="1">
      <protection locked="0"/>
    </xf>
    <xf numFmtId="1" fontId="3" fillId="5" borderId="1064" xfId="0" applyNumberFormat="1" applyFont="1" applyFill="1" applyBorder="1"/>
    <xf numFmtId="1" fontId="3" fillId="5" borderId="918" xfId="0" applyNumberFormat="1" applyFont="1" applyFill="1" applyBorder="1"/>
    <xf numFmtId="1" fontId="3" fillId="5" borderId="717" xfId="0" applyNumberFormat="1" applyFont="1" applyFill="1" applyBorder="1"/>
    <xf numFmtId="1" fontId="3" fillId="5" borderId="983" xfId="0" applyNumberFormat="1" applyFont="1" applyFill="1" applyBorder="1"/>
    <xf numFmtId="1" fontId="3" fillId="5" borderId="966" xfId="0" applyNumberFormat="1" applyFont="1" applyFill="1" applyBorder="1"/>
    <xf numFmtId="1" fontId="3" fillId="36" borderId="9" xfId="0" applyNumberFormat="1" applyFont="1" applyFill="1" applyBorder="1" applyProtection="1">
      <protection locked="0"/>
    </xf>
    <xf numFmtId="1" fontId="3" fillId="5" borderId="988" xfId="0" applyNumberFormat="1" applyFont="1" applyFill="1" applyBorder="1"/>
    <xf numFmtId="1" fontId="3" fillId="5" borderId="961" xfId="0" applyNumberFormat="1" applyFont="1" applyFill="1" applyBorder="1"/>
    <xf numFmtId="1" fontId="3" fillId="36" borderId="992" xfId="0" applyNumberFormat="1" applyFont="1" applyFill="1" applyBorder="1" applyProtection="1">
      <protection locked="0"/>
    </xf>
    <xf numFmtId="1" fontId="3" fillId="36" borderId="989" xfId="0" applyNumberFormat="1" applyFont="1" applyFill="1" applyBorder="1" applyProtection="1">
      <protection locked="0"/>
    </xf>
    <xf numFmtId="1" fontId="3" fillId="0" borderId="1016" xfId="8" applyNumberFormat="1" applyFont="1" applyBorder="1" applyAlignment="1" applyProtection="1">
      <alignment horizontal="center" vertical="center"/>
    </xf>
    <xf numFmtId="1" fontId="3" fillId="0" borderId="1068" xfId="0" applyNumberFormat="1" applyFont="1" applyBorder="1"/>
    <xf numFmtId="1" fontId="3" fillId="6" borderId="982" xfId="0" applyNumberFormat="1" applyFont="1" applyFill="1" applyBorder="1"/>
    <xf numFmtId="1" fontId="3" fillId="6" borderId="973" xfId="0" applyNumberFormat="1" applyFont="1" applyFill="1" applyBorder="1"/>
    <xf numFmtId="1" fontId="3" fillId="6" borderId="300" xfId="0" applyNumberFormat="1" applyFont="1" applyFill="1" applyBorder="1"/>
    <xf numFmtId="1" fontId="3" fillId="0" borderId="1072" xfId="0" applyNumberFormat="1" applyFont="1" applyBorder="1" applyAlignment="1">
      <alignment horizontal="center" vertical="center"/>
    </xf>
    <xf numFmtId="1" fontId="3" fillId="0" borderId="1072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" fontId="3" fillId="0" borderId="924" xfId="0" applyNumberFormat="1" applyFont="1" applyBorder="1" applyAlignment="1">
      <alignment horizontal="right" vertical="center"/>
    </xf>
    <xf numFmtId="1" fontId="3" fillId="0" borderId="900" xfId="34" applyNumberFormat="1" applyFont="1" applyBorder="1" applyAlignment="1">
      <alignment horizontal="left" vertical="center" wrapText="1"/>
    </xf>
    <xf numFmtId="1" fontId="3" fillId="0" borderId="958" xfId="34" applyNumberFormat="1" applyFont="1" applyBorder="1" applyAlignment="1">
      <alignment horizontal="left" vertical="center" wrapText="1"/>
    </xf>
    <xf numFmtId="1" fontId="3" fillId="36" borderId="255" xfId="0" applyNumberFormat="1" applyFont="1" applyFill="1" applyBorder="1" applyProtection="1">
      <protection locked="0"/>
    </xf>
    <xf numFmtId="1" fontId="3" fillId="36" borderId="257" xfId="0" applyNumberFormat="1" applyFont="1" applyFill="1" applyBorder="1" applyProtection="1">
      <protection locked="0"/>
    </xf>
    <xf numFmtId="1" fontId="2" fillId="0" borderId="1016" xfId="0" applyNumberFormat="1" applyFont="1" applyBorder="1" applyAlignment="1">
      <alignment horizontal="left" vertical="center"/>
    </xf>
    <xf numFmtId="1" fontId="3" fillId="0" borderId="909" xfId="0" applyNumberFormat="1" applyFont="1" applyBorder="1" applyAlignment="1">
      <alignment horizontal="right" vertical="center"/>
    </xf>
    <xf numFmtId="1" fontId="7" fillId="3" borderId="0" xfId="0" applyNumberFormat="1" applyFont="1" applyFill="1" applyAlignment="1">
      <alignment vertical="center"/>
    </xf>
    <xf numFmtId="1" fontId="3" fillId="0" borderId="1068" xfId="0" applyNumberFormat="1" applyFont="1" applyBorder="1" applyAlignment="1">
      <alignment vertical="center"/>
    </xf>
    <xf numFmtId="1" fontId="3" fillId="0" borderId="1016" xfId="0" applyNumberFormat="1" applyFont="1" applyBorder="1" applyAlignment="1">
      <alignment vertical="center"/>
    </xf>
    <xf numFmtId="1" fontId="2" fillId="3" borderId="1025" xfId="0" applyNumberFormat="1" applyFont="1" applyFill="1" applyBorder="1" applyAlignment="1">
      <alignment horizontal="left"/>
    </xf>
    <xf numFmtId="1" fontId="2" fillId="3" borderId="1026" xfId="0" applyNumberFormat="1" applyFont="1" applyFill="1" applyBorder="1" applyAlignment="1">
      <alignment horizontal="left"/>
    </xf>
    <xf numFmtId="1" fontId="7" fillId="3" borderId="1026" xfId="0" applyNumberFormat="1" applyFont="1" applyFill="1" applyBorder="1" applyAlignment="1">
      <alignment vertical="center"/>
    </xf>
    <xf numFmtId="1" fontId="7" fillId="3" borderId="1027" xfId="0" applyNumberFormat="1" applyFont="1" applyFill="1" applyBorder="1" applyAlignment="1">
      <alignment vertical="center"/>
    </xf>
    <xf numFmtId="1" fontId="3" fillId="3" borderId="299" xfId="0" applyNumberFormat="1" applyFont="1" applyFill="1" applyBorder="1"/>
    <xf numFmtId="1" fontId="3" fillId="6" borderId="255" xfId="0" applyNumberFormat="1" applyFont="1" applyFill="1" applyBorder="1"/>
    <xf numFmtId="1" fontId="3" fillId="6" borderId="257" xfId="0" applyNumberFormat="1" applyFont="1" applyFill="1" applyBorder="1"/>
    <xf numFmtId="1" fontId="3" fillId="6" borderId="1028" xfId="0" applyNumberFormat="1" applyFont="1" applyFill="1" applyBorder="1"/>
    <xf numFmtId="1" fontId="8" fillId="3" borderId="278" xfId="0" applyNumberFormat="1" applyFont="1" applyFill="1" applyBorder="1"/>
    <xf numFmtId="0" fontId="3" fillId="0" borderId="909" xfId="0" applyFont="1" applyBorder="1" applyAlignment="1">
      <alignment horizontal="center" vertical="center" wrapText="1"/>
    </xf>
    <xf numFmtId="0" fontId="3" fillId="0" borderId="1064" xfId="0" applyFont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0" borderId="1072" xfId="0" applyFont="1" applyBorder="1" applyAlignment="1">
      <alignment horizontal="center" vertical="center"/>
    </xf>
    <xf numFmtId="0" fontId="3" fillId="0" borderId="1029" xfId="0" applyFont="1" applyBorder="1" applyAlignment="1">
      <alignment horizontal="center" vertical="center" wrapText="1"/>
    </xf>
    <xf numFmtId="0" fontId="3" fillId="0" borderId="899" xfId="0" applyFont="1" applyBorder="1" applyAlignment="1">
      <alignment horizontal="left" vertical="center" wrapText="1"/>
    </xf>
    <xf numFmtId="1" fontId="3" fillId="4" borderId="1026" xfId="0" applyNumberFormat="1" applyFont="1" applyFill="1" applyBorder="1" applyProtection="1">
      <protection locked="0"/>
    </xf>
    <xf numFmtId="0" fontId="3" fillId="0" borderId="276" xfId="0" applyFont="1" applyBorder="1" applyAlignment="1">
      <alignment horizontal="right" vertical="center" wrapText="1"/>
    </xf>
    <xf numFmtId="0" fontId="3" fillId="0" borderId="22" xfId="0" applyFont="1" applyBorder="1" applyAlignment="1">
      <alignment horizontal="right" vertical="center" wrapText="1"/>
    </xf>
    <xf numFmtId="0" fontId="3" fillId="0" borderId="917" xfId="0" applyFont="1" applyBorder="1"/>
    <xf numFmtId="0" fontId="3" fillId="0" borderId="958" xfId="0" applyFont="1" applyBorder="1" applyAlignment="1">
      <alignment horizontal="left" vertical="center" wrapText="1"/>
    </xf>
    <xf numFmtId="0" fontId="3" fillId="0" borderId="960" xfId="0" applyFont="1" applyBorder="1" applyAlignment="1">
      <alignment horizontal="right" vertical="center" wrapText="1"/>
    </xf>
    <xf numFmtId="0" fontId="3" fillId="0" borderId="970" xfId="0" applyFont="1" applyBorder="1"/>
    <xf numFmtId="0" fontId="3" fillId="0" borderId="302" xfId="0" applyFont="1" applyBorder="1" applyAlignment="1">
      <alignment horizontal="left" vertical="center" wrapText="1"/>
    </xf>
    <xf numFmtId="0" fontId="3" fillId="0" borderId="23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1019" xfId="0" applyFont="1" applyBorder="1" applyAlignment="1">
      <alignment horizontal="right" vertical="center" wrapText="1"/>
    </xf>
    <xf numFmtId="0" fontId="3" fillId="0" borderId="1072" xfId="0" applyFont="1" applyBorder="1" applyAlignment="1">
      <alignment horizontal="center" vertical="center" wrapText="1"/>
    </xf>
    <xf numFmtId="0" fontId="3" fillId="0" borderId="255" xfId="0" applyFont="1" applyBorder="1" applyAlignment="1">
      <alignment horizontal="center" vertical="center" wrapText="1"/>
    </xf>
    <xf numFmtId="0" fontId="3" fillId="0" borderId="263" xfId="0" applyFont="1" applyBorder="1" applyAlignment="1">
      <alignment horizontal="center" vertical="center" wrapText="1"/>
    </xf>
    <xf numFmtId="0" fontId="3" fillId="0" borderId="1028" xfId="0" applyFont="1" applyBorder="1" applyAlignment="1">
      <alignment horizontal="center" vertical="center" wrapText="1"/>
    </xf>
    <xf numFmtId="0" fontId="3" fillId="0" borderId="232" xfId="0" applyFont="1" applyBorder="1" applyAlignment="1">
      <alignment horizontal="left" vertical="center" wrapText="1"/>
    </xf>
    <xf numFmtId="0" fontId="3" fillId="0" borderId="964" xfId="0" applyFont="1" applyBorder="1" applyAlignment="1">
      <alignment horizontal="center" vertical="center" wrapText="1"/>
    </xf>
    <xf numFmtId="1" fontId="3" fillId="8" borderId="289" xfId="0" applyNumberFormat="1" applyFont="1" applyFill="1" applyBorder="1" applyProtection="1">
      <protection locked="0"/>
    </xf>
    <xf numFmtId="1" fontId="3" fillId="8" borderId="271" xfId="0" applyNumberFormat="1" applyFont="1" applyFill="1" applyBorder="1" applyProtection="1">
      <protection locked="0"/>
    </xf>
    <xf numFmtId="0" fontId="3" fillId="0" borderId="911" xfId="0" applyFont="1" applyBorder="1" applyAlignment="1">
      <alignment horizontal="center" vertical="center" wrapText="1"/>
    </xf>
    <xf numFmtId="0" fontId="3" fillId="0" borderId="899" xfId="0" applyFont="1" applyBorder="1" applyAlignment="1">
      <alignment vertical="center" wrapText="1"/>
    </xf>
    <xf numFmtId="1" fontId="3" fillId="0" borderId="301" xfId="0" applyNumberFormat="1" applyFont="1" applyBorder="1"/>
    <xf numFmtId="0" fontId="3" fillId="0" borderId="982" xfId="0" applyFont="1" applyBorder="1" applyAlignment="1">
      <alignment vertical="center" wrapText="1"/>
    </xf>
    <xf numFmtId="0" fontId="3" fillId="0" borderId="301" xfId="0" applyFont="1" applyBorder="1" applyAlignment="1">
      <alignment horizontal="right" vertical="center" wrapText="1"/>
    </xf>
    <xf numFmtId="0" fontId="3" fillId="5" borderId="982" xfId="0" applyFont="1" applyFill="1" applyBorder="1" applyAlignment="1">
      <alignment vertical="center" wrapText="1"/>
    </xf>
    <xf numFmtId="1" fontId="3" fillId="0" borderId="986" xfId="0" applyNumberFormat="1" applyFont="1" applyBorder="1"/>
    <xf numFmtId="0" fontId="3" fillId="5" borderId="992" xfId="0" applyFont="1" applyFill="1" applyBorder="1" applyAlignment="1">
      <alignment vertical="center" wrapText="1"/>
    </xf>
    <xf numFmtId="1" fontId="3" fillId="0" borderId="1030" xfId="0" applyNumberFormat="1" applyFont="1" applyBorder="1"/>
    <xf numFmtId="1" fontId="3" fillId="8" borderId="987" xfId="0" applyNumberFormat="1" applyFont="1" applyFill="1" applyBorder="1" applyProtection="1">
      <protection locked="0"/>
    </xf>
    <xf numFmtId="1" fontId="3" fillId="8" borderId="256" xfId="0" applyNumberFormat="1" applyFont="1" applyFill="1" applyBorder="1" applyProtection="1">
      <protection locked="0"/>
    </xf>
    <xf numFmtId="0" fontId="2" fillId="0" borderId="252" xfId="20" applyFont="1" applyBorder="1" applyAlignment="1">
      <alignment vertical="center" wrapText="1"/>
    </xf>
    <xf numFmtId="0" fontId="2" fillId="0" borderId="0" xfId="20" applyFont="1" applyAlignment="1">
      <alignment vertical="center" wrapText="1"/>
    </xf>
    <xf numFmtId="1" fontId="3" fillId="0" borderId="1016" xfId="20" applyNumberFormat="1" applyFont="1" applyBorder="1" applyAlignment="1">
      <alignment vertical="center"/>
    </xf>
    <xf numFmtId="1" fontId="3" fillId="0" borderId="1016" xfId="20" applyNumberFormat="1" applyFont="1" applyBorder="1" applyAlignment="1">
      <alignment horizontal="center" vertical="center" wrapText="1"/>
    </xf>
    <xf numFmtId="0" fontId="3" fillId="5" borderId="900" xfId="20" applyFont="1" applyFill="1" applyBorder="1" applyAlignment="1">
      <alignment horizontal="left" vertical="center" wrapText="1"/>
    </xf>
    <xf numFmtId="1" fontId="3" fillId="0" borderId="900" xfId="20" applyNumberFormat="1" applyFont="1" applyBorder="1" applyAlignment="1">
      <alignment horizontal="right" vertical="center"/>
    </xf>
    <xf numFmtId="1" fontId="3" fillId="8" borderId="918" xfId="20" applyNumberFormat="1" applyFont="1" applyFill="1" applyBorder="1" applyAlignment="1" applyProtection="1">
      <alignment vertical="center"/>
      <protection locked="0"/>
    </xf>
    <xf numFmtId="1" fontId="3" fillId="8" borderId="699" xfId="20" applyNumberFormat="1" applyFont="1" applyFill="1" applyBorder="1" applyAlignment="1" applyProtection="1">
      <alignment vertical="center"/>
      <protection locked="0"/>
    </xf>
    <xf numFmtId="1" fontId="3" fillId="8" borderId="717" xfId="20" applyNumberFormat="1" applyFont="1" applyFill="1" applyBorder="1" applyAlignment="1" applyProtection="1">
      <alignment vertical="center"/>
      <protection locked="0"/>
    </xf>
    <xf numFmtId="1" fontId="3" fillId="0" borderId="958" xfId="20" applyNumberFormat="1" applyFont="1" applyBorder="1" applyAlignment="1">
      <alignment horizontal="right" vertical="center"/>
    </xf>
    <xf numFmtId="1" fontId="3" fillId="8" borderId="983" xfId="20" applyNumberFormat="1" applyFont="1" applyFill="1" applyBorder="1" applyAlignment="1" applyProtection="1">
      <alignment vertical="center"/>
      <protection locked="0"/>
    </xf>
    <xf numFmtId="1" fontId="3" fillId="8" borderId="987" xfId="20" applyNumberFormat="1" applyFont="1" applyFill="1" applyBorder="1" applyAlignment="1" applyProtection="1">
      <alignment vertical="center"/>
      <protection locked="0"/>
    </xf>
    <xf numFmtId="1" fontId="3" fillId="8" borderId="966" xfId="20" applyNumberFormat="1" applyFont="1" applyFill="1" applyBorder="1" applyAlignment="1" applyProtection="1">
      <alignment vertical="center"/>
      <protection locked="0"/>
    </xf>
    <xf numFmtId="0" fontId="3" fillId="5" borderId="958" xfId="20" applyFont="1" applyFill="1" applyBorder="1" applyAlignment="1">
      <alignment horizontal="left" vertical="center" wrapText="1"/>
    </xf>
    <xf numFmtId="0" fontId="3" fillId="5" borderId="962" xfId="20" applyFont="1" applyFill="1" applyBorder="1" applyAlignment="1">
      <alignment horizontal="left" vertical="center" wrapText="1"/>
    </xf>
    <xf numFmtId="1" fontId="3" fillId="0" borderId="962" xfId="20" applyNumberFormat="1" applyFont="1" applyBorder="1" applyAlignment="1">
      <alignment horizontal="right" vertical="center"/>
    </xf>
    <xf numFmtId="1" fontId="3" fillId="8" borderId="988" xfId="20" applyNumberFormat="1" applyFont="1" applyFill="1" applyBorder="1" applyAlignment="1" applyProtection="1">
      <alignment vertical="center"/>
      <protection locked="0"/>
    </xf>
    <xf numFmtId="1" fontId="3" fillId="8" borderId="967" xfId="20" applyNumberFormat="1" applyFont="1" applyFill="1" applyBorder="1" applyAlignment="1" applyProtection="1">
      <alignment vertical="center"/>
      <protection locked="0"/>
    </xf>
    <xf numFmtId="1" fontId="3" fillId="8" borderId="961" xfId="20" applyNumberFormat="1" applyFont="1" applyFill="1" applyBorder="1" applyAlignment="1" applyProtection="1">
      <alignment vertical="center"/>
      <protection locked="0"/>
    </xf>
    <xf numFmtId="164" fontId="3" fillId="5" borderId="1016" xfId="18" applyNumberFormat="1" applyFont="1" applyFill="1" applyBorder="1" applyAlignment="1" applyProtection="1">
      <alignment horizontal="center" vertical="center"/>
    </xf>
    <xf numFmtId="1" fontId="3" fillId="0" borderId="1016" xfId="20" applyNumberFormat="1" applyFont="1" applyBorder="1" applyAlignment="1">
      <alignment horizontal="right" vertical="center" wrapText="1"/>
    </xf>
    <xf numFmtId="1" fontId="3" fillId="0" borderId="1019" xfId="20" applyNumberFormat="1" applyFont="1" applyBorder="1" applyAlignment="1">
      <alignment horizontal="right" vertical="center" wrapText="1"/>
    </xf>
    <xf numFmtId="1" fontId="3" fillId="0" borderId="915" xfId="20" applyNumberFormat="1" applyFont="1" applyBorder="1" applyAlignment="1">
      <alignment horizontal="right" vertical="center" wrapText="1"/>
    </xf>
    <xf numFmtId="1" fontId="3" fillId="0" borderId="1064" xfId="20" applyNumberFormat="1" applyFont="1" applyBorder="1" applyAlignment="1">
      <alignment horizontal="right" vertical="center" wrapText="1"/>
    </xf>
    <xf numFmtId="164" fontId="3" fillId="0" borderId="1019" xfId="18" applyNumberFormat="1" applyFont="1" applyBorder="1" applyAlignment="1" applyProtection="1">
      <alignment horizontal="center" vertical="center"/>
    </xf>
    <xf numFmtId="0" fontId="3" fillId="5" borderId="299" xfId="20" applyFont="1" applyFill="1" applyBorder="1" applyAlignment="1">
      <alignment horizontal="left" vertical="center" wrapText="1"/>
    </xf>
    <xf numFmtId="1" fontId="3" fillId="0" borderId="33" xfId="0" applyNumberFormat="1" applyFont="1" applyBorder="1" applyAlignment="1">
      <alignment horizontal="center" vertical="center" wrapText="1"/>
    </xf>
    <xf numFmtId="1" fontId="3" fillId="0" borderId="1106" xfId="0" applyNumberFormat="1" applyFont="1" applyBorder="1" applyAlignment="1">
      <alignment horizontal="center" vertical="center" wrapText="1"/>
    </xf>
    <xf numFmtId="1" fontId="3" fillId="0" borderId="1105" xfId="0" applyNumberFormat="1" applyFont="1" applyBorder="1" applyAlignment="1">
      <alignment horizontal="center" vertical="center" wrapText="1"/>
    </xf>
    <xf numFmtId="0" fontId="3" fillId="0" borderId="1100" xfId="0" applyFont="1" applyBorder="1" applyAlignment="1">
      <alignment vertical="center" wrapText="1"/>
    </xf>
    <xf numFmtId="1" fontId="3" fillId="17" borderId="41" xfId="0" applyNumberFormat="1" applyFont="1" applyFill="1" applyBorder="1"/>
    <xf numFmtId="1" fontId="3" fillId="17" borderId="108" xfId="0" applyNumberFormat="1" applyFont="1" applyFill="1" applyBorder="1"/>
    <xf numFmtId="1" fontId="3" fillId="17" borderId="37" xfId="0" applyNumberFormat="1" applyFont="1" applyFill="1" applyBorder="1"/>
    <xf numFmtId="1" fontId="3" fillId="18" borderId="37" xfId="0" applyNumberFormat="1" applyFont="1" applyFill="1" applyBorder="1" applyProtection="1">
      <protection locked="0"/>
    </xf>
    <xf numFmtId="1" fontId="3" fillId="18" borderId="391" xfId="0" applyNumberFormat="1" applyFont="1" applyFill="1" applyBorder="1" applyProtection="1">
      <protection locked="0"/>
    </xf>
    <xf numFmtId="1" fontId="3" fillId="18" borderId="39" xfId="0" applyNumberFormat="1" applyFont="1" applyFill="1" applyBorder="1" applyProtection="1">
      <protection locked="0"/>
    </xf>
    <xf numFmtId="1" fontId="3" fillId="18" borderId="40" xfId="0" applyNumberFormat="1" applyFont="1" applyFill="1" applyBorder="1" applyProtection="1">
      <protection locked="0"/>
    </xf>
    <xf numFmtId="1" fontId="3" fillId="18" borderId="41" xfId="0" applyNumberFormat="1" applyFont="1" applyFill="1" applyBorder="1" applyProtection="1">
      <protection locked="0"/>
    </xf>
    <xf numFmtId="1" fontId="3" fillId="17" borderId="159" xfId="0" applyNumberFormat="1" applyFont="1" applyFill="1" applyBorder="1"/>
    <xf numFmtId="1" fontId="3" fillId="17" borderId="120" xfId="0" applyNumberFormat="1" applyFont="1" applyFill="1" applyBorder="1"/>
    <xf numFmtId="1" fontId="3" fillId="17" borderId="213" xfId="0" applyNumberFormat="1" applyFont="1" applyFill="1" applyBorder="1"/>
    <xf numFmtId="1" fontId="3" fillId="18" borderId="77" xfId="0" applyNumberFormat="1" applyFont="1" applyFill="1" applyBorder="1" applyProtection="1">
      <protection locked="0"/>
    </xf>
    <xf numFmtId="1" fontId="3" fillId="18" borderId="213" xfId="0" applyNumberFormat="1" applyFont="1" applyFill="1" applyBorder="1" applyProtection="1">
      <protection locked="0"/>
    </xf>
    <xf numFmtId="1" fontId="3" fillId="18" borderId="238" xfId="0" applyNumberFormat="1" applyFont="1" applyFill="1" applyBorder="1" applyProtection="1">
      <protection locked="0"/>
    </xf>
    <xf numFmtId="1" fontId="3" fillId="18" borderId="239" xfId="0" applyNumberFormat="1" applyFont="1" applyFill="1" applyBorder="1" applyProtection="1">
      <protection locked="0"/>
    </xf>
    <xf numFmtId="1" fontId="3" fillId="18" borderId="120" xfId="0" applyNumberFormat="1" applyFont="1" applyFill="1" applyBorder="1" applyProtection="1">
      <protection locked="0"/>
    </xf>
    <xf numFmtId="0" fontId="3" fillId="0" borderId="1100" xfId="0" applyFont="1" applyBorder="1"/>
    <xf numFmtId="1" fontId="3" fillId="17" borderId="112" xfId="0" applyNumberFormat="1" applyFont="1" applyFill="1" applyBorder="1"/>
    <xf numFmtId="1" fontId="3" fillId="17" borderId="49" xfId="0" applyNumberFormat="1" applyFont="1" applyFill="1" applyBorder="1"/>
    <xf numFmtId="1" fontId="3" fillId="18" borderId="51" xfId="0" applyNumberFormat="1" applyFont="1" applyFill="1" applyBorder="1" applyProtection="1">
      <protection locked="0"/>
    </xf>
    <xf numFmtId="1" fontId="3" fillId="18" borderId="112" xfId="0" applyNumberFormat="1" applyFont="1" applyFill="1" applyBorder="1" applyProtection="1">
      <protection locked="0"/>
    </xf>
    <xf numFmtId="1" fontId="3" fillId="18" borderId="44" xfId="0" applyNumberFormat="1" applyFont="1" applyFill="1" applyBorder="1" applyProtection="1">
      <protection locked="0"/>
    </xf>
    <xf numFmtId="0" fontId="3" fillId="0" borderId="958" xfId="0" applyFont="1" applyBorder="1" applyAlignment="1">
      <alignment wrapText="1"/>
    </xf>
    <xf numFmtId="0" fontId="3" fillId="0" borderId="162" xfId="0" applyFont="1" applyBorder="1"/>
    <xf numFmtId="0" fontId="0" fillId="0" borderId="0" xfId="0" applyAlignment="1">
      <alignment horizontal="center" vertical="center" wrapText="1"/>
    </xf>
    <xf numFmtId="0" fontId="3" fillId="0" borderId="1108" xfId="0" applyFont="1" applyBorder="1" applyAlignment="1">
      <alignment horizontal="center" vertical="center" wrapText="1"/>
    </xf>
    <xf numFmtId="0" fontId="3" fillId="0" borderId="1109" xfId="0" applyFont="1" applyBorder="1" applyAlignment="1">
      <alignment horizontal="center" vertical="center" wrapText="1"/>
    </xf>
    <xf numFmtId="0" fontId="3" fillId="0" borderId="1109" xfId="0" applyFont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211" xfId="0" applyFont="1" applyBorder="1" applyAlignment="1">
      <alignment wrapText="1"/>
    </xf>
    <xf numFmtId="1" fontId="3" fillId="17" borderId="44" xfId="0" applyNumberFormat="1" applyFont="1" applyFill="1" applyBorder="1"/>
    <xf numFmtId="0" fontId="3" fillId="18" borderId="143" xfId="0" applyFont="1" applyFill="1" applyBorder="1" applyProtection="1">
      <protection locked="0"/>
    </xf>
    <xf numFmtId="0" fontId="3" fillId="18" borderId="68" xfId="0" applyFont="1" applyFill="1" applyBorder="1" applyProtection="1">
      <protection locked="0"/>
    </xf>
    <xf numFmtId="0" fontId="3" fillId="18" borderId="307" xfId="0" applyFont="1" applyFill="1" applyBorder="1" applyProtection="1">
      <protection locked="0"/>
    </xf>
    <xf numFmtId="0" fontId="3" fillId="18" borderId="309" xfId="0" applyFont="1" applyFill="1" applyBorder="1" applyProtection="1">
      <protection locked="0"/>
    </xf>
    <xf numFmtId="0" fontId="3" fillId="0" borderId="212" xfId="0" applyFont="1" applyBorder="1" applyAlignment="1">
      <alignment wrapText="1"/>
    </xf>
    <xf numFmtId="0" fontId="3" fillId="18" borderId="70" xfId="0" applyFont="1" applyFill="1" applyBorder="1" applyProtection="1">
      <protection locked="0"/>
    </xf>
    <xf numFmtId="0" fontId="3" fillId="0" borderId="68" xfId="0" applyFont="1" applyBorder="1" applyAlignment="1">
      <alignment wrapText="1"/>
    </xf>
    <xf numFmtId="1" fontId="3" fillId="17" borderId="47" xfId="0" applyNumberFormat="1" applyFont="1" applyFill="1" applyBorder="1"/>
    <xf numFmtId="1" fontId="3" fillId="17" borderId="48" xfId="0" applyNumberFormat="1" applyFont="1" applyFill="1" applyBorder="1"/>
    <xf numFmtId="1" fontId="3" fillId="17" borderId="46" xfId="0" applyNumberFormat="1" applyFont="1" applyFill="1" applyBorder="1"/>
    <xf numFmtId="1" fontId="3" fillId="18" borderId="46" xfId="0" applyNumberFormat="1" applyFont="1" applyFill="1" applyBorder="1" applyProtection="1">
      <protection locked="0"/>
    </xf>
    <xf numFmtId="1" fontId="3" fillId="18" borderId="48" xfId="0" applyNumberFormat="1" applyFont="1" applyFill="1" applyBorder="1" applyProtection="1">
      <protection locked="0"/>
    </xf>
    <xf numFmtId="0" fontId="3" fillId="18" borderId="240" xfId="0" applyFont="1" applyFill="1" applyBorder="1" applyProtection="1">
      <protection locked="0"/>
    </xf>
    <xf numFmtId="0" fontId="3" fillId="18" borderId="46" xfId="0" applyFont="1" applyFill="1" applyBorder="1" applyProtection="1">
      <protection locked="0"/>
    </xf>
    <xf numFmtId="0" fontId="3" fillId="18" borderId="197" xfId="0" applyFont="1" applyFill="1" applyBorder="1" applyProtection="1">
      <protection locked="0"/>
    </xf>
    <xf numFmtId="0" fontId="3" fillId="0" borderId="1110" xfId="0" applyFont="1" applyBorder="1" applyAlignment="1">
      <alignment wrapText="1"/>
    </xf>
    <xf numFmtId="1" fontId="3" fillId="17" borderId="50" xfId="0" applyNumberFormat="1" applyFont="1" applyFill="1" applyBorder="1"/>
    <xf numFmtId="1" fontId="3" fillId="27" borderId="141" xfId="0" applyNumberFormat="1" applyFont="1" applyFill="1" applyBorder="1"/>
    <xf numFmtId="1" fontId="3" fillId="27" borderId="214" xfId="0" applyNumberFormat="1" applyFont="1" applyFill="1" applyBorder="1"/>
    <xf numFmtId="0" fontId="3" fillId="18" borderId="141" xfId="0" applyFont="1" applyFill="1" applyBorder="1" applyProtection="1">
      <protection locked="0"/>
    </xf>
    <xf numFmtId="0" fontId="3" fillId="18" borderId="214" xfId="0" applyFont="1" applyFill="1" applyBorder="1" applyProtection="1">
      <protection locked="0"/>
    </xf>
    <xf numFmtId="1" fontId="0" fillId="16" borderId="0" xfId="0" applyNumberFormat="1" applyFill="1"/>
    <xf numFmtId="1" fontId="0" fillId="22" borderId="0" xfId="0" applyNumberFormat="1" applyFill="1"/>
    <xf numFmtId="1" fontId="3" fillId="17" borderId="77" xfId="0" applyNumberFormat="1" applyFont="1" applyFill="1" applyBorder="1"/>
    <xf numFmtId="1" fontId="3" fillId="27" borderId="140" xfId="0" applyNumberFormat="1" applyFont="1" applyFill="1" applyBorder="1"/>
    <xf numFmtId="1" fontId="3" fillId="27" borderId="144" xfId="0" applyNumberFormat="1" applyFont="1" applyFill="1" applyBorder="1"/>
    <xf numFmtId="0" fontId="3" fillId="18" borderId="140" xfId="0" applyFont="1" applyFill="1" applyBorder="1" applyProtection="1">
      <protection locked="0"/>
    </xf>
    <xf numFmtId="0" fontId="3" fillId="18" borderId="144" xfId="0" applyFont="1" applyFill="1" applyBorder="1" applyProtection="1">
      <protection locked="0"/>
    </xf>
    <xf numFmtId="0" fontId="3" fillId="0" borderId="212" xfId="0" applyFont="1" applyBorder="1"/>
    <xf numFmtId="1" fontId="3" fillId="27" borderId="112" xfId="0" applyNumberFormat="1" applyFont="1" applyFill="1" applyBorder="1"/>
    <xf numFmtId="0" fontId="3" fillId="18" borderId="9" xfId="0" applyFont="1" applyFill="1" applyBorder="1" applyProtection="1">
      <protection locked="0"/>
    </xf>
    <xf numFmtId="0" fontId="3" fillId="18" borderId="20" xfId="0" applyFont="1" applyFill="1" applyBorder="1" applyProtection="1">
      <protection locked="0"/>
    </xf>
    <xf numFmtId="1" fontId="3" fillId="27" borderId="41" xfId="0" applyNumberFormat="1" applyFont="1" applyFill="1" applyBorder="1"/>
    <xf numFmtId="1" fontId="3" fillId="27" borderId="143" xfId="0" applyNumberFormat="1" applyFont="1" applyFill="1" applyBorder="1"/>
    <xf numFmtId="1" fontId="3" fillId="27" borderId="70" xfId="0" applyNumberFormat="1" applyFont="1" applyFill="1" applyBorder="1"/>
    <xf numFmtId="0" fontId="3" fillId="18" borderId="242" xfId="0" applyFont="1" applyFill="1" applyBorder="1" applyProtection="1">
      <protection locked="0"/>
    </xf>
    <xf numFmtId="0" fontId="3" fillId="18" borderId="241" xfId="0" applyFont="1" applyFill="1" applyBorder="1" applyProtection="1">
      <protection locked="0"/>
    </xf>
    <xf numFmtId="0" fontId="3" fillId="0" borderId="75" xfId="0" applyFont="1" applyBorder="1" applyAlignment="1">
      <alignment wrapText="1"/>
    </xf>
    <xf numFmtId="0" fontId="3" fillId="0" borderId="295" xfId="0" applyFont="1" applyBorder="1" applyAlignment="1">
      <alignment wrapText="1"/>
    </xf>
    <xf numFmtId="1" fontId="3" fillId="17" borderId="60" xfId="0" applyNumberFormat="1" applyFont="1" applyFill="1" applyBorder="1"/>
    <xf numFmtId="1" fontId="3" fillId="17" borderId="180" xfId="0" applyNumberFormat="1" applyFont="1" applyFill="1" applyBorder="1"/>
    <xf numFmtId="1" fontId="3" fillId="17" borderId="102" xfId="0" applyNumberFormat="1" applyFont="1" applyFill="1" applyBorder="1"/>
    <xf numFmtId="1" fontId="3" fillId="27" borderId="240" xfId="0" applyNumberFormat="1" applyFont="1" applyFill="1" applyBorder="1"/>
    <xf numFmtId="1" fontId="3" fillId="27" borderId="197" xfId="0" applyNumberFormat="1" applyFont="1" applyFill="1" applyBorder="1"/>
    <xf numFmtId="0" fontId="3" fillId="0" borderId="1094" xfId="0" applyFont="1" applyBorder="1" applyAlignment="1">
      <alignment horizontal="center" vertical="center"/>
    </xf>
    <xf numFmtId="0" fontId="3" fillId="53" borderId="1100" xfId="0" applyFont="1" applyFill="1" applyBorder="1"/>
    <xf numFmtId="0" fontId="3" fillId="18" borderId="1096" xfId="0" applyFont="1" applyFill="1" applyBorder="1" applyProtection="1">
      <protection locked="0"/>
    </xf>
    <xf numFmtId="0" fontId="3" fillId="18" borderId="1095" xfId="0" applyFont="1" applyFill="1" applyBorder="1" applyProtection="1">
      <protection locked="0"/>
    </xf>
    <xf numFmtId="0" fontId="3" fillId="53" borderId="299" xfId="0" applyFont="1" applyFill="1" applyBorder="1"/>
    <xf numFmtId="0" fontId="3" fillId="18" borderId="255" xfId="0" applyFont="1" applyFill="1" applyBorder="1" applyProtection="1">
      <protection locked="0"/>
    </xf>
    <xf numFmtId="0" fontId="3" fillId="18" borderId="770" xfId="0" applyFont="1" applyFill="1" applyBorder="1" applyProtection="1">
      <protection locked="0"/>
    </xf>
    <xf numFmtId="0" fontId="3" fillId="0" borderId="299" xfId="0" applyFont="1" applyBorder="1"/>
    <xf numFmtId="0" fontId="3" fillId="17" borderId="255" xfId="0" applyFont="1" applyFill="1" applyBorder="1"/>
    <xf numFmtId="0" fontId="3" fillId="17" borderId="770" xfId="0" applyFont="1" applyFill="1" applyBorder="1"/>
    <xf numFmtId="0" fontId="3" fillId="29" borderId="0" xfId="0" applyFont="1" applyFill="1"/>
    <xf numFmtId="0" fontId="3" fillId="53" borderId="1099" xfId="0" applyFont="1" applyFill="1" applyBorder="1" applyAlignment="1">
      <alignment horizontal="center"/>
    </xf>
    <xf numFmtId="0" fontId="3" fillId="53" borderId="1099" xfId="0" applyFont="1" applyFill="1" applyBorder="1" applyAlignment="1">
      <alignment horizontal="center" vertical="center"/>
    </xf>
    <xf numFmtId="0" fontId="3" fillId="53" borderId="1094" xfId="0" applyFont="1" applyFill="1" applyBorder="1" applyAlignment="1">
      <alignment horizontal="center" vertical="center" wrapText="1"/>
    </xf>
    <xf numFmtId="0" fontId="3" fillId="53" borderId="1092" xfId="0" applyFont="1" applyFill="1" applyBorder="1" applyAlignment="1">
      <alignment horizontal="center" vertical="center" wrapText="1"/>
    </xf>
    <xf numFmtId="0" fontId="3" fillId="18" borderId="1100" xfId="0" applyFont="1" applyFill="1" applyBorder="1" applyProtection="1">
      <protection locked="0"/>
    </xf>
    <xf numFmtId="0" fontId="3" fillId="18" borderId="299" xfId="0" applyFont="1" applyFill="1" applyBorder="1" applyProtection="1">
      <protection locked="0"/>
    </xf>
    <xf numFmtId="0" fontId="3" fillId="18" borderId="988" xfId="0" applyFont="1" applyFill="1" applyBorder="1" applyProtection="1">
      <protection locked="0"/>
    </xf>
    <xf numFmtId="0" fontId="3" fillId="54" borderId="1096" xfId="0" applyFont="1" applyFill="1" applyBorder="1"/>
    <xf numFmtId="0" fontId="3" fillId="54" borderId="1095" xfId="0" applyFont="1" applyFill="1" applyBorder="1"/>
    <xf numFmtId="0" fontId="3" fillId="54" borderId="255" xfId="0" applyFont="1" applyFill="1" applyBorder="1"/>
    <xf numFmtId="0" fontId="3" fillId="54" borderId="770" xfId="0" applyFont="1" applyFill="1" applyBorder="1"/>
    <xf numFmtId="0" fontId="3" fillId="53" borderId="1099" xfId="0" applyFont="1" applyFill="1" applyBorder="1" applyAlignment="1">
      <alignment horizontal="center" vertical="center" wrapText="1"/>
    </xf>
    <xf numFmtId="0" fontId="3" fillId="53" borderId="162" xfId="0" applyFont="1" applyFill="1" applyBorder="1" applyAlignment="1">
      <alignment horizontal="center" vertical="center" wrapText="1"/>
    </xf>
    <xf numFmtId="0" fontId="3" fillId="53" borderId="61" xfId="0" applyFont="1" applyFill="1" applyBorder="1" applyAlignment="1">
      <alignment horizontal="center" vertical="center" wrapText="1"/>
    </xf>
    <xf numFmtId="0" fontId="3" fillId="53" borderId="20" xfId="0" applyFont="1" applyFill="1" applyBorder="1" applyAlignment="1">
      <alignment horizontal="center" vertical="center" wrapText="1"/>
    </xf>
    <xf numFmtId="0" fontId="3" fillId="0" borderId="245" xfId="0" applyFont="1" applyBorder="1" applyAlignment="1">
      <alignment horizontal="center" vertical="center" wrapText="1"/>
    </xf>
    <xf numFmtId="0" fontId="3" fillId="44" borderId="215" xfId="0" applyFont="1" applyFill="1" applyBorder="1" applyProtection="1">
      <protection locked="0"/>
    </xf>
    <xf numFmtId="0" fontId="3" fillId="54" borderId="1113" xfId="0" applyFont="1" applyFill="1" applyBorder="1"/>
    <xf numFmtId="0" fontId="3" fillId="44" borderId="244" xfId="0" applyFont="1" applyFill="1" applyBorder="1" applyProtection="1">
      <protection locked="0"/>
    </xf>
    <xf numFmtId="0" fontId="3" fillId="44" borderId="243" xfId="0" applyFont="1" applyFill="1" applyBorder="1" applyProtection="1">
      <protection locked="0"/>
    </xf>
    <xf numFmtId="0" fontId="3" fillId="44" borderId="28" xfId="0" applyFont="1" applyFill="1" applyBorder="1" applyProtection="1">
      <protection locked="0"/>
    </xf>
    <xf numFmtId="0" fontId="3" fillId="44" borderId="42" xfId="0" applyFont="1" applyFill="1" applyBorder="1" applyProtection="1">
      <protection locked="0"/>
    </xf>
    <xf numFmtId="0" fontId="3" fillId="44" borderId="173" xfId="0" applyFont="1" applyFill="1" applyBorder="1" applyProtection="1">
      <protection locked="0"/>
    </xf>
    <xf numFmtId="0" fontId="3" fillId="44" borderId="246" xfId="0" applyFont="1" applyFill="1" applyBorder="1" applyProtection="1">
      <protection locked="0"/>
    </xf>
    <xf numFmtId="0" fontId="3" fillId="0" borderId="29" xfId="0" applyFont="1" applyBorder="1"/>
    <xf numFmtId="0" fontId="3" fillId="45" borderId="32" xfId="0" applyFont="1" applyFill="1" applyBorder="1"/>
    <xf numFmtId="0" fontId="3" fillId="45" borderId="100" xfId="0" applyFont="1" applyFill="1" applyBorder="1"/>
    <xf numFmtId="0" fontId="3" fillId="45" borderId="34" xfId="0" applyFont="1" applyFill="1" applyBorder="1"/>
    <xf numFmtId="0" fontId="3" fillId="45" borderId="247" xfId="0" applyFont="1" applyFill="1" applyBorder="1"/>
    <xf numFmtId="0" fontId="2" fillId="5" borderId="0" xfId="0" applyFont="1" applyFill="1"/>
    <xf numFmtId="0" fontId="63" fillId="5" borderId="0" xfId="0" applyFont="1" applyFill="1"/>
    <xf numFmtId="0" fontId="6" fillId="5" borderId="0" xfId="0" applyFont="1" applyFill="1"/>
    <xf numFmtId="0" fontId="3" fillId="5" borderId="1094" xfId="0" applyFont="1" applyFill="1" applyBorder="1" applyAlignment="1">
      <alignment horizontal="center" wrapText="1"/>
    </xf>
    <xf numFmtId="0" fontId="3" fillId="5" borderId="1093" xfId="0" applyFont="1" applyFill="1" applyBorder="1" applyAlignment="1">
      <alignment horizontal="center" wrapText="1"/>
    </xf>
    <xf numFmtId="0" fontId="3" fillId="5" borderId="1092" xfId="0" applyFont="1" applyFill="1" applyBorder="1" applyAlignment="1">
      <alignment horizontal="center" wrapText="1"/>
    </xf>
    <xf numFmtId="0" fontId="3" fillId="5" borderId="1028" xfId="0" applyFont="1" applyFill="1" applyBorder="1" applyAlignment="1">
      <alignment horizontal="center" vertical="center" wrapText="1"/>
    </xf>
    <xf numFmtId="0" fontId="3" fillId="5" borderId="1115" xfId="0" applyFont="1" applyFill="1" applyBorder="1" applyAlignment="1">
      <alignment horizontal="center" vertical="center" wrapText="1"/>
    </xf>
    <xf numFmtId="0" fontId="3" fillId="20" borderId="1100" xfId="0" applyFont="1" applyFill="1" applyBorder="1" applyAlignment="1">
      <alignment wrapText="1"/>
    </xf>
    <xf numFmtId="1" fontId="3" fillId="5" borderId="1096" xfId="0" applyNumberFormat="1" applyFont="1" applyFill="1" applyBorder="1" applyAlignment="1">
      <alignment horizontal="right" wrapText="1"/>
    </xf>
    <xf numFmtId="1" fontId="3" fillId="5" borderId="1116" xfId="0" applyNumberFormat="1" applyFont="1" applyFill="1" applyBorder="1" applyAlignment="1">
      <alignment horizontal="right" wrapText="1"/>
    </xf>
    <xf numFmtId="1" fontId="3" fillId="5" borderId="1095" xfId="0" applyNumberFormat="1" applyFont="1" applyFill="1" applyBorder="1" applyAlignment="1">
      <alignment horizontal="right"/>
    </xf>
    <xf numFmtId="0" fontId="3" fillId="44" borderId="717" xfId="0" applyFont="1" applyFill="1" applyBorder="1" applyProtection="1">
      <protection locked="0"/>
    </xf>
    <xf numFmtId="0" fontId="3" fillId="44" borderId="728" xfId="0" applyFont="1" applyFill="1" applyBorder="1" applyProtection="1">
      <protection locked="0"/>
    </xf>
    <xf numFmtId="0" fontId="3" fillId="44" borderId="1095" xfId="0" applyFont="1" applyFill="1" applyBorder="1" applyProtection="1">
      <protection locked="0"/>
    </xf>
    <xf numFmtId="0" fontId="3" fillId="20" borderId="302" xfId="0" applyFont="1" applyFill="1" applyBorder="1" applyAlignment="1">
      <alignment wrapText="1"/>
    </xf>
    <xf numFmtId="0" fontId="3" fillId="44" borderId="268" xfId="0" applyFont="1" applyFill="1" applyBorder="1" applyProtection="1">
      <protection locked="0"/>
    </xf>
    <xf numFmtId="0" fontId="7" fillId="5" borderId="0" xfId="0" applyFont="1" applyFill="1"/>
    <xf numFmtId="0" fontId="3" fillId="20" borderId="299" xfId="0" applyFont="1" applyFill="1" applyBorder="1" applyAlignment="1">
      <alignment wrapText="1"/>
    </xf>
    <xf numFmtId="1" fontId="3" fillId="5" borderId="960" xfId="0" applyNumberFormat="1" applyFont="1" applyFill="1" applyBorder="1" applyAlignment="1">
      <alignment horizontal="right" wrapText="1"/>
    </xf>
    <xf numFmtId="1" fontId="3" fillId="5" borderId="970" xfId="0" applyNumberFormat="1" applyFont="1" applyFill="1" applyBorder="1" applyAlignment="1">
      <alignment horizontal="right"/>
    </xf>
    <xf numFmtId="0" fontId="3" fillId="44" borderId="262" xfId="0" applyFont="1" applyFill="1" applyBorder="1" applyProtection="1">
      <protection locked="0"/>
    </xf>
    <xf numFmtId="1" fontId="3" fillId="0" borderId="1094" xfId="0" applyNumberFormat="1" applyFont="1" applyBorder="1" applyAlignment="1">
      <alignment horizontal="right"/>
    </xf>
    <xf numFmtId="1" fontId="3" fillId="0" borderId="1103" xfId="0" applyNumberFormat="1" applyFont="1" applyBorder="1" applyAlignment="1">
      <alignment horizontal="right"/>
    </xf>
    <xf numFmtId="1" fontId="3" fillId="0" borderId="1092" xfId="0" applyNumberFormat="1" applyFont="1" applyBorder="1" applyAlignment="1">
      <alignment horizontal="right"/>
    </xf>
    <xf numFmtId="1" fontId="3" fillId="0" borderId="1094" xfId="0" applyNumberFormat="1" applyFont="1" applyBorder="1"/>
    <xf numFmtId="1" fontId="3" fillId="0" borderId="1092" xfId="0" applyNumberFormat="1" applyFont="1" applyBorder="1"/>
    <xf numFmtId="1" fontId="3" fillId="0" borderId="1101" xfId="0" applyNumberFormat="1" applyFont="1" applyBorder="1"/>
    <xf numFmtId="1" fontId="3" fillId="5" borderId="1094" xfId="0" applyNumberFormat="1" applyFont="1" applyFill="1" applyBorder="1"/>
    <xf numFmtId="1" fontId="3" fillId="5" borderId="1101" xfId="0" applyNumberFormat="1" applyFont="1" applyFill="1" applyBorder="1"/>
    <xf numFmtId="1" fontId="3" fillId="5" borderId="1087" xfId="0" applyNumberFormat="1" applyFont="1" applyFill="1" applyBorder="1"/>
    <xf numFmtId="1" fontId="3" fillId="5" borderId="1115" xfId="0" applyNumberFormat="1" applyFont="1" applyFill="1" applyBorder="1"/>
    <xf numFmtId="1" fontId="3" fillId="5" borderId="1099" xfId="0" applyNumberFormat="1" applyFont="1" applyFill="1" applyBorder="1"/>
    <xf numFmtId="0" fontId="8" fillId="5" borderId="0" xfId="0" applyFont="1" applyFill="1"/>
    <xf numFmtId="1" fontId="3" fillId="0" borderId="1099" xfId="0" applyNumberFormat="1" applyFont="1" applyBorder="1" applyAlignment="1">
      <alignment horizontal="center" vertical="center"/>
    </xf>
    <xf numFmtId="0" fontId="3" fillId="0" borderId="1100" xfId="0" applyFont="1" applyBorder="1" applyAlignment="1">
      <alignment horizontal="left" vertical="center" wrapText="1"/>
    </xf>
    <xf numFmtId="1" fontId="3" fillId="20" borderId="1100" xfId="0" applyNumberFormat="1" applyFont="1" applyFill="1" applyBorder="1" applyAlignment="1">
      <alignment horizontal="right" wrapText="1"/>
    </xf>
    <xf numFmtId="1" fontId="3" fillId="6" borderId="1096" xfId="0" applyNumberFormat="1" applyFont="1" applyFill="1" applyBorder="1" applyAlignment="1">
      <alignment horizontal="right" wrapText="1"/>
    </xf>
    <xf numFmtId="1" fontId="3" fillId="20" borderId="302" xfId="0" applyNumberFormat="1" applyFont="1" applyFill="1" applyBorder="1" applyAlignment="1">
      <alignment horizontal="right" wrapText="1"/>
    </xf>
    <xf numFmtId="1" fontId="3" fillId="20" borderId="299" xfId="0" applyNumberFormat="1" applyFont="1" applyFill="1" applyBorder="1" applyAlignment="1">
      <alignment horizontal="right" wrapText="1"/>
    </xf>
    <xf numFmtId="1" fontId="3" fillId="0" borderId="1093" xfId="0" applyNumberFormat="1" applyFont="1" applyBorder="1"/>
    <xf numFmtId="1" fontId="3" fillId="0" borderId="1094" xfId="0" applyNumberFormat="1" applyFont="1" applyBorder="1" applyAlignment="1">
      <alignment horizontal="center" vertical="center"/>
    </xf>
    <xf numFmtId="1" fontId="3" fillId="0" borderId="1103" xfId="0" applyNumberFormat="1" applyFont="1" applyBorder="1" applyAlignment="1">
      <alignment horizontal="center" vertical="center"/>
    </xf>
    <xf numFmtId="1" fontId="3" fillId="0" borderId="1103" xfId="0" applyNumberFormat="1" applyFont="1" applyBorder="1" applyAlignment="1">
      <alignment horizontal="center" vertical="center" wrapText="1"/>
    </xf>
    <xf numFmtId="0" fontId="3" fillId="5" borderId="1089" xfId="0" applyFont="1" applyFill="1" applyBorder="1" applyAlignment="1">
      <alignment horizontal="center" vertical="center" wrapText="1"/>
    </xf>
    <xf numFmtId="0" fontId="3" fillId="20" borderId="1095" xfId="0" applyFont="1" applyFill="1" applyBorder="1" applyAlignment="1">
      <alignment wrapText="1"/>
    </xf>
    <xf numFmtId="1" fontId="3" fillId="0" borderId="1096" xfId="0" applyNumberFormat="1" applyFont="1" applyBorder="1" applyAlignment="1">
      <alignment horizontal="right" vertical="center"/>
    </xf>
    <xf numFmtId="1" fontId="3" fillId="4" borderId="1098" xfId="0" applyNumberFormat="1" applyFont="1" applyFill="1" applyBorder="1" applyAlignment="1" applyProtection="1">
      <alignment horizontal="right"/>
      <protection locked="0"/>
    </xf>
    <xf numFmtId="0" fontId="3" fillId="20" borderId="134" xfId="0" applyFont="1" applyFill="1" applyBorder="1" applyAlignment="1">
      <alignment wrapText="1"/>
    </xf>
    <xf numFmtId="0" fontId="3" fillId="20" borderId="770" xfId="0" applyFont="1" applyFill="1" applyBorder="1" applyAlignment="1">
      <alignment wrapText="1"/>
    </xf>
    <xf numFmtId="1" fontId="3" fillId="0" borderId="1092" xfId="0" applyNumberFormat="1" applyFont="1" applyBorder="1" applyAlignment="1">
      <alignment vertical="center"/>
    </xf>
    <xf numFmtId="1" fontId="3" fillId="4" borderId="1117" xfId="0" applyNumberFormat="1" applyFont="1" applyFill="1" applyBorder="1" applyAlignment="1" applyProtection="1">
      <alignment horizontal="right"/>
      <protection locked="0"/>
    </xf>
    <xf numFmtId="1" fontId="3" fillId="4" borderId="1101" xfId="0" applyNumberFormat="1" applyFont="1" applyFill="1" applyBorder="1" applyAlignment="1" applyProtection="1">
      <alignment horizontal="right"/>
      <protection locked="0"/>
    </xf>
    <xf numFmtId="1" fontId="3" fillId="4" borderId="1094" xfId="0" applyNumberFormat="1" applyFont="1" applyFill="1" applyBorder="1" applyAlignment="1" applyProtection="1">
      <alignment horizontal="right"/>
      <protection locked="0"/>
    </xf>
    <xf numFmtId="1" fontId="3" fillId="4" borderId="1093" xfId="0" applyNumberFormat="1" applyFont="1" applyFill="1" applyBorder="1" applyAlignment="1" applyProtection="1">
      <alignment horizontal="right"/>
      <protection locked="0"/>
    </xf>
    <xf numFmtId="1" fontId="3" fillId="4" borderId="1103" xfId="0" applyNumberFormat="1" applyFont="1" applyFill="1" applyBorder="1" applyAlignment="1" applyProtection="1">
      <alignment horizontal="right"/>
      <protection locked="0"/>
    </xf>
    <xf numFmtId="1" fontId="3" fillId="4" borderId="1115" xfId="0" applyNumberFormat="1" applyFont="1" applyFill="1" applyBorder="1" applyAlignment="1" applyProtection="1">
      <alignment horizontal="right"/>
      <protection locked="0"/>
    </xf>
    <xf numFmtId="1" fontId="3" fillId="4" borderId="1118" xfId="0" applyNumberFormat="1" applyFont="1" applyFill="1" applyBorder="1" applyAlignment="1" applyProtection="1">
      <alignment horizontal="right"/>
      <protection locked="0"/>
    </xf>
    <xf numFmtId="1" fontId="3" fillId="0" borderId="1094" xfId="0" applyNumberFormat="1" applyFont="1" applyBorder="1" applyAlignment="1">
      <alignment horizontal="right" vertical="center"/>
    </xf>
    <xf numFmtId="1" fontId="3" fillId="0" borderId="1103" xfId="0" applyNumberFormat="1" applyFont="1" applyBorder="1" applyAlignment="1">
      <alignment horizontal="right" vertical="center"/>
    </xf>
    <xf numFmtId="1" fontId="3" fillId="0" borderId="1092" xfId="0" applyNumberFormat="1" applyFont="1" applyBorder="1" applyAlignment="1">
      <alignment horizontal="right" vertical="center"/>
    </xf>
    <xf numFmtId="1" fontId="3" fillId="0" borderId="1094" xfId="0" applyNumberFormat="1" applyFont="1" applyBorder="1" applyAlignment="1">
      <alignment horizontal="right" vertical="center" wrapText="1"/>
    </xf>
    <xf numFmtId="1" fontId="3" fillId="0" borderId="1103" xfId="0" applyNumberFormat="1" applyFont="1" applyBorder="1" applyAlignment="1">
      <alignment horizontal="right" vertical="center" wrapText="1"/>
    </xf>
    <xf numFmtId="1" fontId="3" fillId="0" borderId="1092" xfId="0" applyNumberFormat="1" applyFont="1" applyBorder="1" applyAlignment="1">
      <alignment horizontal="right" vertical="center" wrapText="1"/>
    </xf>
    <xf numFmtId="1" fontId="3" fillId="0" borderId="1115" xfId="0" applyNumberFormat="1" applyFont="1" applyBorder="1" applyAlignment="1">
      <alignment horizontal="right" vertical="center" wrapText="1"/>
    </xf>
    <xf numFmtId="1" fontId="3" fillId="6" borderId="1087" xfId="0" applyNumberFormat="1" applyFont="1" applyFill="1" applyBorder="1" applyAlignment="1">
      <alignment horizontal="right" wrapText="1"/>
    </xf>
    <xf numFmtId="1" fontId="3" fillId="6" borderId="1068" xfId="0" applyNumberFormat="1" applyFont="1" applyFill="1" applyBorder="1" applyAlignment="1">
      <alignment horizontal="right" wrapText="1"/>
    </xf>
    <xf numFmtId="1" fontId="3" fillId="6" borderId="1092" xfId="0" applyNumberFormat="1" applyFont="1" applyFill="1" applyBorder="1" applyAlignment="1">
      <alignment horizontal="right" wrapText="1"/>
    </xf>
    <xf numFmtId="1" fontId="3" fillId="6" borderId="1089" xfId="0" applyNumberFormat="1" applyFont="1" applyFill="1" applyBorder="1" applyAlignment="1">
      <alignment horizontal="right" wrapText="1"/>
    </xf>
    <xf numFmtId="1" fontId="3" fillId="5" borderId="1118" xfId="0" applyNumberFormat="1" applyFont="1" applyFill="1" applyBorder="1" applyAlignment="1">
      <alignment horizontal="right" vertical="center" wrapText="1"/>
    </xf>
    <xf numFmtId="1" fontId="3" fillId="4" borderId="959" xfId="0" applyNumberFormat="1" applyFont="1" applyFill="1" applyBorder="1" applyAlignment="1" applyProtection="1">
      <alignment horizontal="right"/>
      <protection locked="0"/>
    </xf>
    <xf numFmtId="1" fontId="3" fillId="4" borderId="1116" xfId="0" applyNumberFormat="1" applyFont="1" applyFill="1" applyBorder="1" applyAlignment="1" applyProtection="1">
      <alignment horizontal="right"/>
      <protection locked="0"/>
    </xf>
    <xf numFmtId="1" fontId="3" fillId="0" borderId="204" xfId="0" applyNumberFormat="1" applyFont="1" applyBorder="1" applyAlignment="1">
      <alignment horizontal="right" vertical="center"/>
    </xf>
    <xf numFmtId="1" fontId="3" fillId="0" borderId="1089" xfId="0" applyNumberFormat="1" applyFont="1" applyBorder="1" applyAlignment="1">
      <alignment horizontal="right" vertical="center" wrapText="1"/>
    </xf>
    <xf numFmtId="1" fontId="3" fillId="5" borderId="1092" xfId="0" applyNumberFormat="1" applyFont="1" applyFill="1" applyBorder="1" applyAlignment="1">
      <alignment horizontal="right" vertical="center" wrapText="1"/>
    </xf>
    <xf numFmtId="1" fontId="3" fillId="0" borderId="1100" xfId="0" applyNumberFormat="1" applyFont="1" applyBorder="1" applyAlignment="1">
      <alignment horizontal="left"/>
    </xf>
    <xf numFmtId="1" fontId="3" fillId="0" borderId="1116" xfId="0" applyNumberFormat="1" applyFont="1" applyBorder="1" applyAlignment="1">
      <alignment horizontal="right" vertical="center"/>
    </xf>
    <xf numFmtId="1" fontId="3" fillId="0" borderId="1095" xfId="0" applyNumberFormat="1" applyFont="1" applyBorder="1" applyAlignment="1">
      <alignment horizontal="right" vertical="center"/>
    </xf>
    <xf numFmtId="1" fontId="3" fillId="4" borderId="1095" xfId="0" applyNumberFormat="1" applyFont="1" applyFill="1" applyBorder="1" applyAlignment="1" applyProtection="1">
      <alignment horizontal="right"/>
      <protection locked="0"/>
    </xf>
    <xf numFmtId="1" fontId="3" fillId="0" borderId="1101" xfId="0" applyNumberFormat="1" applyFont="1" applyBorder="1" applyAlignment="1">
      <alignment horizontal="right" vertical="center" wrapText="1"/>
    </xf>
    <xf numFmtId="1" fontId="3" fillId="5" borderId="0" xfId="0" applyNumberFormat="1" applyFont="1" applyFill="1" applyAlignment="1">
      <alignment horizontal="center"/>
    </xf>
    <xf numFmtId="1" fontId="3" fillId="5" borderId="0" xfId="0" applyNumberFormat="1" applyFont="1" applyFill="1" applyAlignment="1">
      <alignment vertical="center" wrapText="1"/>
    </xf>
    <xf numFmtId="1" fontId="3" fillId="5" borderId="0" xfId="0" applyNumberFormat="1" applyFont="1" applyFill="1" applyAlignment="1">
      <alignment horizontal="center" vertical="center"/>
    </xf>
    <xf numFmtId="1" fontId="3" fillId="0" borderId="1063" xfId="0" applyNumberFormat="1" applyFont="1" applyBorder="1"/>
    <xf numFmtId="1" fontId="3" fillId="0" borderId="1096" xfId="0" applyNumberFormat="1" applyFont="1" applyBorder="1" applyAlignment="1">
      <alignment horizontal="right"/>
    </xf>
    <xf numFmtId="1" fontId="3" fillId="0" borderId="1116" xfId="0" applyNumberFormat="1" applyFont="1" applyBorder="1" applyAlignment="1">
      <alignment horizontal="right"/>
    </xf>
    <xf numFmtId="1" fontId="3" fillId="0" borderId="1095" xfId="0" applyNumberFormat="1" applyFont="1" applyBorder="1" applyAlignment="1">
      <alignment horizontal="right"/>
    </xf>
    <xf numFmtId="1" fontId="3" fillId="4" borderId="1116" xfId="0" applyNumberFormat="1" applyFont="1" applyFill="1" applyBorder="1" applyProtection="1">
      <protection locked="0"/>
    </xf>
    <xf numFmtId="1" fontId="3" fillId="4" borderId="1076" xfId="0" applyNumberFormat="1" applyFont="1" applyFill="1" applyBorder="1" applyProtection="1">
      <protection locked="0"/>
    </xf>
    <xf numFmtId="1" fontId="3" fillId="0" borderId="1028" xfId="0" applyNumberFormat="1" applyFont="1" applyBorder="1" applyAlignment="1">
      <alignment horizontal="right"/>
    </xf>
    <xf numFmtId="1" fontId="3" fillId="5" borderId="1096" xfId="0" applyNumberFormat="1" applyFont="1" applyFill="1" applyBorder="1" applyAlignment="1">
      <alignment horizontal="right"/>
    </xf>
    <xf numFmtId="1" fontId="3" fillId="5" borderId="1116" xfId="0" applyNumberFormat="1" applyFont="1" applyFill="1" applyBorder="1" applyAlignment="1">
      <alignment horizontal="right"/>
    </xf>
    <xf numFmtId="1" fontId="3" fillId="3" borderId="299" xfId="0" applyNumberFormat="1" applyFont="1" applyFill="1" applyBorder="1" applyAlignment="1">
      <alignment vertical="center" wrapText="1"/>
    </xf>
    <xf numFmtId="1" fontId="3" fillId="3" borderId="1117" xfId="0" applyNumberFormat="1" applyFont="1" applyFill="1" applyBorder="1" applyAlignment="1">
      <alignment horizontal="center" vertical="center" wrapText="1"/>
    </xf>
    <xf numFmtId="1" fontId="3" fillId="3" borderId="1093" xfId="0" applyNumberFormat="1" applyFont="1" applyFill="1" applyBorder="1" applyAlignment="1">
      <alignment horizontal="center" vertical="center" wrapText="1"/>
    </xf>
    <xf numFmtId="1" fontId="3" fillId="3" borderId="1092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wrapText="1"/>
    </xf>
    <xf numFmtId="1" fontId="3" fillId="4" borderId="1100" xfId="0" applyNumberFormat="1" applyFont="1" applyFill="1" applyBorder="1" applyAlignment="1" applyProtection="1">
      <alignment horizontal="right"/>
      <protection locked="0"/>
    </xf>
    <xf numFmtId="1" fontId="3" fillId="4" borderId="1119" xfId="0" applyNumberFormat="1" applyFont="1" applyFill="1" applyBorder="1" applyAlignment="1" applyProtection="1">
      <alignment horizontal="right"/>
      <protection locked="0"/>
    </xf>
    <xf numFmtId="1" fontId="3" fillId="4" borderId="1120" xfId="0" applyNumberFormat="1" applyFont="1" applyFill="1" applyBorder="1" applyAlignment="1" applyProtection="1">
      <alignment horizontal="right"/>
      <protection locked="0"/>
    </xf>
    <xf numFmtId="1" fontId="3" fillId="4" borderId="1005" xfId="0" applyNumberFormat="1" applyFont="1" applyFill="1" applyBorder="1" applyAlignment="1" applyProtection="1">
      <alignment horizontal="right"/>
      <protection locked="0"/>
    </xf>
    <xf numFmtId="1" fontId="3" fillId="3" borderId="973" xfId="0" applyNumberFormat="1" applyFont="1" applyFill="1" applyBorder="1" applyAlignment="1">
      <alignment horizontal="left" vertical="center" wrapText="1"/>
    </xf>
    <xf numFmtId="1" fontId="3" fillId="4" borderId="1004" xfId="0" applyNumberFormat="1" applyFont="1" applyFill="1" applyBorder="1" applyAlignment="1" applyProtection="1">
      <alignment horizontal="right"/>
      <protection locked="0"/>
    </xf>
    <xf numFmtId="1" fontId="3" fillId="3" borderId="1121" xfId="0" applyNumberFormat="1" applyFont="1" applyFill="1" applyBorder="1" applyAlignment="1">
      <alignment horizontal="left" vertical="center" wrapText="1"/>
    </xf>
    <xf numFmtId="1" fontId="3" fillId="3" borderId="1094" xfId="0" applyNumberFormat="1" applyFont="1" applyFill="1" applyBorder="1" applyAlignment="1">
      <alignment horizontal="center" vertical="center"/>
    </xf>
    <xf numFmtId="1" fontId="3" fillId="3" borderId="1103" xfId="0" applyNumberFormat="1" applyFont="1" applyFill="1" applyBorder="1" applyAlignment="1">
      <alignment horizontal="center" vertical="center"/>
    </xf>
    <xf numFmtId="1" fontId="3" fillId="3" borderId="1101" xfId="0" applyNumberFormat="1" applyFont="1" applyFill="1" applyBorder="1" applyAlignment="1">
      <alignment horizontal="center" vertical="center"/>
    </xf>
    <xf numFmtId="1" fontId="3" fillId="0" borderId="1101" xfId="0" applyNumberFormat="1" applyFont="1" applyBorder="1" applyAlignment="1">
      <alignment horizontal="center" vertical="center"/>
    </xf>
    <xf numFmtId="1" fontId="3" fillId="0" borderId="1115" xfId="0" applyNumberFormat="1" applyFont="1" applyBorder="1" applyAlignment="1">
      <alignment horizontal="center" vertical="center"/>
    </xf>
    <xf numFmtId="1" fontId="3" fillId="3" borderId="1096" xfId="0" applyNumberFormat="1" applyFont="1" applyFill="1" applyBorder="1" applyAlignment="1">
      <alignment horizontal="right" vertical="center" wrapText="1"/>
    </xf>
    <xf numFmtId="1" fontId="3" fillId="4" borderId="1029" xfId="0" applyNumberFormat="1" applyFont="1" applyFill="1" applyBorder="1" applyAlignment="1" applyProtection="1">
      <alignment horizontal="right"/>
      <protection locked="0"/>
    </xf>
    <xf numFmtId="1" fontId="3" fillId="4" borderId="1071" xfId="0" applyNumberFormat="1" applyFont="1" applyFill="1" applyBorder="1" applyAlignment="1" applyProtection="1">
      <alignment horizontal="right"/>
      <protection locked="0"/>
    </xf>
    <xf numFmtId="1" fontId="3" fillId="4" borderId="1069" xfId="0" applyNumberFormat="1" applyFont="1" applyFill="1" applyBorder="1" applyAlignment="1" applyProtection="1">
      <alignment horizontal="right"/>
      <protection locked="0"/>
    </xf>
    <xf numFmtId="1" fontId="3" fillId="4" borderId="1027" xfId="0" applyNumberFormat="1" applyFont="1" applyFill="1" applyBorder="1" applyAlignment="1" applyProtection="1">
      <alignment horizontal="right"/>
      <protection locked="0"/>
    </xf>
    <xf numFmtId="1" fontId="3" fillId="3" borderId="9" xfId="0" applyNumberFormat="1" applyFont="1" applyFill="1" applyBorder="1" applyAlignment="1">
      <alignment horizontal="right" vertical="center" wrapText="1"/>
    </xf>
    <xf numFmtId="1" fontId="3" fillId="3" borderId="300" xfId="0" applyNumberFormat="1" applyFont="1" applyFill="1" applyBorder="1" applyAlignment="1">
      <alignment vertical="center" wrapText="1"/>
    </xf>
    <xf numFmtId="1" fontId="3" fillId="3" borderId="988" xfId="0" applyNumberFormat="1" applyFont="1" applyFill="1" applyBorder="1" applyAlignment="1">
      <alignment horizontal="right" vertical="center" wrapText="1"/>
    </xf>
    <xf numFmtId="1" fontId="3" fillId="3" borderId="302" xfId="0" applyNumberFormat="1" applyFont="1" applyFill="1" applyBorder="1" applyAlignment="1">
      <alignment vertical="center" wrapText="1"/>
    </xf>
    <xf numFmtId="1" fontId="3" fillId="4" borderId="86" xfId="0" applyNumberFormat="1" applyFont="1" applyFill="1" applyBorder="1" applyAlignment="1" applyProtection="1">
      <alignment horizontal="right"/>
      <protection locked="0"/>
    </xf>
    <xf numFmtId="0" fontId="22" fillId="5" borderId="0" xfId="0" applyFont="1" applyFill="1"/>
    <xf numFmtId="0" fontId="3" fillId="0" borderId="0" xfId="0" applyFont="1" applyAlignment="1">
      <alignment horizontal="center" vertical="center"/>
    </xf>
    <xf numFmtId="1" fontId="3" fillId="3" borderId="1094" xfId="0" applyNumberFormat="1" applyFont="1" applyFill="1" applyBorder="1" applyAlignment="1">
      <alignment horizontal="center" vertical="center" wrapText="1"/>
    </xf>
    <xf numFmtId="0" fontId="3" fillId="0" borderId="1093" xfId="0" applyFont="1" applyBorder="1" applyAlignment="1">
      <alignment horizontal="center" vertical="center"/>
    </xf>
    <xf numFmtId="0" fontId="3" fillId="0" borderId="1100" xfId="0" applyFont="1" applyBorder="1" applyAlignment="1">
      <alignment horizontal="left" wrapText="1"/>
    </xf>
    <xf numFmtId="0" fontId="3" fillId="44" borderId="983" xfId="0" applyFont="1" applyFill="1" applyBorder="1" applyAlignment="1" applyProtection="1">
      <alignment horizontal="right"/>
      <protection locked="0"/>
    </xf>
    <xf numFmtId="0" fontId="3" fillId="44" borderId="987" xfId="0" applyFont="1" applyFill="1" applyBorder="1" applyAlignment="1" applyProtection="1">
      <alignment horizontal="right"/>
      <protection locked="0"/>
    </xf>
    <xf numFmtId="0" fontId="3" fillId="44" borderId="280" xfId="0" applyFont="1" applyFill="1" applyBorder="1" applyAlignment="1" applyProtection="1">
      <alignment horizontal="right"/>
      <protection locked="0"/>
    </xf>
    <xf numFmtId="0" fontId="3" fillId="44" borderId="134" xfId="0" applyFont="1" applyFill="1" applyBorder="1" applyAlignment="1" applyProtection="1">
      <alignment horizontal="right"/>
      <protection locked="0"/>
    </xf>
    <xf numFmtId="0" fontId="3" fillId="0" borderId="958" xfId="0" applyFont="1" applyBorder="1" applyAlignment="1">
      <alignment horizontal="right"/>
    </xf>
    <xf numFmtId="0" fontId="3" fillId="44" borderId="970" xfId="0" applyFont="1" applyFill="1" applyBorder="1" applyAlignment="1" applyProtection="1">
      <alignment horizontal="right"/>
      <protection locked="0"/>
    </xf>
    <xf numFmtId="0" fontId="3" fillId="0" borderId="962" xfId="0" applyFont="1" applyBorder="1" applyAlignment="1">
      <alignment horizontal="left" wrapText="1"/>
    </xf>
    <xf numFmtId="0" fontId="3" fillId="0" borderId="962" xfId="0" applyFont="1" applyBorder="1" applyAlignment="1">
      <alignment horizontal="right"/>
    </xf>
    <xf numFmtId="0" fontId="3" fillId="44" borderId="255" xfId="0" applyFont="1" applyFill="1" applyBorder="1" applyAlignment="1" applyProtection="1">
      <alignment horizontal="right"/>
      <protection locked="0"/>
    </xf>
    <xf numFmtId="0" fontId="3" fillId="44" borderId="967" xfId="0" applyFont="1" applyFill="1" applyBorder="1" applyAlignment="1" applyProtection="1">
      <alignment horizontal="right"/>
      <protection locked="0"/>
    </xf>
    <xf numFmtId="0" fontId="3" fillId="44" borderId="770" xfId="0" applyFont="1" applyFill="1" applyBorder="1" applyAlignment="1" applyProtection="1">
      <alignment horizontal="right"/>
      <protection locked="0"/>
    </xf>
    <xf numFmtId="1" fontId="3" fillId="3" borderId="1125" xfId="0" applyNumberFormat="1" applyFont="1" applyFill="1" applyBorder="1" applyAlignment="1">
      <alignment vertical="center" wrapText="1"/>
    </xf>
    <xf numFmtId="1" fontId="3" fillId="4" borderId="1125" xfId="0" applyNumberFormat="1" applyFont="1" applyFill="1" applyBorder="1" applyAlignment="1" applyProtection="1">
      <alignment horizontal="right"/>
      <protection locked="0"/>
    </xf>
    <xf numFmtId="1" fontId="3" fillId="4" borderId="1126" xfId="0" applyNumberFormat="1" applyFont="1" applyFill="1" applyBorder="1" applyAlignment="1" applyProtection="1">
      <alignment horizontal="right"/>
      <protection locked="0"/>
    </xf>
    <xf numFmtId="1" fontId="3" fillId="3" borderId="962" xfId="0" applyNumberFormat="1" applyFont="1" applyFill="1" applyBorder="1" applyAlignment="1">
      <alignment vertical="center" wrapText="1"/>
    </xf>
    <xf numFmtId="0" fontId="47" fillId="5" borderId="0" xfId="0" applyFont="1" applyFill="1"/>
    <xf numFmtId="0" fontId="3" fillId="0" borderId="162" xfId="0" applyFont="1" applyBorder="1" applyAlignment="1">
      <alignment horizontal="center" vertical="center" wrapText="1"/>
    </xf>
    <xf numFmtId="0" fontId="3" fillId="0" borderId="1100" xfId="0" applyFont="1" applyBorder="1" applyAlignment="1">
      <alignment wrapText="1"/>
    </xf>
    <xf numFmtId="0" fontId="3" fillId="44" borderId="1100" xfId="0" applyFont="1" applyFill="1" applyBorder="1" applyAlignment="1" applyProtection="1">
      <alignment wrapText="1"/>
      <protection locked="0"/>
    </xf>
    <xf numFmtId="0" fontId="3" fillId="44" borderId="1096" xfId="0" applyFont="1" applyFill="1" applyBorder="1" applyProtection="1">
      <protection locked="0"/>
    </xf>
    <xf numFmtId="0" fontId="3" fillId="44" borderId="302" xfId="0" applyFont="1" applyFill="1" applyBorder="1" applyAlignment="1" applyProtection="1">
      <alignment wrapText="1"/>
      <protection locked="0"/>
    </xf>
    <xf numFmtId="0" fontId="3" fillId="44" borderId="970" xfId="0" applyFont="1" applyFill="1" applyBorder="1" applyProtection="1">
      <protection locked="0"/>
    </xf>
    <xf numFmtId="0" fontId="3" fillId="0" borderId="970" xfId="0" applyFont="1" applyBorder="1" applyAlignment="1">
      <alignment vertical="center" wrapText="1"/>
    </xf>
    <xf numFmtId="0" fontId="3" fillId="0" borderId="354" xfId="0" applyFont="1" applyBorder="1" applyAlignment="1">
      <alignment vertical="center" wrapText="1"/>
    </xf>
    <xf numFmtId="0" fontId="3" fillId="44" borderId="299" xfId="0" applyFont="1" applyFill="1" applyBorder="1" applyAlignment="1" applyProtection="1">
      <alignment wrapText="1"/>
      <protection locked="0"/>
    </xf>
    <xf numFmtId="0" fontId="3" fillId="44" borderId="255" xfId="0" applyFont="1" applyFill="1" applyBorder="1" applyProtection="1">
      <protection locked="0"/>
    </xf>
    <xf numFmtId="0" fontId="3" fillId="44" borderId="770" xfId="0" applyFont="1" applyFill="1" applyBorder="1" applyProtection="1">
      <protection locked="0"/>
    </xf>
    <xf numFmtId="0" fontId="3" fillId="44" borderId="1127" xfId="0" applyFont="1" applyFill="1" applyBorder="1" applyProtection="1">
      <protection locked="0"/>
    </xf>
    <xf numFmtId="0" fontId="3" fillId="44" borderId="1120" xfId="0" applyFont="1" applyFill="1" applyBorder="1" applyProtection="1">
      <protection locked="0"/>
    </xf>
    <xf numFmtId="0" fontId="3" fillId="44" borderId="699" xfId="0" applyFont="1" applyFill="1" applyBorder="1" applyProtection="1">
      <protection locked="0"/>
    </xf>
    <xf numFmtId="0" fontId="3" fillId="0" borderId="1128" xfId="0" applyFont="1" applyBorder="1" applyAlignment="1">
      <alignment wrapText="1"/>
    </xf>
    <xf numFmtId="0" fontId="3" fillId="44" borderId="975" xfId="0" applyFont="1" applyFill="1" applyBorder="1" applyProtection="1">
      <protection locked="0"/>
    </xf>
    <xf numFmtId="0" fontId="3" fillId="44" borderId="301" xfId="0" applyFont="1" applyFill="1" applyBorder="1" applyProtection="1">
      <protection locked="0"/>
    </xf>
    <xf numFmtId="0" fontId="3" fillId="44" borderId="987" xfId="0" applyFont="1" applyFill="1" applyBorder="1" applyProtection="1">
      <protection locked="0"/>
    </xf>
    <xf numFmtId="0" fontId="3" fillId="0" borderId="1009" xfId="0" applyFont="1" applyBorder="1" applyAlignment="1">
      <alignment wrapText="1"/>
    </xf>
    <xf numFmtId="0" fontId="3" fillId="44" borderId="986" xfId="0" applyFont="1" applyFill="1" applyBorder="1" applyProtection="1">
      <protection locked="0"/>
    </xf>
    <xf numFmtId="0" fontId="3" fillId="0" borderId="1129" xfId="0" applyFont="1" applyBorder="1" applyAlignment="1">
      <alignment wrapText="1"/>
    </xf>
    <xf numFmtId="0" fontId="3" fillId="44" borderId="168" xfId="0" applyFont="1" applyFill="1" applyBorder="1" applyProtection="1">
      <protection locked="0"/>
    </xf>
    <xf numFmtId="0" fontId="3" fillId="44" borderId="259" xfId="0" applyFont="1" applyFill="1" applyBorder="1" applyProtection="1">
      <protection locked="0"/>
    </xf>
    <xf numFmtId="0" fontId="3" fillId="44" borderId="967" xfId="0" applyFont="1" applyFill="1" applyBorder="1" applyProtection="1">
      <protection locked="0"/>
    </xf>
    <xf numFmtId="1" fontId="3" fillId="0" borderId="1114" xfId="0" applyNumberFormat="1" applyFont="1" applyBorder="1" applyAlignment="1">
      <alignment horizontal="right"/>
    </xf>
    <xf numFmtId="1" fontId="3" fillId="3" borderId="1100" xfId="0" applyNumberFormat="1" applyFont="1" applyFill="1" applyBorder="1" applyAlignment="1">
      <alignment horizontal="right"/>
    </xf>
    <xf numFmtId="1" fontId="3" fillId="11" borderId="341" xfId="0" applyNumberFormat="1" applyFont="1" applyFill="1" applyBorder="1" applyAlignment="1">
      <alignment horizontal="right" vertical="center" wrapText="1"/>
    </xf>
    <xf numFmtId="1" fontId="3" fillId="11" borderId="334" xfId="0" applyNumberFormat="1" applyFont="1" applyFill="1" applyBorder="1" applyAlignment="1">
      <alignment horizontal="right" vertical="center" wrapText="1"/>
    </xf>
    <xf numFmtId="1" fontId="3" fillId="11" borderId="328" xfId="0" applyNumberFormat="1" applyFont="1" applyFill="1" applyBorder="1" applyAlignment="1">
      <alignment horizontal="right" vertical="center" wrapText="1"/>
    </xf>
    <xf numFmtId="1" fontId="3" fillId="11" borderId="366" xfId="0" applyNumberFormat="1" applyFont="1" applyFill="1" applyBorder="1" applyAlignment="1">
      <alignment horizontal="right" vertical="center" wrapText="1"/>
    </xf>
    <xf numFmtId="1" fontId="3" fillId="11" borderId="354" xfId="0" applyNumberFormat="1" applyFont="1" applyFill="1" applyBorder="1" applyAlignment="1">
      <alignment horizontal="right" vertical="center" wrapText="1"/>
    </xf>
    <xf numFmtId="1" fontId="3" fillId="4" borderId="792" xfId="0" applyNumberFormat="1" applyFont="1" applyFill="1" applyBorder="1" applyAlignment="1" applyProtection="1">
      <alignment wrapText="1"/>
      <protection locked="0"/>
    </xf>
    <xf numFmtId="1" fontId="3" fillId="4" borderId="362" xfId="0" applyNumberFormat="1" applyFont="1" applyFill="1" applyBorder="1" applyAlignment="1" applyProtection="1">
      <alignment wrapText="1"/>
      <protection locked="0"/>
    </xf>
    <xf numFmtId="1" fontId="3" fillId="4" borderId="262" xfId="0" applyNumberFormat="1" applyFont="1" applyFill="1" applyBorder="1" applyAlignment="1" applyProtection="1">
      <alignment wrapText="1"/>
      <protection locked="0"/>
    </xf>
    <xf numFmtId="1" fontId="3" fillId="4" borderId="1141" xfId="0" applyNumberFormat="1" applyFont="1" applyFill="1" applyBorder="1" applyAlignment="1" applyProtection="1">
      <alignment wrapText="1"/>
      <protection locked="0"/>
    </xf>
    <xf numFmtId="1" fontId="3" fillId="4" borderId="1158" xfId="0" applyNumberFormat="1" applyFont="1" applyFill="1" applyBorder="1" applyAlignment="1" applyProtection="1">
      <alignment wrapText="1"/>
      <protection locked="0"/>
    </xf>
    <xf numFmtId="1" fontId="3" fillId="4" borderId="1206" xfId="0" applyNumberFormat="1" applyFont="1" applyFill="1" applyBorder="1" applyAlignment="1" applyProtection="1">
      <alignment wrapText="1"/>
      <protection locked="0"/>
    </xf>
    <xf numFmtId="1" fontId="3" fillId="4" borderId="1120" xfId="0" applyNumberFormat="1" applyFont="1" applyFill="1" applyBorder="1" applyAlignment="1" applyProtection="1">
      <alignment wrapText="1"/>
      <protection locked="0"/>
    </xf>
    <xf numFmtId="1" fontId="3" fillId="4" borderId="1143" xfId="6" applyNumberFormat="1" applyFont="1" applyFill="1" applyBorder="1" applyAlignment="1" applyProtection="1">
      <alignment horizontal="right"/>
      <protection locked="0"/>
    </xf>
    <xf numFmtId="1" fontId="3" fillId="4" borderId="256" xfId="6" applyNumberFormat="1" applyFont="1" applyFill="1" applyBorder="1" applyAlignment="1" applyProtection="1">
      <alignment horizontal="right"/>
      <protection locked="0"/>
    </xf>
    <xf numFmtId="1" fontId="3" fillId="4" borderId="262" xfId="6" applyNumberFormat="1" applyFont="1" applyFill="1" applyBorder="1" applyAlignment="1" applyProtection="1">
      <alignment horizontal="right"/>
      <protection locked="0"/>
    </xf>
    <xf numFmtId="1" fontId="3" fillId="0" borderId="1201" xfId="0" applyNumberFormat="1" applyFont="1" applyBorder="1" applyAlignment="1">
      <alignment horizontal="center" vertical="center" wrapText="1"/>
    </xf>
    <xf numFmtId="1" fontId="3" fillId="0" borderId="1118" xfId="0" applyNumberFormat="1" applyFont="1" applyBorder="1" applyAlignment="1">
      <alignment horizontal="center" vertical="center" wrapText="1"/>
    </xf>
    <xf numFmtId="1" fontId="3" fillId="4" borderId="1100" xfId="0" applyNumberFormat="1" applyFont="1" applyFill="1" applyBorder="1" applyProtection="1">
      <protection locked="0"/>
    </xf>
    <xf numFmtId="1" fontId="3" fillId="4" borderId="346" xfId="0" applyNumberFormat="1" applyFont="1" applyFill="1" applyBorder="1" applyProtection="1">
      <protection locked="0"/>
    </xf>
    <xf numFmtId="1" fontId="3" fillId="4" borderId="1152" xfId="0" applyNumberFormat="1" applyFont="1" applyFill="1" applyBorder="1" applyProtection="1">
      <protection locked="0"/>
    </xf>
    <xf numFmtId="1" fontId="3" fillId="4" borderId="1153" xfId="0" applyNumberFormat="1" applyFont="1" applyFill="1" applyBorder="1" applyProtection="1">
      <protection locked="0"/>
    </xf>
    <xf numFmtId="0" fontId="3" fillId="18" borderId="420" xfId="0" applyFont="1" applyFill="1" applyBorder="1" applyProtection="1">
      <protection locked="0"/>
    </xf>
    <xf numFmtId="0" fontId="3" fillId="18" borderId="1154" xfId="0" applyFont="1" applyFill="1" applyBorder="1" applyProtection="1">
      <protection locked="0"/>
    </xf>
    <xf numFmtId="0" fontId="14" fillId="0" borderId="0" xfId="0" applyFont="1"/>
    <xf numFmtId="0" fontId="5" fillId="0" borderId="407" xfId="0" applyFont="1" applyBorder="1"/>
    <xf numFmtId="0" fontId="5" fillId="0" borderId="68" xfId="0" applyFont="1" applyBorder="1"/>
    <xf numFmtId="0" fontId="5" fillId="0" borderId="409" xfId="0" applyFont="1" applyBorder="1"/>
    <xf numFmtId="1" fontId="3" fillId="6" borderId="587" xfId="0" applyNumberFormat="1" applyFont="1" applyFill="1" applyBorder="1" applyAlignment="1">
      <alignment horizontal="right" vertical="center" wrapText="1"/>
    </xf>
    <xf numFmtId="1" fontId="3" fillId="6" borderId="331" xfId="0" applyNumberFormat="1" applyFont="1" applyFill="1" applyBorder="1" applyAlignment="1">
      <alignment horizontal="right" vertical="center" wrapText="1"/>
    </xf>
    <xf numFmtId="1" fontId="3" fillId="6" borderId="406" xfId="0" applyNumberFormat="1" applyFont="1" applyFill="1" applyBorder="1" applyAlignment="1">
      <alignment horizontal="right" vertical="center" wrapText="1"/>
    </xf>
    <xf numFmtId="1" fontId="3" fillId="6" borderId="587" xfId="0" applyNumberFormat="1" applyFont="1" applyFill="1" applyBorder="1" applyAlignment="1">
      <alignment horizontal="right"/>
    </xf>
    <xf numFmtId="1" fontId="3" fillId="6" borderId="331" xfId="0" applyNumberFormat="1" applyFont="1" applyFill="1" applyBorder="1" applyAlignment="1">
      <alignment horizontal="right"/>
    </xf>
    <xf numFmtId="1" fontId="3" fillId="6" borderId="512" xfId="0" applyNumberFormat="1" applyFont="1" applyFill="1" applyBorder="1" applyProtection="1">
      <protection locked="0"/>
    </xf>
    <xf numFmtId="0" fontId="3" fillId="0" borderId="299" xfId="0" applyFont="1" applyBorder="1" applyAlignment="1">
      <alignment horizontal="center" vertical="center" wrapText="1"/>
    </xf>
    <xf numFmtId="1" fontId="3" fillId="6" borderId="271" xfId="0" applyNumberFormat="1" applyFont="1" applyFill="1" applyBorder="1" applyAlignment="1">
      <alignment horizontal="right"/>
    </xf>
    <xf numFmtId="1" fontId="3" fillId="6" borderId="627" xfId="0" applyNumberFormat="1" applyFont="1" applyFill="1" applyBorder="1"/>
    <xf numFmtId="1" fontId="3" fillId="6" borderId="347" xfId="0" applyNumberFormat="1" applyFont="1" applyFill="1" applyBorder="1"/>
    <xf numFmtId="1" fontId="3" fillId="6" borderId="374" xfId="0" applyNumberFormat="1" applyFont="1" applyFill="1" applyBorder="1"/>
    <xf numFmtId="1" fontId="3" fillId="6" borderId="632" xfId="0" applyNumberFormat="1" applyFont="1" applyFill="1" applyBorder="1"/>
    <xf numFmtId="1" fontId="3" fillId="6" borderId="301" xfId="0" applyNumberFormat="1" applyFont="1" applyFill="1" applyBorder="1"/>
    <xf numFmtId="1" fontId="3" fillId="6" borderId="10" xfId="0" applyNumberFormat="1" applyFont="1" applyFill="1" applyBorder="1"/>
    <xf numFmtId="1" fontId="3" fillId="6" borderId="302" xfId="0" applyNumberFormat="1" applyFont="1" applyFill="1" applyBorder="1" applyAlignment="1">
      <alignment horizontal="left" vertical="center" wrapText="1"/>
    </xf>
    <xf numFmtId="1" fontId="3" fillId="6" borderId="331" xfId="0" applyNumberFormat="1" applyFont="1" applyFill="1" applyBorder="1" applyAlignment="1">
      <alignment horizontal="left" vertical="center" wrapText="1"/>
    </xf>
    <xf numFmtId="1" fontId="3" fillId="6" borderId="406" xfId="0" applyNumberFormat="1" applyFont="1" applyFill="1" applyBorder="1" applyAlignment="1">
      <alignment horizontal="left" vertical="center" wrapText="1"/>
    </xf>
    <xf numFmtId="1" fontId="3" fillId="6" borderId="6" xfId="0" applyNumberFormat="1" applyFont="1" applyFill="1" applyBorder="1" applyAlignment="1">
      <alignment horizontal="right"/>
    </xf>
    <xf numFmtId="1" fontId="3" fillId="6" borderId="237" xfId="0" applyNumberFormat="1" applyFont="1" applyFill="1" applyBorder="1" applyAlignment="1">
      <alignment horizontal="right"/>
    </xf>
    <xf numFmtId="1" fontId="3" fillId="6" borderId="268" xfId="0" applyNumberFormat="1" applyFont="1" applyFill="1" applyBorder="1" applyAlignment="1">
      <alignment horizontal="right"/>
    </xf>
    <xf numFmtId="1" fontId="3" fillId="6" borderId="162" xfId="0" applyNumberFormat="1" applyFont="1" applyFill="1" applyBorder="1"/>
    <xf numFmtId="1" fontId="3" fillId="6" borderId="85" xfId="0" applyNumberFormat="1" applyFont="1" applyFill="1" applyBorder="1" applyAlignment="1">
      <alignment horizontal="right"/>
    </xf>
    <xf numFmtId="1" fontId="3" fillId="6" borderId="278" xfId="0" applyNumberFormat="1" applyFont="1" applyFill="1" applyBorder="1" applyAlignment="1">
      <alignment horizontal="right"/>
    </xf>
    <xf numFmtId="1" fontId="3" fillId="6" borderId="282" xfId="0" applyNumberFormat="1" applyFont="1" applyFill="1" applyBorder="1" applyAlignment="1">
      <alignment horizontal="right"/>
    </xf>
    <xf numFmtId="1" fontId="3" fillId="6" borderId="545" xfId="0" applyNumberFormat="1" applyFont="1" applyFill="1" applyBorder="1" applyAlignment="1">
      <alignment vertical="center"/>
    </xf>
    <xf numFmtId="1" fontId="3" fillId="6" borderId="538" xfId="0" applyNumberFormat="1" applyFont="1" applyFill="1" applyBorder="1" applyAlignment="1">
      <alignment vertical="center"/>
    </xf>
    <xf numFmtId="1" fontId="3" fillId="6" borderId="526" xfId="0" applyNumberFormat="1" applyFont="1" applyFill="1" applyBorder="1" applyAlignment="1">
      <alignment vertical="center"/>
    </xf>
    <xf numFmtId="1" fontId="3" fillId="6" borderId="539" xfId="0" applyNumberFormat="1" applyFont="1" applyFill="1" applyBorder="1" applyAlignment="1">
      <alignment vertical="center"/>
    </xf>
    <xf numFmtId="1" fontId="3" fillId="6" borderId="524" xfId="0" applyNumberFormat="1" applyFont="1" applyFill="1" applyBorder="1" applyAlignment="1">
      <alignment vertical="center"/>
    </xf>
    <xf numFmtId="1" fontId="3" fillId="6" borderId="542" xfId="0" applyNumberFormat="1" applyFont="1" applyFill="1" applyBorder="1" applyAlignment="1">
      <alignment vertical="center"/>
    </xf>
    <xf numFmtId="0" fontId="3" fillId="6" borderId="958" xfId="0" applyFont="1" applyFill="1" applyBorder="1" applyAlignment="1">
      <alignment vertical="center"/>
    </xf>
    <xf numFmtId="1" fontId="3" fillId="6" borderId="958" xfId="0" applyNumberFormat="1" applyFont="1" applyFill="1" applyBorder="1"/>
    <xf numFmtId="0" fontId="3" fillId="6" borderId="2" xfId="0" applyFont="1" applyFill="1" applyBorder="1" applyAlignment="1">
      <alignment wrapText="1"/>
    </xf>
    <xf numFmtId="1" fontId="3" fillId="4" borderId="1192" xfId="8" applyNumberFormat="1" applyFont="1" applyFill="1" applyBorder="1" applyProtection="1">
      <protection locked="0"/>
    </xf>
    <xf numFmtId="1" fontId="3" fillId="4" borderId="271" xfId="8" applyNumberFormat="1" applyFont="1" applyFill="1" applyBorder="1" applyProtection="1">
      <protection locked="0"/>
    </xf>
    <xf numFmtId="1" fontId="5" fillId="4" borderId="1193" xfId="8" applyNumberFormat="1" applyFont="1" applyFill="1" applyBorder="1" applyProtection="1">
      <protection locked="0"/>
    </xf>
    <xf numFmtId="1" fontId="3" fillId="4" borderId="1206" xfId="0" applyNumberFormat="1" applyFont="1" applyFill="1" applyBorder="1" applyProtection="1">
      <protection locked="0"/>
    </xf>
    <xf numFmtId="1" fontId="3" fillId="0" borderId="1100" xfId="0" applyNumberFormat="1" applyFont="1" applyBorder="1" applyAlignment="1">
      <alignment horizontal="right" wrapText="1"/>
    </xf>
    <xf numFmtId="1" fontId="3" fillId="0" borderId="1152" xfId="0" applyNumberFormat="1" applyFont="1" applyBorder="1" applyAlignment="1">
      <alignment horizontal="right" wrapText="1"/>
    </xf>
    <xf numFmtId="1" fontId="3" fillId="0" borderId="1153" xfId="0" applyNumberFormat="1" applyFont="1" applyBorder="1" applyAlignment="1">
      <alignment horizontal="right" wrapText="1"/>
    </xf>
    <xf numFmtId="1" fontId="3" fillId="3" borderId="1141" xfId="0" applyNumberFormat="1" applyFont="1" applyFill="1" applyBorder="1" applyAlignment="1">
      <alignment horizontal="right" wrapText="1"/>
    </xf>
    <xf numFmtId="1" fontId="3" fillId="3" borderId="1158" xfId="0" applyNumberFormat="1" applyFont="1" applyFill="1" applyBorder="1" applyAlignment="1">
      <alignment horizontal="right" wrapText="1"/>
    </xf>
    <xf numFmtId="1" fontId="3" fillId="3" borderId="1206" xfId="0" applyNumberFormat="1" applyFont="1" applyFill="1" applyBorder="1" applyAlignment="1">
      <alignment horizontal="right" wrapText="1"/>
    </xf>
    <xf numFmtId="1" fontId="3" fillId="3" borderId="1096" xfId="0" applyNumberFormat="1" applyFont="1" applyFill="1" applyBorder="1" applyAlignment="1">
      <alignment horizontal="right" wrapText="1"/>
    </xf>
    <xf numFmtId="1" fontId="3" fillId="3" borderId="1208" xfId="0" applyNumberFormat="1" applyFont="1" applyFill="1" applyBorder="1" applyAlignment="1">
      <alignment horizontal="right" wrapText="1"/>
    </xf>
    <xf numFmtId="1" fontId="3" fillId="3" borderId="858" xfId="0" applyNumberFormat="1" applyFont="1" applyFill="1" applyBorder="1" applyAlignment="1">
      <alignment horizontal="right" wrapText="1"/>
    </xf>
    <xf numFmtId="1" fontId="3" fillId="3" borderId="990" xfId="0" applyNumberFormat="1" applyFont="1" applyFill="1" applyBorder="1" applyAlignment="1">
      <alignment horizontal="right" wrapText="1"/>
    </xf>
    <xf numFmtId="1" fontId="3" fillId="0" borderId="1100" xfId="6" applyNumberFormat="1" applyFont="1" applyBorder="1"/>
    <xf numFmtId="1" fontId="3" fillId="0" borderId="1156" xfId="6" applyNumberFormat="1" applyFont="1" applyBorder="1"/>
    <xf numFmtId="1" fontId="3" fillId="0" borderId="1099" xfId="6" applyNumberFormat="1" applyFont="1" applyBorder="1"/>
    <xf numFmtId="1" fontId="3" fillId="4" borderId="1153" xfId="6" applyNumberFormat="1" applyFont="1" applyFill="1" applyBorder="1" applyAlignment="1" applyProtection="1">
      <alignment horizontal="right"/>
      <protection locked="0"/>
    </xf>
    <xf numFmtId="1" fontId="3" fillId="4" borderId="1099" xfId="6" applyNumberFormat="1" applyFont="1" applyFill="1" applyBorder="1" applyAlignment="1" applyProtection="1">
      <alignment horizontal="right"/>
      <protection locked="0"/>
    </xf>
    <xf numFmtId="0" fontId="64" fillId="0" borderId="0" xfId="0" applyFont="1"/>
    <xf numFmtId="1" fontId="3" fillId="0" borderId="1118" xfId="0" applyNumberFormat="1" applyFont="1" applyBorder="1" applyAlignment="1">
      <alignment horizontal="right"/>
    </xf>
    <xf numFmtId="1" fontId="5" fillId="0" borderId="1087" xfId="0" applyNumberFormat="1" applyFont="1" applyBorder="1" applyAlignment="1">
      <alignment horizontal="right"/>
    </xf>
    <xf numFmtId="1" fontId="5" fillId="4" borderId="979" xfId="0" applyNumberFormat="1" applyFont="1" applyFill="1" applyBorder="1" applyAlignment="1" applyProtection="1">
      <alignment horizontal="right"/>
      <protection locked="0"/>
    </xf>
    <xf numFmtId="0" fontId="3" fillId="0" borderId="1198" xfId="0" applyFont="1" applyBorder="1" applyAlignment="1">
      <alignment horizontal="center" wrapText="1"/>
    </xf>
    <xf numFmtId="0" fontId="3" fillId="44" borderId="1134" xfId="0" applyFont="1" applyFill="1" applyBorder="1" applyProtection="1">
      <protection locked="0"/>
    </xf>
    <xf numFmtId="0" fontId="3" fillId="44" borderId="1209" xfId="0" applyFont="1" applyFill="1" applyBorder="1" applyProtection="1">
      <protection locked="0"/>
    </xf>
    <xf numFmtId="0" fontId="5" fillId="0" borderId="503" xfId="0" applyFont="1" applyBorder="1"/>
    <xf numFmtId="1" fontId="3" fillId="4" borderId="1208" xfId="0" applyNumberFormat="1" applyFont="1" applyFill="1" applyBorder="1" applyProtection="1">
      <protection locked="0"/>
    </xf>
    <xf numFmtId="1" fontId="3" fillId="7" borderId="1158" xfId="0" applyNumberFormat="1" applyFont="1" applyFill="1" applyBorder="1"/>
    <xf numFmtId="1" fontId="3" fillId="7" borderId="982" xfId="0" applyNumberFormat="1" applyFont="1" applyFill="1" applyBorder="1"/>
    <xf numFmtId="1" fontId="3" fillId="7" borderId="904" xfId="0" applyNumberFormat="1" applyFont="1" applyFill="1" applyBorder="1"/>
    <xf numFmtId="1" fontId="5" fillId="7" borderId="345" xfId="0" applyNumberFormat="1" applyFont="1" applyFill="1" applyBorder="1"/>
    <xf numFmtId="1" fontId="3" fillId="6" borderId="1195" xfId="0" applyNumberFormat="1" applyFont="1" applyFill="1" applyBorder="1"/>
    <xf numFmtId="1" fontId="3" fillId="6" borderId="1093" xfId="0" applyNumberFormat="1" applyFont="1" applyFill="1" applyBorder="1"/>
    <xf numFmtId="1" fontId="3" fillId="4" borderId="1211" xfId="0" applyNumberFormat="1" applyFont="1" applyFill="1" applyBorder="1" applyProtection="1">
      <protection locked="0"/>
    </xf>
    <xf numFmtId="1" fontId="3" fillId="0" borderId="1204" xfId="0" applyNumberFormat="1" applyFont="1" applyBorder="1"/>
    <xf numFmtId="1" fontId="3" fillId="6" borderId="1212" xfId="0" applyNumberFormat="1" applyFont="1" applyFill="1" applyBorder="1"/>
    <xf numFmtId="1" fontId="3" fillId="6" borderId="1213" xfId="0" applyNumberFormat="1" applyFont="1" applyFill="1" applyBorder="1"/>
    <xf numFmtId="1" fontId="5" fillId="0" borderId="624" xfId="0" applyNumberFormat="1" applyFont="1" applyBorder="1"/>
    <xf numFmtId="1" fontId="5" fillId="0" borderId="916" xfId="6" applyNumberFormat="1" applyFont="1" applyBorder="1" applyAlignment="1">
      <alignment horizontal="center" vertical="center" wrapText="1"/>
    </xf>
    <xf numFmtId="1" fontId="5" fillId="0" borderId="594" xfId="30" applyNumberFormat="1" applyFont="1" applyFill="1" applyBorder="1" applyAlignment="1">
      <alignment horizontal="center" vertical="center" wrapText="1"/>
    </xf>
    <xf numFmtId="1" fontId="5" fillId="0" borderId="1101" xfId="30" applyNumberFormat="1" applyFont="1" applyFill="1" applyBorder="1" applyAlignment="1">
      <alignment horizontal="center" vertical="center" wrapText="1"/>
    </xf>
    <xf numFmtId="1" fontId="5" fillId="0" borderId="958" xfId="0" applyNumberFormat="1" applyFont="1" applyBorder="1" applyAlignment="1">
      <alignment horizontal="left" wrapText="1"/>
    </xf>
    <xf numFmtId="0" fontId="3" fillId="44" borderId="736" xfId="0" applyFont="1" applyFill="1" applyBorder="1" applyProtection="1">
      <protection locked="0"/>
    </xf>
    <xf numFmtId="0" fontId="3" fillId="44" borderId="608" xfId="0" applyFont="1" applyFill="1" applyBorder="1" applyProtection="1">
      <protection locked="0"/>
    </xf>
    <xf numFmtId="0" fontId="3" fillId="44" borderId="341" xfId="0" applyFont="1" applyFill="1" applyBorder="1" applyProtection="1">
      <protection locked="0"/>
    </xf>
    <xf numFmtId="0" fontId="3" fillId="44" borderId="334" xfId="0" applyFont="1" applyFill="1" applyBorder="1" applyProtection="1">
      <protection locked="0"/>
    </xf>
    <xf numFmtId="0" fontId="3" fillId="44" borderId="595" xfId="0" applyFont="1" applyFill="1" applyBorder="1" applyProtection="1">
      <protection locked="0"/>
    </xf>
    <xf numFmtId="0" fontId="3" fillId="44" borderId="756" xfId="0" applyFont="1" applyFill="1" applyBorder="1" applyProtection="1">
      <protection locked="0"/>
    </xf>
    <xf numFmtId="0" fontId="3" fillId="44" borderId="1170" xfId="0" applyFont="1" applyFill="1" applyBorder="1" applyProtection="1">
      <protection locked="0"/>
    </xf>
    <xf numFmtId="0" fontId="3" fillId="44" borderId="1109" xfId="0" applyFont="1" applyFill="1" applyBorder="1" applyProtection="1">
      <protection locked="0"/>
    </xf>
    <xf numFmtId="0" fontId="3" fillId="44" borderId="1171" xfId="0" applyFont="1" applyFill="1" applyBorder="1" applyProtection="1">
      <protection locked="0"/>
    </xf>
    <xf numFmtId="0" fontId="3" fillId="44" borderId="1168" xfId="0" applyFont="1" applyFill="1" applyBorder="1" applyProtection="1">
      <protection locked="0"/>
    </xf>
    <xf numFmtId="0" fontId="3" fillId="44" borderId="1167" xfId="0" applyFont="1" applyFill="1" applyBorder="1" applyProtection="1">
      <protection locked="0"/>
    </xf>
    <xf numFmtId="0" fontId="3" fillId="44" borderId="1173" xfId="0" applyFont="1" applyFill="1" applyBorder="1" applyProtection="1">
      <protection locked="0"/>
    </xf>
    <xf numFmtId="0" fontId="3" fillId="44" borderId="1174" xfId="0" applyFont="1" applyFill="1" applyBorder="1" applyProtection="1">
      <protection locked="0"/>
    </xf>
    <xf numFmtId="0" fontId="3" fillId="44" borderId="112" xfId="0" applyFont="1" applyFill="1" applyBorder="1" applyProtection="1">
      <protection locked="0"/>
    </xf>
    <xf numFmtId="0" fontId="3" fillId="44" borderId="142" xfId="0" applyFont="1" applyFill="1" applyBorder="1" applyProtection="1">
      <protection locked="0"/>
    </xf>
    <xf numFmtId="0" fontId="3" fillId="44" borderId="1176" xfId="0" applyFont="1" applyFill="1" applyBorder="1" applyProtection="1">
      <protection locked="0"/>
    </xf>
    <xf numFmtId="0" fontId="3" fillId="44" borderId="1177" xfId="0" applyFont="1" applyFill="1" applyBorder="1" applyProtection="1">
      <protection locked="0"/>
    </xf>
    <xf numFmtId="0" fontId="3" fillId="44" borderId="41" xfId="0" applyFont="1" applyFill="1" applyBorder="1" applyProtection="1">
      <protection locked="0"/>
    </xf>
    <xf numFmtId="0" fontId="3" fillId="44" borderId="74" xfId="0" applyFont="1" applyFill="1" applyBorder="1" applyProtection="1">
      <protection locked="0"/>
    </xf>
    <xf numFmtId="0" fontId="3" fillId="44" borderId="1179" xfId="0" applyFont="1" applyFill="1" applyBorder="1" applyProtection="1">
      <protection locked="0"/>
    </xf>
    <xf numFmtId="0" fontId="3" fillId="44" borderId="1180" xfId="0" applyFont="1" applyFill="1" applyBorder="1" applyProtection="1">
      <protection locked="0"/>
    </xf>
    <xf numFmtId="0" fontId="3" fillId="44" borderId="120" xfId="0" applyFont="1" applyFill="1" applyBorder="1" applyProtection="1">
      <protection locked="0"/>
    </xf>
    <xf numFmtId="0" fontId="3" fillId="44" borderId="1166" xfId="0" applyFont="1" applyFill="1" applyBorder="1" applyProtection="1">
      <protection locked="0"/>
    </xf>
    <xf numFmtId="0" fontId="3" fillId="44" borderId="333" xfId="0" applyFont="1" applyFill="1" applyBorder="1" applyProtection="1">
      <protection locked="0"/>
    </xf>
    <xf numFmtId="0" fontId="3" fillId="44" borderId="757" xfId="0" applyFont="1" applyFill="1" applyBorder="1" applyProtection="1">
      <protection locked="0"/>
    </xf>
    <xf numFmtId="0" fontId="3" fillId="44" borderId="758" xfId="0" applyFont="1" applyFill="1" applyBorder="1" applyProtection="1">
      <protection locked="0"/>
    </xf>
    <xf numFmtId="0" fontId="3" fillId="44" borderId="715" xfId="0" applyFont="1" applyFill="1" applyBorder="1" applyProtection="1">
      <protection locked="0"/>
    </xf>
    <xf numFmtId="0" fontId="3" fillId="44" borderId="693" xfId="0" applyFont="1" applyFill="1" applyBorder="1" applyProtection="1">
      <protection locked="0"/>
    </xf>
    <xf numFmtId="0" fontId="3" fillId="44" borderId="253" xfId="0" applyFont="1" applyFill="1" applyBorder="1" applyProtection="1">
      <protection locked="0"/>
    </xf>
    <xf numFmtId="1" fontId="3" fillId="6" borderId="984" xfId="0" applyNumberFormat="1" applyFont="1" applyFill="1" applyBorder="1" applyAlignment="1">
      <alignment horizontal="right"/>
    </xf>
    <xf numFmtId="1" fontId="3" fillId="6" borderId="1158" xfId="0" applyNumberFormat="1" applyFont="1" applyFill="1" applyBorder="1" applyAlignment="1">
      <alignment horizontal="right"/>
    </xf>
    <xf numFmtId="1" fontId="3" fillId="6" borderId="1193" xfId="0" applyNumberFormat="1" applyFont="1" applyFill="1" applyBorder="1" applyAlignment="1">
      <alignment horizontal="right"/>
    </xf>
    <xf numFmtId="1" fontId="3" fillId="6" borderId="988" xfId="0" applyNumberFormat="1" applyFont="1" applyFill="1" applyBorder="1" applyAlignment="1">
      <alignment horizontal="right"/>
    </xf>
    <xf numFmtId="1" fontId="3" fillId="6" borderId="973" xfId="0" applyNumberFormat="1" applyFont="1" applyFill="1" applyBorder="1" applyAlignment="1">
      <alignment horizontal="right"/>
    </xf>
    <xf numFmtId="1" fontId="5" fillId="6" borderId="984" xfId="0" applyNumberFormat="1" applyFont="1" applyFill="1" applyBorder="1" applyAlignment="1">
      <alignment horizontal="right"/>
    </xf>
    <xf numFmtId="1" fontId="5" fillId="6" borderId="1158" xfId="0" applyNumberFormat="1" applyFont="1" applyFill="1" applyBorder="1" applyAlignment="1">
      <alignment horizontal="right"/>
    </xf>
    <xf numFmtId="1" fontId="3" fillId="6" borderId="958" xfId="0" applyNumberFormat="1" applyFont="1" applyFill="1" applyBorder="1" applyAlignment="1">
      <alignment horizontal="left"/>
    </xf>
    <xf numFmtId="1" fontId="3" fillId="6" borderId="986" xfId="0" applyNumberFormat="1" applyFont="1" applyFill="1" applyBorder="1" applyAlignment="1">
      <alignment horizontal="right"/>
    </xf>
    <xf numFmtId="0" fontId="34" fillId="40" borderId="375" xfId="0" applyFont="1" applyFill="1" applyBorder="1" applyAlignment="1">
      <alignment horizontal="center" vertical="center" wrapText="1"/>
    </xf>
    <xf numFmtId="0" fontId="35" fillId="0" borderId="327" xfId="0" applyFont="1" applyBorder="1" applyAlignment="1">
      <alignment horizontal="center" vertical="center" wrapText="1"/>
    </xf>
    <xf numFmtId="0" fontId="35" fillId="0" borderId="370" xfId="0" applyFont="1" applyBorder="1" applyAlignment="1">
      <alignment horizontal="center" vertical="center" wrapText="1"/>
    </xf>
    <xf numFmtId="0" fontId="17" fillId="39" borderId="376" xfId="0" applyFont="1" applyFill="1" applyBorder="1" applyAlignment="1">
      <alignment horizontal="center" vertical="center" wrapText="1"/>
    </xf>
    <xf numFmtId="0" fontId="17" fillId="0" borderId="380" xfId="0" applyFont="1" applyBorder="1" applyAlignment="1">
      <alignment horizontal="center" vertical="center" wrapText="1"/>
    </xf>
    <xf numFmtId="0" fontId="14" fillId="39" borderId="376" xfId="0" applyFont="1" applyFill="1" applyBorder="1" applyAlignment="1">
      <alignment horizontal="center" vertical="center" wrapText="1"/>
    </xf>
    <xf numFmtId="0" fontId="14" fillId="39" borderId="377" xfId="0" applyFont="1" applyFill="1" applyBorder="1" applyAlignment="1">
      <alignment horizontal="center" vertical="center" wrapText="1"/>
    </xf>
    <xf numFmtId="0" fontId="14" fillId="39" borderId="380" xfId="0" applyFont="1" applyFill="1" applyBorder="1" applyAlignment="1">
      <alignment horizontal="center" vertical="center" wrapText="1"/>
    </xf>
    <xf numFmtId="0" fontId="28" fillId="40" borderId="376" xfId="7" applyFont="1" applyFill="1" applyBorder="1" applyAlignment="1">
      <alignment horizontal="center" vertical="center"/>
    </xf>
    <xf numFmtId="0" fontId="28" fillId="40" borderId="380" xfId="7" applyFont="1" applyFill="1" applyBorder="1" applyAlignment="1">
      <alignment horizontal="center" vertical="center"/>
    </xf>
    <xf numFmtId="0" fontId="28" fillId="39" borderId="376" xfId="0" applyFont="1" applyFill="1" applyBorder="1" applyAlignment="1">
      <alignment horizontal="center" vertical="center"/>
    </xf>
    <xf numFmtId="0" fontId="28" fillId="39" borderId="380" xfId="0" applyFont="1" applyFill="1" applyBorder="1" applyAlignment="1">
      <alignment horizontal="center" vertical="center"/>
    </xf>
    <xf numFmtId="1" fontId="2" fillId="0" borderId="1026" xfId="39" applyNumberFormat="1" applyFont="1" applyBorder="1" applyAlignment="1" applyProtection="1">
      <alignment horizontal="left" wrapText="1"/>
    </xf>
    <xf numFmtId="1" fontId="2" fillId="0" borderId="498" xfId="39" applyNumberFormat="1" applyFont="1" applyBorder="1" applyAlignment="1" applyProtection="1">
      <alignment horizontal="left" wrapText="1"/>
    </xf>
    <xf numFmtId="1" fontId="3" fillId="0" borderId="496" xfId="39" applyNumberFormat="1" applyFont="1" applyBorder="1" applyAlignment="1" applyProtection="1">
      <alignment horizontal="center" vertical="center" wrapText="1"/>
    </xf>
    <xf numFmtId="1" fontId="3" fillId="0" borderId="496" xfId="0" applyNumberFormat="1" applyFont="1" applyBorder="1" applyAlignment="1">
      <alignment horizontal="center" vertical="center" wrapText="1"/>
    </xf>
    <xf numFmtId="1" fontId="3" fillId="0" borderId="476" xfId="39" applyNumberFormat="1" applyFont="1" applyBorder="1" applyAlignment="1" applyProtection="1">
      <alignment horizontal="center" vertical="center" wrapText="1"/>
    </xf>
    <xf numFmtId="1" fontId="3" fillId="0" borderId="327" xfId="39" applyNumberFormat="1" applyFont="1" applyBorder="1" applyAlignment="1" applyProtection="1">
      <alignment horizontal="center" vertical="center" wrapText="1"/>
    </xf>
    <xf numFmtId="1" fontId="3" fillId="0" borderId="502" xfId="39" applyNumberFormat="1" applyFont="1" applyBorder="1" applyAlignment="1" applyProtection="1">
      <alignment horizontal="center" vertical="center" wrapText="1"/>
    </xf>
    <xf numFmtId="1" fontId="3" fillId="0" borderId="486" xfId="39" applyNumberFormat="1" applyFont="1" applyBorder="1" applyAlignment="1" applyProtection="1">
      <alignment horizontal="center" vertical="center" wrapText="1"/>
      <protection hidden="1"/>
    </xf>
    <xf numFmtId="1" fontId="3" fillId="0" borderId="483" xfId="39" applyNumberFormat="1" applyFont="1" applyBorder="1" applyAlignment="1" applyProtection="1">
      <alignment horizontal="center" vertical="center" wrapText="1"/>
      <protection hidden="1"/>
    </xf>
    <xf numFmtId="1" fontId="3" fillId="0" borderId="488" xfId="39" applyNumberFormat="1" applyFont="1" applyBorder="1" applyAlignment="1" applyProtection="1">
      <alignment horizontal="center" vertical="center" wrapText="1"/>
      <protection hidden="1"/>
    </xf>
    <xf numFmtId="0" fontId="3" fillId="0" borderId="506" xfId="39" applyFont="1" applyBorder="1" applyAlignment="1" applyProtection="1">
      <alignment horizontal="center" vertical="center" wrapText="1"/>
    </xf>
    <xf numFmtId="0" fontId="3" fillId="0" borderId="10" xfId="39" applyFont="1" applyBorder="1" applyAlignment="1" applyProtection="1">
      <alignment horizontal="center" vertical="center" wrapText="1"/>
    </xf>
    <xf numFmtId="0" fontId="3" fillId="0" borderId="259" xfId="39" applyFont="1" applyBorder="1" applyAlignment="1" applyProtection="1">
      <alignment horizontal="center" vertical="center" wrapText="1"/>
    </xf>
    <xf numFmtId="0" fontId="3" fillId="0" borderId="355" xfId="39" applyFont="1" applyBorder="1" applyAlignment="1" applyProtection="1">
      <alignment horizontal="center" vertical="center" wrapText="1"/>
    </xf>
    <xf numFmtId="0" fontId="3" fillId="0" borderId="20" xfId="39" applyFont="1" applyBorder="1" applyAlignment="1" applyProtection="1">
      <alignment horizontal="center" vertical="center" wrapText="1"/>
    </xf>
    <xf numFmtId="0" fontId="3" fillId="0" borderId="491" xfId="39" applyFont="1" applyBorder="1" applyAlignment="1" applyProtection="1">
      <alignment horizontal="center" vertical="center" wrapText="1"/>
    </xf>
    <xf numFmtId="1" fontId="3" fillId="0" borderId="355" xfId="39" applyNumberFormat="1" applyFont="1" applyBorder="1" applyAlignment="1" applyProtection="1">
      <alignment horizontal="center" vertical="center" wrapText="1"/>
    </xf>
    <xf numFmtId="1" fontId="3" fillId="0" borderId="491" xfId="39" applyNumberFormat="1" applyFont="1" applyBorder="1" applyAlignment="1" applyProtection="1">
      <alignment horizontal="center" vertical="center" wrapText="1"/>
    </xf>
    <xf numFmtId="1" fontId="3" fillId="0" borderId="486" xfId="39" applyNumberFormat="1" applyFont="1" applyBorder="1" applyAlignment="1" applyProtection="1">
      <alignment horizontal="center" vertical="center" wrapText="1"/>
    </xf>
    <xf numFmtId="1" fontId="3" fillId="0" borderId="486" xfId="0" applyNumberFormat="1" applyFont="1" applyBorder="1" applyAlignment="1">
      <alignment horizontal="center" vertical="center" wrapText="1"/>
    </xf>
    <xf numFmtId="0" fontId="3" fillId="0" borderId="355" xfId="39" applyFont="1" applyBorder="1" applyAlignment="1" applyProtection="1">
      <alignment horizontal="center" wrapText="1"/>
    </xf>
    <xf numFmtId="0" fontId="3" fillId="0" borderId="20" xfId="39" applyFont="1" applyBorder="1" applyAlignment="1" applyProtection="1">
      <alignment horizontal="center" wrapText="1"/>
    </xf>
    <xf numFmtId="0" fontId="3" fillId="0" borderId="491" xfId="39" applyFont="1" applyBorder="1" applyAlignment="1" applyProtection="1">
      <alignment horizontal="center" wrapText="1"/>
    </xf>
    <xf numFmtId="1" fontId="2" fillId="3" borderId="377" xfId="0" applyNumberFormat="1" applyFont="1" applyFill="1" applyBorder="1" applyAlignment="1">
      <alignment horizontal="left"/>
    </xf>
    <xf numFmtId="1" fontId="2" fillId="0" borderId="377" xfId="0" applyNumberFormat="1" applyFont="1" applyBorder="1" applyAlignment="1">
      <alignment horizontal="left"/>
    </xf>
    <xf numFmtId="1" fontId="2" fillId="0" borderId="433" xfId="0" applyNumberFormat="1" applyFont="1" applyBorder="1" applyAlignment="1">
      <alignment horizontal="left"/>
    </xf>
    <xf numFmtId="1" fontId="2" fillId="0" borderId="483" xfId="0" applyNumberFormat="1" applyFont="1" applyBorder="1" applyAlignment="1">
      <alignment horizontal="left"/>
    </xf>
    <xf numFmtId="1" fontId="2" fillId="3" borderId="498" xfId="0" applyNumberFormat="1" applyFont="1" applyFill="1" applyBorder="1" applyAlignment="1">
      <alignment horizontal="left"/>
    </xf>
    <xf numFmtId="0" fontId="3" fillId="0" borderId="504" xfId="39" applyFont="1" applyBorder="1" applyAlignment="1" applyProtection="1">
      <alignment horizontal="center" vertical="center" wrapText="1"/>
    </xf>
    <xf numFmtId="0" fontId="3" fillId="0" borderId="4" xfId="39" applyFont="1" applyBorder="1" applyAlignment="1" applyProtection="1">
      <alignment horizontal="center" vertical="center" wrapText="1"/>
    </xf>
    <xf numFmtId="0" fontId="3" fillId="0" borderId="261" xfId="39" applyFont="1" applyBorder="1" applyAlignment="1" applyProtection="1">
      <alignment horizontal="center" vertical="center" wrapText="1"/>
    </xf>
    <xf numFmtId="1" fontId="2" fillId="0" borderId="0" xfId="39" applyNumberFormat="1" applyFont="1" applyBorder="1" applyAlignment="1" applyProtection="1">
      <alignment horizontal="left" wrapText="1"/>
    </xf>
    <xf numFmtId="1" fontId="3" fillId="0" borderId="375" xfId="0" applyNumberFormat="1" applyFont="1" applyBorder="1" applyAlignment="1">
      <alignment horizontal="center" vertical="center" wrapText="1"/>
    </xf>
    <xf numFmtId="1" fontId="3" fillId="0" borderId="327" xfId="0" applyNumberFormat="1" applyFont="1" applyBorder="1" applyAlignment="1">
      <alignment horizontal="center" vertical="center" wrapText="1"/>
    </xf>
    <xf numFmtId="1" fontId="3" fillId="0" borderId="370" xfId="0" applyNumberFormat="1" applyFont="1" applyBorder="1" applyAlignment="1">
      <alignment horizontal="center" vertical="center" wrapText="1"/>
    </xf>
    <xf numFmtId="1" fontId="3" fillId="0" borderId="487" xfId="0" applyNumberFormat="1" applyFont="1" applyBorder="1" applyAlignment="1">
      <alignment horizontal="center" vertical="center" wrapText="1"/>
    </xf>
    <xf numFmtId="1" fontId="3" fillId="0" borderId="355" xfId="0" applyNumberFormat="1" applyFont="1" applyBorder="1" applyAlignment="1">
      <alignment horizontal="center" vertical="center" wrapText="1"/>
    </xf>
    <xf numFmtId="1" fontId="3" fillId="0" borderId="20" xfId="0" applyNumberFormat="1" applyFont="1" applyBorder="1" applyAlignment="1">
      <alignment horizontal="center" vertical="center" wrapText="1"/>
    </xf>
    <xf numFmtId="1" fontId="3" fillId="0" borderId="491" xfId="0" applyNumberFormat="1" applyFont="1" applyBorder="1" applyAlignment="1">
      <alignment horizontal="center" vertical="center" wrapText="1"/>
    </xf>
    <xf numFmtId="1" fontId="3" fillId="0" borderId="483" xfId="0" applyNumberFormat="1" applyFont="1" applyBorder="1" applyAlignment="1">
      <alignment horizontal="center" vertical="center"/>
    </xf>
    <xf numFmtId="1" fontId="3" fillId="0" borderId="380" xfId="0" applyNumberFormat="1" applyFont="1" applyBorder="1" applyAlignment="1">
      <alignment horizontal="center" vertical="center"/>
    </xf>
    <xf numFmtId="1" fontId="3" fillId="0" borderId="486" xfId="0" applyNumberFormat="1" applyFont="1" applyBorder="1" applyAlignment="1">
      <alignment horizontal="center" vertical="center"/>
    </xf>
    <xf numFmtId="1" fontId="3" fillId="0" borderId="488" xfId="0" applyNumberFormat="1" applyFont="1" applyBorder="1" applyAlignment="1">
      <alignment horizontal="center" vertical="center"/>
    </xf>
    <xf numFmtId="1" fontId="3" fillId="0" borderId="39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1" fontId="3" fillId="0" borderId="259" xfId="0" applyNumberFormat="1" applyFont="1" applyBorder="1" applyAlignment="1">
      <alignment horizontal="center" vertical="center" wrapText="1"/>
    </xf>
    <xf numFmtId="1" fontId="3" fillId="0" borderId="497" xfId="0" applyNumberFormat="1" applyFont="1" applyBorder="1" applyAlignment="1">
      <alignment horizontal="center" vertical="center" wrapText="1"/>
    </xf>
    <xf numFmtId="1" fontId="3" fillId="0" borderId="499" xfId="0" applyNumberFormat="1" applyFont="1" applyBorder="1" applyAlignment="1">
      <alignment horizontal="center" vertical="center" wrapText="1"/>
    </xf>
    <xf numFmtId="1" fontId="3" fillId="0" borderId="375" xfId="0" applyNumberFormat="1" applyFont="1" applyBorder="1" applyAlignment="1">
      <alignment horizontal="center" vertical="center"/>
    </xf>
    <xf numFmtId="1" fontId="3" fillId="0" borderId="327" xfId="0" applyNumberFormat="1" applyFont="1" applyBorder="1" applyAlignment="1">
      <alignment horizontal="center" vertical="center"/>
    </xf>
    <xf numFmtId="1" fontId="3" fillId="0" borderId="370" xfId="0" applyNumberFormat="1" applyFont="1" applyBorder="1" applyAlignment="1">
      <alignment horizontal="center" vertical="center"/>
    </xf>
    <xf numFmtId="1" fontId="3" fillId="0" borderId="484" xfId="0" applyNumberFormat="1" applyFont="1" applyBorder="1" applyAlignment="1">
      <alignment horizontal="center" vertical="center" wrapText="1"/>
    </xf>
    <xf numFmtId="1" fontId="3" fillId="0" borderId="330" xfId="0" applyNumberFormat="1" applyFont="1" applyBorder="1" applyAlignment="1">
      <alignment horizontal="center" vertical="center" wrapText="1"/>
    </xf>
    <xf numFmtId="1" fontId="3" fillId="0" borderId="485" xfId="0" applyNumberFormat="1" applyFont="1" applyBorder="1" applyAlignment="1">
      <alignment horizontal="center" vertical="center" wrapText="1"/>
    </xf>
    <xf numFmtId="1" fontId="3" fillId="0" borderId="31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3" fillId="0" borderId="483" xfId="0" applyNumberFormat="1" applyFont="1" applyBorder="1" applyAlignment="1">
      <alignment horizontal="center" vertical="center" wrapText="1"/>
    </xf>
    <xf numFmtId="1" fontId="3" fillId="0" borderId="488" xfId="0" applyNumberFormat="1" applyFont="1" applyBorder="1" applyAlignment="1">
      <alignment horizontal="center" vertical="center" wrapText="1"/>
    </xf>
    <xf numFmtId="1" fontId="3" fillId="0" borderId="501" xfId="0" applyNumberFormat="1" applyFont="1" applyBorder="1" applyAlignment="1">
      <alignment horizontal="center" vertical="center" wrapText="1"/>
    </xf>
    <xf numFmtId="1" fontId="3" fillId="0" borderId="386" xfId="0" applyNumberFormat="1" applyFont="1" applyBorder="1" applyAlignment="1">
      <alignment horizontal="left" vertical="center" wrapText="1"/>
    </xf>
    <xf numFmtId="1" fontId="3" fillId="0" borderId="331" xfId="0" applyNumberFormat="1" applyFont="1" applyBorder="1" applyAlignment="1">
      <alignment horizontal="left" vertical="center" wrapText="1"/>
    </xf>
    <xf numFmtId="1" fontId="3" fillId="0" borderId="232" xfId="0" applyNumberFormat="1" applyFont="1" applyBorder="1" applyAlignment="1">
      <alignment horizontal="left" vertical="center" wrapText="1"/>
    </xf>
    <xf numFmtId="1" fontId="3" fillId="3" borderId="496" xfId="0" applyNumberFormat="1" applyFont="1" applyFill="1" applyBorder="1" applyAlignment="1">
      <alignment horizontal="center" vertical="center" wrapText="1"/>
    </xf>
    <xf numFmtId="1" fontId="3" fillId="0" borderId="500" xfId="0" applyNumberFormat="1" applyFont="1" applyBorder="1" applyAlignment="1">
      <alignment horizontal="center" vertical="center" wrapText="1"/>
    </xf>
    <xf numFmtId="1" fontId="3" fillId="0" borderId="476" xfId="0" applyNumberFormat="1" applyFont="1" applyBorder="1" applyAlignment="1">
      <alignment horizontal="center" vertical="center" wrapText="1"/>
    </xf>
    <xf numFmtId="1" fontId="3" fillId="0" borderId="489" xfId="0" applyNumberFormat="1" applyFont="1" applyBorder="1" applyAlignment="1">
      <alignment horizontal="center" vertical="center" wrapText="1"/>
    </xf>
    <xf numFmtId="1" fontId="3" fillId="0" borderId="495" xfId="0" applyNumberFormat="1" applyFont="1" applyBorder="1" applyAlignment="1">
      <alignment horizontal="center" vertical="center" wrapText="1"/>
    </xf>
    <xf numFmtId="1" fontId="3" fillId="0" borderId="375" xfId="0" applyNumberFormat="1" applyFont="1" applyBorder="1" applyAlignment="1">
      <alignment horizontal="left" vertical="center" wrapText="1"/>
    </xf>
    <xf numFmtId="1" fontId="3" fillId="0" borderId="327" xfId="0" applyNumberFormat="1" applyFont="1" applyBorder="1" applyAlignment="1">
      <alignment horizontal="left" vertical="center" wrapText="1"/>
    </xf>
    <xf numFmtId="1" fontId="3" fillId="0" borderId="370" xfId="0" applyNumberFormat="1" applyFont="1" applyBorder="1" applyAlignment="1">
      <alignment horizontal="left" vertical="center" wrapText="1"/>
    </xf>
    <xf numFmtId="1" fontId="3" fillId="0" borderId="449" xfId="0" applyNumberFormat="1" applyFont="1" applyBorder="1" applyAlignment="1">
      <alignment horizontal="left" vertical="center" wrapText="1"/>
    </xf>
    <xf numFmtId="1" fontId="3" fillId="0" borderId="456" xfId="0" applyNumberFormat="1" applyFont="1" applyBorder="1" applyAlignment="1">
      <alignment horizontal="left" vertical="center" wrapText="1"/>
    </xf>
    <xf numFmtId="1" fontId="3" fillId="0" borderId="466" xfId="0" applyNumberFormat="1" applyFont="1" applyBorder="1" applyAlignment="1">
      <alignment horizontal="left" vertical="center" wrapText="1"/>
    </xf>
    <xf numFmtId="1" fontId="3" fillId="0" borderId="476" xfId="0" applyNumberFormat="1" applyFont="1" applyBorder="1" applyAlignment="1">
      <alignment horizontal="left" vertical="center" wrapText="1"/>
    </xf>
    <xf numFmtId="1" fontId="3" fillId="0" borderId="490" xfId="0" applyNumberFormat="1" applyFont="1" applyBorder="1" applyAlignment="1">
      <alignment horizontal="center" vertical="center" wrapText="1"/>
    </xf>
    <xf numFmtId="1" fontId="3" fillId="0" borderId="397" xfId="0" applyNumberFormat="1" applyFont="1" applyBorder="1" applyAlignment="1">
      <alignment horizontal="center" vertical="center" wrapText="1"/>
    </xf>
    <xf numFmtId="1" fontId="3" fillId="0" borderId="85" xfId="0" applyNumberFormat="1" applyFont="1" applyBorder="1" applyAlignment="1">
      <alignment horizontal="center" vertical="center" wrapText="1"/>
    </xf>
    <xf numFmtId="1" fontId="3" fillId="0" borderId="257" xfId="0" applyNumberFormat="1" applyFont="1" applyBorder="1" applyAlignment="1">
      <alignment horizontal="center" vertical="center" wrapText="1"/>
    </xf>
    <xf numFmtId="1" fontId="3" fillId="0" borderId="376" xfId="0" applyNumberFormat="1" applyFont="1" applyBorder="1" applyAlignment="1">
      <alignment horizontal="center" vertical="center" wrapText="1"/>
    </xf>
    <xf numFmtId="1" fontId="3" fillId="0" borderId="435" xfId="0" applyNumberFormat="1" applyFont="1" applyBorder="1" applyAlignment="1">
      <alignment horizontal="center" vertical="center" wrapText="1"/>
    </xf>
    <xf numFmtId="1" fontId="3" fillId="0" borderId="376" xfId="0" applyNumberFormat="1" applyFont="1" applyBorder="1" applyAlignment="1">
      <alignment horizontal="center" vertical="center"/>
    </xf>
    <xf numFmtId="1" fontId="3" fillId="0" borderId="378" xfId="0" applyNumberFormat="1" applyFont="1" applyBorder="1" applyAlignment="1">
      <alignment horizontal="center" vertical="center"/>
    </xf>
    <xf numFmtId="1" fontId="3" fillId="3" borderId="355" xfId="0" applyNumberFormat="1" applyFont="1" applyFill="1" applyBorder="1" applyAlignment="1">
      <alignment horizontal="center" vertical="center" wrapText="1"/>
    </xf>
    <xf numFmtId="1" fontId="3" fillId="3" borderId="371" xfId="0" applyNumberFormat="1" applyFont="1" applyFill="1" applyBorder="1" applyAlignment="1">
      <alignment horizontal="center" vertical="center" wrapText="1"/>
    </xf>
    <xf numFmtId="1" fontId="3" fillId="0" borderId="387" xfId="0" applyNumberFormat="1" applyFont="1" applyBorder="1" applyAlignment="1">
      <alignment horizontal="center" vertical="center" wrapText="1"/>
    </xf>
    <xf numFmtId="1" fontId="3" fillId="0" borderId="377" xfId="0" applyNumberFormat="1" applyFont="1" applyBorder="1" applyAlignment="1">
      <alignment horizontal="center" vertical="center" wrapText="1"/>
    </xf>
    <xf numFmtId="1" fontId="3" fillId="0" borderId="378" xfId="0" applyNumberFormat="1" applyFont="1" applyBorder="1" applyAlignment="1">
      <alignment horizontal="center" vertical="center" wrapText="1"/>
    </xf>
    <xf numFmtId="1" fontId="3" fillId="0" borderId="377" xfId="0" applyNumberFormat="1" applyFont="1" applyBorder="1" applyAlignment="1">
      <alignment horizontal="center" vertical="center"/>
    </xf>
    <xf numFmtId="1" fontId="3" fillId="3" borderId="376" xfId="0" applyNumberFormat="1" applyFont="1" applyFill="1" applyBorder="1" applyAlignment="1">
      <alignment horizontal="center" vertical="center" wrapText="1"/>
    </xf>
    <xf numFmtId="1" fontId="3" fillId="3" borderId="380" xfId="0" applyNumberFormat="1" applyFont="1" applyFill="1" applyBorder="1" applyAlignment="1">
      <alignment horizontal="center" vertical="center" wrapText="1"/>
    </xf>
    <xf numFmtId="1" fontId="3" fillId="3" borderId="379" xfId="0" applyNumberFormat="1" applyFont="1" applyFill="1" applyBorder="1" applyAlignment="1">
      <alignment horizontal="center" vertical="center" wrapText="1"/>
    </xf>
    <xf numFmtId="1" fontId="3" fillId="3" borderId="321" xfId="0" applyNumberFormat="1" applyFont="1" applyFill="1" applyBorder="1" applyAlignment="1">
      <alignment horizontal="center" vertical="center" wrapText="1"/>
    </xf>
    <xf numFmtId="1" fontId="3" fillId="3" borderId="388" xfId="0" applyNumberFormat="1" applyFont="1" applyFill="1" applyBorder="1" applyAlignment="1">
      <alignment horizontal="center" vertical="center" wrapText="1"/>
    </xf>
    <xf numFmtId="1" fontId="3" fillId="3" borderId="256" xfId="0" applyNumberFormat="1" applyFont="1" applyFill="1" applyBorder="1" applyAlignment="1">
      <alignment horizontal="center" vertical="center" wrapText="1"/>
    </xf>
    <xf numFmtId="1" fontId="3" fillId="0" borderId="370" xfId="0" applyNumberFormat="1" applyFont="1" applyBorder="1" applyAlignment="1">
      <alignment horizontal="left" vertical="center"/>
    </xf>
    <xf numFmtId="1" fontId="3" fillId="0" borderId="388" xfId="0" applyNumberFormat="1" applyFont="1" applyBorder="1" applyAlignment="1">
      <alignment horizontal="center" vertical="center" wrapText="1"/>
    </xf>
    <xf numFmtId="1" fontId="3" fillId="0" borderId="256" xfId="0" applyNumberFormat="1" applyFont="1" applyBorder="1" applyAlignment="1">
      <alignment horizontal="center" vertical="center" wrapText="1"/>
    </xf>
    <xf numFmtId="1" fontId="1" fillId="3" borderId="0" xfId="0" applyNumberFormat="1" applyFont="1" applyFill="1" applyAlignment="1">
      <alignment horizontal="center" vertical="center" wrapText="1"/>
    </xf>
    <xf numFmtId="1" fontId="3" fillId="0" borderId="327" xfId="0" applyNumberFormat="1" applyFont="1" applyBorder="1" applyAlignment="1">
      <alignment horizontal="left" vertical="center"/>
    </xf>
    <xf numFmtId="1" fontId="2" fillId="3" borderId="304" xfId="0" applyNumberFormat="1" applyFont="1" applyFill="1" applyBorder="1" applyAlignment="1">
      <alignment horizontal="left"/>
    </xf>
    <xf numFmtId="1" fontId="3" fillId="0" borderId="371" xfId="0" applyNumberFormat="1" applyFont="1" applyBorder="1" applyAlignment="1">
      <alignment horizontal="center" vertical="center" wrapText="1"/>
    </xf>
    <xf numFmtId="1" fontId="3" fillId="0" borderId="423" xfId="0" applyNumberFormat="1" applyFont="1" applyBorder="1" applyAlignment="1">
      <alignment horizontal="center" vertical="center" wrapText="1"/>
    </xf>
    <xf numFmtId="1" fontId="2" fillId="3" borderId="483" xfId="0" applyNumberFormat="1" applyFont="1" applyFill="1" applyBorder="1" applyAlignment="1">
      <alignment horizontal="left"/>
    </xf>
    <xf numFmtId="1" fontId="3" fillId="0" borderId="502" xfId="0" applyNumberFormat="1" applyFont="1" applyBorder="1" applyAlignment="1">
      <alignment horizontal="center" vertical="center" wrapText="1"/>
    </xf>
    <xf numFmtId="1" fontId="3" fillId="0" borderId="487" xfId="0" applyNumberFormat="1" applyFont="1" applyBorder="1" applyAlignment="1">
      <alignment horizontal="center" vertical="center"/>
    </xf>
    <xf numFmtId="1" fontId="3" fillId="0" borderId="487" xfId="0" applyNumberFormat="1" applyFont="1" applyBorder="1"/>
    <xf numFmtId="1" fontId="3" fillId="0" borderId="506" xfId="0" applyNumberFormat="1" applyFont="1" applyBorder="1" applyAlignment="1">
      <alignment horizontal="center" vertical="center" wrapText="1"/>
    </xf>
    <xf numFmtId="1" fontId="3" fillId="3" borderId="476" xfId="0" applyNumberFormat="1" applyFont="1" applyFill="1" applyBorder="1" applyAlignment="1">
      <alignment horizontal="center" vertical="center" wrapText="1"/>
    </xf>
    <xf numFmtId="1" fontId="3" fillId="3" borderId="502" xfId="0" applyNumberFormat="1" applyFont="1" applyFill="1" applyBorder="1" applyAlignment="1">
      <alignment horizontal="center" vertical="center" wrapText="1"/>
    </xf>
    <xf numFmtId="1" fontId="3" fillId="0" borderId="521" xfId="0" applyNumberFormat="1" applyFont="1" applyBorder="1" applyAlignment="1">
      <alignment horizontal="center" vertical="center" wrapText="1"/>
    </xf>
    <xf numFmtId="1" fontId="3" fillId="0" borderId="532" xfId="0" applyNumberFormat="1" applyFont="1" applyBorder="1" applyAlignment="1">
      <alignment horizontal="center" vertical="center" wrapText="1"/>
    </xf>
    <xf numFmtId="1" fontId="3" fillId="0" borderId="522" xfId="0" applyNumberFormat="1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1" fontId="3" fillId="0" borderId="321" xfId="0" applyNumberFormat="1" applyFont="1" applyBorder="1" applyAlignment="1">
      <alignment horizontal="center" vertical="center" wrapText="1"/>
    </xf>
    <xf numFmtId="1" fontId="3" fillId="0" borderId="543" xfId="0" applyNumberFormat="1" applyFont="1" applyBorder="1" applyAlignment="1">
      <alignment horizontal="center" vertical="center" wrapText="1"/>
    </xf>
    <xf numFmtId="1" fontId="3" fillId="0" borderId="405" xfId="0" applyNumberFormat="1" applyFont="1" applyBorder="1" applyAlignment="1">
      <alignment horizontal="center" vertical="center" wrapText="1"/>
    </xf>
    <xf numFmtId="1" fontId="3" fillId="0" borderId="503" xfId="0" applyNumberFormat="1" applyFont="1" applyBorder="1" applyAlignment="1">
      <alignment horizontal="center" vertical="center" wrapText="1"/>
    </xf>
    <xf numFmtId="1" fontId="3" fillId="0" borderId="275" xfId="0" applyNumberFormat="1" applyFont="1" applyBorder="1" applyAlignment="1">
      <alignment horizontal="center" vertical="center"/>
    </xf>
    <xf numFmtId="1" fontId="3" fillId="0" borderId="532" xfId="0" applyNumberFormat="1" applyFont="1" applyBorder="1" applyAlignment="1">
      <alignment horizontal="center" vertical="center"/>
    </xf>
    <xf numFmtId="1" fontId="3" fillId="0" borderId="498" xfId="0" applyNumberFormat="1" applyFont="1" applyBorder="1" applyAlignment="1">
      <alignment horizontal="center" vertical="center"/>
    </xf>
    <xf numFmtId="1" fontId="3" fillId="0" borderId="491" xfId="0" applyNumberFormat="1" applyFont="1" applyBorder="1" applyAlignment="1">
      <alignment horizontal="center" vertical="center"/>
    </xf>
    <xf numFmtId="1" fontId="3" fillId="0" borderId="517" xfId="0" applyNumberFormat="1" applyFont="1" applyBorder="1" applyAlignment="1">
      <alignment horizontal="left" vertical="center" wrapText="1"/>
    </xf>
    <xf numFmtId="1" fontId="3" fillId="0" borderId="162" xfId="0" applyNumberFormat="1" applyFont="1" applyBorder="1" applyAlignment="1">
      <alignment horizontal="left" vertical="center" wrapText="1"/>
    </xf>
    <xf numFmtId="1" fontId="3" fillId="0" borderId="502" xfId="0" applyNumberFormat="1" applyFont="1" applyBorder="1" applyAlignment="1">
      <alignment horizontal="left" vertical="center" wrapText="1"/>
    </xf>
    <xf numFmtId="1" fontId="3" fillId="0" borderId="519" xfId="0" applyNumberFormat="1" applyFont="1" applyBorder="1" applyAlignment="1">
      <alignment horizontal="center" vertical="center" wrapText="1"/>
    </xf>
    <xf numFmtId="1" fontId="3" fillId="0" borderId="520" xfId="0" applyNumberFormat="1" applyFont="1" applyBorder="1" applyAlignment="1">
      <alignment horizontal="center" vertical="center" wrapText="1"/>
    </xf>
    <xf numFmtId="1" fontId="3" fillId="0" borderId="542" xfId="0" applyNumberFormat="1" applyFont="1" applyBorder="1" applyAlignment="1">
      <alignment horizontal="center" vertical="center" wrapText="1"/>
    </xf>
    <xf numFmtId="1" fontId="3" fillId="0" borderId="530" xfId="0" applyNumberFormat="1" applyFont="1" applyBorder="1" applyAlignment="1">
      <alignment horizontal="center" vertical="center" wrapText="1"/>
    </xf>
    <xf numFmtId="1" fontId="3" fillId="0" borderId="517" xfId="0" applyNumberFormat="1" applyFont="1" applyBorder="1" applyAlignment="1">
      <alignment horizontal="center" vertical="center" wrapText="1"/>
    </xf>
    <xf numFmtId="1" fontId="3" fillId="0" borderId="162" xfId="0" applyNumberFormat="1" applyFont="1" applyBorder="1" applyAlignment="1">
      <alignment horizontal="center" vertical="center" wrapText="1"/>
    </xf>
    <xf numFmtId="1" fontId="3" fillId="0" borderId="545" xfId="0" applyNumberFormat="1" applyFont="1" applyBorder="1" applyAlignment="1">
      <alignment horizontal="center" vertical="center" wrapText="1"/>
    </xf>
    <xf numFmtId="1" fontId="3" fillId="0" borderId="524" xfId="0" applyNumberFormat="1" applyFont="1" applyBorder="1" applyAlignment="1">
      <alignment horizontal="center" vertical="center" wrapText="1"/>
    </xf>
    <xf numFmtId="0" fontId="3" fillId="0" borderId="517" xfId="0" applyFont="1" applyBorder="1" applyAlignment="1">
      <alignment horizontal="left" vertical="center" wrapText="1"/>
    </xf>
    <xf numFmtId="0" fontId="3" fillId="0" borderId="162" xfId="0" applyFont="1" applyBorder="1" applyAlignment="1">
      <alignment horizontal="left" vertical="center" wrapText="1"/>
    </xf>
    <xf numFmtId="0" fontId="3" fillId="0" borderId="502" xfId="0" applyFont="1" applyBorder="1" applyAlignment="1">
      <alignment horizontal="left" vertical="center" wrapText="1"/>
    </xf>
    <xf numFmtId="1" fontId="2" fillId="29" borderId="0" xfId="2" applyNumberFormat="1" applyFont="1" applyFill="1" applyAlignment="1">
      <alignment horizontal="left" wrapText="1"/>
    </xf>
    <xf numFmtId="1" fontId="3" fillId="0" borderId="24" xfId="2" applyNumberFormat="1" applyFont="1" applyBorder="1" applyAlignment="1">
      <alignment horizontal="center" vertical="center"/>
    </xf>
    <xf numFmtId="1" fontId="3" fillId="0" borderId="25" xfId="2" applyNumberFormat="1" applyFont="1" applyBorder="1" applyAlignment="1">
      <alignment horizontal="center" vertical="center"/>
    </xf>
    <xf numFmtId="1" fontId="3" fillId="0" borderId="27" xfId="2" applyNumberFormat="1" applyFont="1" applyBorder="1" applyAlignment="1">
      <alignment horizontal="center" vertical="center"/>
    </xf>
    <xf numFmtId="1" fontId="3" fillId="0" borderId="28" xfId="2" applyNumberFormat="1" applyFont="1" applyBorder="1" applyAlignment="1">
      <alignment horizontal="center" vertical="center"/>
    </xf>
    <xf numFmtId="1" fontId="3" fillId="0" borderId="29" xfId="2" applyNumberFormat="1" applyFont="1" applyBorder="1" applyAlignment="1">
      <alignment horizontal="center" vertical="center"/>
    </xf>
    <xf numFmtId="1" fontId="3" fillId="0" borderId="31" xfId="2" applyNumberFormat="1" applyFont="1" applyBorder="1" applyAlignment="1">
      <alignment horizontal="center" vertical="center"/>
    </xf>
    <xf numFmtId="1" fontId="3" fillId="0" borderId="24" xfId="2" applyNumberFormat="1" applyFont="1" applyBorder="1" applyAlignment="1">
      <alignment horizontal="center" vertical="center" wrapText="1"/>
    </xf>
    <xf numFmtId="0" fontId="49" fillId="0" borderId="26" xfId="2" applyFont="1" applyBorder="1"/>
    <xf numFmtId="0" fontId="49" fillId="0" borderId="29" xfId="2" applyFont="1" applyBorder="1"/>
    <xf numFmtId="0" fontId="49" fillId="0" borderId="30" xfId="2" applyFont="1" applyBorder="1"/>
    <xf numFmtId="0" fontId="49" fillId="0" borderId="31" xfId="2" applyFont="1" applyBorder="1"/>
    <xf numFmtId="1" fontId="3" fillId="0" borderId="178" xfId="2" applyNumberFormat="1" applyFont="1" applyBorder="1" applyAlignment="1">
      <alignment horizontal="center" vertical="center"/>
    </xf>
    <xf numFmtId="1" fontId="3" fillId="0" borderId="55" xfId="2" applyNumberFormat="1" applyFont="1" applyBorder="1" applyAlignment="1">
      <alignment horizontal="center" vertical="center"/>
    </xf>
    <xf numFmtId="1" fontId="3" fillId="0" borderId="288" xfId="2" applyNumberFormat="1" applyFont="1" applyBorder="1" applyAlignment="1">
      <alignment horizontal="center" vertical="center"/>
    </xf>
    <xf numFmtId="1" fontId="3" fillId="0" borderId="29" xfId="2" applyNumberFormat="1" applyFont="1" applyBorder="1" applyAlignment="1">
      <alignment horizontal="center" vertical="center" wrapText="1"/>
    </xf>
    <xf numFmtId="0" fontId="3" fillId="0" borderId="518" xfId="0" applyFont="1" applyBorder="1" applyAlignment="1">
      <alignment horizontal="center" vertical="center"/>
    </xf>
    <xf numFmtId="0" fontId="3" fillId="0" borderId="532" xfId="0" applyFont="1" applyBorder="1" applyAlignment="1">
      <alignment horizontal="center" vertical="center"/>
    </xf>
    <xf numFmtId="0" fontId="3" fillId="0" borderId="27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62" xfId="0" applyFont="1" applyBorder="1" applyAlignment="1">
      <alignment horizontal="center" vertical="center"/>
    </xf>
    <xf numFmtId="0" fontId="3" fillId="0" borderId="491" xfId="0" applyFont="1" applyBorder="1" applyAlignment="1">
      <alignment horizontal="center" vertical="center"/>
    </xf>
    <xf numFmtId="1" fontId="3" fillId="0" borderId="266" xfId="0" applyNumberFormat="1" applyFont="1" applyBorder="1" applyAlignment="1">
      <alignment horizontal="center" vertical="center" wrapText="1"/>
    </xf>
    <xf numFmtId="1" fontId="3" fillId="0" borderId="275" xfId="0" applyNumberFormat="1" applyFont="1" applyBorder="1" applyAlignment="1">
      <alignment horizontal="center" vertical="center" wrapText="1"/>
    </xf>
    <xf numFmtId="1" fontId="3" fillId="0" borderId="277" xfId="0" applyNumberFormat="1" applyFont="1" applyBorder="1" applyAlignment="1">
      <alignment horizontal="center" vertical="center" wrapText="1"/>
    </xf>
    <xf numFmtId="1" fontId="3" fillId="0" borderId="498" xfId="0" applyNumberFormat="1" applyFont="1" applyBorder="1" applyAlignment="1">
      <alignment horizontal="center" vertical="center" wrapText="1"/>
    </xf>
    <xf numFmtId="1" fontId="3" fillId="0" borderId="298" xfId="0" applyNumberFormat="1" applyFont="1" applyBorder="1" applyAlignment="1">
      <alignment horizontal="center" vertical="center" wrapText="1"/>
    </xf>
    <xf numFmtId="1" fontId="3" fillId="0" borderId="573" xfId="15" applyNumberFormat="1" applyFont="1" applyBorder="1" applyAlignment="1">
      <alignment horizontal="center" vertical="center" wrapText="1"/>
    </xf>
    <xf numFmtId="1" fontId="3" fillId="0" borderId="4" xfId="15" applyNumberFormat="1" applyFont="1" applyBorder="1" applyAlignment="1">
      <alignment horizontal="center" vertical="center" wrapText="1"/>
    </xf>
    <xf numFmtId="1" fontId="3" fillId="0" borderId="261" xfId="15" applyNumberFormat="1" applyFont="1" applyBorder="1" applyAlignment="1">
      <alignment horizontal="center" vertical="center" wrapText="1"/>
    </xf>
    <xf numFmtId="1" fontId="3" fillId="0" borderId="284" xfId="0" applyNumberFormat="1" applyFont="1" applyBorder="1" applyAlignment="1">
      <alignment horizontal="center" vertical="center" wrapText="1"/>
    </xf>
    <xf numFmtId="1" fontId="3" fillId="0" borderId="283" xfId="0" applyNumberFormat="1" applyFont="1" applyBorder="1" applyAlignment="1">
      <alignment horizontal="center" vertical="center" wrapText="1"/>
    </xf>
    <xf numFmtId="1" fontId="3" fillId="0" borderId="275" xfId="15" applyNumberFormat="1" applyFont="1" applyBorder="1" applyAlignment="1" applyProtection="1">
      <alignment horizontal="center" vertical="center" wrapText="1"/>
      <protection locked="0"/>
    </xf>
    <xf numFmtId="1" fontId="3" fillId="0" borderId="532" xfId="15" applyNumberFormat="1" applyFont="1" applyBorder="1" applyAlignment="1" applyProtection="1">
      <alignment horizontal="center" vertical="center" wrapText="1"/>
      <protection locked="0"/>
    </xf>
    <xf numFmtId="1" fontId="3" fillId="0" borderId="498" xfId="15" applyNumberFormat="1" applyFont="1" applyBorder="1" applyAlignment="1" applyProtection="1">
      <alignment horizontal="center" vertical="center" wrapText="1"/>
      <protection locked="0"/>
    </xf>
    <xf numFmtId="1" fontId="3" fillId="0" borderId="491" xfId="15" applyNumberFormat="1" applyFont="1" applyBorder="1" applyAlignment="1" applyProtection="1">
      <alignment horizontal="center" vertical="center" wrapText="1"/>
      <protection locked="0"/>
    </xf>
    <xf numFmtId="1" fontId="3" fillId="0" borderId="518" xfId="15" applyNumberFormat="1" applyFont="1" applyBorder="1" applyAlignment="1" applyProtection="1">
      <alignment horizontal="center" vertical="center" wrapText="1"/>
      <protection locked="0"/>
    </xf>
    <xf numFmtId="1" fontId="3" fillId="0" borderId="562" xfId="15" applyNumberFormat="1" applyFont="1" applyBorder="1" applyAlignment="1" applyProtection="1">
      <alignment horizontal="center" vertical="center" wrapText="1"/>
      <protection locked="0"/>
    </xf>
    <xf numFmtId="0" fontId="3" fillId="0" borderId="518" xfId="0" applyFont="1" applyBorder="1" applyAlignment="1">
      <alignment horizontal="center" vertical="center" wrapText="1"/>
    </xf>
    <xf numFmtId="0" fontId="3" fillId="0" borderId="275" xfId="0" applyFont="1" applyBorder="1" applyAlignment="1">
      <alignment horizontal="center" vertical="center" wrapText="1"/>
    </xf>
    <xf numFmtId="0" fontId="3" fillId="0" borderId="532" xfId="0" applyFont="1" applyBorder="1" applyAlignment="1">
      <alignment horizontal="center" vertical="center" wrapText="1"/>
    </xf>
    <xf numFmtId="0" fontId="3" fillId="0" borderId="562" xfId="0" applyFont="1" applyBorder="1" applyAlignment="1">
      <alignment horizontal="center" vertical="center" wrapText="1"/>
    </xf>
    <xf numFmtId="0" fontId="3" fillId="0" borderId="498" xfId="0" applyFont="1" applyBorder="1" applyAlignment="1">
      <alignment horizontal="center" vertical="center" wrapText="1"/>
    </xf>
    <xf numFmtId="0" fontId="3" fillId="0" borderId="491" xfId="0" applyFont="1" applyBorder="1" applyAlignment="1">
      <alignment horizontal="center" vertical="center" wrapText="1"/>
    </xf>
    <xf numFmtId="0" fontId="3" fillId="0" borderId="519" xfId="0" applyFont="1" applyBorder="1" applyAlignment="1">
      <alignment horizontal="center" wrapText="1"/>
    </xf>
    <xf numFmtId="0" fontId="3" fillId="0" borderId="542" xfId="0" applyFont="1" applyBorder="1" applyAlignment="1">
      <alignment horizontal="center" wrapText="1"/>
    </xf>
    <xf numFmtId="0" fontId="3" fillId="0" borderId="521" xfId="0" applyFont="1" applyBorder="1" applyAlignment="1">
      <alignment horizontal="center" vertical="center" wrapText="1"/>
    </xf>
    <xf numFmtId="0" fontId="3" fillId="0" borderId="259" xfId="0" applyFont="1" applyBorder="1" applyAlignment="1">
      <alignment horizontal="center" vertical="center" wrapText="1"/>
    </xf>
    <xf numFmtId="0" fontId="3" fillId="0" borderId="529" xfId="0" applyFont="1" applyBorder="1" applyAlignment="1">
      <alignment horizontal="left" vertical="center" wrapText="1"/>
    </xf>
    <xf numFmtId="0" fontId="3" fillId="0" borderId="547" xfId="0" applyFont="1" applyBorder="1" applyAlignment="1">
      <alignment horizontal="left" vertical="center" wrapText="1"/>
    </xf>
    <xf numFmtId="0" fontId="3" fillId="0" borderId="513" xfId="0" applyFont="1" applyBorder="1" applyAlignment="1">
      <alignment horizontal="left" vertical="center" wrapText="1"/>
    </xf>
    <xf numFmtId="0" fontId="3" fillId="0" borderId="27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421" xfId="0" applyFont="1" applyBorder="1" applyAlignment="1">
      <alignment horizontal="left" vertical="center" wrapText="1"/>
    </xf>
    <xf numFmtId="0" fontId="3" fillId="0" borderId="367" xfId="0" applyFont="1" applyBorder="1" applyAlignment="1">
      <alignment horizontal="left" vertical="center" wrapText="1"/>
    </xf>
    <xf numFmtId="0" fontId="3" fillId="0" borderId="354" xfId="0" applyFont="1" applyBorder="1" applyAlignment="1">
      <alignment horizontal="left" vertical="center" wrapText="1"/>
    </xf>
    <xf numFmtId="1" fontId="3" fillId="0" borderId="519" xfId="15" quotePrefix="1" applyNumberFormat="1" applyFont="1" applyBorder="1" applyAlignment="1">
      <alignment horizontal="center" vertical="center" wrapText="1"/>
    </xf>
    <xf numFmtId="1" fontId="3" fillId="0" borderId="520" xfId="15" quotePrefix="1" applyNumberFormat="1" applyFont="1" applyBorder="1" applyAlignment="1">
      <alignment horizontal="center" vertical="center" wrapText="1"/>
    </xf>
    <xf numFmtId="1" fontId="3" fillId="0" borderId="542" xfId="15" quotePrefix="1" applyNumberFormat="1" applyFont="1" applyBorder="1" applyAlignment="1">
      <alignment horizontal="center" vertical="center" wrapText="1"/>
    </xf>
    <xf numFmtId="1" fontId="3" fillId="0" borderId="521" xfId="15" applyNumberFormat="1" applyFont="1" applyBorder="1" applyAlignment="1" applyProtection="1">
      <alignment horizontal="center" vertical="center" wrapText="1"/>
      <protection locked="0"/>
    </xf>
    <xf numFmtId="1" fontId="3" fillId="0" borderId="10" xfId="15" applyNumberFormat="1" applyFont="1" applyBorder="1" applyAlignment="1" applyProtection="1">
      <alignment horizontal="center" vertical="center" wrapText="1"/>
      <protection locked="0"/>
    </xf>
    <xf numFmtId="1" fontId="3" fillId="0" borderId="259" xfId="15" applyNumberFormat="1" applyFont="1" applyBorder="1" applyAlignment="1" applyProtection="1">
      <alignment horizontal="center" vertical="center" wrapText="1"/>
      <protection locked="0"/>
    </xf>
    <xf numFmtId="1" fontId="3" fillId="0" borderId="568" xfId="15" applyNumberFormat="1" applyFont="1" applyBorder="1" applyAlignment="1" applyProtection="1">
      <alignment horizontal="center" vertical="center" wrapText="1"/>
      <protection locked="0"/>
    </xf>
    <xf numFmtId="1" fontId="3" fillId="0" borderId="7" xfId="15" applyNumberFormat="1" applyFont="1" applyBorder="1" applyAlignment="1" applyProtection="1">
      <alignment horizontal="center" vertical="center" wrapText="1"/>
      <protection locked="0"/>
    </xf>
    <xf numFmtId="1" fontId="3" fillId="0" borderId="505" xfId="15" applyNumberFormat="1" applyFont="1" applyBorder="1" applyAlignment="1" applyProtection="1">
      <alignment horizontal="center" vertical="center" wrapText="1"/>
      <protection locked="0"/>
    </xf>
    <xf numFmtId="1" fontId="3" fillId="0" borderId="525" xfId="15" applyNumberFormat="1" applyFont="1" applyBorder="1" applyAlignment="1">
      <alignment horizontal="center" vertical="center" wrapText="1"/>
    </xf>
    <xf numFmtId="1" fontId="3" fillId="0" borderId="256" xfId="15" applyNumberFormat="1" applyFont="1" applyBorder="1" applyAlignment="1">
      <alignment horizontal="center" vertical="center" wrapText="1"/>
    </xf>
    <xf numFmtId="1" fontId="3" fillId="0" borderId="275" xfId="15" applyNumberFormat="1" applyFont="1" applyBorder="1" applyAlignment="1">
      <alignment horizontal="center" vertical="center" wrapText="1"/>
    </xf>
    <xf numFmtId="1" fontId="3" fillId="0" borderId="498" xfId="15" applyNumberFormat="1" applyFont="1" applyBorder="1" applyAlignment="1">
      <alignment horizontal="center" vertical="center" wrapText="1"/>
    </xf>
    <xf numFmtId="1" fontId="3" fillId="0" borderId="522" xfId="15" applyNumberFormat="1" applyFont="1" applyBorder="1" applyAlignment="1">
      <alignment horizontal="center" vertical="center" wrapText="1"/>
    </xf>
    <xf numFmtId="1" fontId="3" fillId="0" borderId="321" xfId="15" applyNumberFormat="1" applyFont="1" applyBorder="1" applyAlignment="1">
      <alignment horizontal="center" vertical="center" wrapText="1"/>
    </xf>
    <xf numFmtId="1" fontId="3" fillId="0" borderId="511" xfId="15" applyNumberFormat="1" applyFont="1" applyBorder="1" applyAlignment="1">
      <alignment horizontal="left" vertical="center" wrapText="1"/>
    </xf>
    <xf numFmtId="1" fontId="3" fillId="0" borderId="563" xfId="15" applyNumberFormat="1" applyFont="1" applyBorder="1" applyAlignment="1">
      <alignment horizontal="left" vertical="center" wrapText="1"/>
    </xf>
    <xf numFmtId="1" fontId="3" fillId="0" borderId="341" xfId="15" applyNumberFormat="1" applyFont="1" applyBorder="1" applyAlignment="1">
      <alignment horizontal="left" vertical="center" wrapText="1"/>
    </xf>
    <xf numFmtId="1" fontId="3" fillId="0" borderId="334" xfId="15" applyNumberFormat="1" applyFont="1" applyBorder="1" applyAlignment="1">
      <alignment horizontal="left" vertical="center" wrapText="1"/>
    </xf>
    <xf numFmtId="1" fontId="3" fillId="0" borderId="328" xfId="15" applyNumberFormat="1" applyFont="1" applyBorder="1" applyAlignment="1">
      <alignment horizontal="left" vertical="center" wrapText="1"/>
    </xf>
    <xf numFmtId="1" fontId="3" fillId="0" borderId="366" xfId="15" applyNumberFormat="1" applyFont="1" applyBorder="1" applyAlignment="1">
      <alignment horizontal="left" vertical="center" wrapText="1"/>
    </xf>
    <xf numFmtId="0" fontId="3" fillId="0" borderId="530" xfId="0" applyFont="1" applyBorder="1" applyAlignment="1">
      <alignment horizontal="center" vertical="center" wrapText="1"/>
    </xf>
    <xf numFmtId="0" fontId="3" fillId="0" borderId="257" xfId="0" applyFont="1" applyBorder="1" applyAlignment="1">
      <alignment horizontal="center" vertical="center" wrapText="1"/>
    </xf>
    <xf numFmtId="1" fontId="3" fillId="0" borderId="402" xfId="0" applyNumberFormat="1" applyFont="1" applyBorder="1" applyAlignment="1">
      <alignment horizontal="center" vertical="center" wrapText="1"/>
    </xf>
    <xf numFmtId="1" fontId="3" fillId="0" borderId="118" xfId="0" applyNumberFormat="1" applyFont="1" applyBorder="1" applyAlignment="1">
      <alignment horizontal="center" vertical="center" wrapText="1"/>
    </xf>
    <xf numFmtId="1" fontId="3" fillId="0" borderId="339" xfId="0" applyNumberFormat="1" applyFont="1" applyBorder="1" applyAlignment="1">
      <alignment horizontal="left" vertical="center"/>
    </xf>
    <xf numFmtId="0" fontId="0" fillId="0" borderId="336" xfId="0" applyBorder="1" applyAlignment="1">
      <alignment horizontal="left" vertical="center"/>
    </xf>
    <xf numFmtId="1" fontId="3" fillId="0" borderId="550" xfId="0" applyNumberFormat="1" applyFont="1" applyBorder="1" applyAlignment="1">
      <alignment horizontal="left" vertical="center" wrapText="1"/>
    </xf>
    <xf numFmtId="1" fontId="3" fillId="0" borderId="149" xfId="0" applyNumberFormat="1" applyFont="1" applyBorder="1" applyAlignment="1">
      <alignment horizontal="left" vertical="center" wrapText="1"/>
    </xf>
    <xf numFmtId="1" fontId="3" fillId="0" borderId="105" xfId="0" applyNumberFormat="1" applyFont="1" applyBorder="1" applyAlignment="1">
      <alignment horizontal="left" vertical="center" wrapText="1"/>
    </xf>
    <xf numFmtId="1" fontId="3" fillId="0" borderId="518" xfId="0" applyNumberFormat="1" applyFont="1" applyBorder="1" applyAlignment="1">
      <alignment horizontal="center" vertical="center" wrapText="1"/>
    </xf>
    <xf numFmtId="1" fontId="3" fillId="0" borderId="278" xfId="0" applyNumberFormat="1" applyFont="1" applyBorder="1" applyAlignment="1">
      <alignment horizontal="center" vertical="center" wrapText="1"/>
    </xf>
    <xf numFmtId="1" fontId="3" fillId="0" borderId="562" xfId="0" applyNumberFormat="1" applyFont="1" applyBorder="1" applyAlignment="1">
      <alignment horizontal="center" vertical="center" wrapText="1"/>
    </xf>
    <xf numFmtId="1" fontId="3" fillId="0" borderId="511" xfId="0" applyNumberFormat="1" applyFont="1" applyBorder="1" applyAlignment="1">
      <alignment horizontal="center" vertical="center" wrapText="1"/>
    </xf>
    <xf numFmtId="1" fontId="3" fillId="0" borderId="512" xfId="0" applyNumberFormat="1" applyFont="1" applyBorder="1" applyAlignment="1">
      <alignment horizontal="center" vertical="center" wrapText="1"/>
    </xf>
    <xf numFmtId="1" fontId="3" fillId="0" borderId="565" xfId="0" applyNumberFormat="1" applyFont="1" applyBorder="1" applyAlignment="1">
      <alignment horizontal="center" vertical="center" wrapText="1"/>
    </xf>
    <xf numFmtId="1" fontId="3" fillId="0" borderId="328" xfId="0" applyNumberFormat="1" applyFont="1" applyBorder="1" applyAlignment="1">
      <alignment horizontal="center" vertical="center" wrapText="1"/>
    </xf>
    <xf numFmtId="1" fontId="3" fillId="0" borderId="360" xfId="0" applyNumberFormat="1" applyFont="1" applyBorder="1" applyAlignment="1">
      <alignment horizontal="center" vertical="center" wrapText="1"/>
    </xf>
    <xf numFmtId="1" fontId="3" fillId="0" borderId="366" xfId="0" applyNumberFormat="1" applyFont="1" applyBorder="1" applyAlignment="1">
      <alignment horizontal="center" vertical="center" wrapText="1"/>
    </xf>
    <xf numFmtId="1" fontId="3" fillId="0" borderId="539" xfId="0" applyNumberFormat="1" applyFont="1" applyBorder="1" applyAlignment="1">
      <alignment horizontal="center" vertical="center"/>
    </xf>
    <xf numFmtId="1" fontId="3" fillId="0" borderId="523" xfId="0" applyNumberFormat="1" applyFont="1" applyBorder="1" applyAlignment="1">
      <alignment horizontal="center" vertical="center"/>
    </xf>
    <xf numFmtId="1" fontId="3" fillId="0" borderId="544" xfId="0" applyNumberFormat="1" applyFont="1" applyBorder="1" applyAlignment="1">
      <alignment horizontal="center" vertical="center"/>
    </xf>
    <xf numFmtId="1" fontId="3" fillId="0" borderId="262" xfId="0" applyNumberFormat="1" applyFont="1" applyBorder="1" applyAlignment="1">
      <alignment horizontal="center" vertical="center" wrapText="1"/>
    </xf>
    <xf numFmtId="1" fontId="3" fillId="0" borderId="528" xfId="0" applyNumberFormat="1" applyFont="1" applyBorder="1" applyAlignment="1">
      <alignment horizontal="center" vertical="center" wrapText="1"/>
    </xf>
    <xf numFmtId="1" fontId="3" fillId="0" borderId="523" xfId="0" applyNumberFormat="1" applyFont="1" applyBorder="1" applyAlignment="1">
      <alignment horizontal="center" vertical="center" wrapText="1"/>
    </xf>
    <xf numFmtId="1" fontId="3" fillId="0" borderId="529" xfId="0" applyNumberFormat="1" applyFont="1" applyBorder="1" applyAlignment="1">
      <alignment horizontal="left" vertical="center"/>
    </xf>
    <xf numFmtId="1" fontId="3" fillId="0" borderId="513" xfId="0" applyNumberFormat="1" applyFont="1" applyBorder="1" applyAlignment="1">
      <alignment horizontal="left" vertical="center"/>
    </xf>
    <xf numFmtId="1" fontId="3" fillId="0" borderId="278" xfId="0" applyNumberFormat="1" applyFont="1" applyBorder="1" applyAlignment="1">
      <alignment horizontal="left" vertical="center"/>
    </xf>
    <xf numFmtId="1" fontId="3" fillId="0" borderId="20" xfId="0" applyNumberFormat="1" applyFont="1" applyBorder="1" applyAlignment="1">
      <alignment horizontal="left" vertical="center"/>
    </xf>
    <xf numFmtId="1" fontId="3" fillId="0" borderId="519" xfId="0" applyNumberFormat="1" applyFont="1" applyBorder="1" applyAlignment="1">
      <alignment horizontal="left" wrapText="1"/>
    </xf>
    <xf numFmtId="1" fontId="3" fillId="0" borderId="524" xfId="0" applyNumberFormat="1" applyFont="1" applyBorder="1" applyAlignment="1">
      <alignment horizontal="left" wrapText="1"/>
    </xf>
    <xf numFmtId="1" fontId="3" fillId="0" borderId="529" xfId="0" applyNumberFormat="1" applyFont="1" applyBorder="1" applyAlignment="1">
      <alignment horizontal="left" vertical="center" wrapText="1"/>
    </xf>
    <xf numFmtId="1" fontId="3" fillId="0" borderId="513" xfId="0" applyNumberFormat="1" applyFont="1" applyBorder="1" applyAlignment="1">
      <alignment horizontal="left" vertical="center" wrapText="1"/>
    </xf>
    <xf numFmtId="1" fontId="3" fillId="0" borderId="340" xfId="0" applyNumberFormat="1" applyFont="1" applyBorder="1" applyAlignment="1">
      <alignment horizontal="left"/>
    </xf>
    <xf numFmtId="1" fontId="3" fillId="0" borderId="336" xfId="0" applyNumberFormat="1" applyFont="1" applyBorder="1" applyAlignment="1">
      <alignment horizontal="left"/>
    </xf>
    <xf numFmtId="1" fontId="3" fillId="0" borderId="340" xfId="0" applyNumberFormat="1" applyFont="1" applyBorder="1" applyAlignment="1">
      <alignment horizontal="left" wrapText="1"/>
    </xf>
    <xf numFmtId="1" fontId="3" fillId="0" borderId="336" xfId="0" applyNumberFormat="1" applyFont="1" applyBorder="1" applyAlignment="1">
      <alignment horizontal="left" wrapText="1"/>
    </xf>
    <xf numFmtId="0" fontId="3" fillId="0" borderId="519" xfId="0" applyFont="1" applyBorder="1" applyAlignment="1">
      <alignment horizontal="center" vertical="center" wrapText="1"/>
    </xf>
    <xf numFmtId="0" fontId="3" fillId="0" borderId="524" xfId="0" applyFont="1" applyBorder="1" applyAlignment="1">
      <alignment horizontal="center" vertical="center" wrapText="1"/>
    </xf>
    <xf numFmtId="1" fontId="3" fillId="0" borderId="539" xfId="0" applyNumberFormat="1" applyFont="1" applyBorder="1" applyAlignment="1">
      <alignment horizontal="center" vertical="center" wrapText="1"/>
    </xf>
    <xf numFmtId="1" fontId="3" fillId="0" borderId="526" xfId="0" applyNumberFormat="1" applyFont="1" applyBorder="1" applyAlignment="1">
      <alignment horizontal="center" vertical="center" wrapText="1"/>
    </xf>
    <xf numFmtId="1" fontId="3" fillId="0" borderId="538" xfId="0" applyNumberFormat="1" applyFont="1" applyBorder="1" applyAlignment="1">
      <alignment horizontal="center" vertical="center" wrapText="1"/>
    </xf>
    <xf numFmtId="1" fontId="3" fillId="0" borderId="0" xfId="15" applyNumberFormat="1" applyFont="1" applyAlignment="1">
      <alignment horizontal="center" vertical="center" wrapText="1"/>
    </xf>
    <xf numFmtId="1" fontId="3" fillId="0" borderId="59" xfId="2" applyNumberFormat="1" applyFont="1" applyBorder="1" applyAlignment="1">
      <alignment horizontal="left" vertical="center"/>
    </xf>
    <xf numFmtId="1" fontId="3" fillId="0" borderId="197" xfId="2" applyNumberFormat="1" applyFont="1" applyBorder="1" applyAlignment="1">
      <alignment horizontal="left" vertical="center"/>
    </xf>
    <xf numFmtId="1" fontId="3" fillId="0" borderId="58" xfId="2" applyNumberFormat="1" applyFont="1" applyBorder="1" applyAlignment="1">
      <alignment horizontal="left" vertical="center"/>
    </xf>
    <xf numFmtId="1" fontId="3" fillId="0" borderId="70" xfId="2" applyNumberFormat="1" applyFont="1" applyBorder="1" applyAlignment="1">
      <alignment horizontal="left" vertical="center"/>
    </xf>
    <xf numFmtId="1" fontId="3" fillId="0" borderId="35" xfId="2" applyNumberFormat="1" applyFont="1" applyBorder="1" applyAlignment="1">
      <alignment horizontal="left" vertical="center" wrapText="1"/>
    </xf>
    <xf numFmtId="1" fontId="3" fillId="0" borderId="42" xfId="2" applyNumberFormat="1" applyFont="1" applyBorder="1" applyAlignment="1">
      <alignment horizontal="left" vertical="center" wrapText="1"/>
    </xf>
    <xf numFmtId="1" fontId="3" fillId="0" borderId="45" xfId="2" applyNumberFormat="1" applyFont="1" applyBorder="1" applyAlignment="1">
      <alignment horizontal="left" vertical="center" wrapText="1"/>
    </xf>
    <xf numFmtId="1" fontId="3" fillId="0" borderId="57" xfId="2" applyNumberFormat="1" applyFont="1" applyBorder="1" applyAlignment="1">
      <alignment horizontal="left" vertical="center"/>
    </xf>
    <xf numFmtId="1" fontId="3" fillId="0" borderId="64" xfId="2" applyNumberFormat="1" applyFont="1" applyBorder="1" applyAlignment="1">
      <alignment horizontal="left" vertical="center"/>
    </xf>
    <xf numFmtId="1" fontId="3" fillId="0" borderId="518" xfId="15" applyNumberFormat="1" applyFont="1" applyBorder="1" applyAlignment="1">
      <alignment horizontal="center" vertical="center" wrapText="1"/>
    </xf>
    <xf numFmtId="1" fontId="3" fillId="0" borderId="532" xfId="15" applyNumberFormat="1" applyFont="1" applyBorder="1" applyAlignment="1">
      <alignment horizontal="center" vertical="center" wrapText="1"/>
    </xf>
    <xf numFmtId="1" fontId="3" fillId="0" borderId="278" xfId="15" applyNumberFormat="1" applyFont="1" applyBorder="1" applyAlignment="1">
      <alignment horizontal="center" vertical="center" wrapText="1"/>
    </xf>
    <xf numFmtId="1" fontId="3" fillId="0" borderId="20" xfId="15" applyNumberFormat="1" applyFont="1" applyBorder="1" applyAlignment="1">
      <alignment horizontal="center" vertical="center" wrapText="1"/>
    </xf>
    <xf numFmtId="1" fontId="3" fillId="0" borderId="562" xfId="15" applyNumberFormat="1" applyFont="1" applyBorder="1" applyAlignment="1">
      <alignment horizontal="center" vertical="center" wrapText="1"/>
    </xf>
    <xf numFmtId="1" fontId="3" fillId="0" borderId="491" xfId="15" applyNumberFormat="1" applyFont="1" applyBorder="1" applyAlignment="1">
      <alignment horizontal="center" vertical="center" wrapText="1"/>
    </xf>
    <xf numFmtId="1" fontId="3" fillId="0" borderId="258" xfId="0" applyNumberFormat="1" applyFont="1" applyBorder="1" applyAlignment="1">
      <alignment horizontal="center" vertical="center" wrapText="1"/>
    </xf>
    <xf numFmtId="1" fontId="3" fillId="0" borderId="518" xfId="15" applyNumberFormat="1" applyFont="1" applyBorder="1" applyAlignment="1">
      <alignment horizontal="center" vertical="center"/>
    </xf>
    <xf numFmtId="1" fontId="3" fillId="0" borderId="562" xfId="15" applyNumberFormat="1" applyFont="1" applyBorder="1" applyAlignment="1">
      <alignment horizontal="center" vertical="center"/>
    </xf>
    <xf numFmtId="1" fontId="3" fillId="0" borderId="529" xfId="15" applyNumberFormat="1" applyFont="1" applyBorder="1" applyAlignment="1">
      <alignment horizontal="left" vertical="center" wrapText="1"/>
    </xf>
    <xf numFmtId="1" fontId="3" fillId="0" borderId="513" xfId="15" applyNumberFormat="1" applyFont="1" applyBorder="1" applyAlignment="1">
      <alignment horizontal="left" vertical="center" wrapText="1"/>
    </xf>
    <xf numFmtId="1" fontId="3" fillId="0" borderId="340" xfId="15" applyNumberFormat="1" applyFont="1" applyBorder="1" applyAlignment="1">
      <alignment horizontal="left" vertical="center" wrapText="1"/>
    </xf>
    <xf numFmtId="1" fontId="3" fillId="0" borderId="336" xfId="15" applyNumberFormat="1" applyFont="1" applyBorder="1" applyAlignment="1">
      <alignment horizontal="left" vertical="center" wrapText="1"/>
    </xf>
    <xf numFmtId="1" fontId="3" fillId="0" borderId="421" xfId="15" applyNumberFormat="1" applyFont="1" applyBorder="1" applyAlignment="1">
      <alignment horizontal="left" vertical="center" wrapText="1"/>
    </xf>
    <xf numFmtId="1" fontId="3" fillId="0" borderId="354" xfId="15" applyNumberFormat="1" applyFont="1" applyBorder="1" applyAlignment="1">
      <alignment horizontal="left" vertical="center" wrapText="1"/>
    </xf>
    <xf numFmtId="0" fontId="3" fillId="0" borderId="545" xfId="0" applyFont="1" applyBorder="1" applyAlignment="1">
      <alignment horizontal="center" vertical="center" wrapText="1"/>
    </xf>
    <xf numFmtId="0" fontId="3" fillId="0" borderId="520" xfId="0" applyFont="1" applyBorder="1" applyAlignment="1">
      <alignment horizontal="center" vertical="center" wrapText="1"/>
    </xf>
    <xf numFmtId="0" fontId="3" fillId="0" borderId="340" xfId="0" applyFont="1" applyBorder="1" applyAlignment="1">
      <alignment horizontal="left" vertical="center" wrapText="1"/>
    </xf>
    <xf numFmtId="0" fontId="3" fillId="0" borderId="336" xfId="0" applyFont="1" applyBorder="1" applyAlignment="1">
      <alignment horizontal="left" vertical="center" wrapText="1"/>
    </xf>
    <xf numFmtId="0" fontId="3" fillId="0" borderId="562" xfId="0" applyFont="1" applyBorder="1" applyAlignment="1">
      <alignment horizontal="left" vertical="center" wrapText="1"/>
    </xf>
    <xf numFmtId="0" fontId="3" fillId="0" borderId="491" xfId="0" applyFont="1" applyBorder="1" applyAlignment="1">
      <alignment horizontal="left" vertical="center" wrapText="1"/>
    </xf>
    <xf numFmtId="1" fontId="3" fillId="0" borderId="566" xfId="15" applyNumberFormat="1" applyFont="1" applyBorder="1" applyAlignment="1" applyProtection="1">
      <alignment horizontal="center" vertical="center" wrapText="1"/>
      <protection locked="0"/>
    </xf>
    <xf numFmtId="1" fontId="3" fillId="0" borderId="326" xfId="15" applyNumberFormat="1" applyFont="1" applyBorder="1" applyAlignment="1" applyProtection="1">
      <alignment horizontal="center" vertical="center" wrapText="1"/>
      <protection locked="0"/>
    </xf>
    <xf numFmtId="1" fontId="3" fillId="0" borderId="522" xfId="15" applyNumberFormat="1" applyFont="1" applyBorder="1" applyAlignment="1" applyProtection="1">
      <alignment horizontal="center" vertical="center" wrapText="1"/>
      <protection locked="0"/>
    </xf>
    <xf numFmtId="1" fontId="3" fillId="0" borderId="9" xfId="15" applyNumberFormat="1" applyFont="1" applyBorder="1" applyAlignment="1" applyProtection="1">
      <alignment horizontal="center" vertical="center" wrapText="1"/>
      <protection locked="0"/>
    </xf>
    <xf numFmtId="1" fontId="3" fillId="0" borderId="321" xfId="15" applyNumberFormat="1" applyFont="1" applyBorder="1" applyAlignment="1" applyProtection="1">
      <alignment horizontal="center" vertical="center" wrapText="1"/>
      <protection locked="0"/>
    </xf>
    <xf numFmtId="1" fontId="3" fillId="0" borderId="20" xfId="15" applyNumberFormat="1" applyFont="1" applyBorder="1" applyAlignment="1" applyProtection="1">
      <alignment horizontal="center" vertical="center" wrapText="1"/>
      <protection locked="0"/>
    </xf>
    <xf numFmtId="1" fontId="3" fillId="0" borderId="519" xfId="0" applyNumberFormat="1" applyFont="1" applyBorder="1" applyAlignment="1">
      <alignment horizontal="center" vertical="center"/>
    </xf>
    <xf numFmtId="1" fontId="3" fillId="0" borderId="524" xfId="0" applyNumberFormat="1" applyFont="1" applyBorder="1" applyAlignment="1">
      <alignment horizontal="center" vertical="center"/>
    </xf>
    <xf numFmtId="1" fontId="3" fillId="0" borderId="544" xfId="0" applyNumberFormat="1" applyFont="1" applyBorder="1" applyAlignment="1">
      <alignment horizontal="center" vertical="center" wrapText="1"/>
    </xf>
    <xf numFmtId="1" fontId="3" fillId="0" borderId="518" xfId="14" applyNumberFormat="1" applyFont="1" applyBorder="1" applyAlignment="1">
      <alignment horizontal="center" vertical="center"/>
    </xf>
    <xf numFmtId="1" fontId="3" fillId="0" borderId="275" xfId="14" applyNumberFormat="1" applyFont="1" applyBorder="1" applyAlignment="1">
      <alignment horizontal="center" vertical="center"/>
    </xf>
    <xf numFmtId="1" fontId="3" fillId="0" borderId="532" xfId="14" applyNumberFormat="1" applyFont="1" applyBorder="1" applyAlignment="1">
      <alignment horizontal="center" vertical="center"/>
    </xf>
    <xf numFmtId="1" fontId="3" fillId="0" borderId="562" xfId="14" applyNumberFormat="1" applyFont="1" applyBorder="1" applyAlignment="1">
      <alignment horizontal="center" vertical="center"/>
    </xf>
    <xf numFmtId="1" fontId="3" fillId="0" borderId="498" xfId="14" applyNumberFormat="1" applyFont="1" applyBorder="1" applyAlignment="1">
      <alignment horizontal="center" vertical="center"/>
    </xf>
    <xf numFmtId="1" fontId="3" fillId="0" borderId="491" xfId="14" applyNumberFormat="1" applyFont="1" applyBorder="1" applyAlignment="1">
      <alignment horizontal="center" vertical="center"/>
    </xf>
    <xf numFmtId="1" fontId="3" fillId="0" borderId="545" xfId="15" quotePrefix="1" applyNumberFormat="1" applyFont="1" applyBorder="1" applyAlignment="1">
      <alignment horizontal="center" vertical="center" wrapText="1"/>
    </xf>
    <xf numFmtId="1" fontId="3" fillId="0" borderId="546" xfId="15" quotePrefix="1" applyNumberFormat="1" applyFont="1" applyBorder="1" applyAlignment="1">
      <alignment horizontal="center" vertical="center" wrapText="1"/>
    </xf>
    <xf numFmtId="1" fontId="3" fillId="0" borderId="545" xfId="15" applyNumberFormat="1" applyFont="1" applyBorder="1" applyAlignment="1">
      <alignment horizontal="center" vertical="center" wrapText="1"/>
    </xf>
    <xf numFmtId="1" fontId="3" fillId="0" borderId="517" xfId="15" applyNumberFormat="1" applyFont="1" applyBorder="1" applyAlignment="1">
      <alignment horizontal="left" vertical="center" wrapText="1"/>
    </xf>
    <xf numFmtId="1" fontId="3" fillId="0" borderId="502" xfId="15" applyNumberFormat="1" applyFont="1" applyBorder="1" applyAlignment="1">
      <alignment horizontal="left" vertical="center" wrapText="1"/>
    </xf>
    <xf numFmtId="1" fontId="3" fillId="0" borderId="562" xfId="15" applyNumberFormat="1" applyFont="1" applyBorder="1" applyAlignment="1">
      <alignment horizontal="center"/>
    </xf>
    <xf numFmtId="1" fontId="3" fillId="0" borderId="491" xfId="15" applyNumberFormat="1" applyFont="1" applyBorder="1" applyAlignment="1">
      <alignment horizontal="center"/>
    </xf>
    <xf numFmtId="1" fontId="3" fillId="0" borderId="519" xfId="0" applyNumberFormat="1" applyFont="1" applyBorder="1" applyAlignment="1">
      <alignment horizontal="center" wrapText="1"/>
    </xf>
    <xf numFmtId="1" fontId="3" fillId="0" borderId="524" xfId="0" applyNumberFormat="1" applyFont="1" applyBorder="1" applyAlignment="1">
      <alignment horizontal="center" wrapText="1"/>
    </xf>
    <xf numFmtId="1" fontId="3" fillId="0" borderId="563" xfId="0" applyNumberFormat="1" applyFont="1" applyBorder="1" applyAlignment="1">
      <alignment horizontal="center" vertical="center" wrapText="1"/>
    </xf>
    <xf numFmtId="1" fontId="3" fillId="0" borderId="520" xfId="0" applyNumberFormat="1" applyFont="1" applyBorder="1" applyAlignment="1">
      <alignment horizontal="center" vertical="center"/>
    </xf>
    <xf numFmtId="1" fontId="2" fillId="3" borderId="275" xfId="0" applyNumberFormat="1" applyFont="1" applyFill="1" applyBorder="1" applyAlignment="1">
      <alignment wrapText="1"/>
    </xf>
    <xf numFmtId="1" fontId="3" fillId="5" borderId="519" xfId="0" applyNumberFormat="1" applyFont="1" applyFill="1" applyBorder="1" applyAlignment="1">
      <alignment horizontal="center" vertical="center" wrapText="1"/>
    </xf>
    <xf numFmtId="1" fontId="3" fillId="5" borderId="524" xfId="0" applyNumberFormat="1" applyFont="1" applyFill="1" applyBorder="1" applyAlignment="1">
      <alignment horizontal="center" vertical="center" wrapText="1"/>
    </xf>
    <xf numFmtId="1" fontId="3" fillId="5" borderId="520" xfId="0" applyNumberFormat="1" applyFont="1" applyFill="1" applyBorder="1" applyAlignment="1">
      <alignment horizontal="center" vertical="center" wrapText="1"/>
    </xf>
    <xf numFmtId="1" fontId="3" fillId="0" borderId="532" xfId="0" applyNumberFormat="1" applyFont="1" applyBorder="1" applyAlignment="1">
      <alignment horizontal="left" vertical="center"/>
    </xf>
    <xf numFmtId="1" fontId="3" fillId="0" borderId="491" xfId="0" applyNumberFormat="1" applyFont="1" applyBorder="1" applyAlignment="1">
      <alignment horizontal="left" vertical="center"/>
    </xf>
    <xf numFmtId="1" fontId="3" fillId="6" borderId="278" xfId="0" applyNumberFormat="1" applyFont="1" applyFill="1" applyBorder="1" applyAlignment="1">
      <alignment horizontal="left" vertical="center" wrapText="1"/>
    </xf>
    <xf numFmtId="1" fontId="3" fillId="6" borderId="284" xfId="0" applyNumberFormat="1" applyFont="1" applyFill="1" applyBorder="1" applyAlignment="1">
      <alignment horizontal="center" vertical="center" wrapText="1"/>
    </xf>
    <xf numFmtId="1" fontId="3" fillId="6" borderId="283" xfId="0" applyNumberFormat="1" applyFont="1" applyFill="1" applyBorder="1" applyAlignment="1">
      <alignment horizontal="center" vertical="center" wrapText="1"/>
    </xf>
    <xf numFmtId="1" fontId="3" fillId="0" borderId="510" xfId="0" applyNumberFormat="1" applyFont="1" applyBorder="1" applyAlignment="1">
      <alignment horizontal="left" vertical="center" wrapText="1"/>
    </xf>
    <xf numFmtId="1" fontId="3" fillId="0" borderId="302" xfId="0" applyNumberFormat="1" applyFont="1" applyBorder="1" applyAlignment="1">
      <alignment horizontal="left" vertical="center" wrapText="1"/>
    </xf>
    <xf numFmtId="1" fontId="3" fillId="0" borderId="406" xfId="0" applyNumberFormat="1" applyFont="1" applyBorder="1" applyAlignment="1">
      <alignment horizontal="left" vertical="center" wrapText="1"/>
    </xf>
    <xf numFmtId="1" fontId="3" fillId="5" borderId="542" xfId="0" applyNumberFormat="1" applyFont="1" applyFill="1" applyBorder="1" applyAlignment="1">
      <alignment horizontal="center" vertical="center" wrapText="1"/>
    </xf>
    <xf numFmtId="1" fontId="3" fillId="0" borderId="542" xfId="0" applyNumberFormat="1" applyFont="1" applyBorder="1" applyAlignment="1">
      <alignment horizontal="center" vertical="center"/>
    </xf>
    <xf numFmtId="1" fontId="3" fillId="0" borderId="548" xfId="0" applyNumberFormat="1" applyFont="1" applyBorder="1" applyAlignment="1">
      <alignment horizontal="left" vertical="center"/>
    </xf>
    <xf numFmtId="1" fontId="3" fillId="0" borderId="510" xfId="0" applyNumberFormat="1" applyFont="1" applyBorder="1" applyAlignment="1">
      <alignment horizontal="left" vertical="center"/>
    </xf>
    <xf numFmtId="1" fontId="3" fillId="0" borderId="549" xfId="0" applyNumberFormat="1" applyFont="1" applyBorder="1" applyAlignment="1">
      <alignment horizontal="left" vertical="center"/>
    </xf>
    <xf numFmtId="1" fontId="3" fillId="0" borderId="331" xfId="0" applyNumberFormat="1" applyFont="1" applyBorder="1" applyAlignment="1">
      <alignment horizontal="left" vertical="center"/>
    </xf>
    <xf numFmtId="1" fontId="3" fillId="0" borderId="32" xfId="0" applyNumberFormat="1" applyFont="1" applyBorder="1" applyAlignment="1">
      <alignment horizontal="center" vertical="center" wrapText="1"/>
    </xf>
    <xf numFmtId="1" fontId="3" fillId="0" borderId="296" xfId="0" applyNumberFormat="1" applyFont="1" applyBorder="1" applyAlignment="1">
      <alignment horizontal="center" vertical="center" wrapText="1"/>
    </xf>
    <xf numFmtId="1" fontId="3" fillId="0" borderId="338" xfId="0" applyNumberFormat="1" applyFont="1" applyBorder="1" applyAlignment="1">
      <alignment horizontal="left"/>
    </xf>
    <xf numFmtId="1" fontId="3" fillId="0" borderId="0" xfId="0" applyNumberFormat="1" applyFont="1" applyAlignment="1">
      <alignment horizontal="left"/>
    </xf>
    <xf numFmtId="1" fontId="3" fillId="0" borderId="20" xfId="0" applyNumberFormat="1" applyFont="1" applyBorder="1" applyAlignment="1">
      <alignment horizontal="left"/>
    </xf>
    <xf numFmtId="1" fontId="3" fillId="0" borderId="367" xfId="0" applyNumberFormat="1" applyFont="1" applyBorder="1" applyAlignment="1">
      <alignment horizontal="left"/>
    </xf>
    <xf numFmtId="1" fontId="3" fillId="0" borderId="354" xfId="0" applyNumberFormat="1" applyFont="1" applyBorder="1" applyAlignment="1">
      <alignment horizontal="left"/>
    </xf>
    <xf numFmtId="1" fontId="2" fillId="3" borderId="0" xfId="0" applyNumberFormat="1" applyFont="1" applyFill="1" applyAlignment="1">
      <alignment wrapText="1"/>
    </xf>
    <xf numFmtId="1" fontId="2" fillId="3" borderId="0" xfId="0" applyNumberFormat="1" applyFont="1" applyFill="1" applyAlignment="1">
      <alignment horizontal="left" wrapText="1"/>
    </xf>
    <xf numFmtId="1" fontId="3" fillId="0" borderId="24" xfId="0" applyNumberFormat="1" applyFont="1" applyBorder="1" applyAlignment="1">
      <alignment horizontal="center" vertical="center"/>
    </xf>
    <xf numFmtId="1" fontId="3" fillId="0" borderId="63" xfId="0" applyNumberFormat="1" applyFont="1" applyBorder="1" applyAlignment="1">
      <alignment horizontal="center" vertical="center"/>
    </xf>
    <xf numFmtId="1" fontId="3" fillId="0" borderId="27" xfId="0" applyNumberFormat="1" applyFont="1" applyBorder="1" applyAlignment="1">
      <alignment horizontal="center" vertical="center"/>
    </xf>
    <xf numFmtId="1" fontId="3" fillId="0" borderId="20" xfId="0" applyNumberFormat="1" applyFont="1" applyBorder="1" applyAlignment="1">
      <alignment horizontal="center" vertical="center"/>
    </xf>
    <xf numFmtId="1" fontId="3" fillId="0" borderId="350" xfId="0" applyNumberFormat="1" applyFont="1" applyBorder="1" applyAlignment="1">
      <alignment horizontal="center" vertical="center"/>
    </xf>
    <xf numFmtId="1" fontId="3" fillId="0" borderId="186" xfId="0" applyNumberFormat="1" applyFont="1" applyBorder="1" applyAlignment="1">
      <alignment horizontal="center" vertical="center" wrapText="1"/>
    </xf>
    <xf numFmtId="1" fontId="3" fillId="0" borderId="26" xfId="0" applyNumberFormat="1" applyFont="1" applyBorder="1" applyAlignment="1">
      <alignment horizontal="center" vertical="center" wrapText="1"/>
    </xf>
    <xf numFmtId="1" fontId="3" fillId="0" borderId="63" xfId="0" applyNumberFormat="1" applyFont="1" applyBorder="1" applyAlignment="1">
      <alignment horizontal="center" vertical="center" wrapText="1"/>
    </xf>
    <xf numFmtId="1" fontId="3" fillId="0" borderId="287" xfId="0" applyNumberFormat="1" applyFont="1" applyBorder="1" applyAlignment="1">
      <alignment horizontal="center" vertical="center"/>
    </xf>
    <xf numFmtId="1" fontId="3" fillId="0" borderId="32" xfId="0" applyNumberFormat="1" applyFont="1" applyBorder="1" applyAlignment="1">
      <alignment horizontal="center" vertical="center"/>
    </xf>
    <xf numFmtId="1" fontId="3" fillId="0" borderId="296" xfId="0" applyNumberFormat="1" applyFont="1" applyBorder="1" applyAlignment="1">
      <alignment horizontal="center" vertical="center"/>
    </xf>
    <xf numFmtId="1" fontId="3" fillId="0" borderId="287" xfId="0" applyNumberFormat="1" applyFont="1" applyBorder="1" applyAlignment="1">
      <alignment horizontal="center" vertical="center" wrapText="1"/>
    </xf>
    <xf numFmtId="1" fontId="3" fillId="0" borderId="232" xfId="0" applyNumberFormat="1" applyFont="1" applyBorder="1" applyAlignment="1">
      <alignment horizontal="left" wrapText="1"/>
    </xf>
    <xf numFmtId="1" fontId="3" fillId="0" borderId="406" xfId="0" applyNumberFormat="1" applyFont="1" applyBorder="1" applyAlignment="1">
      <alignment horizontal="left" wrapText="1"/>
    </xf>
    <xf numFmtId="1" fontId="3" fillId="0" borderId="545" xfId="0" applyNumberFormat="1" applyFont="1" applyBorder="1" applyAlignment="1">
      <alignment horizontal="left" wrapText="1"/>
    </xf>
    <xf numFmtId="1" fontId="3" fillId="0" borderId="547" xfId="0" applyNumberFormat="1" applyFont="1" applyBorder="1" applyAlignment="1">
      <alignment horizontal="left"/>
    </xf>
    <xf numFmtId="1" fontId="3" fillId="0" borderId="513" xfId="0" applyNumberFormat="1" applyFont="1" applyBorder="1" applyAlignment="1">
      <alignment horizontal="left"/>
    </xf>
    <xf numFmtId="1" fontId="3" fillId="0" borderId="277" xfId="0" applyNumberFormat="1" applyFont="1" applyBorder="1" applyAlignment="1">
      <alignment horizontal="left" vertical="center" wrapText="1"/>
    </xf>
    <xf numFmtId="1" fontId="3" fillId="0" borderId="491" xfId="0" applyNumberFormat="1" applyFont="1" applyBorder="1" applyAlignment="1">
      <alignment horizontal="left" vertical="center" wrapText="1"/>
    </xf>
    <xf numFmtId="1" fontId="3" fillId="0" borderId="298" xfId="0" applyNumberFormat="1" applyFont="1" applyBorder="1" applyAlignment="1">
      <alignment horizontal="left" vertical="center" wrapText="1"/>
    </xf>
    <xf numFmtId="1" fontId="1" fillId="3" borderId="13" xfId="0" applyNumberFormat="1" applyFont="1" applyFill="1" applyBorder="1" applyAlignment="1">
      <alignment horizontal="center" vertical="center" wrapText="1"/>
    </xf>
    <xf numFmtId="1" fontId="3" fillId="0" borderId="517" xfId="0" applyNumberFormat="1" applyFont="1" applyBorder="1" applyAlignment="1">
      <alignment horizontal="center" vertical="center"/>
    </xf>
    <xf numFmtId="1" fontId="3" fillId="0" borderId="162" xfId="0" applyNumberFormat="1" applyFont="1" applyBorder="1" applyAlignment="1">
      <alignment horizontal="center" vertical="center"/>
    </xf>
    <xf numFmtId="1" fontId="3" fillId="5" borderId="521" xfId="0" applyNumberFormat="1" applyFont="1" applyFill="1" applyBorder="1" applyAlignment="1">
      <alignment horizontal="center" vertical="center" wrapText="1"/>
    </xf>
    <xf numFmtId="1" fontId="3" fillId="5" borderId="10" xfId="0" applyNumberFormat="1" applyFont="1" applyFill="1" applyBorder="1" applyAlignment="1">
      <alignment horizontal="center" vertical="center" wrapText="1"/>
    </xf>
    <xf numFmtId="1" fontId="3" fillId="5" borderId="259" xfId="0" applyNumberFormat="1" applyFont="1" applyFill="1" applyBorder="1" applyAlignment="1">
      <alignment horizontal="center" vertical="center" wrapText="1"/>
    </xf>
    <xf numFmtId="1" fontId="3" fillId="5" borderId="532" xfId="0" applyNumberFormat="1" applyFont="1" applyFill="1" applyBorder="1" applyAlignment="1">
      <alignment horizontal="center" vertical="center" wrapText="1"/>
    </xf>
    <xf numFmtId="1" fontId="3" fillId="5" borderId="20" xfId="0" applyNumberFormat="1" applyFont="1" applyFill="1" applyBorder="1" applyAlignment="1">
      <alignment horizontal="center" vertical="center" wrapText="1"/>
    </xf>
    <xf numFmtId="1" fontId="3" fillId="5" borderId="491" xfId="0" applyNumberFormat="1" applyFont="1" applyFill="1" applyBorder="1" applyAlignment="1">
      <alignment horizontal="center" vertical="center" wrapText="1"/>
    </xf>
    <xf numFmtId="1" fontId="3" fillId="0" borderId="519" xfId="0" applyNumberFormat="1" applyFont="1" applyBorder="1" applyAlignment="1">
      <alignment horizontal="left" vertical="center" wrapText="1"/>
    </xf>
    <xf numFmtId="1" fontId="3" fillId="0" borderId="524" xfId="0" applyNumberFormat="1" applyFont="1" applyBorder="1" applyAlignment="1">
      <alignment horizontal="left" vertical="center" wrapText="1"/>
    </xf>
    <xf numFmtId="1" fontId="3" fillId="0" borderId="278" xfId="0" applyNumberFormat="1" applyFont="1" applyBorder="1" applyAlignment="1">
      <alignment horizontal="left" vertical="center" wrapText="1"/>
    </xf>
    <xf numFmtId="1" fontId="3" fillId="0" borderId="518" xfId="0" applyNumberFormat="1" applyFont="1" applyBorder="1" applyAlignment="1">
      <alignment horizontal="left" wrapText="1"/>
    </xf>
    <xf numFmtId="1" fontId="3" fillId="0" borderId="532" xfId="0" applyNumberFormat="1" applyFont="1" applyBorder="1" applyAlignment="1">
      <alignment horizontal="left" wrapText="1"/>
    </xf>
    <xf numFmtId="1" fontId="3" fillId="0" borderId="546" xfId="0" applyNumberFormat="1" applyFont="1" applyBorder="1" applyAlignment="1">
      <alignment horizontal="center" vertical="center" wrapText="1"/>
    </xf>
    <xf numFmtId="1" fontId="3" fillId="0" borderId="637" xfId="30" applyNumberFormat="1" applyFont="1" applyBorder="1" applyAlignment="1">
      <alignment horizontal="center" vertical="center"/>
    </xf>
    <xf numFmtId="1" fontId="3" fillId="0" borderId="568" xfId="30" applyNumberFormat="1" applyFont="1" applyBorder="1" applyAlignment="1">
      <alignment horizontal="center" vertical="center"/>
    </xf>
    <xf numFmtId="1" fontId="3" fillId="0" borderId="562" xfId="30" applyNumberFormat="1" applyFont="1" applyBorder="1" applyAlignment="1">
      <alignment horizontal="center" vertical="center"/>
    </xf>
    <xf numFmtId="1" fontId="3" fillId="0" borderId="630" xfId="30" applyNumberFormat="1" applyFont="1" applyBorder="1" applyAlignment="1">
      <alignment horizontal="center" vertical="center"/>
    </xf>
    <xf numFmtId="1" fontId="3" fillId="0" borderId="532" xfId="30" applyNumberFormat="1" applyFont="1" applyBorder="1" applyAlignment="1">
      <alignment horizontal="center" vertical="center" wrapText="1"/>
    </xf>
    <xf numFmtId="1" fontId="3" fillId="0" borderId="20" xfId="30" applyNumberFormat="1" applyFont="1" applyBorder="1" applyAlignment="1">
      <alignment horizontal="center" vertical="center" wrapText="1"/>
    </xf>
    <xf numFmtId="1" fontId="3" fillId="0" borderId="621" xfId="30" applyNumberFormat="1" applyFont="1" applyBorder="1" applyAlignment="1">
      <alignment horizontal="center" vertical="center" wrapText="1"/>
    </xf>
    <xf numFmtId="1" fontId="14" fillId="5" borderId="626" xfId="29" quotePrefix="1" applyNumberFormat="1" applyFont="1" applyFill="1" applyBorder="1" applyAlignment="1">
      <alignment horizontal="left"/>
    </xf>
    <xf numFmtId="1" fontId="14" fillId="5" borderId="634" xfId="29" quotePrefix="1" applyNumberFormat="1" applyFont="1" applyFill="1" applyBorder="1" applyAlignment="1">
      <alignment horizontal="left"/>
    </xf>
    <xf numFmtId="1" fontId="5" fillId="0" borderId="636" xfId="29" applyNumberFormat="1" applyFont="1" applyBorder="1" applyAlignment="1">
      <alignment horizontal="center" vertical="center" wrapText="1"/>
    </xf>
    <xf numFmtId="1" fontId="5" fillId="0" borderId="162" xfId="29" applyNumberFormat="1" applyFont="1" applyBorder="1" applyAlignment="1">
      <alignment horizontal="center" vertical="center" wrapText="1"/>
    </xf>
    <xf numFmtId="1" fontId="5" fillId="0" borderId="370" xfId="29" applyNumberFormat="1" applyFont="1" applyBorder="1" applyAlignment="1">
      <alignment horizontal="center" vertical="center" wrapText="1"/>
    </xf>
    <xf numFmtId="1" fontId="3" fillId="0" borderId="275" xfId="30" applyNumberFormat="1" applyFont="1" applyBorder="1" applyAlignment="1">
      <alignment horizontal="center" vertical="center"/>
    </xf>
    <xf numFmtId="1" fontId="3" fillId="0" borderId="532" xfId="30" applyNumberFormat="1" applyFont="1" applyBorder="1" applyAlignment="1">
      <alignment horizontal="center" vertical="center"/>
    </xf>
    <xf numFmtId="1" fontId="3" fillId="0" borderId="620" xfId="30" applyNumberFormat="1" applyFont="1" applyBorder="1" applyAlignment="1">
      <alignment horizontal="center" vertical="center"/>
    </xf>
    <xf numFmtId="1" fontId="3" fillId="0" borderId="621" xfId="30" applyNumberFormat="1" applyFont="1" applyBorder="1" applyAlignment="1">
      <alignment horizontal="center" vertical="center"/>
    </xf>
    <xf numFmtId="1" fontId="5" fillId="0" borderId="1196" xfId="30" applyNumberFormat="1" applyFont="1" applyBorder="1" applyAlignment="1">
      <alignment horizontal="center" vertical="center"/>
    </xf>
    <xf numFmtId="1" fontId="5" fillId="0" borderId="673" xfId="30" applyNumberFormat="1" applyFont="1" applyBorder="1" applyAlignment="1">
      <alignment horizontal="center" vertical="center"/>
    </xf>
    <xf numFmtId="1" fontId="5" fillId="0" borderId="1157" xfId="30" applyNumberFormat="1" applyFont="1" applyBorder="1" applyAlignment="1">
      <alignment horizontal="center" vertical="center"/>
    </xf>
    <xf numFmtId="1" fontId="5" fillId="0" borderId="1207" xfId="3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 wrapText="1"/>
    </xf>
    <xf numFmtId="1" fontId="3" fillId="0" borderId="502" xfId="0" applyNumberFormat="1" applyFont="1" applyBorder="1" applyAlignment="1">
      <alignment horizontal="center" vertical="center"/>
    </xf>
    <xf numFmtId="1" fontId="3" fillId="0" borderId="525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543" xfId="0" applyFont="1" applyBorder="1" applyAlignment="1">
      <alignment horizontal="center" vertical="center" wrapText="1"/>
    </xf>
    <xf numFmtId="0" fontId="3" fillId="0" borderId="405" xfId="0" applyFont="1" applyBorder="1" applyAlignment="1">
      <alignment horizontal="center" vertical="center" wrapText="1"/>
    </xf>
    <xf numFmtId="0" fontId="3" fillId="0" borderId="503" xfId="0" applyFont="1" applyBorder="1" applyAlignment="1">
      <alignment horizontal="center" vertical="center" wrapText="1"/>
    </xf>
    <xf numFmtId="0" fontId="3" fillId="0" borderId="8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519" xfId="0" applyFont="1" applyBorder="1" applyAlignment="1">
      <alignment horizontal="center"/>
    </xf>
    <xf numFmtId="0" fontId="3" fillId="0" borderId="524" xfId="0" applyFont="1" applyBorder="1" applyAlignment="1">
      <alignment horizontal="center"/>
    </xf>
    <xf numFmtId="0" fontId="3" fillId="0" borderId="52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21" xfId="0" applyFont="1" applyBorder="1" applyAlignment="1">
      <alignment horizontal="center" vertical="center" wrapText="1"/>
    </xf>
    <xf numFmtId="1" fontId="3" fillId="0" borderId="599" xfId="0" applyNumberFormat="1" applyFont="1" applyBorder="1" applyAlignment="1">
      <alignment horizontal="center" vertical="center"/>
    </xf>
    <xf numFmtId="1" fontId="3" fillId="0" borderId="600" xfId="0" applyNumberFormat="1" applyFont="1" applyBorder="1" applyAlignment="1">
      <alignment horizontal="center" vertical="center"/>
    </xf>
    <xf numFmtId="1" fontId="3" fillId="0" borderId="278" xfId="0" applyNumberFormat="1" applyFont="1" applyBorder="1" applyAlignment="1">
      <alignment horizontal="center" vertical="center"/>
    </xf>
    <xf numFmtId="1" fontId="3" fillId="0" borderId="606" xfId="0" applyNumberFormat="1" applyFont="1" applyBorder="1" applyAlignment="1">
      <alignment horizontal="center" vertical="center"/>
    </xf>
    <xf numFmtId="1" fontId="3" fillId="0" borderId="599" xfId="0" applyNumberFormat="1" applyFont="1" applyBorder="1" applyAlignment="1">
      <alignment horizontal="center" vertical="center" wrapText="1"/>
    </xf>
    <xf numFmtId="1" fontId="3" fillId="0" borderId="604" xfId="0" applyNumberFormat="1" applyFont="1" applyBorder="1" applyAlignment="1">
      <alignment horizontal="center" vertical="center" wrapText="1"/>
    </xf>
    <xf numFmtId="1" fontId="3" fillId="0" borderId="600" xfId="0" applyNumberFormat="1" applyFont="1" applyBorder="1" applyAlignment="1">
      <alignment horizontal="center" vertical="center" wrapText="1"/>
    </xf>
    <xf numFmtId="1" fontId="3" fillId="0" borderId="579" xfId="0" applyNumberFormat="1" applyFont="1" applyBorder="1" applyAlignment="1">
      <alignment horizontal="center" vertical="center" wrapText="1"/>
    </xf>
    <xf numFmtId="1" fontId="3" fillId="0" borderId="601" xfId="0" applyNumberFormat="1" applyFont="1" applyBorder="1" applyAlignment="1">
      <alignment horizontal="center" vertical="center" wrapText="1"/>
    </xf>
    <xf numFmtId="1" fontId="3" fillId="0" borderId="603" xfId="0" applyNumberFormat="1" applyFont="1" applyBorder="1" applyAlignment="1">
      <alignment horizontal="center" vertical="center" wrapText="1"/>
    </xf>
    <xf numFmtId="1" fontId="3" fillId="0" borderId="602" xfId="0" applyNumberFormat="1" applyFont="1" applyBorder="1" applyAlignment="1">
      <alignment horizontal="center" vertical="center" wrapText="1"/>
    </xf>
    <xf numFmtId="1" fontId="3" fillId="0" borderId="605" xfId="0" applyNumberFormat="1" applyFont="1" applyBorder="1" applyAlignment="1">
      <alignment horizontal="center" vertical="center" wrapText="1"/>
    </xf>
    <xf numFmtId="1" fontId="3" fillId="0" borderId="581" xfId="0" applyNumberFormat="1" applyFont="1" applyBorder="1" applyAlignment="1">
      <alignment horizontal="center" vertical="center" wrapText="1"/>
    </xf>
    <xf numFmtId="1" fontId="3" fillId="0" borderId="505" xfId="0" applyNumberFormat="1" applyFont="1" applyBorder="1" applyAlignment="1">
      <alignment horizontal="center" vertical="center" wrapText="1"/>
    </xf>
    <xf numFmtId="1" fontId="3" fillId="0" borderId="601" xfId="0" applyNumberFormat="1" applyFont="1" applyBorder="1" applyAlignment="1">
      <alignment horizontal="center" vertical="center"/>
    </xf>
    <xf numFmtId="1" fontId="3" fillId="0" borderId="583" xfId="0" applyNumberFormat="1" applyFont="1" applyBorder="1" applyAlignment="1">
      <alignment horizontal="center" vertical="center"/>
    </xf>
    <xf numFmtId="1" fontId="3" fillId="0" borderId="583" xfId="0" applyNumberFormat="1" applyFont="1" applyBorder="1" applyAlignment="1">
      <alignment horizontal="center" vertical="center" wrapText="1"/>
    </xf>
    <xf numFmtId="1" fontId="2" fillId="0" borderId="602" xfId="0" applyNumberFormat="1" applyFont="1" applyBorder="1" applyAlignment="1">
      <alignment horizontal="left"/>
    </xf>
    <xf numFmtId="1" fontId="3" fillId="0" borderId="579" xfId="0" applyNumberFormat="1" applyFont="1" applyBorder="1" applyAlignment="1">
      <alignment horizontal="center" vertical="center"/>
    </xf>
    <xf numFmtId="1" fontId="3" fillId="0" borderId="580" xfId="0" applyNumberFormat="1" applyFont="1" applyBorder="1" applyAlignment="1">
      <alignment horizontal="center" vertical="center" wrapText="1"/>
    </xf>
    <xf numFmtId="1" fontId="3" fillId="0" borderId="593" xfId="0" applyNumberFormat="1" applyFont="1" applyBorder="1" applyAlignment="1">
      <alignment horizontal="center" vertical="center"/>
    </xf>
    <xf numFmtId="1" fontId="3" fillId="6" borderId="593" xfId="0" applyNumberFormat="1" applyFont="1" applyFill="1" applyBorder="1" applyAlignment="1">
      <alignment horizontal="center" vertical="center" wrapText="1"/>
    </xf>
    <xf numFmtId="1" fontId="3" fillId="0" borderId="593" xfId="0" applyNumberFormat="1" applyFont="1" applyBorder="1" applyAlignment="1">
      <alignment horizontal="center" vertical="center" wrapText="1"/>
    </xf>
    <xf numFmtId="1" fontId="3" fillId="0" borderId="625" xfId="0" applyNumberFormat="1" applyFont="1" applyBorder="1" applyAlignment="1">
      <alignment horizontal="center" vertical="center" wrapText="1"/>
    </xf>
    <xf numFmtId="1" fontId="3" fillId="0" borderId="593" xfId="0" applyNumberFormat="1" applyFont="1" applyBorder="1" applyAlignment="1">
      <alignment horizontal="left" vertical="center"/>
    </xf>
    <xf numFmtId="1" fontId="3" fillId="0" borderId="580" xfId="30" applyNumberFormat="1" applyFont="1" applyBorder="1" applyAlignment="1">
      <alignment horizontal="center" vertical="center"/>
    </xf>
    <xf numFmtId="1" fontId="3" fillId="0" borderId="566" xfId="30" applyNumberFormat="1" applyFont="1" applyBorder="1" applyAlignment="1">
      <alignment horizontal="center" vertical="center" wrapText="1"/>
    </xf>
    <xf numFmtId="1" fontId="3" fillId="0" borderId="568" xfId="30" applyNumberFormat="1" applyFont="1" applyBorder="1" applyAlignment="1">
      <alignment horizontal="center" vertical="center" wrapText="1"/>
    </xf>
    <xf numFmtId="1" fontId="3" fillId="0" borderId="326" xfId="30" applyNumberFormat="1" applyFont="1" applyBorder="1" applyAlignment="1">
      <alignment horizontal="center" vertical="center" wrapText="1"/>
    </xf>
    <xf numFmtId="1" fontId="3" fillId="0" borderId="630" xfId="30" applyNumberFormat="1" applyFont="1" applyBorder="1" applyAlignment="1">
      <alignment horizontal="center" vertical="center" wrapText="1"/>
    </xf>
    <xf numFmtId="1" fontId="3" fillId="0" borderId="518" xfId="30" applyNumberFormat="1" applyFont="1" applyBorder="1" applyAlignment="1">
      <alignment horizontal="center" vertical="center" wrapText="1"/>
    </xf>
    <xf numFmtId="1" fontId="3" fillId="0" borderId="275" xfId="30" applyNumberFormat="1" applyFont="1" applyBorder="1" applyAlignment="1">
      <alignment horizontal="center" vertical="center" wrapText="1"/>
    </xf>
    <xf numFmtId="1" fontId="3" fillId="0" borderId="562" xfId="30" applyNumberFormat="1" applyFont="1" applyBorder="1" applyAlignment="1">
      <alignment horizontal="center" vertical="center" wrapText="1"/>
    </xf>
    <xf numFmtId="1" fontId="3" fillId="0" borderId="620" xfId="30" applyNumberFormat="1" applyFont="1" applyBorder="1" applyAlignment="1">
      <alignment horizontal="center" vertical="center" wrapText="1"/>
    </xf>
    <xf numFmtId="1" fontId="4" fillId="0" borderId="601" xfId="0" applyNumberFormat="1" applyFont="1" applyBorder="1" applyAlignment="1">
      <alignment horizontal="left" vertical="center"/>
    </xf>
    <xf numFmtId="1" fontId="4" fillId="0" borderId="626" xfId="0" applyNumberFormat="1" applyFont="1" applyBorder="1" applyAlignment="1">
      <alignment horizontal="left" vertical="center"/>
    </xf>
    <xf numFmtId="1" fontId="4" fillId="0" borderId="583" xfId="0" applyNumberFormat="1" applyFont="1" applyBorder="1" applyAlignment="1">
      <alignment horizontal="left" vertical="center"/>
    </xf>
    <xf numFmtId="1" fontId="2" fillId="5" borderId="620" xfId="29" quotePrefix="1" applyNumberFormat="1" applyFont="1" applyFill="1" applyBorder="1" applyAlignment="1">
      <alignment horizontal="left"/>
    </xf>
    <xf numFmtId="1" fontId="2" fillId="5" borderId="628" xfId="29" quotePrefix="1" applyNumberFormat="1" applyFont="1" applyFill="1" applyBorder="1" applyAlignment="1">
      <alignment horizontal="left"/>
    </xf>
    <xf numFmtId="1" fontId="3" fillId="0" borderId="579" xfId="29" applyNumberFormat="1" applyFont="1" applyBorder="1" applyAlignment="1">
      <alignment horizontal="center" vertical="center" wrapText="1"/>
    </xf>
    <xf numFmtId="1" fontId="3" fillId="0" borderId="162" xfId="29" applyNumberFormat="1" applyFont="1" applyBorder="1" applyAlignment="1">
      <alignment horizontal="center" vertical="center" wrapText="1"/>
    </xf>
    <xf numFmtId="1" fontId="3" fillId="0" borderId="370" xfId="29" applyNumberFormat="1" applyFont="1" applyBorder="1" applyAlignment="1">
      <alignment horizontal="center" vertical="center" wrapText="1"/>
    </xf>
    <xf numFmtId="1" fontId="3" fillId="0" borderId="518" xfId="29" applyNumberFormat="1" applyFont="1" applyBorder="1" applyAlignment="1">
      <alignment horizontal="center" vertical="center" wrapText="1"/>
    </xf>
    <xf numFmtId="1" fontId="3" fillId="0" borderId="490" xfId="29" applyNumberFormat="1" applyFont="1" applyBorder="1" applyAlignment="1">
      <alignment horizontal="center" vertical="center" wrapText="1"/>
    </xf>
    <xf numFmtId="1" fontId="3" fillId="0" borderId="601" xfId="29" applyNumberFormat="1" applyFont="1" applyBorder="1" applyAlignment="1">
      <alignment horizontal="center" vertical="center" wrapText="1"/>
    </xf>
    <xf numFmtId="1" fontId="3" fillId="0" borderId="626" xfId="29" applyNumberFormat="1" applyFont="1" applyBorder="1" applyAlignment="1">
      <alignment horizontal="center" vertical="center" wrapText="1"/>
    </xf>
    <xf numFmtId="1" fontId="3" fillId="0" borderId="603" xfId="29" applyNumberFormat="1" applyFont="1" applyBorder="1" applyAlignment="1">
      <alignment horizontal="center" vertical="center" wrapText="1"/>
    </xf>
    <xf numFmtId="1" fontId="3" fillId="0" borderId="636" xfId="0" applyNumberFormat="1" applyFont="1" applyBorder="1" applyAlignment="1">
      <alignment horizontal="center" vertical="center"/>
    </xf>
    <xf numFmtId="1" fontId="3" fillId="0" borderId="637" xfId="0" applyNumberFormat="1" applyFont="1" applyBorder="1" applyAlignment="1">
      <alignment horizontal="center" vertical="center" wrapText="1"/>
    </xf>
    <xf numFmtId="1" fontId="3" fillId="0" borderId="639" xfId="0" applyNumberFormat="1" applyFont="1" applyBorder="1" applyAlignment="1">
      <alignment horizontal="center" vertical="center"/>
    </xf>
    <xf numFmtId="1" fontId="3" fillId="0" borderId="619" xfId="0" applyNumberFormat="1" applyFont="1" applyBorder="1" applyAlignment="1">
      <alignment horizontal="center" vertical="center"/>
    </xf>
    <xf numFmtId="1" fontId="3" fillId="0" borderId="640" xfId="0" applyNumberFormat="1" applyFont="1" applyBorder="1" applyAlignment="1">
      <alignment horizontal="center" vertical="center"/>
    </xf>
    <xf numFmtId="1" fontId="3" fillId="0" borderId="620" xfId="0" applyNumberFormat="1" applyFont="1" applyBorder="1" applyAlignment="1">
      <alignment horizontal="center" vertical="center"/>
    </xf>
    <xf numFmtId="1" fontId="3" fillId="0" borderId="621" xfId="0" applyNumberFormat="1" applyFont="1" applyBorder="1" applyAlignment="1">
      <alignment horizontal="center" vertical="center"/>
    </xf>
    <xf numFmtId="1" fontId="3" fillId="0" borderId="640" xfId="0" applyNumberFormat="1" applyFont="1" applyBorder="1" applyAlignment="1">
      <alignment horizontal="center" vertical="center" wrapText="1"/>
    </xf>
    <xf numFmtId="1" fontId="3" fillId="0" borderId="579" xfId="0" applyNumberFormat="1" applyFont="1" applyBorder="1" applyAlignment="1">
      <alignment horizontal="left" vertical="center" wrapText="1"/>
    </xf>
    <xf numFmtId="1" fontId="3" fillId="0" borderId="636" xfId="0" applyNumberFormat="1" applyFont="1" applyBorder="1" applyAlignment="1">
      <alignment horizontal="left" vertical="center" wrapText="1"/>
    </xf>
    <xf numFmtId="1" fontId="3" fillId="0" borderId="667" xfId="0" applyNumberFormat="1" applyFont="1" applyBorder="1" applyAlignment="1">
      <alignment horizontal="center" vertical="center" wrapText="1"/>
    </xf>
    <xf numFmtId="1" fontId="3" fillId="0" borderId="619" xfId="0" applyNumberFormat="1" applyFont="1" applyBorder="1" applyAlignment="1">
      <alignment horizontal="center" vertical="center" wrapText="1"/>
    </xf>
    <xf numFmtId="1" fontId="3" fillId="0" borderId="639" xfId="0" applyNumberFormat="1" applyFont="1" applyBorder="1" applyAlignment="1">
      <alignment horizontal="center" vertical="center" wrapText="1"/>
    </xf>
    <xf numFmtId="0" fontId="3" fillId="0" borderId="640" xfId="0" applyFont="1" applyBorder="1" applyAlignment="1">
      <alignment horizontal="center" vertical="center" wrapText="1"/>
    </xf>
    <xf numFmtId="1" fontId="3" fillId="0" borderId="636" xfId="0" applyNumberFormat="1" applyFont="1" applyBorder="1" applyAlignment="1">
      <alignment horizontal="center" vertical="center" wrapText="1"/>
    </xf>
    <xf numFmtId="0" fontId="3" fillId="0" borderId="636" xfId="0" applyFont="1" applyBorder="1" applyAlignment="1">
      <alignment horizontal="center" vertical="center"/>
    </xf>
    <xf numFmtId="0" fontId="3" fillId="0" borderId="370" xfId="0" applyFont="1" applyBorder="1" applyAlignment="1">
      <alignment horizontal="center" vertical="center"/>
    </xf>
    <xf numFmtId="0" fontId="3" fillId="0" borderId="601" xfId="0" applyFont="1" applyBorder="1" applyAlignment="1">
      <alignment horizontal="center" vertical="center"/>
    </xf>
    <xf numFmtId="0" fontId="3" fillId="0" borderId="639" xfId="0" applyFont="1" applyBorder="1" applyAlignment="1">
      <alignment horizontal="center" vertical="center"/>
    </xf>
    <xf numFmtId="0" fontId="3" fillId="0" borderId="619" xfId="0" applyFont="1" applyBorder="1" applyAlignment="1">
      <alignment horizontal="center" vertical="center"/>
    </xf>
    <xf numFmtId="0" fontId="3" fillId="0" borderId="623" xfId="0" applyFont="1" applyBorder="1" applyAlignment="1">
      <alignment horizontal="center" vertical="center" wrapText="1"/>
    </xf>
    <xf numFmtId="0" fontId="3" fillId="0" borderId="278" xfId="0" applyFont="1" applyBorder="1" applyAlignment="1">
      <alignment horizontal="center" vertical="center" wrapText="1"/>
    </xf>
    <xf numFmtId="0" fontId="3" fillId="0" borderId="1087" xfId="0" applyFont="1" applyBorder="1" applyAlignment="1">
      <alignment horizontal="center" wrapText="1"/>
    </xf>
    <xf numFmtId="0" fontId="3" fillId="0" borderId="1197" xfId="0" applyFont="1" applyBorder="1" applyAlignment="1">
      <alignment horizontal="center" wrapText="1"/>
    </xf>
    <xf numFmtId="0" fontId="3" fillId="0" borderId="1198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520" xfId="0" applyFont="1" applyBorder="1" applyAlignment="1">
      <alignment horizontal="center" wrapText="1"/>
    </xf>
    <xf numFmtId="0" fontId="3" fillId="0" borderId="1087" xfId="0" applyFont="1" applyBorder="1" applyAlignment="1">
      <alignment horizontal="center"/>
    </xf>
    <xf numFmtId="0" fontId="3" fillId="0" borderId="1198" xfId="0" applyFont="1" applyBorder="1" applyAlignment="1">
      <alignment horizontal="center"/>
    </xf>
    <xf numFmtId="0" fontId="3" fillId="0" borderId="524" xfId="0" applyFont="1" applyBorder="1" applyAlignment="1">
      <alignment horizontal="center" wrapText="1"/>
    </xf>
    <xf numFmtId="1" fontId="3" fillId="0" borderId="608" xfId="0" applyNumberFormat="1" applyFont="1" applyBorder="1" applyAlignment="1">
      <alignment horizontal="center" vertical="center" wrapText="1"/>
    </xf>
    <xf numFmtId="1" fontId="3" fillId="5" borderId="601" xfId="0" applyNumberFormat="1" applyFont="1" applyFill="1" applyBorder="1" applyAlignment="1">
      <alignment horizontal="center" vertical="center" wrapText="1"/>
    </xf>
    <xf numFmtId="1" fontId="3" fillId="5" borderId="639" xfId="0" applyNumberFormat="1" applyFont="1" applyFill="1" applyBorder="1" applyAlignment="1">
      <alignment horizontal="center" vertical="center" wrapText="1"/>
    </xf>
    <xf numFmtId="1" fontId="3" fillId="5" borderId="640" xfId="0" applyNumberFormat="1" applyFont="1" applyFill="1" applyBorder="1" applyAlignment="1">
      <alignment horizontal="center" vertical="center" wrapText="1"/>
    </xf>
    <xf numFmtId="1" fontId="3" fillId="5" borderId="593" xfId="0" applyNumberFormat="1" applyFont="1" applyFill="1" applyBorder="1" applyAlignment="1">
      <alignment horizontal="center" vertical="center"/>
    </xf>
    <xf numFmtId="1" fontId="3" fillId="5" borderId="593" xfId="0" applyNumberFormat="1" applyFont="1" applyFill="1" applyBorder="1" applyAlignment="1">
      <alignment horizontal="center" vertical="center" wrapText="1"/>
    </xf>
    <xf numFmtId="1" fontId="3" fillId="5" borderId="625" xfId="0" applyNumberFormat="1" applyFont="1" applyFill="1" applyBorder="1" applyAlignment="1">
      <alignment horizontal="center" vertical="center" wrapText="1"/>
    </xf>
    <xf numFmtId="1" fontId="3" fillId="0" borderId="671" xfId="0" applyNumberFormat="1" applyFont="1" applyBorder="1" applyAlignment="1">
      <alignment horizontal="center" vertical="center" wrapText="1"/>
    </xf>
    <xf numFmtId="1" fontId="3" fillId="5" borderId="636" xfId="0" applyNumberFormat="1" applyFont="1" applyFill="1" applyBorder="1" applyAlignment="1" applyProtection="1">
      <alignment horizontal="center" vertical="center" wrapText="1"/>
      <protection hidden="1"/>
    </xf>
    <xf numFmtId="1" fontId="3" fillId="5" borderId="162" xfId="0" applyNumberFormat="1" applyFont="1" applyFill="1" applyBorder="1" applyAlignment="1" applyProtection="1">
      <alignment horizontal="center" vertical="center" wrapText="1"/>
      <protection hidden="1"/>
    </xf>
    <xf numFmtId="1" fontId="3" fillId="5" borderId="601" xfId="0" applyNumberFormat="1" applyFont="1" applyFill="1" applyBorder="1" applyAlignment="1">
      <alignment horizontal="center" vertical="center"/>
    </xf>
    <xf numFmtId="1" fontId="3" fillId="5" borderId="639" xfId="0" applyNumberFormat="1" applyFont="1" applyFill="1" applyBorder="1" applyAlignment="1">
      <alignment horizontal="center" vertical="center"/>
    </xf>
    <xf numFmtId="1" fontId="3" fillId="5" borderId="640" xfId="0" applyNumberFormat="1" applyFont="1" applyFill="1" applyBorder="1" applyAlignment="1">
      <alignment horizontal="center" vertical="center"/>
    </xf>
    <xf numFmtId="0" fontId="3" fillId="0" borderId="640" xfId="0" applyFont="1" applyBorder="1" applyAlignment="1">
      <alignment horizontal="center" vertical="center"/>
    </xf>
    <xf numFmtId="1" fontId="3" fillId="0" borderId="610" xfId="0" applyNumberFormat="1" applyFont="1" applyBorder="1" applyAlignment="1">
      <alignment horizontal="center" vertical="center" wrapText="1"/>
    </xf>
    <xf numFmtId="1" fontId="3" fillId="0" borderId="1201" xfId="0" applyNumberFormat="1" applyFont="1" applyBorder="1" applyAlignment="1">
      <alignment horizontal="center" vertical="center"/>
    </xf>
    <xf numFmtId="1" fontId="3" fillId="0" borderId="1156" xfId="0" applyNumberFormat="1" applyFont="1" applyBorder="1" applyAlignment="1">
      <alignment horizontal="center" vertical="center"/>
    </xf>
    <xf numFmtId="1" fontId="3" fillId="0" borderId="672" xfId="0" applyNumberFormat="1" applyFont="1" applyBorder="1" applyAlignment="1">
      <alignment horizontal="center" vertical="center"/>
    </xf>
    <xf numFmtId="1" fontId="3" fillId="0" borderId="668" xfId="0" applyNumberFormat="1" applyFont="1" applyBorder="1" applyAlignment="1">
      <alignment horizontal="center" vertical="center" wrapText="1"/>
    </xf>
    <xf numFmtId="1" fontId="3" fillId="0" borderId="405" xfId="0" applyNumberFormat="1" applyFont="1" applyBorder="1" applyAlignment="1">
      <alignment horizontal="center" vertical="center"/>
    </xf>
    <xf numFmtId="1" fontId="3" fillId="0" borderId="607" xfId="0" applyNumberFormat="1" applyFont="1" applyBorder="1" applyAlignment="1">
      <alignment horizontal="center" vertical="center"/>
    </xf>
    <xf numFmtId="1" fontId="3" fillId="0" borderId="79" xfId="0" applyNumberFormat="1" applyFont="1" applyBorder="1" applyAlignment="1">
      <alignment horizontal="center" vertical="center" wrapText="1"/>
    </xf>
    <xf numFmtId="1" fontId="3" fillId="0" borderId="54" xfId="0" applyNumberFormat="1" applyFont="1" applyBorder="1" applyAlignment="1">
      <alignment horizontal="center" vertical="center" wrapText="1"/>
    </xf>
    <xf numFmtId="1" fontId="3" fillId="0" borderId="161" xfId="0" applyNumberFormat="1" applyFont="1" applyBorder="1" applyAlignment="1">
      <alignment horizontal="center" vertical="center" wrapText="1"/>
    </xf>
    <xf numFmtId="1" fontId="3" fillId="0" borderId="733" xfId="0" applyNumberFormat="1" applyFont="1" applyBorder="1" applyAlignment="1">
      <alignment horizontal="center" vertical="center" wrapText="1"/>
    </xf>
    <xf numFmtId="1" fontId="3" fillId="0" borderId="734" xfId="0" applyNumberFormat="1" applyFont="1" applyBorder="1" applyAlignment="1">
      <alignment horizontal="center" vertical="center" wrapText="1"/>
    </xf>
    <xf numFmtId="1" fontId="3" fillId="0" borderId="1131" xfId="0" applyNumberFormat="1" applyFont="1" applyBorder="1" applyAlignment="1">
      <alignment horizontal="center" vertical="center" wrapText="1"/>
    </xf>
    <xf numFmtId="1" fontId="3" fillId="0" borderId="1132" xfId="0" applyNumberFormat="1" applyFont="1" applyBorder="1" applyAlignment="1">
      <alignment horizontal="center" vertical="center" wrapText="1"/>
    </xf>
    <xf numFmtId="1" fontId="3" fillId="0" borderId="420" xfId="0" applyNumberFormat="1" applyFont="1" applyBorder="1" applyAlignment="1">
      <alignment horizontal="center" vertical="center" wrapText="1"/>
    </xf>
    <xf numFmtId="1" fontId="3" fillId="0" borderId="1143" xfId="0" applyNumberFormat="1" applyFont="1" applyBorder="1" applyAlignment="1">
      <alignment horizontal="center" vertical="center" wrapText="1"/>
    </xf>
    <xf numFmtId="1" fontId="3" fillId="0" borderId="1015" xfId="0" applyNumberFormat="1" applyFont="1" applyBorder="1" applyAlignment="1">
      <alignment horizontal="center" vertical="center" wrapText="1"/>
    </xf>
    <xf numFmtId="1" fontId="3" fillId="0" borderId="1210" xfId="0" applyNumberFormat="1" applyFont="1" applyBorder="1" applyAlignment="1">
      <alignment horizontal="center" vertical="center" wrapText="1"/>
    </xf>
    <xf numFmtId="1" fontId="3" fillId="0" borderId="1149" xfId="0" applyNumberFormat="1" applyFont="1" applyBorder="1" applyAlignment="1">
      <alignment horizontal="center" vertical="center" wrapText="1"/>
    </xf>
    <xf numFmtId="1" fontId="3" fillId="0" borderId="1133" xfId="0" applyNumberFormat="1" applyFont="1" applyBorder="1" applyAlignment="1">
      <alignment horizontal="center" vertical="center" wrapText="1"/>
    </xf>
    <xf numFmtId="1" fontId="2" fillId="5" borderId="732" xfId="0" applyNumberFormat="1" applyFont="1" applyFill="1" applyBorder="1" applyAlignment="1">
      <alignment horizontal="left"/>
    </xf>
    <xf numFmtId="1" fontId="2" fillId="5" borderId="703" xfId="0" applyNumberFormat="1" applyFont="1" applyFill="1" applyBorder="1" applyAlignment="1">
      <alignment horizontal="left"/>
    </xf>
    <xf numFmtId="1" fontId="3" fillId="0" borderId="672" xfId="0" applyNumberFormat="1" applyFont="1" applyBorder="1" applyAlignment="1">
      <alignment horizontal="center" vertical="center" wrapText="1"/>
    </xf>
    <xf numFmtId="1" fontId="3" fillId="0" borderId="673" xfId="0" applyNumberFormat="1" applyFont="1" applyBorder="1" applyAlignment="1">
      <alignment horizontal="center" vertical="center" wrapText="1"/>
    </xf>
    <xf numFmtId="1" fontId="3" fillId="5" borderId="636" xfId="0" applyNumberFormat="1" applyFont="1" applyFill="1" applyBorder="1" applyAlignment="1">
      <alignment horizontal="center" vertical="center" wrapText="1"/>
    </xf>
    <xf numFmtId="1" fontId="3" fillId="5" borderId="162" xfId="0" applyNumberFormat="1" applyFont="1" applyFill="1" applyBorder="1" applyAlignment="1">
      <alignment horizontal="center" vertical="center" wrapText="1"/>
    </xf>
    <xf numFmtId="1" fontId="3" fillId="5" borderId="370" xfId="0" applyNumberFormat="1" applyFont="1" applyFill="1" applyBorder="1" applyAlignment="1">
      <alignment horizontal="center" vertical="center" wrapText="1"/>
    </xf>
    <xf numFmtId="1" fontId="3" fillId="0" borderId="703" xfId="0" applyNumberFormat="1" applyFont="1" applyBorder="1" applyAlignment="1">
      <alignment horizontal="center" vertical="center" wrapText="1"/>
    </xf>
    <xf numFmtId="1" fontId="3" fillId="0" borderId="696" xfId="0" applyNumberFormat="1" applyFont="1" applyBorder="1" applyAlignment="1">
      <alignment horizontal="center" vertical="center" wrapText="1"/>
    </xf>
    <xf numFmtId="1" fontId="3" fillId="0" borderId="658" xfId="0" applyNumberFormat="1" applyFont="1" applyBorder="1" applyAlignment="1">
      <alignment horizontal="center" vertical="center" wrapText="1"/>
    </xf>
    <xf numFmtId="1" fontId="3" fillId="0" borderId="697" xfId="0" applyNumberFormat="1" applyFont="1" applyBorder="1" applyAlignment="1">
      <alignment horizontal="center" vertical="center" wrapText="1"/>
    </xf>
    <xf numFmtId="1" fontId="3" fillId="0" borderId="630" xfId="0" applyNumberFormat="1" applyFont="1" applyBorder="1" applyAlignment="1">
      <alignment horizontal="center" vertical="center" wrapText="1"/>
    </xf>
    <xf numFmtId="1" fontId="3" fillId="6" borderId="703" xfId="0" applyNumberFormat="1" applyFont="1" applyFill="1" applyBorder="1" applyAlignment="1">
      <alignment horizontal="center" vertical="center"/>
    </xf>
    <xf numFmtId="1" fontId="3" fillId="6" borderId="640" xfId="0" applyNumberFormat="1" applyFont="1" applyFill="1" applyBorder="1" applyAlignment="1">
      <alignment horizontal="center" vertical="center"/>
    </xf>
    <xf numFmtId="1" fontId="3" fillId="0" borderId="729" xfId="0" applyNumberFormat="1" applyFont="1" applyBorder="1" applyAlignment="1">
      <alignment horizontal="center" vertical="center" wrapText="1"/>
    </xf>
    <xf numFmtId="1" fontId="3" fillId="0" borderId="165" xfId="0" applyNumberFormat="1" applyFont="1" applyBorder="1" applyAlignment="1">
      <alignment horizontal="center" vertical="center" wrapText="1"/>
    </xf>
    <xf numFmtId="1" fontId="3" fillId="0" borderId="374" xfId="0" applyNumberFormat="1" applyFont="1" applyBorder="1" applyAlignment="1">
      <alignment horizontal="center" vertical="center" wrapText="1"/>
    </xf>
    <xf numFmtId="1" fontId="3" fillId="6" borderId="668" xfId="0" applyNumberFormat="1" applyFont="1" applyFill="1" applyBorder="1" applyAlignment="1">
      <alignment horizontal="center" vertical="center" wrapText="1"/>
    </xf>
    <xf numFmtId="1" fontId="3" fillId="6" borderId="503" xfId="0" applyNumberFormat="1" applyFont="1" applyFill="1" applyBorder="1" applyAlignment="1">
      <alignment horizontal="center" vertical="center" wrapText="1"/>
    </xf>
    <xf numFmtId="1" fontId="3" fillId="6" borderId="718" xfId="0" applyNumberFormat="1" applyFont="1" applyFill="1" applyBorder="1" applyAlignment="1">
      <alignment horizontal="center" vertical="center" wrapText="1"/>
    </xf>
    <xf numFmtId="1" fontId="3" fillId="6" borderId="256" xfId="0" applyNumberFormat="1" applyFont="1" applyFill="1" applyBorder="1" applyAlignment="1">
      <alignment horizontal="center" vertical="center" wrapText="1"/>
    </xf>
    <xf numFmtId="1" fontId="3" fillId="6" borderId="3" xfId="0" applyNumberFormat="1" applyFont="1" applyFill="1" applyBorder="1" applyAlignment="1">
      <alignment horizontal="center" vertical="center" wrapText="1"/>
    </xf>
    <xf numFmtId="1" fontId="3" fillId="6" borderId="0" xfId="0" applyNumberFormat="1" applyFont="1" applyFill="1" applyAlignment="1">
      <alignment horizontal="center" vertical="center" wrapText="1"/>
    </xf>
    <xf numFmtId="1" fontId="3" fillId="6" borderId="498" xfId="0" applyNumberFormat="1" applyFont="1" applyFill="1" applyBorder="1" applyAlignment="1">
      <alignment horizontal="center" vertical="center" wrapText="1"/>
    </xf>
    <xf numFmtId="0" fontId="3" fillId="5" borderId="672" xfId="0" applyFont="1" applyFill="1" applyBorder="1" applyAlignment="1">
      <alignment horizontal="center" vertical="center" wrapText="1"/>
    </xf>
    <xf numFmtId="1" fontId="3" fillId="0" borderId="669" xfId="0" applyNumberFormat="1" applyFont="1" applyBorder="1" applyAlignment="1">
      <alignment horizontal="center" vertical="center" wrapText="1"/>
    </xf>
    <xf numFmtId="1" fontId="3" fillId="0" borderId="703" xfId="0" applyNumberFormat="1" applyFont="1" applyBorder="1" applyAlignment="1">
      <alignment horizontal="center" vertical="center"/>
    </xf>
    <xf numFmtId="1" fontId="3" fillId="0" borderId="593" xfId="0" applyNumberFormat="1" applyFont="1" applyBorder="1" applyAlignment="1">
      <alignment horizontal="left" vertical="center" wrapText="1"/>
    </xf>
    <xf numFmtId="1" fontId="3" fillId="0" borderId="421" xfId="0" applyNumberFormat="1" applyFont="1" applyBorder="1" applyAlignment="1">
      <alignment horizontal="left"/>
    </xf>
    <xf numFmtId="1" fontId="3" fillId="0" borderId="163" xfId="0" applyNumberFormat="1" applyFont="1" applyBorder="1" applyAlignment="1">
      <alignment horizontal="left"/>
    </xf>
    <xf numFmtId="1" fontId="3" fillId="0" borderId="164" xfId="0" applyNumberFormat="1" applyFont="1" applyBorder="1" applyAlignment="1">
      <alignment horizontal="left"/>
    </xf>
    <xf numFmtId="1" fontId="3" fillId="0" borderId="150" xfId="0" applyNumberFormat="1" applyFont="1" applyBorder="1" applyAlignment="1">
      <alignment horizontal="left" vertical="center" wrapText="1"/>
    </xf>
    <xf numFmtId="1" fontId="3" fillId="0" borderId="593" xfId="0" applyNumberFormat="1" applyFont="1" applyBorder="1"/>
    <xf numFmtId="1" fontId="3" fillId="0" borderId="698" xfId="0" applyNumberFormat="1" applyFont="1" applyBorder="1" applyAlignment="1">
      <alignment horizontal="center"/>
    </xf>
    <xf numFmtId="1" fontId="3" fillId="0" borderId="593" xfId="0" applyNumberFormat="1" applyFont="1" applyBorder="1" applyAlignment="1">
      <alignment horizontal="center"/>
    </xf>
    <xf numFmtId="1" fontId="3" fillId="0" borderId="625" xfId="0" applyNumberFormat="1" applyFont="1" applyBorder="1" applyAlignment="1">
      <alignment horizontal="center"/>
    </xf>
    <xf numFmtId="1" fontId="3" fillId="0" borderId="702" xfId="0" applyNumberFormat="1" applyFont="1" applyBorder="1" applyAlignment="1">
      <alignment horizontal="center" vertical="center" wrapText="1"/>
    </xf>
    <xf numFmtId="1" fontId="3" fillId="0" borderId="704" xfId="0" applyNumberFormat="1" applyFont="1" applyBorder="1" applyAlignment="1">
      <alignment horizontal="center" vertical="center" wrapText="1"/>
    </xf>
    <xf numFmtId="1" fontId="3" fillId="0" borderId="705" xfId="0" applyNumberFormat="1" applyFont="1" applyBorder="1" applyAlignment="1">
      <alignment horizontal="center" vertical="center" wrapText="1"/>
    </xf>
    <xf numFmtId="0" fontId="3" fillId="0" borderId="671" xfId="0" applyFont="1" applyBorder="1" applyAlignment="1">
      <alignment horizontal="center" wrapText="1"/>
    </xf>
    <xf numFmtId="0" fontId="3" fillId="0" borderId="256" xfId="0" applyFont="1" applyBorder="1" applyAlignment="1">
      <alignment horizontal="center" wrapText="1"/>
    </xf>
    <xf numFmtId="0" fontId="3" fillId="0" borderId="250" xfId="0" applyFont="1" applyBorder="1" applyAlignment="1">
      <alignment horizontal="center" wrapText="1"/>
    </xf>
    <xf numFmtId="0" fontId="3" fillId="0" borderId="667" xfId="0" applyFont="1" applyBorder="1" applyAlignment="1">
      <alignment horizontal="center" wrapText="1"/>
    </xf>
    <xf numFmtId="0" fontId="3" fillId="0" borderId="594" xfId="0" applyFont="1" applyBorder="1" applyAlignment="1">
      <alignment horizont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677" xfId="0" applyFont="1" applyBorder="1" applyAlignment="1">
      <alignment horizontal="center" vertical="center" wrapText="1"/>
    </xf>
    <xf numFmtId="0" fontId="3" fillId="0" borderId="676" xfId="0" applyFont="1" applyBorder="1" applyAlignment="1">
      <alignment horizontal="center" vertical="center" wrapText="1"/>
    </xf>
    <xf numFmtId="1" fontId="3" fillId="0" borderId="587" xfId="0" applyNumberFormat="1" applyFont="1" applyBorder="1"/>
    <xf numFmtId="1" fontId="3" fillId="0" borderId="331" xfId="0" applyNumberFormat="1" applyFont="1" applyBorder="1"/>
    <xf numFmtId="1" fontId="3" fillId="0" borderId="340" xfId="0" applyNumberFormat="1" applyFont="1" applyBorder="1" applyAlignment="1">
      <alignment wrapText="1"/>
    </xf>
    <xf numFmtId="1" fontId="3" fillId="0" borderId="336" xfId="0" applyNumberFormat="1" applyFont="1" applyBorder="1" applyAlignment="1">
      <alignment wrapText="1"/>
    </xf>
    <xf numFmtId="1" fontId="3" fillId="0" borderId="421" xfId="0" applyNumberFormat="1" applyFont="1" applyBorder="1" applyAlignment="1">
      <alignment wrapText="1"/>
    </xf>
    <xf numFmtId="1" fontId="3" fillId="0" borderId="354" xfId="0" applyNumberFormat="1" applyFont="1" applyBorder="1" applyAlignment="1">
      <alignment wrapText="1"/>
    </xf>
    <xf numFmtId="1" fontId="3" fillId="0" borderId="601" xfId="0" applyNumberFormat="1" applyFont="1" applyBorder="1" applyAlignment="1">
      <alignment horizontal="left" wrapText="1"/>
    </xf>
    <xf numFmtId="1" fontId="3" fillId="0" borderId="640" xfId="0" applyNumberFormat="1" applyFont="1" applyBorder="1" applyAlignment="1">
      <alignment horizontal="left" wrapText="1"/>
    </xf>
    <xf numFmtId="1" fontId="3" fillId="0" borderId="421" xfId="0" applyNumberFormat="1" applyFont="1" applyBorder="1" applyAlignment="1">
      <alignment horizontal="left" wrapText="1"/>
    </xf>
    <xf numFmtId="1" fontId="3" fillId="0" borderId="354" xfId="0" applyNumberFormat="1" applyFont="1" applyBorder="1" applyAlignment="1">
      <alignment horizontal="left" wrapText="1"/>
    </xf>
    <xf numFmtId="1" fontId="3" fillId="0" borderId="631" xfId="0" applyNumberFormat="1" applyFont="1" applyBorder="1" applyAlignment="1">
      <alignment horizontal="left" wrapText="1"/>
    </xf>
    <xf numFmtId="1" fontId="3" fillId="0" borderId="613" xfId="0" applyNumberFormat="1" applyFont="1" applyBorder="1" applyAlignment="1">
      <alignment horizontal="left" wrapText="1"/>
    </xf>
    <xf numFmtId="1" fontId="3" fillId="0" borderId="631" xfId="0" applyNumberFormat="1" applyFont="1" applyBorder="1"/>
    <xf numFmtId="1" fontId="3" fillId="0" borderId="613" xfId="0" applyNumberFormat="1" applyFont="1" applyBorder="1"/>
    <xf numFmtId="1" fontId="3" fillId="0" borderId="421" xfId="0" applyNumberFormat="1" applyFont="1" applyBorder="1"/>
    <xf numFmtId="1" fontId="3" fillId="0" borderId="354" xfId="0" applyNumberFormat="1" applyFont="1" applyBorder="1"/>
    <xf numFmtId="1" fontId="3" fillId="0" borderId="639" xfId="0" applyNumberFormat="1" applyFont="1" applyBorder="1" applyAlignment="1" applyProtection="1">
      <alignment horizontal="left" wrapText="1"/>
      <protection hidden="1"/>
    </xf>
    <xf numFmtId="1" fontId="3" fillId="0" borderId="640" xfId="0" applyNumberFormat="1" applyFont="1" applyBorder="1" applyAlignment="1" applyProtection="1">
      <alignment horizontal="left" wrapText="1"/>
      <protection hidden="1"/>
    </xf>
    <xf numFmtId="1" fontId="3" fillId="0" borderId="601" xfId="0" applyNumberFormat="1" applyFont="1" applyBorder="1"/>
    <xf numFmtId="1" fontId="3" fillId="0" borderId="640" xfId="0" applyNumberFormat="1" applyFont="1" applyBorder="1"/>
    <xf numFmtId="1" fontId="3" fillId="0" borderId="518" xfId="0" applyNumberFormat="1" applyFont="1" applyBorder="1" applyAlignment="1">
      <alignment horizontal="center" vertical="center"/>
    </xf>
    <xf numFmtId="1" fontId="3" fillId="0" borderId="673" xfId="0" applyNumberFormat="1" applyFont="1" applyBorder="1" applyAlignment="1">
      <alignment horizontal="center" vertical="center"/>
    </xf>
    <xf numFmtId="1" fontId="3" fillId="0" borderId="490" xfId="0" applyNumberFormat="1" applyFont="1" applyBorder="1" applyAlignment="1">
      <alignment horizontal="center" vertical="center"/>
    </xf>
    <xf numFmtId="1" fontId="3" fillId="0" borderId="687" xfId="0" applyNumberFormat="1" applyFont="1" applyBorder="1" applyAlignment="1">
      <alignment horizontal="center" vertical="center"/>
    </xf>
    <xf numFmtId="1" fontId="3" fillId="0" borderId="674" xfId="0" applyNumberFormat="1" applyFont="1" applyBorder="1" applyAlignment="1">
      <alignment horizontal="center" vertical="center" wrapText="1"/>
    </xf>
    <xf numFmtId="1" fontId="3" fillId="3" borderId="639" xfId="0" applyNumberFormat="1" applyFont="1" applyFill="1" applyBorder="1" applyAlignment="1">
      <alignment horizontal="center" vertical="center" wrapText="1"/>
    </xf>
    <xf numFmtId="1" fontId="3" fillId="3" borderId="640" xfId="0" applyNumberFormat="1" applyFont="1" applyFill="1" applyBorder="1" applyAlignment="1">
      <alignment horizontal="center" vertical="center" wrapText="1"/>
    </xf>
    <xf numFmtId="1" fontId="3" fillId="0" borderId="696" xfId="0" applyNumberFormat="1" applyFont="1" applyBorder="1" applyAlignment="1">
      <alignment horizontal="center"/>
    </xf>
    <xf numFmtId="1" fontId="3" fillId="0" borderId="639" xfId="0" applyNumberFormat="1" applyFont="1" applyBorder="1" applyAlignment="1">
      <alignment horizontal="center"/>
    </xf>
    <xf numFmtId="1" fontId="3" fillId="0" borderId="619" xfId="0" applyNumberFormat="1" applyFont="1" applyBorder="1" applyAlignment="1">
      <alignment horizontal="center"/>
    </xf>
    <xf numFmtId="1" fontId="3" fillId="0" borderId="690" xfId="0" applyNumberFormat="1" applyFont="1" applyBorder="1" applyAlignment="1">
      <alignment horizontal="center" vertical="center" wrapText="1"/>
    </xf>
    <xf numFmtId="1" fontId="3" fillId="0" borderId="87" xfId="0" applyNumberFormat="1" applyFont="1" applyBorder="1" applyAlignment="1">
      <alignment horizontal="center" vertical="center" wrapText="1"/>
    </xf>
    <xf numFmtId="1" fontId="3" fillId="0" borderId="263" xfId="0" applyNumberFormat="1" applyFont="1" applyBorder="1" applyAlignment="1">
      <alignment horizontal="center" vertical="center" wrapText="1"/>
    </xf>
    <xf numFmtId="1" fontId="3" fillId="0" borderId="631" xfId="0" applyNumberFormat="1" applyFont="1" applyBorder="1" applyAlignment="1">
      <alignment wrapText="1"/>
    </xf>
    <xf numFmtId="1" fontId="3" fillId="0" borderId="613" xfId="0" applyNumberFormat="1" applyFont="1" applyBorder="1" applyAlignment="1">
      <alignment wrapText="1"/>
    </xf>
    <xf numFmtId="1" fontId="3" fillId="0" borderId="237" xfId="0" applyNumberFormat="1" applyFont="1" applyBorder="1" applyAlignment="1">
      <alignment horizontal="left"/>
    </xf>
    <xf numFmtId="1" fontId="3" fillId="0" borderId="134" xfId="0" applyNumberFormat="1" applyFont="1" applyBorder="1" applyAlignment="1">
      <alignment horizontal="left"/>
    </xf>
    <xf numFmtId="1" fontId="3" fillId="0" borderId="490" xfId="0" applyNumberFormat="1" applyFont="1" applyBorder="1" applyAlignment="1">
      <alignment horizontal="left"/>
    </xf>
    <xf numFmtId="1" fontId="3" fillId="0" borderId="491" xfId="0" applyNumberFormat="1" applyFont="1" applyBorder="1" applyAlignment="1">
      <alignment horizontal="left"/>
    </xf>
    <xf numFmtId="1" fontId="3" fillId="0" borderId="601" xfId="0" applyNumberFormat="1" applyFont="1" applyBorder="1" applyAlignment="1">
      <alignment horizontal="left" vertical="center" wrapText="1"/>
    </xf>
    <xf numFmtId="1" fontId="3" fillId="0" borderId="640" xfId="0" applyNumberFormat="1" applyFont="1" applyBorder="1" applyAlignment="1">
      <alignment horizontal="left" vertical="center" wrapText="1"/>
    </xf>
    <xf numFmtId="1" fontId="3" fillId="0" borderId="639" xfId="0" applyNumberFormat="1" applyFont="1" applyBorder="1" applyAlignment="1" applyProtection="1">
      <alignment wrapText="1"/>
      <protection hidden="1"/>
    </xf>
    <xf numFmtId="1" fontId="3" fillId="0" borderId="640" xfId="0" applyNumberFormat="1" applyFont="1" applyBorder="1" applyAlignment="1" applyProtection="1">
      <alignment wrapText="1"/>
      <protection hidden="1"/>
    </xf>
    <xf numFmtId="0" fontId="3" fillId="0" borderId="673" xfId="0" applyFont="1" applyBorder="1" applyAlignment="1">
      <alignment horizontal="center" vertical="center" wrapText="1"/>
    </xf>
    <xf numFmtId="0" fontId="3" fillId="0" borderId="313" xfId="0" applyFont="1" applyBorder="1" applyAlignment="1">
      <alignment horizontal="center" vertical="center" wrapText="1"/>
    </xf>
    <xf numFmtId="0" fontId="3" fillId="0" borderId="490" xfId="0" applyFont="1" applyBorder="1" applyAlignment="1">
      <alignment horizontal="center" vertical="center" wrapText="1"/>
    </xf>
    <xf numFmtId="1" fontId="3" fillId="0" borderId="601" xfId="0" applyNumberFormat="1" applyFont="1" applyBorder="1" applyAlignment="1">
      <alignment wrapText="1"/>
    </xf>
    <xf numFmtId="1" fontId="3" fillId="0" borderId="640" xfId="0" applyNumberFormat="1" applyFont="1" applyBorder="1" applyAlignment="1">
      <alignment wrapText="1"/>
    </xf>
    <xf numFmtId="1" fontId="3" fillId="0" borderId="693" xfId="0" applyNumberFormat="1" applyFont="1" applyBorder="1" applyAlignment="1">
      <alignment horizontal="left" wrapText="1"/>
    </xf>
    <xf numFmtId="1" fontId="3" fillId="0" borderId="712" xfId="0" applyNumberFormat="1" applyFont="1" applyBorder="1" applyAlignment="1">
      <alignment horizontal="center"/>
    </xf>
    <xf numFmtId="1" fontId="3" fillId="0" borderId="490" xfId="0" applyNumberFormat="1" applyFont="1" applyBorder="1"/>
    <xf numFmtId="1" fontId="3" fillId="0" borderId="687" xfId="0" applyNumberFormat="1" applyFont="1" applyBorder="1"/>
    <xf numFmtId="1" fontId="3" fillId="0" borderId="713" xfId="0" applyNumberFormat="1" applyFont="1" applyBorder="1" applyAlignment="1">
      <alignment horizontal="center" vertical="center" wrapText="1"/>
    </xf>
    <xf numFmtId="1" fontId="3" fillId="0" borderId="370" xfId="0" applyNumberFormat="1" applyFont="1" applyBorder="1" applyAlignment="1">
      <alignment horizontal="center"/>
    </xf>
    <xf numFmtId="1" fontId="2" fillId="0" borderId="639" xfId="0" applyNumberFormat="1" applyFont="1" applyBorder="1"/>
    <xf numFmtId="1" fontId="2" fillId="0" borderId="640" xfId="0" applyNumberFormat="1" applyFont="1" applyBorder="1"/>
    <xf numFmtId="1" fontId="2" fillId="0" borderId="601" xfId="0" applyNumberFormat="1" applyFont="1" applyBorder="1" applyAlignment="1">
      <alignment wrapText="1"/>
    </xf>
    <xf numFmtId="1" fontId="2" fillId="0" borderId="640" xfId="0" applyNumberFormat="1" applyFont="1" applyBorder="1" applyAlignment="1">
      <alignment wrapText="1"/>
    </xf>
    <xf numFmtId="1" fontId="3" fillId="0" borderId="716" xfId="0" applyNumberFormat="1" applyFont="1" applyBorder="1" applyAlignment="1">
      <alignment horizontal="center" vertical="center" wrapText="1"/>
    </xf>
    <xf numFmtId="1" fontId="3" fillId="0" borderId="358" xfId="0" applyNumberFormat="1" applyFont="1" applyBorder="1" applyAlignment="1">
      <alignment horizontal="center" vertical="center" wrapText="1"/>
    </xf>
    <xf numFmtId="1" fontId="3" fillId="0" borderId="693" xfId="0" applyNumberFormat="1" applyFont="1" applyBorder="1" applyAlignment="1">
      <alignment horizontal="center" vertical="center" wrapText="1"/>
    </xf>
    <xf numFmtId="1" fontId="3" fillId="0" borderId="354" xfId="0" applyNumberFormat="1" applyFont="1" applyBorder="1" applyAlignment="1">
      <alignment horizontal="center" vertical="center" wrapText="1"/>
    </xf>
    <xf numFmtId="1" fontId="3" fillId="0" borderId="340" xfId="0" applyNumberFormat="1" applyFont="1" applyBorder="1" applyAlignment="1">
      <alignment horizontal="left" vertical="center" wrapText="1"/>
    </xf>
    <xf numFmtId="1" fontId="3" fillId="0" borderId="336" xfId="0" applyNumberFormat="1" applyFont="1" applyBorder="1" applyAlignment="1">
      <alignment horizontal="left" vertical="center" wrapText="1"/>
    </xf>
    <xf numFmtId="1" fontId="3" fillId="0" borderId="237" xfId="0" applyNumberFormat="1" applyFont="1" applyBorder="1" applyAlignment="1">
      <alignment wrapText="1"/>
    </xf>
    <xf numFmtId="1" fontId="3" fillId="0" borderId="134" xfId="0" applyNumberFormat="1" applyFont="1" applyBorder="1" applyAlignment="1">
      <alignment wrapText="1"/>
    </xf>
    <xf numFmtId="1" fontId="2" fillId="0" borderId="601" xfId="0" applyNumberFormat="1" applyFont="1" applyBorder="1"/>
    <xf numFmtId="1" fontId="3" fillId="0" borderId="612" xfId="0" applyNumberFormat="1" applyFont="1" applyBorder="1" applyAlignment="1">
      <alignment horizontal="center" vertical="center" wrapText="1"/>
    </xf>
    <xf numFmtId="1" fontId="3" fillId="0" borderId="404" xfId="0" applyNumberFormat="1" applyFont="1" applyBorder="1" applyAlignment="1">
      <alignment horizontal="center" vertical="center" wrapText="1"/>
    </xf>
    <xf numFmtId="1" fontId="3" fillId="0" borderId="636" xfId="0" applyNumberFormat="1" applyFont="1" applyBorder="1" applyAlignment="1" applyProtection="1">
      <alignment horizontal="center" vertical="center"/>
      <protection hidden="1"/>
    </xf>
    <xf numFmtId="1" fontId="3" fillId="0" borderId="162" xfId="0" applyNumberFormat="1" applyFont="1" applyBorder="1" applyAlignment="1" applyProtection="1">
      <alignment horizontal="center" vertical="center"/>
      <protection hidden="1"/>
    </xf>
    <xf numFmtId="1" fontId="3" fillId="0" borderId="370" xfId="0" applyNumberFormat="1" applyFont="1" applyBorder="1" applyAlignment="1" applyProtection="1">
      <alignment horizontal="center" vertical="center"/>
      <protection hidden="1"/>
    </xf>
    <xf numFmtId="1" fontId="3" fillId="0" borderId="636" xfId="0" applyNumberFormat="1" applyFont="1" applyBorder="1" applyAlignment="1" applyProtection="1">
      <alignment horizontal="center" vertical="center" wrapText="1"/>
      <protection hidden="1"/>
    </xf>
    <xf numFmtId="1" fontId="3" fillId="0" borderId="162" xfId="0" applyNumberFormat="1" applyFont="1" applyBorder="1" applyAlignment="1" applyProtection="1">
      <alignment horizontal="center" vertical="center" wrapText="1"/>
      <protection hidden="1"/>
    </xf>
    <xf numFmtId="1" fontId="3" fillId="0" borderId="370" xfId="0" applyNumberFormat="1" applyFont="1" applyBorder="1" applyAlignment="1" applyProtection="1">
      <alignment horizontal="center" vertical="center" wrapText="1"/>
      <protection hidden="1"/>
    </xf>
    <xf numFmtId="1" fontId="3" fillId="0" borderId="601" xfId="0" applyNumberFormat="1" applyFont="1" applyBorder="1" applyAlignment="1" applyProtection="1">
      <alignment horizontal="center" vertical="center"/>
      <protection hidden="1"/>
    </xf>
    <xf numFmtId="1" fontId="3" fillId="0" borderId="703" xfId="0" applyNumberFormat="1" applyFont="1" applyBorder="1" applyAlignment="1" applyProtection="1">
      <alignment horizontal="center" vertical="center"/>
      <protection hidden="1"/>
    </xf>
    <xf numFmtId="1" fontId="3" fillId="0" borderId="619" xfId="0" applyNumberFormat="1" applyFont="1" applyBorder="1" applyAlignment="1" applyProtection="1">
      <alignment horizontal="center" vertical="center"/>
      <protection hidden="1"/>
    </xf>
    <xf numFmtId="1" fontId="3" fillId="0" borderId="636" xfId="0" applyNumberFormat="1" applyFont="1" applyBorder="1" applyAlignment="1" applyProtection="1">
      <alignment horizontal="left" vertical="center" wrapText="1"/>
      <protection hidden="1"/>
    </xf>
    <xf numFmtId="1" fontId="3" fillId="0" borderId="370" xfId="0" applyNumberFormat="1" applyFont="1" applyBorder="1" applyAlignment="1" applyProtection="1">
      <alignment horizontal="left" vertical="center" wrapText="1"/>
      <protection hidden="1"/>
    </xf>
    <xf numFmtId="1" fontId="3" fillId="0" borderId="687" xfId="0" applyNumberFormat="1" applyFont="1" applyBorder="1" applyAlignment="1">
      <alignment horizontal="left" vertical="center"/>
    </xf>
    <xf numFmtId="1" fontId="3" fillId="0" borderId="673" xfId="0" applyNumberFormat="1" applyFont="1" applyBorder="1" applyAlignment="1">
      <alignment horizontal="left" vertical="center"/>
    </xf>
    <xf numFmtId="0" fontId="3" fillId="0" borderId="703" xfId="0" applyFont="1" applyBorder="1" applyAlignment="1">
      <alignment wrapText="1"/>
    </xf>
    <xf numFmtId="0" fontId="3" fillId="0" borderId="640" xfId="0" applyFont="1" applyBorder="1" applyAlignment="1">
      <alignment wrapText="1"/>
    </xf>
    <xf numFmtId="1" fontId="3" fillId="0" borderId="593" xfId="0" applyNumberFormat="1" applyFont="1" applyBorder="1" applyAlignment="1">
      <alignment wrapText="1"/>
    </xf>
    <xf numFmtId="1" fontId="3" fillId="5" borderId="421" xfId="0" applyNumberFormat="1" applyFont="1" applyFill="1" applyBorder="1" applyAlignment="1">
      <alignment wrapText="1"/>
    </xf>
    <xf numFmtId="1" fontId="3" fillId="5" borderId="354" xfId="0" applyNumberFormat="1" applyFont="1" applyFill="1" applyBorder="1" applyAlignment="1">
      <alignment wrapText="1"/>
    </xf>
    <xf numFmtId="1" fontId="3" fillId="0" borderId="673" xfId="0" applyNumberFormat="1" applyFont="1" applyBorder="1" applyAlignment="1">
      <alignment horizontal="left" vertical="center" wrapText="1"/>
    </xf>
    <xf numFmtId="1" fontId="3" fillId="0" borderId="20" xfId="0" applyNumberFormat="1" applyFont="1" applyBorder="1" applyAlignment="1">
      <alignment horizontal="left" vertical="center" wrapText="1"/>
    </xf>
    <xf numFmtId="1" fontId="3" fillId="0" borderId="687" xfId="0" applyNumberFormat="1" applyFont="1" applyBorder="1" applyAlignment="1">
      <alignment horizontal="left" vertical="center" wrapText="1"/>
    </xf>
    <xf numFmtId="1" fontId="3" fillId="0" borderId="718" xfId="0" applyNumberFormat="1" applyFont="1" applyBorder="1" applyAlignment="1">
      <alignment horizontal="center" vertical="center" wrapText="1"/>
    </xf>
    <xf numFmtId="1" fontId="3" fillId="0" borderId="718" xfId="15" applyNumberFormat="1" applyFont="1" applyBorder="1" applyAlignment="1">
      <alignment horizontal="center" vertical="center" wrapText="1"/>
    </xf>
    <xf numFmtId="1" fontId="3" fillId="0" borderId="3" xfId="15" applyNumberFormat="1" applyFont="1" applyBorder="1" applyAlignment="1">
      <alignment horizontal="center" vertical="center" wrapText="1"/>
    </xf>
    <xf numFmtId="1" fontId="3" fillId="0" borderId="94" xfId="0" applyNumberFormat="1" applyFont="1" applyBorder="1" applyAlignment="1">
      <alignment horizontal="center" vertical="center" wrapText="1"/>
    </xf>
    <xf numFmtId="1" fontId="3" fillId="0" borderId="95" xfId="0" applyNumberFormat="1" applyFont="1" applyBorder="1" applyAlignment="1">
      <alignment horizontal="center" vertical="center" wrapText="1"/>
    </xf>
    <xf numFmtId="1" fontId="3" fillId="0" borderId="96" xfId="0" applyNumberFormat="1" applyFont="1" applyBorder="1" applyAlignment="1">
      <alignment horizontal="center" vertical="center" wrapText="1"/>
    </xf>
    <xf numFmtId="1" fontId="3" fillId="0" borderId="97" xfId="0" applyNumberFormat="1" applyFont="1" applyBorder="1" applyAlignment="1">
      <alignment horizontal="center" vertical="center" wrapText="1"/>
    </xf>
    <xf numFmtId="1" fontId="3" fillId="0" borderId="98" xfId="0" applyNumberFormat="1" applyFont="1" applyBorder="1" applyAlignment="1">
      <alignment horizontal="center" vertical="center" wrapText="1"/>
    </xf>
    <xf numFmtId="1" fontId="3" fillId="0" borderId="673" xfId="15" applyNumberFormat="1" applyFont="1" applyBorder="1" applyAlignment="1">
      <alignment horizontal="center" vertical="center" wrapText="1"/>
    </xf>
    <xf numFmtId="1" fontId="3" fillId="0" borderId="687" xfId="15" applyNumberFormat="1" applyFont="1" applyBorder="1" applyAlignment="1">
      <alignment horizontal="center" vertical="center" wrapText="1"/>
    </xf>
    <xf numFmtId="1" fontId="3" fillId="0" borderId="658" xfId="15" applyNumberFormat="1" applyFont="1" applyBorder="1" applyAlignment="1">
      <alignment horizontal="center" vertical="center" wrapText="1"/>
    </xf>
    <xf numFmtId="1" fontId="3" fillId="0" borderId="10" xfId="15" applyNumberFormat="1" applyFont="1" applyBorder="1" applyAlignment="1">
      <alignment horizontal="center" vertical="center" wrapText="1"/>
    </xf>
    <xf numFmtId="1" fontId="3" fillId="0" borderId="259" xfId="15" applyNumberFormat="1" applyFont="1" applyBorder="1" applyAlignment="1">
      <alignment horizontal="center" vertical="center" wrapText="1"/>
    </xf>
    <xf numFmtId="0" fontId="3" fillId="45" borderId="183" xfId="0" applyFont="1" applyFill="1" applyBorder="1" applyAlignment="1">
      <alignment horizontal="center" vertical="center" wrapText="1"/>
    </xf>
    <xf numFmtId="0" fontId="3" fillId="45" borderId="405" xfId="0" applyFont="1" applyFill="1" applyBorder="1" applyAlignment="1">
      <alignment horizontal="center" vertical="center" wrapText="1"/>
    </xf>
    <xf numFmtId="0" fontId="3" fillId="45" borderId="503" xfId="0" applyFont="1" applyFill="1" applyBorder="1" applyAlignment="1">
      <alignment horizontal="center" vertical="center" wrapText="1"/>
    </xf>
    <xf numFmtId="0" fontId="3" fillId="0" borderId="631" xfId="0" applyFont="1" applyBorder="1" applyAlignment="1">
      <alignment wrapText="1"/>
    </xf>
    <xf numFmtId="0" fontId="3" fillId="0" borderId="613" xfId="0" applyFont="1" applyBorder="1" applyAlignment="1">
      <alignment wrapText="1"/>
    </xf>
    <xf numFmtId="0" fontId="3" fillId="0" borderId="340" xfId="0" applyFont="1" applyBorder="1" applyAlignment="1">
      <alignment wrapText="1"/>
    </xf>
    <xf numFmtId="0" fontId="3" fillId="0" borderId="336" xfId="0" applyFont="1" applyBorder="1" applyAlignment="1">
      <alignment wrapText="1"/>
    </xf>
    <xf numFmtId="0" fontId="3" fillId="0" borderId="672" xfId="0" applyFont="1" applyBorder="1" applyAlignment="1">
      <alignment horizontal="center" vertical="center" wrapText="1"/>
    </xf>
    <xf numFmtId="0" fontId="3" fillId="20" borderId="160" xfId="0" applyFont="1" applyFill="1" applyBorder="1" applyAlignment="1">
      <alignment horizontal="center"/>
    </xf>
    <xf numFmtId="0" fontId="3" fillId="20" borderId="54" xfId="0" applyFont="1" applyFill="1" applyBorder="1" applyAlignment="1">
      <alignment horizontal="center"/>
    </xf>
    <xf numFmtId="0" fontId="3" fillId="20" borderId="177" xfId="0" applyFont="1" applyFill="1" applyBorder="1" applyAlignment="1">
      <alignment horizontal="center"/>
    </xf>
    <xf numFmtId="0" fontId="3" fillId="0" borderId="678" xfId="0" applyFont="1" applyBorder="1" applyAlignment="1">
      <alignment horizontal="center" vertical="center" wrapText="1"/>
    </xf>
    <xf numFmtId="0" fontId="3" fillId="45" borderId="61" xfId="0" applyFont="1" applyFill="1" applyBorder="1" applyAlignment="1">
      <alignment horizontal="center" vertical="center" wrapText="1"/>
    </xf>
    <xf numFmtId="0" fontId="3" fillId="45" borderId="179" xfId="0" applyFont="1" applyFill="1" applyBorder="1" applyAlignment="1">
      <alignment horizontal="center" vertical="center" wrapText="1"/>
    </xf>
    <xf numFmtId="0" fontId="3" fillId="45" borderId="682" xfId="0" applyFont="1" applyFill="1" applyBorder="1" applyAlignment="1">
      <alignment horizontal="center" vertical="center" wrapText="1"/>
    </xf>
    <xf numFmtId="0" fontId="3" fillId="45" borderId="171" xfId="0" applyFont="1" applyFill="1" applyBorder="1" applyAlignment="1">
      <alignment horizontal="center" vertical="center" wrapText="1"/>
    </xf>
    <xf numFmtId="0" fontId="3" fillId="45" borderId="233" xfId="0" applyFont="1" applyFill="1" applyBorder="1" applyAlignment="1">
      <alignment horizontal="center" vertical="center" wrapText="1"/>
    </xf>
    <xf numFmtId="0" fontId="3" fillId="45" borderId="536" xfId="0" applyFont="1" applyFill="1" applyBorder="1" applyAlignment="1">
      <alignment horizontal="center" vertical="center" wrapText="1"/>
    </xf>
    <xf numFmtId="0" fontId="3" fillId="45" borderId="178" xfId="0" applyFont="1" applyFill="1" applyBorder="1" applyAlignment="1">
      <alignment horizontal="center" wrapText="1"/>
    </xf>
    <xf numFmtId="0" fontId="3" fillId="45" borderId="55" xfId="0" applyFont="1" applyFill="1" applyBorder="1" applyAlignment="1">
      <alignment horizontal="center" wrapText="1"/>
    </xf>
    <xf numFmtId="0" fontId="3" fillId="45" borderId="182" xfId="0" applyFont="1" applyFill="1" applyBorder="1" applyAlignment="1">
      <alignment horizontal="center" wrapText="1"/>
    </xf>
    <xf numFmtId="0" fontId="3" fillId="20" borderId="178" xfId="0" applyFont="1" applyFill="1" applyBorder="1" applyAlignment="1">
      <alignment horizontal="center" wrapText="1"/>
    </xf>
    <xf numFmtId="0" fontId="3" fillId="20" borderId="55" xfId="0" applyFont="1" applyFill="1" applyBorder="1" applyAlignment="1">
      <alignment horizontal="center" wrapText="1"/>
    </xf>
    <xf numFmtId="0" fontId="3" fillId="20" borderId="182" xfId="0" applyFont="1" applyFill="1" applyBorder="1" applyAlignment="1">
      <alignment horizontal="center" wrapText="1"/>
    </xf>
    <xf numFmtId="0" fontId="3" fillId="0" borderId="55" xfId="0" applyFont="1" applyBorder="1" applyAlignment="1">
      <alignment horizontal="center" wrapText="1"/>
    </xf>
    <xf numFmtId="0" fontId="3" fillId="0" borderId="56" xfId="0" applyFont="1" applyBorder="1" applyAlignment="1">
      <alignment horizontal="center" wrapText="1"/>
    </xf>
    <xf numFmtId="0" fontId="3" fillId="45" borderId="54" xfId="0" applyFont="1" applyFill="1" applyBorder="1" applyAlignment="1">
      <alignment horizontal="center" wrapText="1"/>
    </xf>
    <xf numFmtId="0" fontId="3" fillId="45" borderId="34" xfId="0" applyFont="1" applyFill="1" applyBorder="1" applyAlignment="1">
      <alignment horizontal="center" wrapText="1"/>
    </xf>
    <xf numFmtId="0" fontId="3" fillId="0" borderId="172" xfId="0" applyFont="1" applyBorder="1" applyAlignment="1">
      <alignment horizontal="center" vertical="center" wrapText="1"/>
    </xf>
    <xf numFmtId="0" fontId="3" fillId="0" borderId="173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174" xfId="0" applyFont="1" applyBorder="1" applyAlignment="1">
      <alignment horizontal="center" vertical="center" wrapText="1"/>
    </xf>
    <xf numFmtId="0" fontId="3" fillId="0" borderId="114" xfId="0" applyFont="1" applyBorder="1" applyAlignment="1">
      <alignment horizontal="center" vertical="center" wrapText="1"/>
    </xf>
    <xf numFmtId="0" fontId="3" fillId="0" borderId="184" xfId="0" applyFont="1" applyBorder="1" applyAlignment="1">
      <alignment horizontal="center" vertical="center" wrapText="1"/>
    </xf>
    <xf numFmtId="0" fontId="3" fillId="0" borderId="185" xfId="0" applyFont="1" applyBorder="1" applyAlignment="1">
      <alignment horizontal="center" vertical="center" wrapText="1"/>
    </xf>
    <xf numFmtId="0" fontId="3" fillId="0" borderId="115" xfId="0" applyFont="1" applyBorder="1" applyAlignment="1">
      <alignment horizontal="center" vertical="center" wrapText="1"/>
    </xf>
    <xf numFmtId="0" fontId="3" fillId="0" borderId="601" xfId="0" applyFont="1" applyBorder="1" applyAlignment="1">
      <alignment horizontal="center" vertical="center" wrapText="1"/>
    </xf>
    <xf numFmtId="1" fontId="3" fillId="5" borderId="1087" xfId="0" applyNumberFormat="1" applyFont="1" applyFill="1" applyBorder="1" applyAlignment="1">
      <alignment horizontal="center" vertical="center" wrapText="1"/>
    </xf>
    <xf numFmtId="1" fontId="3" fillId="5" borderId="1197" xfId="0" applyNumberFormat="1" applyFont="1" applyFill="1" applyBorder="1" applyAlignment="1">
      <alignment horizontal="center" vertical="center" wrapText="1"/>
    </xf>
    <xf numFmtId="1" fontId="3" fillId="5" borderId="1198" xfId="0" applyNumberFormat="1" applyFont="1" applyFill="1" applyBorder="1" applyAlignment="1">
      <alignment horizontal="center" vertical="center" wrapText="1"/>
    </xf>
    <xf numFmtId="0" fontId="3" fillId="20" borderId="421" xfId="0" applyFont="1" applyFill="1" applyBorder="1" applyAlignment="1">
      <alignment wrapText="1"/>
    </xf>
    <xf numFmtId="0" fontId="3" fillId="20" borderId="354" xfId="0" applyFont="1" applyFill="1" applyBorder="1" applyAlignment="1">
      <alignment wrapText="1"/>
    </xf>
    <xf numFmtId="0" fontId="3" fillId="45" borderId="99" xfId="0" applyFont="1" applyFill="1" applyBorder="1" applyAlignment="1">
      <alignment horizontal="center" wrapText="1"/>
    </xf>
    <xf numFmtId="0" fontId="3" fillId="0" borderId="639" xfId="0" applyFont="1" applyBorder="1" applyAlignment="1">
      <alignment horizontal="center" vertical="center" wrapText="1"/>
    </xf>
    <xf numFmtId="1" fontId="3" fillId="0" borderId="687" xfId="0" applyNumberFormat="1" applyFont="1" applyBorder="1" applyAlignment="1">
      <alignment horizontal="center" vertical="center" wrapText="1"/>
    </xf>
    <xf numFmtId="1" fontId="3" fillId="0" borderId="740" xfId="0" applyNumberFormat="1" applyFont="1" applyBorder="1" applyAlignment="1">
      <alignment horizontal="center" vertical="center" wrapText="1"/>
    </xf>
    <xf numFmtId="1" fontId="3" fillId="0" borderId="740" xfId="0" applyNumberFormat="1" applyFont="1" applyBorder="1" applyAlignment="1">
      <alignment horizontal="center" vertical="center"/>
    </xf>
    <xf numFmtId="1" fontId="3" fillId="0" borderId="736" xfId="0" applyNumberFormat="1" applyFont="1" applyBorder="1" applyAlignment="1">
      <alignment horizontal="center" vertical="center" wrapText="1"/>
    </xf>
    <xf numFmtId="1" fontId="3" fillId="0" borderId="740" xfId="0" applyNumberFormat="1" applyFont="1" applyBorder="1" applyAlignment="1">
      <alignment horizontal="left" vertical="center" wrapText="1"/>
    </xf>
    <xf numFmtId="1" fontId="3" fillId="0" borderId="518" xfId="0" applyNumberFormat="1" applyFont="1" applyBorder="1" applyAlignment="1" applyProtection="1">
      <alignment horizontal="center" vertical="center"/>
      <protection hidden="1"/>
    </xf>
    <xf numFmtId="1" fontId="3" fillId="0" borderId="673" xfId="0" applyNumberFormat="1" applyFont="1" applyBorder="1" applyAlignment="1" applyProtection="1">
      <alignment horizontal="center" vertical="center"/>
      <protection hidden="1"/>
    </xf>
    <xf numFmtId="1" fontId="3" fillId="0" borderId="313" xfId="0" applyNumberFormat="1" applyFont="1" applyBorder="1" applyAlignment="1" applyProtection="1">
      <alignment horizontal="center" vertical="center"/>
      <protection hidden="1"/>
    </xf>
    <xf numFmtId="1" fontId="3" fillId="0" borderId="20" xfId="0" applyNumberFormat="1" applyFont="1" applyBorder="1" applyAlignment="1" applyProtection="1">
      <alignment horizontal="center" vertical="center"/>
      <protection hidden="1"/>
    </xf>
    <xf numFmtId="1" fontId="3" fillId="0" borderId="490" xfId="0" applyNumberFormat="1" applyFont="1" applyBorder="1" applyAlignment="1" applyProtection="1">
      <alignment horizontal="center" vertical="center"/>
      <protection hidden="1"/>
    </xf>
    <xf numFmtId="1" fontId="3" fillId="0" borderId="687" xfId="0" applyNumberFormat="1" applyFont="1" applyBorder="1" applyAlignment="1" applyProtection="1">
      <alignment horizontal="center" vertical="center"/>
      <protection hidden="1"/>
    </xf>
    <xf numFmtId="1" fontId="3" fillId="0" borderId="518" xfId="0" applyNumberFormat="1" applyFont="1" applyBorder="1" applyAlignment="1" applyProtection="1">
      <alignment horizontal="center" vertical="center" wrapText="1"/>
      <protection hidden="1"/>
    </xf>
    <xf numFmtId="1" fontId="3" fillId="0" borderId="672" xfId="0" applyNumberFormat="1" applyFont="1" applyBorder="1" applyAlignment="1" applyProtection="1">
      <alignment horizontal="center" vertical="center" wrapText="1"/>
      <protection hidden="1"/>
    </xf>
    <xf numFmtId="1" fontId="3" fillId="0" borderId="673" xfId="0" applyNumberFormat="1" applyFont="1" applyBorder="1" applyAlignment="1" applyProtection="1">
      <alignment horizontal="center" vertical="center" wrapText="1"/>
      <protection hidden="1"/>
    </xf>
    <xf numFmtId="1" fontId="3" fillId="0" borderId="490" xfId="0" applyNumberFormat="1" applyFont="1" applyBorder="1" applyAlignment="1" applyProtection="1">
      <alignment horizontal="center" vertical="center" wrapText="1"/>
      <protection hidden="1"/>
    </xf>
    <xf numFmtId="1" fontId="3" fillId="0" borderId="498" xfId="0" applyNumberFormat="1" applyFont="1" applyBorder="1" applyAlignment="1" applyProtection="1">
      <alignment horizontal="center" vertical="center" wrapText="1"/>
      <protection hidden="1"/>
    </xf>
    <xf numFmtId="1" fontId="3" fillId="0" borderId="687" xfId="0" applyNumberFormat="1" applyFont="1" applyBorder="1" applyAlignment="1" applyProtection="1">
      <alignment horizontal="center" vertical="center" wrapText="1"/>
      <protection hidden="1"/>
    </xf>
    <xf numFmtId="0" fontId="3" fillId="5" borderId="740" xfId="0" applyFont="1" applyFill="1" applyBorder="1" applyAlignment="1">
      <alignment horizontal="center" vertical="center"/>
    </xf>
    <xf numFmtId="0" fontId="3" fillId="5" borderId="703" xfId="0" applyFont="1" applyFill="1" applyBorder="1" applyAlignment="1">
      <alignment horizontal="center" vertical="center"/>
    </xf>
    <xf numFmtId="0" fontId="3" fillId="5" borderId="640" xfId="0" applyFont="1" applyFill="1" applyBorder="1" applyAlignment="1">
      <alignment horizontal="center" vertical="center"/>
    </xf>
    <xf numFmtId="1" fontId="2" fillId="0" borderId="703" xfId="0" applyNumberFormat="1" applyFont="1" applyBorder="1" applyAlignment="1" applyProtection="1">
      <alignment horizontal="left" wrapText="1"/>
      <protection hidden="1"/>
    </xf>
    <xf numFmtId="1" fontId="3" fillId="0" borderId="740" xfId="0" applyNumberFormat="1" applyFont="1" applyBorder="1" applyAlignment="1" applyProtection="1">
      <alignment horizontal="center" vertical="center" wrapText="1"/>
      <protection hidden="1"/>
    </xf>
    <xf numFmtId="1" fontId="3" fillId="0" borderId="703" xfId="0" applyNumberFormat="1" applyFont="1" applyBorder="1" applyAlignment="1" applyProtection="1">
      <alignment horizontal="center" vertical="center" wrapText="1"/>
      <protection hidden="1"/>
    </xf>
    <xf numFmtId="1" fontId="3" fillId="0" borderId="619" xfId="0" applyNumberFormat="1" applyFont="1" applyBorder="1" applyAlignment="1" applyProtection="1">
      <alignment horizontal="center" vertical="center" wrapText="1"/>
      <protection hidden="1"/>
    </xf>
    <xf numFmtId="1" fontId="3" fillId="0" borderId="162" xfId="0" applyNumberFormat="1" applyFont="1" applyBorder="1" applyAlignment="1" applyProtection="1">
      <alignment horizontal="left" vertical="center" wrapText="1"/>
      <protection hidden="1"/>
    </xf>
    <xf numFmtId="1" fontId="3" fillId="0" borderId="667" xfId="0" applyNumberFormat="1" applyFont="1" applyBorder="1" applyAlignment="1" applyProtection="1">
      <alignment horizontal="center" vertical="center" wrapText="1"/>
      <protection hidden="1"/>
    </xf>
    <xf numFmtId="1" fontId="3" fillId="0" borderId="321" xfId="0" applyNumberFormat="1" applyFont="1" applyBorder="1" applyAlignment="1" applyProtection="1">
      <alignment horizontal="center" vertical="center" wrapText="1"/>
      <protection hidden="1"/>
    </xf>
    <xf numFmtId="1" fontId="3" fillId="0" borderId="718" xfId="0" applyNumberFormat="1" applyFont="1" applyBorder="1" applyAlignment="1" applyProtection="1">
      <alignment horizontal="center" vertical="center" wrapText="1"/>
      <protection hidden="1"/>
    </xf>
    <xf numFmtId="1" fontId="3" fillId="0" borderId="256" xfId="0" applyNumberFormat="1" applyFont="1" applyBorder="1" applyAlignment="1" applyProtection="1">
      <alignment horizontal="center" vertical="center" wrapText="1"/>
      <protection hidden="1"/>
    </xf>
    <xf numFmtId="1" fontId="3" fillId="0" borderId="640" xfId="0" applyNumberFormat="1" applyFont="1" applyBorder="1" applyAlignment="1" applyProtection="1">
      <alignment horizontal="center" vertical="center" wrapText="1"/>
      <protection hidden="1"/>
    </xf>
    <xf numFmtId="1" fontId="3" fillId="0" borderId="299" xfId="0" applyNumberFormat="1" applyFont="1" applyBorder="1" applyAlignment="1">
      <alignment horizontal="center" vertical="center"/>
    </xf>
    <xf numFmtId="1" fontId="3" fillId="0" borderId="300" xfId="0" applyNumberFormat="1" applyFont="1" applyBorder="1" applyAlignment="1">
      <alignment horizontal="center" vertical="center" wrapText="1"/>
    </xf>
    <xf numFmtId="1" fontId="3" fillId="0" borderId="252" xfId="0" applyNumberFormat="1" applyFont="1" applyBorder="1" applyAlignment="1">
      <alignment horizontal="center" vertical="center" wrapText="1"/>
    </xf>
    <xf numFmtId="1" fontId="3" fillId="0" borderId="253" xfId="0" applyNumberFormat="1" applyFont="1" applyBorder="1" applyAlignment="1">
      <alignment horizontal="center" vertical="center" wrapText="1"/>
    </xf>
    <xf numFmtId="1" fontId="3" fillId="0" borderId="735" xfId="0" applyNumberFormat="1" applyFont="1" applyBorder="1" applyAlignment="1" applyProtection="1">
      <alignment horizontal="center" vertical="center" wrapText="1"/>
      <protection hidden="1"/>
    </xf>
    <xf numFmtId="1" fontId="3" fillId="0" borderId="741" xfId="0" applyNumberFormat="1" applyFont="1" applyBorder="1" applyAlignment="1" applyProtection="1">
      <alignment horizontal="center" vertical="center" wrapText="1"/>
      <protection hidden="1"/>
    </xf>
    <xf numFmtId="1" fontId="3" fillId="0" borderId="299" xfId="0" applyNumberFormat="1" applyFont="1" applyBorder="1" applyAlignment="1">
      <alignment horizontal="center" vertical="center" wrapText="1"/>
    </xf>
    <xf numFmtId="1" fontId="3" fillId="5" borderId="744" xfId="0" applyNumberFormat="1" applyFont="1" applyFill="1" applyBorder="1" applyAlignment="1">
      <alignment horizontal="center" vertical="center" wrapText="1"/>
    </xf>
    <xf numFmtId="1" fontId="3" fillId="5" borderId="261" xfId="0" applyNumberFormat="1" applyFont="1" applyFill="1" applyBorder="1" applyAlignment="1">
      <alignment horizontal="center" vertical="center" wrapText="1"/>
    </xf>
    <xf numFmtId="1" fontId="3" fillId="0" borderId="735" xfId="0" applyNumberFormat="1" applyFont="1" applyBorder="1" applyAlignment="1">
      <alignment horizontal="center" vertical="center" wrapText="1"/>
    </xf>
    <xf numFmtId="1" fontId="2" fillId="0" borderId="252" xfId="0" applyNumberFormat="1" applyFont="1" applyBorder="1" applyAlignment="1">
      <alignment horizontal="left"/>
    </xf>
    <xf numFmtId="1" fontId="3" fillId="0" borderId="741" xfId="0" applyNumberFormat="1" applyFont="1" applyBorder="1" applyAlignment="1">
      <alignment horizontal="center" vertical="center" wrapText="1"/>
    </xf>
    <xf numFmtId="0" fontId="3" fillId="5" borderId="636" xfId="0" applyFont="1" applyFill="1" applyBorder="1" applyAlignment="1">
      <alignment horizontal="left" vertical="center" wrapText="1"/>
    </xf>
    <xf numFmtId="0" fontId="3" fillId="5" borderId="162" xfId="0" applyFont="1" applyFill="1" applyBorder="1" applyAlignment="1">
      <alignment horizontal="left" vertical="center" wrapText="1"/>
    </xf>
    <xf numFmtId="0" fontId="3" fillId="5" borderId="299" xfId="0" applyFont="1" applyFill="1" applyBorder="1" applyAlignment="1">
      <alignment horizontal="left" vertical="center" wrapText="1"/>
    </xf>
    <xf numFmtId="1" fontId="3" fillId="0" borderId="745" xfId="0" applyNumberFormat="1" applyFont="1" applyBorder="1" applyAlignment="1">
      <alignment horizontal="center" vertical="center" wrapText="1"/>
    </xf>
    <xf numFmtId="1" fontId="3" fillId="0" borderId="252" xfId="0" applyNumberFormat="1" applyFont="1" applyBorder="1" applyAlignment="1">
      <alignment horizontal="center" vertical="center"/>
    </xf>
    <xf numFmtId="1" fontId="3" fillId="0" borderId="300" xfId="0" applyNumberFormat="1" applyFont="1" applyBorder="1" applyAlignment="1">
      <alignment horizontal="center" vertical="center"/>
    </xf>
    <xf numFmtId="1" fontId="3" fillId="0" borderId="255" xfId="0" applyNumberFormat="1" applyFont="1" applyBorder="1" applyAlignment="1">
      <alignment horizontal="center" vertical="center" wrapText="1"/>
    </xf>
    <xf numFmtId="1" fontId="3" fillId="0" borderId="735" xfId="0" applyNumberFormat="1" applyFont="1" applyBorder="1" applyAlignment="1">
      <alignment horizontal="left" vertical="center" wrapText="1"/>
    </xf>
    <xf numFmtId="1" fontId="3" fillId="0" borderId="667" xfId="0" applyNumberFormat="1" applyFont="1" applyBorder="1" applyAlignment="1">
      <alignment horizontal="center" wrapText="1"/>
    </xf>
    <xf numFmtId="1" fontId="3" fillId="0" borderId="255" xfId="0" applyNumberFormat="1" applyFont="1" applyBorder="1" applyAlignment="1">
      <alignment horizontal="center" wrapText="1"/>
    </xf>
    <xf numFmtId="1" fontId="3" fillId="0" borderId="742" xfId="0" applyNumberFormat="1" applyFont="1" applyBorder="1" applyAlignment="1" applyProtection="1">
      <alignment horizontal="center" vertical="center" wrapText="1"/>
      <protection hidden="1"/>
    </xf>
    <xf numFmtId="1" fontId="3" fillId="0" borderId="326" xfId="0" applyNumberFormat="1" applyFont="1" applyBorder="1" applyAlignment="1" applyProtection="1">
      <alignment horizontal="center" vertical="center" wrapText="1"/>
      <protection hidden="1"/>
    </xf>
    <xf numFmtId="1" fontId="3" fillId="0" borderId="669" xfId="0" applyNumberFormat="1" applyFont="1" applyBorder="1" applyAlignment="1" applyProtection="1">
      <alignment horizontal="center" vertical="center" wrapText="1"/>
      <protection hidden="1"/>
    </xf>
    <xf numFmtId="1" fontId="3" fillId="0" borderId="257" xfId="0" applyNumberFormat="1" applyFont="1" applyBorder="1" applyAlignment="1" applyProtection="1">
      <alignment horizontal="center" vertical="center" wrapText="1"/>
      <protection hidden="1"/>
    </xf>
    <xf numFmtId="1" fontId="3" fillId="0" borderId="746" xfId="0" applyNumberFormat="1" applyFont="1" applyBorder="1" applyAlignment="1">
      <alignment horizontal="center" vertical="center" wrapText="1"/>
    </xf>
    <xf numFmtId="1" fontId="3" fillId="3" borderId="742" xfId="0" applyNumberFormat="1" applyFont="1" applyFill="1" applyBorder="1" applyAlignment="1">
      <alignment horizontal="center" vertical="center"/>
    </xf>
    <xf numFmtId="1" fontId="3" fillId="3" borderId="672" xfId="0" applyNumberFormat="1" applyFont="1" applyFill="1" applyBorder="1" applyAlignment="1">
      <alignment horizontal="center" vertical="center"/>
    </xf>
    <xf numFmtId="1" fontId="3" fillId="3" borderId="673" xfId="0" applyNumberFormat="1" applyFont="1" applyFill="1" applyBorder="1" applyAlignment="1">
      <alignment horizontal="center" vertical="center"/>
    </xf>
    <xf numFmtId="1" fontId="3" fillId="3" borderId="260" xfId="0" applyNumberFormat="1" applyFont="1" applyFill="1" applyBorder="1" applyAlignment="1">
      <alignment horizontal="center" vertical="center"/>
    </xf>
    <xf numFmtId="1" fontId="3" fillId="3" borderId="252" xfId="0" applyNumberFormat="1" applyFont="1" applyFill="1" applyBorder="1" applyAlignment="1">
      <alignment horizontal="center" vertical="center"/>
    </xf>
    <xf numFmtId="1" fontId="3" fillId="3" borderId="253" xfId="0" applyNumberFormat="1" applyFont="1" applyFill="1" applyBorder="1" applyAlignment="1">
      <alignment horizontal="center" vertical="center"/>
    </xf>
    <xf numFmtId="0" fontId="3" fillId="0" borderId="740" xfId="0" applyFont="1" applyBorder="1" applyAlignment="1">
      <alignment horizontal="center" vertical="center" wrapText="1"/>
    </xf>
    <xf numFmtId="1" fontId="2" fillId="0" borderId="755" xfId="0" applyNumberFormat="1" applyFont="1" applyBorder="1" applyAlignment="1">
      <alignment horizontal="left"/>
    </xf>
    <xf numFmtId="1" fontId="2" fillId="0" borderId="672" xfId="0" applyNumberFormat="1" applyFont="1" applyBorder="1" applyAlignment="1">
      <alignment horizontal="left"/>
    </xf>
    <xf numFmtId="0" fontId="3" fillId="0" borderId="1148" xfId="0" applyFont="1" applyBorder="1" applyAlignment="1">
      <alignment horizontal="center" vertical="center" wrapText="1"/>
    </xf>
    <xf numFmtId="0" fontId="3" fillId="0" borderId="1149" xfId="0" applyFont="1" applyBorder="1" applyAlignment="1">
      <alignment horizontal="center" vertical="center" wrapText="1"/>
    </xf>
    <xf numFmtId="0" fontId="3" fillId="0" borderId="107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6" xfId="0" applyFont="1" applyBorder="1" applyAlignment="1">
      <alignment horizontal="center" vertical="center"/>
    </xf>
    <xf numFmtId="0" fontId="3" fillId="0" borderId="107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56" xfId="0" applyFont="1" applyBorder="1" applyAlignment="1">
      <alignment horizontal="center" vertical="center" wrapText="1"/>
    </xf>
    <xf numFmtId="1" fontId="3" fillId="0" borderId="1074" xfId="0" applyNumberFormat="1" applyFont="1" applyBorder="1" applyAlignment="1">
      <alignment horizontal="center" vertical="center" wrapText="1"/>
    </xf>
    <xf numFmtId="1" fontId="3" fillId="0" borderId="1169" xfId="0" applyNumberFormat="1" applyFont="1" applyBorder="1" applyAlignment="1">
      <alignment horizontal="center" vertical="center" wrapText="1"/>
    </xf>
    <xf numFmtId="0" fontId="3" fillId="20" borderId="1026" xfId="0" applyFont="1" applyFill="1" applyBorder="1" applyAlignment="1">
      <alignment horizontal="center" vertical="center" wrapText="1"/>
    </xf>
    <xf numFmtId="0" fontId="3" fillId="20" borderId="673" xfId="0" applyFont="1" applyFill="1" applyBorder="1" applyAlignment="1">
      <alignment horizontal="center" vertical="center" wrapText="1"/>
    </xf>
    <xf numFmtId="0" fontId="3" fillId="20" borderId="1140" xfId="0" applyFont="1" applyFill="1" applyBorder="1" applyAlignment="1">
      <alignment horizontal="center" vertical="center" wrapText="1"/>
    </xf>
    <xf numFmtId="0" fontId="3" fillId="20" borderId="253" xfId="0" applyFont="1" applyFill="1" applyBorder="1" applyAlignment="1">
      <alignment horizontal="center" vertical="center" wrapText="1"/>
    </xf>
    <xf numFmtId="0" fontId="3" fillId="0" borderId="740" xfId="0" applyFont="1" applyBorder="1" applyAlignment="1">
      <alignment horizontal="center"/>
    </xf>
    <xf numFmtId="0" fontId="3" fillId="0" borderId="703" xfId="0" applyFont="1" applyBorder="1" applyAlignment="1">
      <alignment horizontal="center"/>
    </xf>
    <xf numFmtId="0" fontId="3" fillId="0" borderId="619" xfId="0" applyFont="1" applyBorder="1" applyAlignment="1">
      <alignment horizontal="center"/>
    </xf>
    <xf numFmtId="1" fontId="3" fillId="0" borderId="1027" xfId="0" applyNumberFormat="1" applyFont="1" applyBorder="1" applyAlignment="1">
      <alignment horizontal="center" vertical="center" wrapText="1"/>
    </xf>
    <xf numFmtId="1" fontId="3" fillId="0" borderId="237" xfId="0" applyNumberFormat="1" applyFont="1" applyBorder="1" applyAlignment="1">
      <alignment horizontal="center" vertical="center" wrapText="1"/>
    </xf>
    <xf numFmtId="1" fontId="3" fillId="0" borderId="1134" xfId="0" applyNumberFormat="1" applyFont="1" applyBorder="1" applyAlignment="1">
      <alignment horizontal="center" vertical="center" wrapText="1"/>
    </xf>
    <xf numFmtId="1" fontId="3" fillId="0" borderId="1184" xfId="0" applyNumberFormat="1" applyFont="1" applyBorder="1" applyAlignment="1">
      <alignment horizontal="center" vertical="center" wrapText="1"/>
    </xf>
    <xf numFmtId="1" fontId="3" fillId="0" borderId="1186" xfId="0" applyNumberFormat="1" applyFont="1" applyBorder="1" applyAlignment="1">
      <alignment horizontal="center" vertical="center" wrapText="1"/>
    </xf>
    <xf numFmtId="1" fontId="3" fillId="0" borderId="1188" xfId="0" applyNumberFormat="1" applyFont="1" applyBorder="1" applyAlignment="1">
      <alignment horizontal="center" vertical="center" wrapText="1"/>
    </xf>
    <xf numFmtId="1" fontId="3" fillId="0" borderId="35" xfId="0" applyNumberFormat="1" applyFont="1" applyBorder="1" applyAlignment="1">
      <alignment horizontal="center" vertical="center" wrapText="1"/>
    </xf>
    <xf numFmtId="1" fontId="3" fillId="0" borderId="42" xfId="0" applyNumberFormat="1" applyFont="1" applyBorder="1" applyAlignment="1">
      <alignment horizontal="center" vertical="center" wrapText="1"/>
    </xf>
    <xf numFmtId="1" fontId="3" fillId="0" borderId="45" xfId="0" applyNumberFormat="1" applyFont="1" applyBorder="1" applyAlignment="1">
      <alignment horizontal="center" vertical="center" wrapText="1"/>
    </xf>
    <xf numFmtId="1" fontId="3" fillId="0" borderId="34" xfId="0" applyNumberFormat="1" applyFont="1" applyBorder="1" applyAlignment="1">
      <alignment horizontal="center" vertical="center" wrapText="1"/>
    </xf>
    <xf numFmtId="1" fontId="3" fillId="0" borderId="1194" xfId="0" applyNumberFormat="1" applyFont="1" applyBorder="1" applyAlignment="1">
      <alignment horizontal="center" vertical="center" wrapText="1"/>
    </xf>
    <xf numFmtId="1" fontId="3" fillId="0" borderId="29" xfId="0" applyNumberFormat="1" applyFont="1" applyBorder="1" applyAlignment="1">
      <alignment horizontal="center" vertical="center" wrapText="1"/>
    </xf>
    <xf numFmtId="0" fontId="22" fillId="0" borderId="31" xfId="0" applyFont="1" applyBorder="1"/>
    <xf numFmtId="1" fontId="3" fillId="0" borderId="1096" xfId="0" applyNumberFormat="1" applyFont="1" applyBorder="1" applyAlignment="1">
      <alignment horizontal="center" vertical="center" wrapText="1"/>
    </xf>
    <xf numFmtId="1" fontId="3" fillId="0" borderId="1192" xfId="0" applyNumberFormat="1" applyFont="1" applyBorder="1" applyAlignment="1">
      <alignment horizontal="center" vertical="center" wrapText="1"/>
    </xf>
    <xf numFmtId="1" fontId="3" fillId="0" borderId="983" xfId="0" applyNumberFormat="1" applyFont="1" applyBorder="1" applyAlignment="1">
      <alignment horizontal="center" vertical="center" wrapText="1"/>
    </xf>
    <xf numFmtId="1" fontId="3" fillId="0" borderId="966" xfId="0" applyNumberFormat="1" applyFont="1" applyBorder="1" applyAlignment="1">
      <alignment horizontal="center" vertical="center" wrapText="1"/>
    </xf>
    <xf numFmtId="0" fontId="22" fillId="0" borderId="99" xfId="0" applyFont="1" applyBorder="1"/>
    <xf numFmtId="1" fontId="3" fillId="0" borderId="1183" xfId="0" applyNumberFormat="1" applyFont="1" applyBorder="1" applyAlignment="1">
      <alignment horizontal="center" vertical="center" wrapText="1"/>
    </xf>
    <xf numFmtId="1" fontId="3" fillId="0" borderId="1185" xfId="0" applyNumberFormat="1" applyFont="1" applyBorder="1" applyAlignment="1">
      <alignment horizontal="center" vertical="center" wrapText="1"/>
    </xf>
    <xf numFmtId="1" fontId="3" fillId="0" borderId="1187" xfId="0" applyNumberFormat="1" applyFont="1" applyBorder="1" applyAlignment="1">
      <alignment horizontal="center" vertical="center" wrapText="1"/>
    </xf>
    <xf numFmtId="1" fontId="1" fillId="3" borderId="0" xfId="0" applyNumberFormat="1" applyFont="1" applyFill="1" applyAlignment="1">
      <alignment horizontal="center" vertical="center"/>
    </xf>
    <xf numFmtId="1" fontId="3" fillId="0" borderId="1156" xfId="0" applyNumberFormat="1" applyFont="1" applyBorder="1" applyAlignment="1">
      <alignment horizontal="center" vertical="center" wrapText="1"/>
    </xf>
    <xf numFmtId="1" fontId="3" fillId="0" borderId="1159" xfId="0" applyNumberFormat="1" applyFont="1" applyBorder="1" applyAlignment="1">
      <alignment horizontal="center" vertical="center"/>
    </xf>
    <xf numFmtId="1" fontId="3" fillId="0" borderId="1155" xfId="0" applyNumberFormat="1" applyFont="1" applyBorder="1" applyAlignment="1">
      <alignment horizontal="center" vertical="center"/>
    </xf>
    <xf numFmtId="1" fontId="3" fillId="0" borderId="1089" xfId="0" applyNumberFormat="1" applyFont="1" applyBorder="1" applyAlignment="1">
      <alignment horizontal="center" vertical="center"/>
    </xf>
    <xf numFmtId="1" fontId="3" fillId="0" borderId="1154" xfId="0" applyNumberFormat="1" applyFont="1" applyBorder="1" applyAlignment="1">
      <alignment horizontal="center" vertical="center" wrapText="1"/>
    </xf>
    <xf numFmtId="1" fontId="3" fillId="0" borderId="1087" xfId="0" applyNumberFormat="1" applyFont="1" applyBorder="1" applyAlignment="1">
      <alignment horizontal="center" vertical="center"/>
    </xf>
    <xf numFmtId="1" fontId="3" fillId="0" borderId="1087" xfId="0" applyNumberFormat="1" applyFont="1" applyBorder="1" applyAlignment="1">
      <alignment horizontal="center" vertical="center" wrapText="1"/>
    </xf>
    <xf numFmtId="1" fontId="3" fillId="0" borderId="1155" xfId="0" applyNumberFormat="1" applyFont="1" applyBorder="1" applyAlignment="1">
      <alignment horizontal="center" vertical="center" wrapText="1"/>
    </xf>
    <xf numFmtId="1" fontId="3" fillId="0" borderId="1089" xfId="0" applyNumberFormat="1" applyFont="1" applyBorder="1" applyAlignment="1">
      <alignment horizontal="center" vertical="center" wrapText="1"/>
    </xf>
    <xf numFmtId="1" fontId="3" fillId="0" borderId="1159" xfId="0" applyNumberFormat="1" applyFont="1" applyBorder="1" applyAlignment="1">
      <alignment horizontal="center" vertical="center" wrapText="1"/>
    </xf>
    <xf numFmtId="1" fontId="3" fillId="5" borderId="518" xfId="0" applyNumberFormat="1" applyFont="1" applyFill="1" applyBorder="1" applyAlignment="1">
      <alignment horizontal="center" vertical="center" wrapText="1"/>
    </xf>
    <xf numFmtId="1" fontId="3" fillId="5" borderId="672" xfId="0" applyNumberFormat="1" applyFont="1" applyFill="1" applyBorder="1" applyAlignment="1">
      <alignment horizontal="center" vertical="center" wrapText="1"/>
    </xf>
    <xf numFmtId="1" fontId="3" fillId="5" borderId="673" xfId="0" applyNumberFormat="1" applyFont="1" applyFill="1" applyBorder="1" applyAlignment="1">
      <alignment horizontal="center" vertical="center" wrapText="1"/>
    </xf>
    <xf numFmtId="1" fontId="3" fillId="5" borderId="740" xfId="0" applyNumberFormat="1" applyFont="1" applyFill="1" applyBorder="1" applyAlignment="1">
      <alignment horizontal="center" vertical="center"/>
    </xf>
    <xf numFmtId="1" fontId="3" fillId="5" borderId="703" xfId="0" applyNumberFormat="1" applyFont="1" applyFill="1" applyBorder="1" applyAlignment="1">
      <alignment horizontal="center" vertical="center"/>
    </xf>
    <xf numFmtId="1" fontId="3" fillId="5" borderId="1026" xfId="0" applyNumberFormat="1" applyFont="1" applyFill="1" applyBorder="1" applyAlignment="1">
      <alignment horizontal="center" vertical="center" wrapText="1"/>
    </xf>
    <xf numFmtId="1" fontId="3" fillId="5" borderId="1140" xfId="0" applyNumberFormat="1" applyFont="1" applyFill="1" applyBorder="1" applyAlignment="1">
      <alignment horizontal="center" vertical="center" wrapText="1"/>
    </xf>
    <xf numFmtId="1" fontId="3" fillId="5" borderId="253" xfId="0" applyNumberFormat="1" applyFont="1" applyFill="1" applyBorder="1" applyAlignment="1">
      <alignment horizontal="center" vertical="center" wrapText="1"/>
    </xf>
    <xf numFmtId="1" fontId="3" fillId="0" borderId="518" xfId="0" applyNumberFormat="1" applyFont="1" applyBorder="1" applyAlignment="1">
      <alignment horizontal="left" vertical="center"/>
    </xf>
    <xf numFmtId="1" fontId="3" fillId="0" borderId="313" xfId="0" applyNumberFormat="1" applyFont="1" applyBorder="1" applyAlignment="1">
      <alignment horizontal="center" vertical="center"/>
    </xf>
    <xf numFmtId="1" fontId="3" fillId="0" borderId="253" xfId="0" applyNumberFormat="1" applyFont="1" applyBorder="1" applyAlignment="1">
      <alignment horizontal="center" vertical="center"/>
    </xf>
    <xf numFmtId="1" fontId="3" fillId="22" borderId="518" xfId="0" applyNumberFormat="1" applyFont="1" applyFill="1" applyBorder="1" applyAlignment="1">
      <alignment horizontal="center" vertical="center" wrapText="1"/>
    </xf>
    <xf numFmtId="1" fontId="3" fillId="22" borderId="673" xfId="0" applyNumberFormat="1" applyFont="1" applyFill="1" applyBorder="1" applyAlignment="1">
      <alignment horizontal="center" vertical="center" wrapText="1"/>
    </xf>
    <xf numFmtId="1" fontId="3" fillId="0" borderId="737" xfId="0" applyNumberFormat="1" applyFont="1" applyBorder="1" applyAlignment="1">
      <alignment horizontal="left" vertical="center"/>
    </xf>
    <xf numFmtId="1" fontId="3" fillId="0" borderId="693" xfId="0" applyNumberFormat="1" applyFont="1" applyBorder="1" applyAlignment="1">
      <alignment horizontal="left" vertical="center"/>
    </xf>
    <xf numFmtId="1" fontId="3" fillId="0" borderId="340" xfId="0" applyNumberFormat="1" applyFont="1" applyBorder="1" applyAlignment="1">
      <alignment horizontal="left" vertical="center"/>
    </xf>
    <xf numFmtId="1" fontId="3" fillId="0" borderId="336" xfId="0" applyNumberFormat="1" applyFont="1" applyBorder="1" applyAlignment="1">
      <alignment horizontal="left" vertical="center"/>
    </xf>
    <xf numFmtId="1" fontId="3" fillId="0" borderId="340" xfId="0" applyNumberFormat="1" applyFont="1" applyBorder="1" applyAlignment="1">
      <alignment horizontal="left" vertical="center" shrinkToFit="1"/>
    </xf>
    <xf numFmtId="1" fontId="3" fillId="0" borderId="336" xfId="0" applyNumberFormat="1" applyFont="1" applyBorder="1" applyAlignment="1">
      <alignment horizontal="left" vertical="center" shrinkToFit="1"/>
    </xf>
    <xf numFmtId="1" fontId="3" fillId="0" borderId="421" xfId="0" applyNumberFormat="1" applyFont="1" applyBorder="1" applyAlignment="1">
      <alignment horizontal="left" vertical="center"/>
    </xf>
    <xf numFmtId="1" fontId="3" fillId="0" borderId="354" xfId="0" applyNumberFormat="1" applyFont="1" applyBorder="1" applyAlignment="1">
      <alignment horizontal="left" vertical="center"/>
    </xf>
    <xf numFmtId="1" fontId="3" fillId="0" borderId="731" xfId="0" applyNumberFormat="1" applyFont="1" applyBorder="1" applyAlignment="1">
      <alignment horizontal="left" vertical="center" wrapText="1"/>
    </xf>
    <xf numFmtId="1" fontId="3" fillId="0" borderId="731" xfId="0" applyNumberFormat="1" applyFont="1" applyBorder="1" applyAlignment="1">
      <alignment horizontal="left" vertical="center"/>
    </xf>
    <xf numFmtId="1" fontId="3" fillId="0" borderId="406" xfId="0" applyNumberFormat="1" applyFont="1" applyBorder="1" applyAlignment="1">
      <alignment horizontal="left" vertical="center"/>
    </xf>
    <xf numFmtId="1" fontId="3" fillId="0" borderId="299" xfId="0" applyNumberFormat="1" applyFont="1" applyBorder="1" applyAlignment="1">
      <alignment horizontal="left" vertical="center" wrapText="1"/>
    </xf>
    <xf numFmtId="0" fontId="22" fillId="0" borderId="25" xfId="0" applyFont="1" applyBorder="1"/>
    <xf numFmtId="0" fontId="22" fillId="0" borderId="27" xfId="0" applyFont="1" applyBorder="1"/>
    <xf numFmtId="0" fontId="22" fillId="0" borderId="28" xfId="0" applyFont="1" applyBorder="1"/>
    <xf numFmtId="0" fontId="22" fillId="0" borderId="29" xfId="0" applyFont="1" applyBorder="1"/>
    <xf numFmtId="1" fontId="3" fillId="0" borderId="24" xfId="0" applyNumberFormat="1" applyFont="1" applyBorder="1" applyAlignment="1">
      <alignment horizontal="center" vertical="center" wrapText="1"/>
    </xf>
    <xf numFmtId="0" fontId="22" fillId="0" borderId="26" xfId="0" applyFont="1" applyBorder="1"/>
    <xf numFmtId="0" fontId="22" fillId="0" borderId="30" xfId="0" applyFont="1" applyBorder="1"/>
    <xf numFmtId="1" fontId="2" fillId="0" borderId="749" xfId="0" applyNumberFormat="1" applyFont="1" applyBorder="1" applyAlignment="1">
      <alignment horizontal="left"/>
    </xf>
    <xf numFmtId="1" fontId="2" fillId="0" borderId="733" xfId="0" applyNumberFormat="1" applyFont="1" applyBorder="1" applyAlignment="1">
      <alignment horizontal="left"/>
    </xf>
    <xf numFmtId="0" fontId="3" fillId="0" borderId="299" xfId="0" applyFont="1" applyBorder="1" applyAlignment="1">
      <alignment horizontal="left" wrapText="1"/>
    </xf>
    <xf numFmtId="0" fontId="3" fillId="0" borderId="300" xfId="0" applyFont="1" applyBorder="1" applyAlignment="1">
      <alignment horizontal="center" vertical="center"/>
    </xf>
    <xf numFmtId="0" fontId="3" fillId="0" borderId="253" xfId="0" applyFont="1" applyBorder="1" applyAlignment="1">
      <alignment horizontal="center" vertical="center"/>
    </xf>
    <xf numFmtId="16" fontId="3" fillId="0" borderId="300" xfId="0" applyNumberFormat="1" applyFont="1" applyBorder="1" applyAlignment="1">
      <alignment horizontal="center" vertical="center"/>
    </xf>
    <xf numFmtId="17" fontId="3" fillId="0" borderId="300" xfId="0" applyNumberFormat="1" applyFont="1" applyBorder="1" applyAlignment="1">
      <alignment horizontal="center" vertical="center"/>
    </xf>
    <xf numFmtId="17" fontId="3" fillId="0" borderId="253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16" xfId="0" applyFont="1" applyBorder="1" applyAlignment="1">
      <alignment horizontal="center" vertical="center"/>
    </xf>
    <xf numFmtId="0" fontId="3" fillId="0" borderId="186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313" xfId="0" applyFont="1" applyBorder="1" applyAlignment="1">
      <alignment horizontal="center" vertical="center"/>
    </xf>
    <xf numFmtId="0" fontId="3" fillId="0" borderId="736" xfId="0" applyFont="1" applyBorder="1" applyAlignment="1">
      <alignment horizontal="center" vertical="center"/>
    </xf>
    <xf numFmtId="0" fontId="3" fillId="0" borderId="624" xfId="0" applyFont="1" applyBorder="1" applyAlignment="1">
      <alignment horizontal="center" vertical="center"/>
    </xf>
    <xf numFmtId="0" fontId="3" fillId="0" borderId="703" xfId="0" applyFont="1" applyBorder="1" applyAlignment="1">
      <alignment horizontal="center" vertical="center"/>
    </xf>
    <xf numFmtId="0" fontId="3" fillId="0" borderId="735" xfId="0" applyFont="1" applyBorder="1" applyAlignment="1">
      <alignment horizontal="center" wrapText="1"/>
    </xf>
    <xf numFmtId="0" fontId="3" fillId="0" borderId="253" xfId="0" applyFont="1" applyBorder="1" applyAlignment="1">
      <alignment horizontal="left" vertical="center" wrapText="1"/>
    </xf>
    <xf numFmtId="0" fontId="3" fillId="0" borderId="735" xfId="0" applyFont="1" applyBorder="1" applyAlignment="1">
      <alignment horizontal="center" vertical="center"/>
    </xf>
    <xf numFmtId="0" fontId="3" fillId="0" borderId="736" xfId="0" applyFont="1" applyBorder="1" applyAlignment="1">
      <alignment horizontal="center" vertical="center" wrapText="1"/>
    </xf>
    <xf numFmtId="0" fontId="3" fillId="0" borderId="731" xfId="0" applyFont="1" applyBorder="1" applyAlignment="1">
      <alignment horizontal="left" wrapText="1"/>
    </xf>
    <xf numFmtId="1" fontId="3" fillId="0" borderId="35" xfId="0" applyNumberFormat="1" applyFont="1" applyBorder="1" applyAlignment="1">
      <alignment horizontal="left" vertical="center"/>
    </xf>
    <xf numFmtId="0" fontId="22" fillId="0" borderId="45" xfId="0" applyFont="1" applyBorder="1" applyAlignment="1">
      <alignment horizontal="left" vertical="center"/>
    </xf>
    <xf numFmtId="0" fontId="22" fillId="0" borderId="754" xfId="0" applyFont="1" applyBorder="1" applyAlignment="1">
      <alignment horizontal="left" vertical="center"/>
    </xf>
    <xf numFmtId="1" fontId="3" fillId="0" borderId="1184" xfId="0" applyNumberFormat="1" applyFont="1" applyBorder="1" applyAlignment="1">
      <alignment horizontal="center" vertical="center"/>
    </xf>
    <xf numFmtId="0" fontId="8" fillId="0" borderId="1188" xfId="0" applyFont="1" applyBorder="1" applyAlignment="1">
      <alignment horizontal="center" vertical="center"/>
    </xf>
    <xf numFmtId="1" fontId="3" fillId="0" borderId="172" xfId="0" applyNumberFormat="1" applyFont="1" applyBorder="1" applyAlignment="1">
      <alignment horizontal="center" vertical="center" wrapText="1"/>
    </xf>
    <xf numFmtId="0" fontId="22" fillId="0" borderId="60" xfId="0" applyFont="1" applyBorder="1"/>
    <xf numFmtId="1" fontId="3" fillId="0" borderId="1181" xfId="0" applyNumberFormat="1" applyFont="1" applyBorder="1" applyAlignment="1">
      <alignment horizontal="center" vertical="center" wrapText="1"/>
    </xf>
    <xf numFmtId="0" fontId="22" fillId="0" borderId="1182" xfId="0" applyFont="1" applyBorder="1"/>
    <xf numFmtId="1" fontId="3" fillId="0" borderId="45" xfId="0" applyNumberFormat="1" applyFont="1" applyBorder="1" applyAlignment="1">
      <alignment horizontal="left" vertical="center"/>
    </xf>
    <xf numFmtId="1" fontId="3" fillId="0" borderId="104" xfId="0" applyNumberFormat="1" applyFont="1" applyBorder="1" applyAlignment="1">
      <alignment horizontal="left" vertical="center"/>
    </xf>
    <xf numFmtId="0" fontId="22" fillId="0" borderId="105" xfId="0" applyFont="1" applyBorder="1"/>
    <xf numFmtId="1" fontId="3" fillId="24" borderId="35" xfId="0" applyNumberFormat="1" applyFont="1" applyFill="1" applyBorder="1" applyAlignment="1">
      <alignment horizontal="left" vertical="center"/>
    </xf>
    <xf numFmtId="0" fontId="22" fillId="0" borderId="45" xfId="0" applyFont="1" applyBorder="1"/>
    <xf numFmtId="0" fontId="22" fillId="0" borderId="216" xfId="0" applyFont="1" applyBorder="1"/>
    <xf numFmtId="1" fontId="3" fillId="0" borderId="61" xfId="0" applyNumberFormat="1" applyFont="1" applyBorder="1" applyAlignment="1">
      <alignment horizontal="center" vertical="center"/>
    </xf>
    <xf numFmtId="0" fontId="8" fillId="0" borderId="180" xfId="0" applyFont="1" applyBorder="1" applyAlignment="1">
      <alignment horizontal="center" vertical="center"/>
    </xf>
    <xf numFmtId="1" fontId="3" fillId="0" borderId="62" xfId="0" applyNumberFormat="1" applyFont="1" applyBorder="1" applyAlignment="1">
      <alignment horizontal="center" vertical="center" wrapText="1"/>
    </xf>
    <xf numFmtId="0" fontId="8" fillId="0" borderId="114" xfId="0" applyFont="1" applyBorder="1" applyAlignment="1">
      <alignment horizontal="center" vertical="center"/>
    </xf>
    <xf numFmtId="1" fontId="3" fillId="0" borderId="114" xfId="0" applyNumberFormat="1" applyFont="1" applyBorder="1" applyAlignment="1">
      <alignment horizontal="center" vertical="center" wrapText="1"/>
    </xf>
    <xf numFmtId="1" fontId="3" fillId="0" borderId="735" xfId="0" applyNumberFormat="1" applyFont="1" applyBorder="1" applyAlignment="1">
      <alignment horizontal="center" vertical="center"/>
    </xf>
    <xf numFmtId="1" fontId="2" fillId="0" borderId="703" xfId="0" applyNumberFormat="1" applyFont="1" applyBorder="1" applyAlignment="1">
      <alignment horizontal="left"/>
    </xf>
    <xf numFmtId="1" fontId="3" fillId="0" borderId="741" xfId="0" applyNumberFormat="1" applyFont="1" applyBorder="1" applyAlignment="1">
      <alignment horizontal="center" vertical="center"/>
    </xf>
    <xf numFmtId="1" fontId="3" fillId="0" borderId="251" xfId="0" applyNumberFormat="1" applyFont="1" applyBorder="1" applyAlignment="1">
      <alignment horizontal="center" vertical="center" wrapText="1"/>
    </xf>
    <xf numFmtId="1" fontId="3" fillId="3" borderId="672" xfId="0" applyNumberFormat="1" applyFont="1" applyFill="1" applyBorder="1" applyAlignment="1">
      <alignment horizontal="center" vertical="center" wrapText="1"/>
    </xf>
    <xf numFmtId="1" fontId="3" fillId="3" borderId="673" xfId="0" applyNumberFormat="1" applyFont="1" applyFill="1" applyBorder="1" applyAlignment="1">
      <alignment horizontal="center" vertical="center" wrapText="1"/>
    </xf>
    <xf numFmtId="1" fontId="3" fillId="3" borderId="252" xfId="0" applyNumberFormat="1" applyFont="1" applyFill="1" applyBorder="1" applyAlignment="1">
      <alignment horizontal="center" vertical="center" wrapText="1"/>
    </xf>
    <xf numFmtId="1" fontId="3" fillId="3" borderId="253" xfId="0" applyNumberFormat="1" applyFont="1" applyFill="1" applyBorder="1" applyAlignment="1">
      <alignment horizontal="center" vertical="center" wrapText="1"/>
    </xf>
    <xf numFmtId="1" fontId="3" fillId="3" borderId="518" xfId="0" applyNumberFormat="1" applyFont="1" applyFill="1" applyBorder="1" applyAlignment="1">
      <alignment horizontal="center" vertical="center"/>
    </xf>
    <xf numFmtId="1" fontId="3" fillId="3" borderId="300" xfId="0" applyNumberFormat="1" applyFont="1" applyFill="1" applyBorder="1" applyAlignment="1">
      <alignment horizontal="center" vertical="center"/>
    </xf>
    <xf numFmtId="1" fontId="3" fillId="3" borderId="735" xfId="0" applyNumberFormat="1" applyFont="1" applyFill="1" applyBorder="1" applyAlignment="1">
      <alignment horizontal="center" vertical="center"/>
    </xf>
    <xf numFmtId="1" fontId="4" fillId="3" borderId="735" xfId="0" applyNumberFormat="1" applyFont="1" applyFill="1" applyBorder="1" applyAlignment="1">
      <alignment horizontal="center" vertical="center"/>
    </xf>
    <xf numFmtId="1" fontId="4" fillId="3" borderId="741" xfId="0" applyNumberFormat="1" applyFont="1" applyFill="1" applyBorder="1" applyAlignment="1">
      <alignment horizontal="center" vertical="center"/>
    </xf>
    <xf numFmtId="1" fontId="3" fillId="0" borderId="518" xfId="0" applyNumberFormat="1" applyFont="1" applyBorder="1" applyAlignment="1">
      <alignment horizontal="left" vertical="center" wrapText="1"/>
    </xf>
    <xf numFmtId="1" fontId="3" fillId="0" borderId="313" xfId="0" applyNumberFormat="1" applyFont="1" applyBorder="1" applyAlignment="1">
      <alignment horizontal="left" vertical="center" wrapText="1"/>
    </xf>
    <xf numFmtId="1" fontId="3" fillId="0" borderId="300" xfId="0" applyNumberFormat="1" applyFont="1" applyBorder="1" applyAlignment="1">
      <alignment horizontal="left" vertical="center" wrapText="1"/>
    </xf>
    <xf numFmtId="1" fontId="3" fillId="0" borderId="253" xfId="0" applyNumberFormat="1" applyFont="1" applyBorder="1" applyAlignment="1">
      <alignment horizontal="left" vertical="center" wrapText="1"/>
    </xf>
    <xf numFmtId="1" fontId="2" fillId="0" borderId="767" xfId="0" applyNumberFormat="1" applyFont="1" applyBorder="1" applyAlignment="1">
      <alignment horizontal="left"/>
    </xf>
    <xf numFmtId="1" fontId="3" fillId="0" borderId="237" xfId="0" applyNumberFormat="1" applyFont="1" applyBorder="1" applyAlignment="1">
      <alignment horizontal="left" vertical="center"/>
    </xf>
    <xf numFmtId="1" fontId="3" fillId="0" borderId="134" xfId="0" applyNumberFormat="1" applyFont="1" applyBorder="1" applyAlignment="1">
      <alignment horizontal="left" vertical="center"/>
    </xf>
    <xf numFmtId="1" fontId="3" fillId="0" borderId="253" xfId="0" applyNumberFormat="1" applyFont="1" applyBorder="1" applyAlignment="1">
      <alignment horizontal="left" wrapText="1"/>
    </xf>
    <xf numFmtId="1" fontId="3" fillId="0" borderId="787" xfId="0" applyNumberFormat="1" applyFont="1" applyBorder="1" applyAlignment="1">
      <alignment horizontal="center" vertical="center"/>
    </xf>
    <xf numFmtId="1" fontId="3" fillId="0" borderId="770" xfId="0" applyNumberFormat="1" applyFont="1" applyBorder="1" applyAlignment="1">
      <alignment horizontal="center" vertical="center"/>
    </xf>
    <xf numFmtId="1" fontId="3" fillId="0" borderId="764" xfId="0" applyNumberFormat="1" applyFont="1" applyBorder="1" applyAlignment="1">
      <alignment horizontal="left" vertical="center" wrapText="1"/>
    </xf>
    <xf numFmtId="1" fontId="3" fillId="0" borderId="693" xfId="0" applyNumberFormat="1" applyFont="1" applyBorder="1" applyAlignment="1">
      <alignment horizontal="left" vertical="center" wrapText="1"/>
    </xf>
    <xf numFmtId="1" fontId="3" fillId="0" borderId="421" xfId="0" applyNumberFormat="1" applyFont="1" applyBorder="1" applyAlignment="1">
      <alignment horizontal="left" vertical="center" wrapText="1"/>
    </xf>
    <xf numFmtId="1" fontId="3" fillId="0" borderId="354" xfId="0" applyNumberFormat="1" applyFont="1" applyBorder="1" applyAlignment="1">
      <alignment horizontal="left" vertical="center" wrapText="1"/>
    </xf>
    <xf numFmtId="1" fontId="3" fillId="0" borderId="740" xfId="0" quotePrefix="1" applyNumberFormat="1" applyFont="1" applyBorder="1" applyAlignment="1">
      <alignment horizontal="center" vertical="center" wrapText="1"/>
    </xf>
    <xf numFmtId="1" fontId="3" fillId="5" borderId="736" xfId="0" applyNumberFormat="1" applyFont="1" applyFill="1" applyBorder="1" applyAlignment="1">
      <alignment horizontal="center" vertical="center" wrapText="1"/>
    </xf>
    <xf numFmtId="1" fontId="3" fillId="0" borderId="624" xfId="0" applyNumberFormat="1" applyFont="1" applyBorder="1" applyAlignment="1">
      <alignment horizontal="center" vertical="center" wrapText="1"/>
    </xf>
    <xf numFmtId="1" fontId="3" fillId="0" borderId="300" xfId="0" applyNumberFormat="1" applyFont="1" applyBorder="1" applyAlignment="1">
      <alignment horizontal="left" vertical="center"/>
    </xf>
    <xf numFmtId="1" fontId="3" fillId="0" borderId="770" xfId="0" applyNumberFormat="1" applyFont="1" applyBorder="1" applyAlignment="1">
      <alignment horizontal="left" vertical="center"/>
    </xf>
    <xf numFmtId="1" fontId="3" fillId="5" borderId="636" xfId="0" applyNumberFormat="1" applyFont="1" applyFill="1" applyBorder="1" applyAlignment="1">
      <alignment horizontal="center" vertical="center"/>
    </xf>
    <xf numFmtId="1" fontId="3" fillId="5" borderId="299" xfId="0" applyNumberFormat="1" applyFont="1" applyFill="1" applyBorder="1" applyAlignment="1">
      <alignment horizontal="center" vertical="center"/>
    </xf>
    <xf numFmtId="1" fontId="3" fillId="3" borderId="735" xfId="0" applyNumberFormat="1" applyFont="1" applyFill="1" applyBorder="1" applyAlignment="1">
      <alignment horizontal="center"/>
    </xf>
    <xf numFmtId="1" fontId="3" fillId="0" borderId="696" xfId="0" applyNumberFormat="1" applyFont="1" applyBorder="1" applyAlignment="1">
      <alignment horizontal="center" vertical="center"/>
    </xf>
    <xf numFmtId="1" fontId="3" fillId="0" borderId="761" xfId="0" applyNumberFormat="1" applyFont="1" applyBorder="1" applyAlignment="1">
      <alignment horizontal="left" vertical="center" wrapText="1"/>
    </xf>
    <xf numFmtId="1" fontId="3" fillId="0" borderId="787" xfId="0" applyNumberFormat="1" applyFont="1" applyBorder="1" applyAlignment="1">
      <alignment horizontal="center" vertical="center" wrapText="1"/>
    </xf>
    <xf numFmtId="1" fontId="3" fillId="0" borderId="788" xfId="0" applyNumberFormat="1" applyFont="1" applyBorder="1" applyAlignment="1">
      <alignment horizontal="center" vertical="center"/>
    </xf>
    <xf numFmtId="1" fontId="3" fillId="3" borderId="636" xfId="0" applyNumberFormat="1" applyFont="1" applyFill="1" applyBorder="1" applyAlignment="1">
      <alignment horizontal="center" vertical="center" wrapText="1"/>
    </xf>
    <xf numFmtId="1" fontId="3" fillId="3" borderId="162" xfId="0" applyNumberFormat="1" applyFont="1" applyFill="1" applyBorder="1" applyAlignment="1">
      <alignment horizontal="center" vertical="center" wrapText="1"/>
    </xf>
    <xf numFmtId="1" fontId="3" fillId="3" borderId="299" xfId="0" applyNumberFormat="1" applyFont="1" applyFill="1" applyBorder="1" applyAlignment="1">
      <alignment horizontal="center" vertical="center" wrapText="1"/>
    </xf>
    <xf numFmtId="1" fontId="3" fillId="3" borderId="740" xfId="0" applyNumberFormat="1" applyFont="1" applyFill="1" applyBorder="1" applyAlignment="1">
      <alignment horizontal="center"/>
    </xf>
    <xf numFmtId="1" fontId="3" fillId="3" borderId="703" xfId="0" applyNumberFormat="1" applyFont="1" applyFill="1" applyBorder="1" applyAlignment="1">
      <alignment horizontal="center"/>
    </xf>
    <xf numFmtId="1" fontId="3" fillId="3" borderId="640" xfId="0" applyNumberFormat="1" applyFont="1" applyFill="1" applyBorder="1" applyAlignment="1">
      <alignment horizontal="center"/>
    </xf>
    <xf numFmtId="1" fontId="3" fillId="0" borderId="744" xfId="0" applyNumberFormat="1" applyFont="1" applyBorder="1" applyAlignment="1">
      <alignment horizontal="center" vertical="center" wrapText="1"/>
    </xf>
    <xf numFmtId="1" fontId="3" fillId="0" borderId="261" xfId="0" applyNumberFormat="1" applyFont="1" applyBorder="1" applyAlignment="1">
      <alignment horizontal="center" vertical="center" wrapText="1"/>
    </xf>
    <xf numFmtId="1" fontId="3" fillId="0" borderId="787" xfId="0" applyNumberFormat="1" applyFont="1" applyBorder="1" applyAlignment="1">
      <alignment horizontal="left" vertical="center" wrapText="1"/>
    </xf>
    <xf numFmtId="1" fontId="3" fillId="0" borderId="742" xfId="0" applyNumberFormat="1" applyFont="1" applyBorder="1" applyAlignment="1">
      <alignment horizontal="center" vertical="center" wrapText="1"/>
    </xf>
    <xf numFmtId="1" fontId="3" fillId="0" borderId="260" xfId="0" applyNumberFormat="1" applyFont="1" applyBorder="1" applyAlignment="1">
      <alignment horizontal="center" vertical="center" wrapText="1"/>
    </xf>
    <xf numFmtId="1" fontId="3" fillId="0" borderId="786" xfId="0" applyNumberFormat="1" applyFont="1" applyBorder="1" applyAlignment="1">
      <alignment horizontal="center" vertical="center"/>
    </xf>
    <xf numFmtId="1" fontId="3" fillId="3" borderId="789" xfId="0" applyNumberFormat="1" applyFont="1" applyFill="1" applyBorder="1" applyAlignment="1">
      <alignment horizontal="center"/>
    </xf>
    <xf numFmtId="1" fontId="3" fillId="0" borderId="789" xfId="0" applyNumberFormat="1" applyFont="1" applyBorder="1" applyAlignment="1">
      <alignment horizontal="center" vertical="center"/>
    </xf>
    <xf numFmtId="1" fontId="3" fillId="0" borderId="796" xfId="0" applyNumberFormat="1" applyFont="1" applyBorder="1" applyAlignment="1">
      <alignment horizontal="center" wrapText="1"/>
    </xf>
    <xf numFmtId="1" fontId="3" fillId="0" borderId="703" xfId="0" applyNumberFormat="1" applyFont="1" applyBorder="1" applyAlignment="1">
      <alignment horizontal="center" wrapText="1"/>
    </xf>
    <xf numFmtId="1" fontId="3" fillId="0" borderId="789" xfId="0" applyNumberFormat="1" applyFont="1" applyBorder="1" applyAlignment="1">
      <alignment horizontal="center" wrapText="1"/>
    </xf>
    <xf numFmtId="1" fontId="3" fillId="3" borderId="796" xfId="0" applyNumberFormat="1" applyFont="1" applyFill="1" applyBorder="1" applyAlignment="1">
      <alignment horizontal="center" vertical="center"/>
    </xf>
    <xf numFmtId="1" fontId="3" fillId="3" borderId="703" xfId="0" applyNumberFormat="1" applyFont="1" applyFill="1" applyBorder="1" applyAlignment="1">
      <alignment horizontal="center" vertical="center"/>
    </xf>
    <xf numFmtId="1" fontId="3" fillId="3" borderId="789" xfId="0" applyNumberFormat="1" applyFont="1" applyFill="1" applyBorder="1" applyAlignment="1">
      <alignment horizontal="center" vertical="center"/>
    </xf>
    <xf numFmtId="1" fontId="3" fillId="28" borderId="1087" xfId="0" applyNumberFormat="1" applyFont="1" applyFill="1" applyBorder="1" applyAlignment="1">
      <alignment horizontal="center" vertical="center" wrapText="1"/>
    </xf>
    <xf numFmtId="1" fontId="3" fillId="28" borderId="1197" xfId="0" applyNumberFormat="1" applyFont="1" applyFill="1" applyBorder="1" applyAlignment="1">
      <alignment horizontal="center" vertical="center" wrapText="1"/>
    </xf>
    <xf numFmtId="1" fontId="3" fillId="28" borderId="1198" xfId="0" applyNumberFormat="1" applyFont="1" applyFill="1" applyBorder="1" applyAlignment="1">
      <alignment horizontal="center" vertical="center" wrapText="1"/>
    </xf>
    <xf numFmtId="0" fontId="0" fillId="0" borderId="0" xfId="0"/>
    <xf numFmtId="1" fontId="3" fillId="0" borderId="0" xfId="0" applyNumberFormat="1" applyFont="1" applyAlignment="1">
      <alignment horizontal="center" vertical="center"/>
    </xf>
    <xf numFmtId="1" fontId="3" fillId="0" borderId="770" xfId="0" applyNumberFormat="1" applyFont="1" applyBorder="1" applyAlignment="1">
      <alignment horizontal="center" vertical="center" wrapText="1"/>
    </xf>
    <xf numFmtId="1" fontId="3" fillId="0" borderId="796" xfId="0" applyNumberFormat="1" applyFont="1" applyBorder="1" applyAlignment="1">
      <alignment horizontal="center" vertical="center" wrapText="1"/>
    </xf>
    <xf numFmtId="1" fontId="3" fillId="0" borderId="789" xfId="0" applyNumberFormat="1" applyFont="1" applyBorder="1" applyAlignment="1">
      <alignment horizontal="center" vertical="center" wrapText="1"/>
    </xf>
    <xf numFmtId="1" fontId="3" fillId="5" borderId="718" xfId="0" applyNumberFormat="1" applyFont="1" applyFill="1" applyBorder="1" applyAlignment="1">
      <alignment horizontal="center" vertical="center" wrapText="1"/>
    </xf>
    <xf numFmtId="1" fontId="3" fillId="5" borderId="3" xfId="0" applyNumberFormat="1" applyFont="1" applyFill="1" applyBorder="1" applyAlignment="1">
      <alignment horizontal="center" vertical="center" wrapText="1"/>
    </xf>
    <xf numFmtId="1" fontId="3" fillId="5" borderId="256" xfId="0" applyNumberFormat="1" applyFont="1" applyFill="1" applyBorder="1" applyAlignment="1">
      <alignment horizontal="center" vertical="center" wrapText="1"/>
    </xf>
    <xf numFmtId="1" fontId="3" fillId="3" borderId="704" xfId="0" applyNumberFormat="1" applyFont="1" applyFill="1" applyBorder="1" applyAlignment="1">
      <alignment horizontal="center" vertical="center"/>
    </xf>
    <xf numFmtId="1" fontId="3" fillId="0" borderId="704" xfId="0" applyNumberFormat="1" applyFont="1" applyBorder="1" applyAlignment="1">
      <alignment horizontal="center" vertical="center"/>
    </xf>
    <xf numFmtId="1" fontId="3" fillId="3" borderId="718" xfId="0" applyNumberFormat="1" applyFont="1" applyFill="1" applyBorder="1" applyAlignment="1">
      <alignment horizontal="center" vertical="center" wrapText="1"/>
    </xf>
    <xf numFmtId="1" fontId="3" fillId="3" borderId="770" xfId="0" applyNumberFormat="1" applyFont="1" applyFill="1" applyBorder="1" applyAlignment="1">
      <alignment horizontal="center" vertical="center" wrapText="1"/>
    </xf>
    <xf numFmtId="1" fontId="3" fillId="0" borderId="765" xfId="0" applyNumberFormat="1" applyFont="1" applyBorder="1"/>
    <xf numFmtId="1" fontId="3" fillId="0" borderId="657" xfId="0" applyNumberFormat="1" applyFont="1" applyBorder="1"/>
    <xf numFmtId="1" fontId="3" fillId="0" borderId="693" xfId="0" applyNumberFormat="1" applyFont="1" applyBorder="1"/>
    <xf numFmtId="1" fontId="3" fillId="0" borderId="342" xfId="0" applyNumberFormat="1" applyFont="1" applyBorder="1"/>
    <xf numFmtId="1" fontId="3" fillId="0" borderId="338" xfId="0" applyNumberFormat="1" applyFont="1" applyBorder="1"/>
    <xf numFmtId="1" fontId="3" fillId="0" borderId="336" xfId="0" applyNumberFormat="1" applyFont="1" applyBorder="1"/>
    <xf numFmtId="1" fontId="3" fillId="0" borderId="341" xfId="0" applyNumberFormat="1" applyFont="1" applyBorder="1" applyAlignment="1">
      <alignment horizontal="left" vertical="center" wrapText="1"/>
    </xf>
    <xf numFmtId="1" fontId="3" fillId="0" borderId="345" xfId="0" applyNumberFormat="1" applyFont="1" applyBorder="1" applyAlignment="1">
      <alignment horizontal="left" vertical="center" wrapText="1"/>
    </xf>
    <xf numFmtId="1" fontId="3" fillId="0" borderId="334" xfId="0" applyNumberFormat="1" applyFont="1" applyBorder="1" applyAlignment="1">
      <alignment horizontal="left" vertical="center" wrapText="1"/>
    </xf>
    <xf numFmtId="1" fontId="3" fillId="0" borderId="338" xfId="0" applyNumberFormat="1" applyFont="1" applyBorder="1" applyAlignment="1">
      <alignment horizontal="left" vertical="center" wrapText="1"/>
    </xf>
    <xf numFmtId="1" fontId="3" fillId="0" borderId="237" xfId="0" applyNumberFormat="1" applyFont="1" applyBorder="1"/>
    <xf numFmtId="1" fontId="3" fillId="0" borderId="6" xfId="0" applyNumberFormat="1" applyFont="1" applyBorder="1"/>
    <xf numFmtId="1" fontId="3" fillId="0" borderId="134" xfId="0" applyNumberFormat="1" applyFont="1" applyBorder="1"/>
    <xf numFmtId="1" fontId="3" fillId="3" borderId="300" xfId="0" applyNumberFormat="1" applyFont="1" applyFill="1" applyBorder="1" applyAlignment="1">
      <alignment horizontal="left" vertical="center" wrapText="1"/>
    </xf>
    <xf numFmtId="1" fontId="3" fillId="3" borderId="252" xfId="0" applyNumberFormat="1" applyFont="1" applyFill="1" applyBorder="1" applyAlignment="1">
      <alignment horizontal="left" vertical="center" wrapText="1"/>
    </xf>
    <xf numFmtId="1" fontId="3" fillId="3" borderId="770" xfId="0" applyNumberFormat="1" applyFont="1" applyFill="1" applyBorder="1" applyAlignment="1">
      <alignment horizontal="left" vertical="center" wrapText="1"/>
    </xf>
    <xf numFmtId="1" fontId="3" fillId="0" borderId="762" xfId="0" applyNumberFormat="1" applyFont="1" applyBorder="1" applyAlignment="1">
      <alignment horizontal="left" vertical="center" wrapText="1"/>
    </xf>
    <xf numFmtId="1" fontId="3" fillId="0" borderId="699" xfId="0" applyNumberFormat="1" applyFont="1" applyBorder="1" applyAlignment="1">
      <alignment horizontal="left" vertical="center" wrapText="1"/>
    </xf>
    <xf numFmtId="1" fontId="3" fillId="0" borderId="717" xfId="0" applyNumberFormat="1" applyFont="1" applyBorder="1" applyAlignment="1">
      <alignment horizontal="left" vertical="center" wrapText="1"/>
    </xf>
    <xf numFmtId="1" fontId="3" fillId="0" borderId="280" xfId="0" applyNumberFormat="1" applyFont="1" applyBorder="1" applyAlignment="1">
      <alignment horizontal="center" vertical="center" wrapText="1"/>
    </xf>
    <xf numFmtId="1" fontId="3" fillId="3" borderId="340" xfId="0" applyNumberFormat="1" applyFont="1" applyFill="1" applyBorder="1" applyAlignment="1">
      <alignment horizontal="left" vertical="center" wrapText="1"/>
    </xf>
    <xf numFmtId="1" fontId="3" fillId="3" borderId="338" xfId="0" applyNumberFormat="1" applyFont="1" applyFill="1" applyBorder="1" applyAlignment="1">
      <alignment horizontal="left" vertical="center" wrapText="1"/>
    </xf>
    <xf numFmtId="1" fontId="3" fillId="3" borderId="336" xfId="0" applyNumberFormat="1" applyFont="1" applyFill="1" applyBorder="1" applyAlignment="1">
      <alignment horizontal="left" vertical="center" wrapText="1"/>
    </xf>
    <xf numFmtId="1" fontId="8" fillId="0" borderId="0" xfId="0" applyNumberFormat="1" applyFont="1"/>
    <xf numFmtId="1" fontId="3" fillId="0" borderId="796" xfId="0" applyNumberFormat="1" applyFont="1" applyBorder="1" applyAlignment="1">
      <alignment horizontal="center" vertical="center"/>
    </xf>
    <xf numFmtId="1" fontId="3" fillId="3" borderId="764" xfId="0" applyNumberFormat="1" applyFont="1" applyFill="1" applyBorder="1" applyAlignment="1">
      <alignment horizontal="left" vertical="center" wrapText="1"/>
    </xf>
    <xf numFmtId="1" fontId="3" fillId="3" borderId="657" xfId="0" applyNumberFormat="1" applyFont="1" applyFill="1" applyBorder="1" applyAlignment="1">
      <alignment horizontal="left" vertical="center" wrapText="1"/>
    </xf>
    <xf numFmtId="1" fontId="3" fillId="3" borderId="693" xfId="0" applyNumberFormat="1" applyFont="1" applyFill="1" applyBorder="1" applyAlignment="1">
      <alignment horizontal="left" vertical="center" wrapText="1"/>
    </xf>
    <xf numFmtId="1" fontId="3" fillId="0" borderId="313" xfId="0" applyNumberFormat="1" applyFont="1" applyBorder="1"/>
    <xf numFmtId="1" fontId="3" fillId="0" borderId="0" xfId="0" applyNumberFormat="1" applyFont="1"/>
    <xf numFmtId="1" fontId="3" fillId="0" borderId="342" xfId="0" applyNumberFormat="1" applyFont="1" applyBorder="1" applyAlignment="1">
      <alignment horizontal="left" vertical="center" wrapText="1"/>
    </xf>
    <xf numFmtId="1" fontId="3" fillId="3" borderId="237" xfId="0" applyNumberFormat="1" applyFont="1" applyFill="1" applyBorder="1" applyAlignment="1">
      <alignment horizontal="left" vertical="center" wrapText="1"/>
    </xf>
    <xf numFmtId="1" fontId="3" fillId="3" borderId="6" xfId="0" applyNumberFormat="1" applyFont="1" applyFill="1" applyBorder="1" applyAlignment="1">
      <alignment horizontal="left" vertical="center" wrapText="1"/>
    </xf>
    <xf numFmtId="1" fontId="3" fillId="3" borderId="134" xfId="0" applyNumberFormat="1" applyFont="1" applyFill="1" applyBorder="1" applyAlignment="1">
      <alignment horizontal="left" vertical="center" wrapText="1"/>
    </xf>
    <xf numFmtId="1" fontId="3" fillId="0" borderId="796" xfId="0" applyNumberFormat="1" applyFont="1" applyBorder="1" applyAlignment="1">
      <alignment horizontal="left" vertical="center" wrapText="1"/>
    </xf>
    <xf numFmtId="1" fontId="3" fillId="0" borderId="703" xfId="0" applyNumberFormat="1" applyFont="1" applyBorder="1" applyAlignment="1">
      <alignment horizontal="left" vertical="center" wrapText="1"/>
    </xf>
    <xf numFmtId="1" fontId="3" fillId="0" borderId="704" xfId="0" applyNumberFormat="1" applyFont="1" applyBorder="1" applyAlignment="1">
      <alignment horizontal="left" vertical="center" wrapText="1"/>
    </xf>
    <xf numFmtId="1" fontId="3" fillId="3" borderId="518" xfId="0" applyNumberFormat="1" applyFont="1" applyFill="1" applyBorder="1" applyAlignment="1">
      <alignment horizontal="left" vertical="center" wrapText="1"/>
    </xf>
    <xf numFmtId="1" fontId="3" fillId="3" borderId="673" xfId="0" applyNumberFormat="1" applyFont="1" applyFill="1" applyBorder="1" applyAlignment="1">
      <alignment horizontal="left" vertical="center" wrapText="1"/>
    </xf>
    <xf numFmtId="1" fontId="3" fillId="3" borderId="313" xfId="0" applyNumberFormat="1" applyFont="1" applyFill="1" applyBorder="1" applyAlignment="1">
      <alignment horizontal="left" vertical="center" wrapText="1"/>
    </xf>
    <xf numFmtId="1" fontId="3" fillId="3" borderId="20" xfId="0" applyNumberFormat="1" applyFont="1" applyFill="1" applyBorder="1" applyAlignment="1">
      <alignment horizontal="left" vertical="center" wrapText="1"/>
    </xf>
    <xf numFmtId="1" fontId="3" fillId="0" borderId="367" xfId="0" applyNumberFormat="1" applyFont="1" applyBorder="1" applyAlignment="1">
      <alignment horizontal="left" vertical="center" wrapText="1"/>
    </xf>
    <xf numFmtId="1" fontId="3" fillId="0" borderId="770" xfId="0" applyNumberFormat="1" applyFont="1" applyBorder="1" applyAlignment="1">
      <alignment horizontal="left" vertical="center" wrapText="1"/>
    </xf>
    <xf numFmtId="1" fontId="3" fillId="0" borderId="369" xfId="0" applyNumberFormat="1" applyFont="1" applyBorder="1" applyAlignment="1">
      <alignment horizontal="left" vertical="center" wrapText="1"/>
    </xf>
    <xf numFmtId="1" fontId="3" fillId="0" borderId="764" xfId="0" applyNumberFormat="1" applyFont="1" applyBorder="1" applyAlignment="1">
      <alignment horizontal="left"/>
    </xf>
    <xf numFmtId="1" fontId="3" fillId="0" borderId="693" xfId="0" applyNumberFormat="1" applyFont="1" applyBorder="1" applyAlignment="1">
      <alignment horizontal="left"/>
    </xf>
    <xf numFmtId="1" fontId="3" fillId="0" borderId="289" xfId="0" applyNumberFormat="1" applyFont="1" applyBorder="1" applyAlignment="1">
      <alignment horizontal="left" vertical="center" wrapText="1"/>
    </xf>
    <xf numFmtId="1" fontId="3" fillId="0" borderId="6" xfId="0" applyNumberFormat="1" applyFont="1" applyBorder="1" applyAlignment="1">
      <alignment horizontal="left" vertical="center" wrapText="1"/>
    </xf>
    <xf numFmtId="1" fontId="3" fillId="5" borderId="624" xfId="0" applyNumberFormat="1" applyFont="1" applyFill="1" applyBorder="1" applyAlignment="1">
      <alignment horizontal="center" vertical="center" wrapText="1"/>
    </xf>
    <xf numFmtId="1" fontId="3" fillId="0" borderId="623" xfId="0" applyNumberFormat="1" applyFont="1" applyBorder="1" applyAlignment="1">
      <alignment horizontal="center" vertical="center" wrapText="1"/>
    </xf>
    <xf numFmtId="1" fontId="3" fillId="5" borderId="340" xfId="0" applyNumberFormat="1" applyFont="1" applyFill="1" applyBorder="1" applyAlignment="1">
      <alignment horizontal="left" vertical="center" wrapText="1"/>
    </xf>
    <xf numFmtId="1" fontId="3" fillId="5" borderId="338" xfId="0" applyNumberFormat="1" applyFont="1" applyFill="1" applyBorder="1" applyAlignment="1">
      <alignment horizontal="left" vertical="center" wrapText="1"/>
    </xf>
    <xf numFmtId="1" fontId="3" fillId="5" borderId="336" xfId="0" applyNumberFormat="1" applyFont="1" applyFill="1" applyBorder="1" applyAlignment="1">
      <alignment horizontal="left" vertical="center" wrapText="1"/>
    </xf>
    <xf numFmtId="1" fontId="3" fillId="0" borderId="237" xfId="0" applyNumberFormat="1" applyFont="1" applyBorder="1" applyAlignment="1">
      <alignment horizontal="left" vertical="center" wrapText="1"/>
    </xf>
    <xf numFmtId="1" fontId="3" fillId="0" borderId="134" xfId="0" applyNumberFormat="1" applyFont="1" applyBorder="1" applyAlignment="1">
      <alignment horizontal="left" vertical="center" wrapText="1"/>
    </xf>
    <xf numFmtId="1" fontId="3" fillId="0" borderId="394" xfId="0" applyNumberFormat="1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left" vertical="center" wrapText="1"/>
    </xf>
    <xf numFmtId="1" fontId="3" fillId="3" borderId="518" xfId="0" applyNumberFormat="1" applyFont="1" applyFill="1" applyBorder="1" applyAlignment="1">
      <alignment horizontal="center" vertical="center" wrapText="1"/>
    </xf>
    <xf numFmtId="1" fontId="3" fillId="3" borderId="313" xfId="0" applyNumberFormat="1" applyFont="1" applyFill="1" applyBorder="1" applyAlignment="1">
      <alignment horizontal="center" vertical="center" wrapText="1"/>
    </xf>
    <xf numFmtId="1" fontId="3" fillId="3" borderId="0" xfId="0" applyNumberFormat="1" applyFont="1" applyFill="1" applyAlignment="1">
      <alignment horizontal="center" vertical="center" wrapText="1"/>
    </xf>
    <xf numFmtId="1" fontId="3" fillId="3" borderId="20" xfId="0" applyNumberFormat="1" applyFont="1" applyFill="1" applyBorder="1" applyAlignment="1">
      <alignment horizontal="center" vertical="center" wrapText="1"/>
    </xf>
    <xf numFmtId="1" fontId="3" fillId="3" borderId="300" xfId="0" applyNumberFormat="1" applyFont="1" applyFill="1" applyBorder="1" applyAlignment="1">
      <alignment horizontal="center" vertical="center" wrapText="1"/>
    </xf>
    <xf numFmtId="1" fontId="3" fillId="5" borderId="764" xfId="0" applyNumberFormat="1" applyFont="1" applyFill="1" applyBorder="1" applyAlignment="1">
      <alignment horizontal="left" vertical="center" wrapText="1"/>
    </xf>
    <xf numFmtId="1" fontId="3" fillId="5" borderId="657" xfId="0" applyNumberFormat="1" applyFont="1" applyFill="1" applyBorder="1" applyAlignment="1">
      <alignment horizontal="left" vertical="center" wrapText="1"/>
    </xf>
    <xf numFmtId="1" fontId="3" fillId="5" borderId="693" xfId="0" applyNumberFormat="1" applyFont="1" applyFill="1" applyBorder="1" applyAlignment="1">
      <alignment horizontal="left" vertical="center" wrapText="1"/>
    </xf>
    <xf numFmtId="1" fontId="3" fillId="3" borderId="421" xfId="0" applyNumberFormat="1" applyFont="1" applyFill="1" applyBorder="1" applyAlignment="1">
      <alignment horizontal="left" vertical="center" wrapText="1"/>
    </xf>
    <xf numFmtId="1" fontId="3" fillId="3" borderId="354" xfId="0" applyNumberFormat="1" applyFont="1" applyFill="1" applyBorder="1" applyAlignment="1">
      <alignment horizontal="left" vertical="center" wrapText="1"/>
    </xf>
    <xf numFmtId="1" fontId="3" fillId="3" borderId="764" xfId="0" applyNumberFormat="1" applyFont="1" applyFill="1" applyBorder="1" applyAlignment="1">
      <alignment horizontal="left" vertical="center"/>
    </xf>
    <xf numFmtId="1" fontId="3" fillId="3" borderId="693" xfId="0" applyNumberFormat="1" applyFont="1" applyFill="1" applyBorder="1" applyAlignment="1">
      <alignment horizontal="left" vertical="center"/>
    </xf>
    <xf numFmtId="1" fontId="3" fillId="20" borderId="636" xfId="0" applyNumberFormat="1" applyFont="1" applyFill="1" applyBorder="1" applyAlignment="1">
      <alignment horizontal="left" vertical="center" wrapText="1"/>
    </xf>
    <xf numFmtId="1" fontId="3" fillId="20" borderId="327" xfId="0" applyNumberFormat="1" applyFont="1" applyFill="1" applyBorder="1" applyAlignment="1">
      <alignment horizontal="left" vertical="center" wrapText="1"/>
    </xf>
    <xf numFmtId="1" fontId="3" fillId="20" borderId="299" xfId="0" applyNumberFormat="1" applyFont="1" applyFill="1" applyBorder="1" applyAlignment="1">
      <alignment horizontal="left" vertical="center" wrapText="1"/>
    </xf>
    <xf numFmtId="1" fontId="3" fillId="5" borderId="636" xfId="0" applyNumberFormat="1" applyFont="1" applyFill="1" applyBorder="1" applyAlignment="1">
      <alignment horizontal="left" vertical="center" wrapText="1"/>
    </xf>
    <xf numFmtId="1" fontId="3" fillId="5" borderId="327" xfId="0" applyNumberFormat="1" applyFont="1" applyFill="1" applyBorder="1" applyAlignment="1">
      <alignment horizontal="left" vertical="center" wrapText="1"/>
    </xf>
    <xf numFmtId="1" fontId="3" fillId="5" borderId="299" xfId="0" applyNumberFormat="1" applyFont="1" applyFill="1" applyBorder="1" applyAlignment="1">
      <alignment horizontal="left" vertical="center" wrapText="1"/>
    </xf>
    <xf numFmtId="1" fontId="3" fillId="5" borderId="518" xfId="0" applyNumberFormat="1" applyFont="1" applyFill="1" applyBorder="1" applyAlignment="1">
      <alignment horizontal="left" vertical="center" wrapText="1"/>
    </xf>
    <xf numFmtId="1" fontId="3" fillId="5" borderId="313" xfId="0" applyNumberFormat="1" applyFont="1" applyFill="1" applyBorder="1" applyAlignment="1">
      <alignment horizontal="left" vertical="center" wrapText="1"/>
    </xf>
    <xf numFmtId="1" fontId="3" fillId="3" borderId="658" xfId="0" applyNumberFormat="1" applyFont="1" applyFill="1" applyBorder="1" applyAlignment="1">
      <alignment horizontal="center" vertical="center" wrapText="1"/>
    </xf>
    <xf numFmtId="1" fontId="3" fillId="3" borderId="10" xfId="0" applyNumberFormat="1" applyFont="1" applyFill="1" applyBorder="1" applyAlignment="1">
      <alignment horizontal="center" vertical="center" wrapText="1"/>
    </xf>
    <xf numFmtId="1" fontId="3" fillId="3" borderId="259" xfId="0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1" fontId="3" fillId="3" borderId="367" xfId="0" applyNumberFormat="1" applyFont="1" applyFill="1" applyBorder="1" applyAlignment="1">
      <alignment horizontal="left" vertical="center" wrapText="1"/>
    </xf>
    <xf numFmtId="0" fontId="3" fillId="0" borderId="119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" fontId="3" fillId="3" borderId="1169" xfId="0" applyNumberFormat="1" applyFont="1" applyFill="1" applyBorder="1" applyAlignment="1">
      <alignment horizontal="center" vertical="center" wrapText="1"/>
    </xf>
    <xf numFmtId="1" fontId="3" fillId="3" borderId="85" xfId="0" applyNumberFormat="1" applyFont="1" applyFill="1" applyBorder="1" applyAlignment="1">
      <alignment horizontal="center" vertical="center" wrapText="1"/>
    </xf>
    <xf numFmtId="1" fontId="3" fillId="3" borderId="257" xfId="0" applyNumberFormat="1" applyFont="1" applyFill="1" applyBorder="1" applyAlignment="1">
      <alignment horizontal="center" vertical="center" wrapText="1"/>
    </xf>
    <xf numFmtId="1" fontId="3" fillId="3" borderId="69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1" fontId="3" fillId="3" borderId="746" xfId="0" applyNumberFormat="1" applyFont="1" applyFill="1" applyBorder="1" applyAlignment="1">
      <alignment horizontal="center" vertical="center" wrapText="1"/>
    </xf>
    <xf numFmtId="1" fontId="3" fillId="3" borderId="815" xfId="0" applyNumberFormat="1" applyFont="1" applyFill="1" applyBorder="1" applyAlignment="1">
      <alignment horizontal="left" vertical="center" wrapText="1"/>
    </xf>
    <xf numFmtId="1" fontId="3" fillId="5" borderId="406" xfId="0" applyNumberFormat="1" applyFont="1" applyFill="1" applyBorder="1" applyAlignment="1">
      <alignment horizontal="left" vertical="center" wrapText="1"/>
    </xf>
    <xf numFmtId="1" fontId="3" fillId="0" borderId="657" xfId="0" applyNumberFormat="1" applyFont="1" applyBorder="1" applyAlignment="1">
      <alignment horizontal="left" vertical="center" wrapText="1"/>
    </xf>
    <xf numFmtId="1" fontId="3" fillId="3" borderId="302" xfId="0" applyNumberFormat="1" applyFont="1" applyFill="1" applyBorder="1" applyAlignment="1">
      <alignment horizontal="left" vertical="center" wrapText="1"/>
    </xf>
    <xf numFmtId="1" fontId="3" fillId="3" borderId="810" xfId="0" applyNumberFormat="1" applyFont="1" applyFill="1" applyBorder="1" applyAlignment="1">
      <alignment horizontal="left" vertical="center" wrapText="1"/>
    </xf>
    <xf numFmtId="1" fontId="3" fillId="0" borderId="764" xfId="0" applyNumberFormat="1" applyFont="1" applyBorder="1" applyAlignment="1">
      <alignment horizontal="left" wrapText="1"/>
    </xf>
    <xf numFmtId="1" fontId="3" fillId="5" borderId="796" xfId="0" applyNumberFormat="1" applyFont="1" applyFill="1" applyBorder="1" applyAlignment="1">
      <alignment horizontal="center" vertical="center" wrapText="1"/>
    </xf>
    <xf numFmtId="1" fontId="3" fillId="5" borderId="703" xfId="0" applyNumberFormat="1" applyFont="1" applyFill="1" applyBorder="1" applyAlignment="1">
      <alignment horizontal="center" vertical="center" wrapText="1"/>
    </xf>
    <xf numFmtId="1" fontId="3" fillId="5" borderId="704" xfId="0" applyNumberFormat="1" applyFont="1" applyFill="1" applyBorder="1" applyAlignment="1">
      <alignment horizontal="center" vertical="center" wrapText="1"/>
    </xf>
    <xf numFmtId="1" fontId="3" fillId="5" borderId="789" xfId="0" applyNumberFormat="1" applyFont="1" applyFill="1" applyBorder="1" applyAlignment="1">
      <alignment horizontal="center" vertical="center" wrapText="1"/>
    </xf>
    <xf numFmtId="1" fontId="3" fillId="5" borderId="770" xfId="0" applyNumberFormat="1" applyFont="1" applyFill="1" applyBorder="1" applyAlignment="1">
      <alignment horizontal="center" vertical="center" wrapText="1"/>
    </xf>
    <xf numFmtId="1" fontId="3" fillId="0" borderId="690" xfId="0" applyNumberFormat="1" applyFont="1" applyBorder="1" applyAlignment="1">
      <alignment horizontal="left" vertical="center" wrapText="1"/>
    </xf>
    <xf numFmtId="1" fontId="3" fillId="0" borderId="672" xfId="0" applyNumberFormat="1" applyFont="1" applyBorder="1" applyAlignment="1">
      <alignment horizontal="left" vertical="center" wrapText="1"/>
    </xf>
    <xf numFmtId="1" fontId="3" fillId="0" borderId="357" xfId="0" applyNumberFormat="1" applyFont="1" applyBorder="1" applyAlignment="1">
      <alignment horizontal="left" vertical="center" wrapText="1"/>
    </xf>
    <xf numFmtId="1" fontId="3" fillId="0" borderId="280" xfId="0" applyNumberFormat="1" applyFont="1" applyBorder="1" applyAlignment="1">
      <alignment horizontal="left" vertical="center" wrapText="1"/>
    </xf>
    <xf numFmtId="0" fontId="3" fillId="5" borderId="338" xfId="0" applyFont="1" applyFill="1" applyBorder="1" applyAlignment="1">
      <alignment horizontal="left" vertical="center"/>
    </xf>
    <xf numFmtId="0" fontId="3" fillId="5" borderId="336" xfId="0" applyFont="1" applyFill="1" applyBorder="1" applyAlignment="1">
      <alignment horizontal="left" vertical="center"/>
    </xf>
    <xf numFmtId="1" fontId="3" fillId="0" borderId="282" xfId="0" applyNumberFormat="1" applyFont="1" applyBorder="1" applyAlignment="1">
      <alignment horizontal="center" vertical="center" wrapText="1"/>
    </xf>
    <xf numFmtId="1" fontId="3" fillId="0" borderId="669" xfId="0" applyNumberFormat="1" applyFont="1" applyBorder="1" applyAlignment="1">
      <alignment horizontal="center" vertical="center"/>
    </xf>
    <xf numFmtId="1" fontId="3" fillId="0" borderId="85" xfId="0" applyNumberFormat="1" applyFont="1" applyBorder="1" applyAlignment="1">
      <alignment horizontal="center" vertical="center"/>
    </xf>
    <xf numFmtId="1" fontId="3" fillId="0" borderId="257" xfId="0" applyNumberFormat="1" applyFont="1" applyBorder="1" applyAlignment="1">
      <alignment horizontal="center" vertical="center"/>
    </xf>
    <xf numFmtId="1" fontId="3" fillId="0" borderId="790" xfId="0" applyNumberFormat="1" applyFont="1" applyBorder="1" applyAlignment="1">
      <alignment horizontal="center" vertical="center" wrapText="1"/>
    </xf>
    <xf numFmtId="1" fontId="3" fillId="0" borderId="622" xfId="0" applyNumberFormat="1" applyFont="1" applyBorder="1" applyAlignment="1">
      <alignment horizontal="center" vertical="center" wrapText="1"/>
    </xf>
    <xf numFmtId="1" fontId="3" fillId="5" borderId="249" xfId="0" applyNumberFormat="1" applyFont="1" applyFill="1" applyBorder="1" applyAlignment="1">
      <alignment horizontal="center" vertical="center" wrapText="1"/>
    </xf>
    <xf numFmtId="1" fontId="3" fillId="0" borderId="796" xfId="9" applyNumberFormat="1" applyFont="1" applyFill="1" applyBorder="1" applyAlignment="1">
      <alignment horizontal="center" vertical="center" wrapText="1"/>
    </xf>
    <xf numFmtId="1" fontId="3" fillId="0" borderId="704" xfId="9" applyNumberFormat="1" applyFont="1" applyFill="1" applyBorder="1" applyAlignment="1">
      <alignment horizontal="center" vertical="center"/>
    </xf>
    <xf numFmtId="1" fontId="3" fillId="3" borderId="667" xfId="0" applyNumberFormat="1" applyFont="1" applyFill="1" applyBorder="1" applyAlignment="1">
      <alignment horizontal="center" vertical="center" wrapText="1"/>
    </xf>
    <xf numFmtId="1" fontId="3" fillId="3" borderId="9" xfId="0" applyNumberFormat="1" applyFont="1" applyFill="1" applyBorder="1" applyAlignment="1">
      <alignment horizontal="center" vertical="center" wrapText="1"/>
    </xf>
    <xf numFmtId="1" fontId="3" fillId="3" borderId="255" xfId="0" applyNumberFormat="1" applyFont="1" applyFill="1" applyBorder="1" applyAlignment="1">
      <alignment horizontal="center" vertical="center" wrapText="1"/>
    </xf>
    <xf numFmtId="1" fontId="3" fillId="3" borderId="704" xfId="0" applyNumberFormat="1" applyFont="1" applyFill="1" applyBorder="1" applyAlignment="1">
      <alignment horizontal="center" vertical="center" wrapText="1"/>
    </xf>
    <xf numFmtId="1" fontId="3" fillId="3" borderId="327" xfId="0" applyNumberFormat="1" applyFont="1" applyFill="1" applyBorder="1" applyAlignment="1">
      <alignment horizontal="center" vertical="center" wrapText="1"/>
    </xf>
    <xf numFmtId="1" fontId="3" fillId="3" borderId="790" xfId="0" applyNumberFormat="1" applyFont="1" applyFill="1" applyBorder="1" applyAlignment="1">
      <alignment horizontal="center" vertical="center" wrapText="1"/>
    </xf>
    <xf numFmtId="1" fontId="3" fillId="5" borderId="669" xfId="0" applyNumberFormat="1" applyFont="1" applyFill="1" applyBorder="1" applyAlignment="1">
      <alignment horizontal="center" vertical="center" wrapText="1"/>
    </xf>
    <xf numFmtId="1" fontId="3" fillId="5" borderId="257" xfId="0" applyNumberFormat="1" applyFont="1" applyFill="1" applyBorder="1" applyAlignment="1">
      <alignment horizontal="center" vertical="center" wrapText="1"/>
    </xf>
    <xf numFmtId="1" fontId="3" fillId="3" borderId="761" xfId="0" applyNumberFormat="1" applyFont="1" applyFill="1" applyBorder="1" applyAlignment="1">
      <alignment horizontal="left" vertical="center" wrapText="1"/>
    </xf>
    <xf numFmtId="1" fontId="3" fillId="3" borderId="327" xfId="0" applyNumberFormat="1" applyFont="1" applyFill="1" applyBorder="1" applyAlignment="1">
      <alignment horizontal="left" vertical="center" wrapText="1"/>
    </xf>
    <xf numFmtId="1" fontId="3" fillId="3" borderId="299" xfId="0" applyNumberFormat="1" applyFont="1" applyFill="1" applyBorder="1" applyAlignment="1">
      <alignment horizontal="left" vertical="center" wrapText="1"/>
    </xf>
    <xf numFmtId="1" fontId="3" fillId="5" borderId="843" xfId="0" applyNumberFormat="1" applyFont="1" applyFill="1" applyBorder="1" applyAlignment="1">
      <alignment horizontal="center" vertical="center" wrapText="1"/>
    </xf>
    <xf numFmtId="1" fontId="3" fillId="5" borderId="300" xfId="0" applyNumberFormat="1" applyFont="1" applyFill="1" applyBorder="1" applyAlignment="1">
      <alignment horizontal="center" vertical="center" wrapText="1"/>
    </xf>
    <xf numFmtId="1" fontId="3" fillId="5" borderId="252" xfId="0" applyNumberFormat="1" applyFont="1" applyFill="1" applyBorder="1" applyAlignment="1">
      <alignment horizontal="center" vertical="center" wrapText="1"/>
    </xf>
    <xf numFmtId="1" fontId="3" fillId="0" borderId="815" xfId="0" applyNumberFormat="1" applyFont="1" applyBorder="1" applyAlignment="1">
      <alignment horizontal="left" vertical="center" wrapText="1"/>
    </xf>
    <xf numFmtId="1" fontId="3" fillId="3" borderId="844" xfId="0" applyNumberFormat="1" applyFont="1" applyFill="1" applyBorder="1" applyAlignment="1">
      <alignment horizontal="center" vertical="center"/>
    </xf>
    <xf numFmtId="1" fontId="3" fillId="5" borderId="421" xfId="0" applyNumberFormat="1" applyFont="1" applyFill="1" applyBorder="1" applyAlignment="1" applyProtection="1">
      <alignment horizontal="left" vertical="center" wrapText="1"/>
      <protection hidden="1"/>
    </xf>
    <xf numFmtId="1" fontId="3" fillId="5" borderId="354" xfId="0" applyNumberFormat="1" applyFont="1" applyFill="1" applyBorder="1" applyAlignment="1" applyProtection="1">
      <alignment horizontal="left" vertical="center" wrapText="1"/>
      <protection hidden="1"/>
    </xf>
    <xf numFmtId="1" fontId="3" fillId="0" borderId="815" xfId="0" applyNumberFormat="1" applyFont="1" applyBorder="1" applyAlignment="1" applyProtection="1">
      <alignment horizontal="left" vertical="center" wrapText="1"/>
      <protection hidden="1"/>
    </xf>
    <xf numFmtId="1" fontId="3" fillId="0" borderId="336" xfId="0" applyNumberFormat="1" applyFont="1" applyBorder="1" applyAlignment="1" applyProtection="1">
      <alignment horizontal="left" vertical="center" wrapText="1"/>
      <protection hidden="1"/>
    </xf>
    <xf numFmtId="1" fontId="3" fillId="5" borderId="815" xfId="0" applyNumberFormat="1" applyFont="1" applyFill="1" applyBorder="1" applyAlignment="1" applyProtection="1">
      <alignment horizontal="left" vertical="center" wrapText="1"/>
      <protection hidden="1"/>
    </xf>
    <xf numFmtId="1" fontId="3" fillId="5" borderId="336" xfId="0" applyNumberFormat="1" applyFont="1" applyFill="1" applyBorder="1" applyAlignment="1" applyProtection="1">
      <alignment horizontal="left" vertical="center" wrapText="1"/>
      <protection hidden="1"/>
    </xf>
    <xf numFmtId="1" fontId="3" fillId="0" borderId="764" xfId="0" applyNumberFormat="1" applyFont="1" applyBorder="1" applyAlignment="1" applyProtection="1">
      <alignment horizontal="left" vertical="center" wrapText="1"/>
      <protection hidden="1"/>
    </xf>
    <xf numFmtId="1" fontId="3" fillId="0" borderId="848" xfId="0" applyNumberFormat="1" applyFont="1" applyBorder="1" applyAlignment="1" applyProtection="1">
      <alignment horizontal="left" vertical="center" wrapText="1"/>
      <protection hidden="1"/>
    </xf>
    <xf numFmtId="1" fontId="3" fillId="0" borderId="849" xfId="0" applyNumberFormat="1" applyFont="1" applyBorder="1" applyAlignment="1">
      <alignment horizontal="center" vertical="center" wrapText="1"/>
    </xf>
    <xf numFmtId="1" fontId="3" fillId="0" borderId="843" xfId="0" applyNumberFormat="1" applyFont="1" applyBorder="1" applyAlignment="1">
      <alignment horizontal="center" vertical="center"/>
    </xf>
    <xf numFmtId="1" fontId="3" fillId="0" borderId="850" xfId="0" applyNumberFormat="1" applyFont="1" applyBorder="1" applyAlignment="1">
      <alignment horizontal="center" vertical="center"/>
    </xf>
    <xf numFmtId="1" fontId="3" fillId="0" borderId="851" xfId="0" applyNumberFormat="1" applyFont="1" applyBorder="1" applyAlignment="1">
      <alignment horizontal="center" vertical="center"/>
    </xf>
    <xf numFmtId="1" fontId="3" fillId="0" borderId="852" xfId="0" applyNumberFormat="1" applyFont="1" applyBorder="1" applyAlignment="1">
      <alignment horizontal="center" vertical="center"/>
    </xf>
    <xf numFmtId="1" fontId="3" fillId="0" borderId="851" xfId="0" applyNumberFormat="1" applyFont="1" applyBorder="1" applyAlignment="1">
      <alignment horizontal="center" vertical="center" wrapText="1"/>
    </xf>
    <xf numFmtId="1" fontId="3" fillId="0" borderId="852" xfId="0" applyNumberFormat="1" applyFont="1" applyBorder="1" applyAlignment="1">
      <alignment horizontal="center" vertical="center" wrapText="1"/>
    </xf>
    <xf numFmtId="1" fontId="3" fillId="5" borderId="853" xfId="0" applyNumberFormat="1" applyFont="1" applyFill="1" applyBorder="1" applyAlignment="1">
      <alignment horizontal="center" vertical="center" wrapText="1"/>
    </xf>
    <xf numFmtId="1" fontId="3" fillId="5" borderId="697" xfId="0" applyNumberFormat="1" applyFont="1" applyFill="1" applyBorder="1" applyAlignment="1">
      <alignment horizontal="center" vertical="center" wrapText="1"/>
    </xf>
    <xf numFmtId="1" fontId="3" fillId="5" borderId="260" xfId="0" applyNumberFormat="1" applyFont="1" applyFill="1" applyBorder="1" applyAlignment="1">
      <alignment horizontal="center" vertical="center" wrapText="1"/>
    </xf>
    <xf numFmtId="1" fontId="3" fillId="5" borderId="746" xfId="0" applyNumberFormat="1" applyFont="1" applyFill="1" applyBorder="1" applyAlignment="1">
      <alignment horizontal="center" vertical="center" wrapText="1"/>
    </xf>
    <xf numFmtId="1" fontId="3" fillId="0" borderId="850" xfId="0" applyNumberFormat="1" applyFont="1" applyBorder="1" applyAlignment="1">
      <alignment horizontal="center" vertical="center" wrapText="1"/>
    </xf>
    <xf numFmtId="1" fontId="3" fillId="0" borderId="847" xfId="0" applyNumberFormat="1" applyFont="1" applyBorder="1" applyAlignment="1">
      <alignment horizontal="center" vertical="center" wrapText="1"/>
    </xf>
    <xf numFmtId="1" fontId="3" fillId="0" borderId="133" xfId="0" applyNumberFormat="1" applyFont="1" applyBorder="1" applyAlignment="1">
      <alignment horizontal="center" vertical="center" wrapText="1"/>
    </xf>
    <xf numFmtId="1" fontId="3" fillId="0" borderId="854" xfId="0" applyNumberFormat="1" applyFont="1" applyBorder="1" applyAlignment="1">
      <alignment horizontal="center" vertical="center" wrapText="1"/>
    </xf>
    <xf numFmtId="1" fontId="2" fillId="3" borderId="851" xfId="0" applyNumberFormat="1" applyFont="1" applyFill="1" applyBorder="1" applyAlignment="1">
      <alignment horizontal="left" vertical="center" wrapText="1"/>
    </xf>
    <xf numFmtId="1" fontId="3" fillId="0" borderId="843" xfId="0" applyNumberFormat="1" applyFont="1" applyBorder="1" applyAlignment="1">
      <alignment horizontal="center" vertical="center" wrapText="1"/>
    </xf>
    <xf numFmtId="1" fontId="3" fillId="0" borderId="847" xfId="0" applyNumberFormat="1" applyFont="1" applyBorder="1" applyAlignment="1">
      <alignment horizontal="center" vertical="center"/>
    </xf>
    <xf numFmtId="1" fontId="3" fillId="0" borderId="859" xfId="0" applyNumberFormat="1" applyFont="1" applyBorder="1" applyAlignment="1">
      <alignment horizontal="center" vertical="center"/>
    </xf>
    <xf numFmtId="1" fontId="3" fillId="0" borderId="860" xfId="0" applyNumberFormat="1" applyFont="1" applyBorder="1" applyAlignment="1">
      <alignment horizontal="left"/>
    </xf>
    <xf numFmtId="1" fontId="3" fillId="0" borderId="861" xfId="0" applyNumberFormat="1" applyFont="1" applyBorder="1" applyAlignment="1">
      <alignment horizontal="left"/>
    </xf>
    <xf numFmtId="1" fontId="3" fillId="0" borderId="810" xfId="0" applyNumberFormat="1" applyFont="1" applyBorder="1" applyAlignment="1">
      <alignment horizontal="left" vertical="center" wrapText="1"/>
    </xf>
    <xf numFmtId="1" fontId="3" fillId="0" borderId="255" xfId="0" applyNumberFormat="1" applyFont="1" applyBorder="1" applyAlignment="1">
      <alignment horizontal="left"/>
    </xf>
    <xf numFmtId="1" fontId="3" fillId="0" borderId="257" xfId="0" applyNumberFormat="1" applyFont="1" applyBorder="1" applyAlignment="1">
      <alignment horizontal="left"/>
    </xf>
    <xf numFmtId="1" fontId="3" fillId="0" borderId="860" xfId="0" applyNumberFormat="1" applyFont="1" applyBorder="1"/>
    <xf numFmtId="1" fontId="3" fillId="0" borderId="861" xfId="0" applyNumberFormat="1" applyFont="1" applyBorder="1"/>
    <xf numFmtId="1" fontId="3" fillId="0" borderId="255" xfId="0" applyNumberFormat="1" applyFont="1" applyBorder="1"/>
    <xf numFmtId="1" fontId="3" fillId="0" borderId="257" xfId="0" applyNumberFormat="1" applyFont="1" applyBorder="1"/>
    <xf numFmtId="1" fontId="3" fillId="5" borderId="851" xfId="0" applyNumberFormat="1" applyFont="1" applyFill="1" applyBorder="1" applyAlignment="1">
      <alignment horizontal="center" vertical="center" wrapText="1"/>
    </xf>
    <xf numFmtId="1" fontId="3" fillId="5" borderId="852" xfId="0" applyNumberFormat="1" applyFont="1" applyFill="1" applyBorder="1" applyAlignment="1">
      <alignment horizontal="center" vertical="center" wrapText="1"/>
    </xf>
    <xf numFmtId="1" fontId="3" fillId="5" borderId="863" xfId="0" applyNumberFormat="1" applyFont="1" applyFill="1" applyBorder="1" applyAlignment="1">
      <alignment horizontal="center" vertical="center" wrapText="1"/>
    </xf>
    <xf numFmtId="0" fontId="3" fillId="0" borderId="850" xfId="0" applyFont="1" applyBorder="1" applyAlignment="1">
      <alignment horizontal="center" vertical="center" wrapText="1"/>
    </xf>
    <xf numFmtId="0" fontId="3" fillId="0" borderId="852" xfId="0" applyFont="1" applyBorder="1" applyAlignment="1">
      <alignment horizontal="center" vertical="center" wrapText="1"/>
    </xf>
    <xf numFmtId="0" fontId="3" fillId="0" borderId="863" xfId="0" applyFont="1" applyBorder="1" applyAlignment="1">
      <alignment horizontal="center" vertical="center" wrapText="1"/>
    </xf>
    <xf numFmtId="0" fontId="3" fillId="0" borderId="847" xfId="0" applyFont="1" applyBorder="1" applyAlignment="1">
      <alignment horizontal="center" vertical="center" wrapText="1"/>
    </xf>
    <xf numFmtId="0" fontId="3" fillId="0" borderId="851" xfId="0" applyFont="1" applyBorder="1" applyAlignment="1">
      <alignment horizontal="center" vertical="center" wrapText="1"/>
    </xf>
    <xf numFmtId="0" fontId="3" fillId="0" borderId="764" xfId="0" applyFont="1" applyBorder="1" applyAlignment="1">
      <alignment horizontal="left" vertical="center"/>
    </xf>
    <xf numFmtId="0" fontId="3" fillId="0" borderId="848" xfId="0" applyFont="1" applyBorder="1" applyAlignment="1">
      <alignment horizontal="left" vertical="center"/>
    </xf>
    <xf numFmtId="0" fontId="3" fillId="0" borderId="815" xfId="0" applyFont="1" applyBorder="1" applyAlignment="1">
      <alignment horizontal="left" vertical="center"/>
    </xf>
    <xf numFmtId="0" fontId="3" fillId="0" borderId="336" xfId="0" applyFont="1" applyBorder="1" applyAlignment="1">
      <alignment horizontal="left" vertical="center"/>
    </xf>
    <xf numFmtId="0" fontId="3" fillId="0" borderId="39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37" xfId="0" applyFont="1" applyBorder="1" applyAlignment="1">
      <alignment horizontal="left" vertical="center"/>
    </xf>
    <xf numFmtId="0" fontId="3" fillId="0" borderId="134" xfId="0" applyFont="1" applyBorder="1" applyAlignment="1">
      <alignment horizontal="left" vertical="center"/>
    </xf>
    <xf numFmtId="0" fontId="3" fillId="0" borderId="421" xfId="0" applyFont="1" applyBorder="1" applyAlignment="1">
      <alignment horizontal="left" vertical="center"/>
    </xf>
    <xf numFmtId="0" fontId="3" fillId="0" borderId="354" xfId="0" applyFont="1" applyBorder="1" applyAlignment="1">
      <alignment horizontal="left" vertical="center"/>
    </xf>
    <xf numFmtId="0" fontId="3" fillId="0" borderId="849" xfId="0" applyFont="1" applyBorder="1" applyAlignment="1">
      <alignment horizontal="center" vertical="center"/>
    </xf>
    <xf numFmtId="0" fontId="3" fillId="0" borderId="327" xfId="0" applyFont="1" applyBorder="1" applyAlignment="1">
      <alignment horizontal="center" vertical="center"/>
    </xf>
    <xf numFmtId="0" fontId="3" fillId="0" borderId="299" xfId="0" applyFont="1" applyBorder="1" applyAlignment="1">
      <alignment horizontal="center" vertical="center"/>
    </xf>
    <xf numFmtId="0" fontId="3" fillId="0" borderId="859" xfId="0" applyFont="1" applyBorder="1" applyAlignment="1">
      <alignment horizontal="center" vertical="center"/>
    </xf>
    <xf numFmtId="0" fontId="3" fillId="0" borderId="866" xfId="0" applyFont="1" applyBorder="1" applyAlignment="1">
      <alignment horizontal="center" vertical="center"/>
    </xf>
    <xf numFmtId="0" fontId="3" fillId="0" borderId="866" xfId="0" applyFont="1" applyBorder="1" applyAlignment="1">
      <alignment horizontal="center" vertical="center" wrapText="1"/>
    </xf>
    <xf numFmtId="1" fontId="3" fillId="0" borderId="863" xfId="0" applyNumberFormat="1" applyFont="1" applyBorder="1" applyAlignment="1">
      <alignment horizontal="center" vertical="center" wrapText="1"/>
    </xf>
    <xf numFmtId="0" fontId="3" fillId="0" borderId="859" xfId="0" applyFont="1" applyBorder="1" applyAlignment="1">
      <alignment horizontal="center" vertical="center" wrapText="1"/>
    </xf>
    <xf numFmtId="0" fontId="3" fillId="0" borderId="856" xfId="0" applyFont="1" applyBorder="1" applyAlignment="1">
      <alignment horizontal="center" vertical="center" wrapText="1"/>
    </xf>
    <xf numFmtId="1" fontId="3" fillId="0" borderId="867" xfId="0" applyNumberFormat="1" applyFont="1" applyBorder="1" applyAlignment="1">
      <alignment horizontal="center" vertical="center" wrapText="1"/>
    </xf>
    <xf numFmtId="1" fontId="3" fillId="5" borderId="868" xfId="0" applyNumberFormat="1" applyFont="1" applyFill="1" applyBorder="1" applyAlignment="1">
      <alignment horizontal="center" vertical="center" wrapText="1"/>
    </xf>
    <xf numFmtId="1" fontId="3" fillId="5" borderId="869" xfId="0" applyNumberFormat="1" applyFont="1" applyFill="1" applyBorder="1" applyAlignment="1">
      <alignment horizontal="center" vertical="center" wrapText="1"/>
    </xf>
    <xf numFmtId="1" fontId="3" fillId="5" borderId="745" xfId="0" applyNumberFormat="1" applyFont="1" applyFill="1" applyBorder="1" applyAlignment="1">
      <alignment horizontal="center" vertical="center" wrapText="1"/>
    </xf>
    <xf numFmtId="1" fontId="3" fillId="0" borderId="849" xfId="0" applyNumberFormat="1" applyFont="1" applyBorder="1" applyAlignment="1">
      <alignment horizontal="left" vertical="center" wrapText="1"/>
    </xf>
    <xf numFmtId="0" fontId="3" fillId="0" borderId="843" xfId="0" applyFont="1" applyBorder="1" applyAlignment="1">
      <alignment horizontal="center" vertical="center"/>
    </xf>
    <xf numFmtId="0" fontId="3" fillId="0" borderId="673" xfId="0" applyFont="1" applyBorder="1" applyAlignment="1">
      <alignment horizontal="center" vertical="center"/>
    </xf>
    <xf numFmtId="0" fontId="3" fillId="0" borderId="770" xfId="0" applyFont="1" applyBorder="1" applyAlignment="1">
      <alignment horizontal="center" vertical="center"/>
    </xf>
    <xf numFmtId="0" fontId="3" fillId="0" borderId="672" xfId="0" applyFont="1" applyBorder="1" applyAlignment="1">
      <alignment horizontal="center" vertical="center"/>
    </xf>
    <xf numFmtId="0" fontId="3" fillId="0" borderId="252" xfId="0" applyFont="1" applyBorder="1" applyAlignment="1">
      <alignment horizontal="center" vertical="center"/>
    </xf>
    <xf numFmtId="0" fontId="3" fillId="0" borderId="850" xfId="0" applyFont="1" applyBorder="1" applyAlignment="1">
      <alignment horizontal="center" vertical="center"/>
    </xf>
    <xf numFmtId="0" fontId="3" fillId="0" borderId="851" xfId="0" applyFont="1" applyBorder="1" applyAlignment="1">
      <alignment horizontal="center" vertical="center"/>
    </xf>
    <xf numFmtId="0" fontId="3" fillId="0" borderId="852" xfId="0" applyFont="1" applyBorder="1" applyAlignment="1">
      <alignment horizontal="center" vertical="center"/>
    </xf>
    <xf numFmtId="1" fontId="2" fillId="3" borderId="851" xfId="0" applyNumberFormat="1" applyFont="1" applyFill="1" applyBorder="1" applyAlignment="1">
      <alignment horizontal="left"/>
    </xf>
    <xf numFmtId="0" fontId="3" fillId="0" borderId="843" xfId="0" applyFont="1" applyBorder="1" applyAlignment="1">
      <alignment horizontal="center" vertical="center" wrapText="1"/>
    </xf>
    <xf numFmtId="0" fontId="3" fillId="0" borderId="668" xfId="0" applyFont="1" applyBorder="1" applyAlignment="1">
      <alignment horizontal="center" vertical="center" wrapText="1"/>
    </xf>
    <xf numFmtId="0" fontId="3" fillId="0" borderId="133" xfId="0" applyFont="1" applyBorder="1" applyAlignment="1">
      <alignment horizontal="center" vertical="center" wrapText="1"/>
    </xf>
    <xf numFmtId="0" fontId="3" fillId="0" borderId="251" xfId="0" applyFont="1" applyBorder="1" applyAlignment="1">
      <alignment horizontal="center" vertical="center" wrapText="1"/>
    </xf>
    <xf numFmtId="0" fontId="3" fillId="0" borderId="770" xfId="0" applyFont="1" applyBorder="1" applyAlignment="1">
      <alignment horizontal="center" vertical="center" wrapText="1"/>
    </xf>
    <xf numFmtId="1" fontId="2" fillId="3" borderId="252" xfId="0" applyNumberFormat="1" applyFont="1" applyFill="1" applyBorder="1" applyAlignment="1">
      <alignment horizontal="left"/>
    </xf>
    <xf numFmtId="49" fontId="3" fillId="0" borderId="850" xfId="0" applyNumberFormat="1" applyFont="1" applyBorder="1" applyAlignment="1">
      <alignment horizontal="center"/>
    </xf>
    <xf numFmtId="49" fontId="3" fillId="0" borderId="847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851" xfId="0" applyFont="1" applyBorder="1" applyAlignment="1">
      <alignment horizontal="left" wrapText="1"/>
    </xf>
    <xf numFmtId="0" fontId="3" fillId="0" borderId="849" xfId="0" applyFont="1" applyBorder="1" applyAlignment="1">
      <alignment horizontal="center" vertical="center" wrapText="1"/>
    </xf>
    <xf numFmtId="0" fontId="3" fillId="0" borderId="299" xfId="0" applyFont="1" applyBorder="1" applyAlignment="1">
      <alignment horizontal="center" vertical="center" wrapText="1"/>
    </xf>
    <xf numFmtId="0" fontId="2" fillId="0" borderId="252" xfId="0" applyFont="1" applyBorder="1" applyAlignment="1">
      <alignment horizontal="left" wrapText="1"/>
    </xf>
    <xf numFmtId="0" fontId="4" fillId="0" borderId="849" xfId="0" applyFont="1" applyBorder="1" applyAlignment="1">
      <alignment horizontal="center" vertical="center" wrapText="1"/>
    </xf>
    <xf numFmtId="0" fontId="4" fillId="0" borderId="299" xfId="0" applyFont="1" applyBorder="1" applyAlignment="1">
      <alignment horizontal="center" vertical="center" wrapText="1"/>
    </xf>
    <xf numFmtId="0" fontId="3" fillId="0" borderId="673" xfId="0" applyFont="1" applyBorder="1" applyAlignment="1">
      <alignment horizontal="center"/>
    </xf>
    <xf numFmtId="0" fontId="3" fillId="0" borderId="770" xfId="0" applyFont="1" applyBorder="1" applyAlignment="1">
      <alignment horizontal="center"/>
    </xf>
    <xf numFmtId="0" fontId="3" fillId="0" borderId="867" xfId="0" applyFont="1" applyBorder="1" applyAlignment="1">
      <alignment horizontal="center" vertical="center" wrapText="1"/>
    </xf>
    <xf numFmtId="0" fontId="0" fillId="0" borderId="849" xfId="0" applyBorder="1" applyAlignment="1">
      <alignment horizontal="center" vertical="center" wrapText="1"/>
    </xf>
    <xf numFmtId="0" fontId="0" fillId="0" borderId="299" xfId="0" applyBorder="1" applyAlignment="1">
      <alignment horizontal="center" vertical="center" wrapText="1"/>
    </xf>
    <xf numFmtId="0" fontId="2" fillId="5" borderId="252" xfId="0" applyFont="1" applyFill="1" applyBorder="1" applyAlignment="1">
      <alignment horizontal="left" wrapText="1"/>
    </xf>
    <xf numFmtId="1" fontId="2" fillId="3" borderId="0" xfId="0" applyNumberFormat="1" applyFont="1" applyFill="1" applyAlignment="1">
      <alignment horizontal="left" vertical="center"/>
    </xf>
    <xf numFmtId="0" fontId="3" fillId="0" borderId="847" xfId="0" applyFont="1" applyBorder="1" applyAlignment="1">
      <alignment horizontal="center" vertical="center"/>
    </xf>
    <xf numFmtId="1" fontId="3" fillId="0" borderId="860" xfId="0" applyNumberFormat="1" applyFont="1" applyBorder="1" applyAlignment="1">
      <alignment horizontal="center" vertical="center" wrapText="1"/>
    </xf>
    <xf numFmtId="1" fontId="3" fillId="0" borderId="849" xfId="0" applyNumberFormat="1" applyFont="1" applyBorder="1" applyAlignment="1">
      <alignment horizontal="center" vertical="center"/>
    </xf>
    <xf numFmtId="1" fontId="2" fillId="3" borderId="0" xfId="0" applyNumberFormat="1" applyFont="1" applyFill="1" applyAlignment="1">
      <alignment horizontal="left"/>
    </xf>
    <xf numFmtId="1" fontId="3" fillId="5" borderId="850" xfId="0" applyNumberFormat="1" applyFont="1" applyFill="1" applyBorder="1" applyAlignment="1">
      <alignment horizontal="center" vertical="center" wrapText="1"/>
    </xf>
    <xf numFmtId="1" fontId="3" fillId="0" borderId="853" xfId="0" applyNumberFormat="1" applyFont="1" applyBorder="1" applyAlignment="1">
      <alignment horizontal="center" vertical="center"/>
    </xf>
    <xf numFmtId="1" fontId="3" fillId="0" borderId="697" xfId="0" applyNumberFormat="1" applyFont="1" applyBorder="1" applyAlignment="1">
      <alignment horizontal="center" vertical="center"/>
    </xf>
    <xf numFmtId="1" fontId="3" fillId="0" borderId="260" xfId="0" applyNumberFormat="1" applyFont="1" applyBorder="1" applyAlignment="1">
      <alignment horizontal="center" vertical="center"/>
    </xf>
    <xf numFmtId="1" fontId="3" fillId="0" borderId="746" xfId="0" applyNumberFormat="1" applyFont="1" applyBorder="1" applyAlignment="1">
      <alignment horizontal="center" vertical="center"/>
    </xf>
    <xf numFmtId="1" fontId="3" fillId="0" borderId="868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859" xfId="0" applyNumberFormat="1" applyFont="1" applyBorder="1" applyAlignment="1">
      <alignment horizontal="center" vertical="center" wrapText="1"/>
    </xf>
    <xf numFmtId="1" fontId="3" fillId="0" borderId="862" xfId="0" applyNumberFormat="1" applyFont="1" applyBorder="1" applyAlignment="1">
      <alignment horizontal="center" vertical="center" wrapText="1"/>
    </xf>
    <xf numFmtId="1" fontId="2" fillId="3" borderId="672" xfId="0" applyNumberFormat="1" applyFont="1" applyFill="1" applyBorder="1" applyAlignment="1">
      <alignment horizontal="left"/>
    </xf>
    <xf numFmtId="1" fontId="3" fillId="0" borderId="673" xfId="0" applyNumberFormat="1" applyFont="1" applyBorder="1" applyAlignment="1">
      <alignment horizontal="center" wrapText="1"/>
    </xf>
    <xf numFmtId="1" fontId="3" fillId="0" borderId="770" xfId="0" applyNumberFormat="1" applyFont="1" applyBorder="1" applyAlignment="1">
      <alignment horizontal="center" wrapText="1"/>
    </xf>
    <xf numFmtId="1" fontId="3" fillId="5" borderId="847" xfId="0" applyNumberFormat="1" applyFont="1" applyFill="1" applyBorder="1" applyAlignment="1">
      <alignment horizontal="center" vertical="center" wrapText="1"/>
    </xf>
    <xf numFmtId="1" fontId="3" fillId="0" borderId="862" xfId="0" applyNumberFormat="1" applyFont="1" applyBorder="1" applyAlignment="1">
      <alignment horizontal="center" vertical="center"/>
    </xf>
    <xf numFmtId="1" fontId="3" fillId="0" borderId="256" xfId="0" applyNumberFormat="1" applyFont="1" applyBorder="1" applyAlignment="1">
      <alignment horizontal="center" vertical="center"/>
    </xf>
    <xf numFmtId="0" fontId="3" fillId="0" borderId="862" xfId="0" applyFont="1" applyBorder="1" applyAlignment="1">
      <alignment horizontal="center" vertical="center" wrapText="1"/>
    </xf>
    <xf numFmtId="1" fontId="3" fillId="0" borderId="1159" xfId="6" applyNumberFormat="1" applyFont="1" applyBorder="1" applyAlignment="1">
      <alignment horizontal="center" vertical="center"/>
    </xf>
    <xf numFmtId="1" fontId="3" fillId="0" borderId="1197" xfId="6" applyNumberFormat="1" applyFont="1" applyBorder="1" applyAlignment="1">
      <alignment horizontal="center" vertical="center"/>
    </xf>
    <xf numFmtId="1" fontId="3" fillId="0" borderId="1198" xfId="6" applyNumberFormat="1" applyFont="1" applyBorder="1" applyAlignment="1">
      <alignment horizontal="center" vertical="center"/>
    </xf>
    <xf numFmtId="1" fontId="3" fillId="0" borderId="1087" xfId="6" applyNumberFormat="1" applyFont="1" applyBorder="1" applyAlignment="1">
      <alignment horizontal="center" vertical="center" wrapText="1"/>
    </xf>
    <xf numFmtId="1" fontId="3" fillId="0" borderId="1155" xfId="6" applyNumberFormat="1" applyFont="1" applyBorder="1" applyAlignment="1">
      <alignment horizontal="center" vertical="center" wrapText="1"/>
    </xf>
    <xf numFmtId="1" fontId="3" fillId="0" borderId="1089" xfId="6" applyNumberFormat="1" applyFont="1" applyBorder="1" applyAlignment="1">
      <alignment horizontal="center" vertical="center" wrapText="1"/>
    </xf>
    <xf numFmtId="1" fontId="3" fillId="0" borderId="916" xfId="0" applyNumberFormat="1" applyFont="1" applyBorder="1" applyAlignment="1">
      <alignment horizontal="center" vertical="center" wrapText="1"/>
    </xf>
    <xf numFmtId="1" fontId="3" fillId="0" borderId="896" xfId="6" applyNumberFormat="1" applyFont="1" applyBorder="1" applyAlignment="1">
      <alignment horizontal="left" vertical="center" wrapText="1"/>
    </xf>
    <xf numFmtId="1" fontId="3" fillId="0" borderId="299" xfId="6" applyNumberFormat="1" applyFont="1" applyBorder="1" applyAlignment="1">
      <alignment horizontal="left" vertical="center" wrapText="1"/>
    </xf>
    <xf numFmtId="1" fontId="2" fillId="0" borderId="950" xfId="0" applyNumberFormat="1" applyFont="1" applyBorder="1"/>
    <xf numFmtId="1" fontId="2" fillId="0" borderId="910" xfId="0" applyNumberFormat="1" applyFont="1" applyBorder="1"/>
    <xf numFmtId="1" fontId="2" fillId="0" borderId="672" xfId="0" applyNumberFormat="1" applyFont="1" applyBorder="1"/>
    <xf numFmtId="1" fontId="2" fillId="0" borderId="951" xfId="0" applyNumberFormat="1" applyFont="1" applyBorder="1"/>
    <xf numFmtId="1" fontId="3" fillId="0" borderId="909" xfId="6" applyNumberFormat="1" applyFont="1" applyBorder="1" applyAlignment="1">
      <alignment horizontal="left" wrapText="1"/>
    </xf>
    <xf numFmtId="1" fontId="3" fillId="0" borderId="913" xfId="6" applyNumberFormat="1" applyFont="1" applyBorder="1" applyAlignment="1">
      <alignment horizontal="left" wrapText="1"/>
    </xf>
    <xf numFmtId="1" fontId="3" fillId="0" borderId="896" xfId="6" applyNumberFormat="1" applyFont="1" applyBorder="1" applyAlignment="1">
      <alignment horizontal="left" vertical="center"/>
    </xf>
    <xf numFmtId="1" fontId="3" fillId="0" borderId="299" xfId="6" applyNumberFormat="1" applyFont="1" applyBorder="1" applyAlignment="1">
      <alignment horizontal="left" vertical="center"/>
    </xf>
    <xf numFmtId="1" fontId="3" fillId="0" borderId="909" xfId="6" applyNumberFormat="1" applyFont="1" applyBorder="1" applyAlignment="1">
      <alignment horizontal="left"/>
    </xf>
    <xf numFmtId="1" fontId="3" fillId="0" borderId="913" xfId="6" applyNumberFormat="1" applyFont="1" applyBorder="1" applyAlignment="1">
      <alignment horizontal="left"/>
    </xf>
    <xf numFmtId="0" fontId="7" fillId="5" borderId="916" xfId="0" applyFont="1" applyFill="1" applyBorder="1" applyAlignment="1">
      <alignment horizontal="center"/>
    </xf>
    <xf numFmtId="0" fontId="7" fillId="5" borderId="931" xfId="0" applyFont="1" applyFill="1" applyBorder="1" applyAlignment="1">
      <alignment horizontal="center"/>
    </xf>
    <xf numFmtId="1" fontId="3" fillId="0" borderId="908" xfId="0" applyNumberFormat="1" applyFont="1" applyBorder="1" applyAlignment="1">
      <alignment horizontal="center" vertical="center" wrapText="1"/>
    </xf>
    <xf numFmtId="1" fontId="6" fillId="5" borderId="916" xfId="0" applyNumberFormat="1" applyFont="1" applyFill="1" applyBorder="1" applyAlignment="1">
      <alignment horizontal="center"/>
    </xf>
    <xf numFmtId="1" fontId="3" fillId="0" borderId="672" xfId="6" applyNumberFormat="1" applyFont="1" applyBorder="1" applyAlignment="1">
      <alignment horizontal="center" vertical="center" wrapText="1"/>
    </xf>
    <xf numFmtId="1" fontId="3" fillId="0" borderId="252" xfId="6" applyNumberFormat="1" applyFont="1" applyBorder="1" applyAlignment="1">
      <alignment horizontal="center" vertical="center" wrapText="1"/>
    </xf>
    <xf numFmtId="1" fontId="3" fillId="0" borderId="916" xfId="6" applyNumberFormat="1" applyFont="1" applyBorder="1" applyAlignment="1">
      <alignment horizontal="center" vertical="center" wrapText="1"/>
    </xf>
    <xf numFmtId="1" fontId="3" fillId="3" borderId="916" xfId="0" applyNumberFormat="1" applyFont="1" applyFill="1" applyBorder="1" applyAlignment="1">
      <alignment horizontal="center" vertical="center" wrapText="1"/>
    </xf>
    <xf numFmtId="1" fontId="3" fillId="0" borderId="912" xfId="0" applyNumberFormat="1" applyFont="1" applyBorder="1" applyAlignment="1">
      <alignment horizontal="center" vertical="center"/>
    </xf>
    <xf numFmtId="1" fontId="3" fillId="0" borderId="913" xfId="0" applyNumberFormat="1" applyFont="1" applyBorder="1" applyAlignment="1">
      <alignment horizontal="center" vertical="center"/>
    </xf>
    <xf numFmtId="1" fontId="3" fillId="0" borderId="909" xfId="6" applyNumberFormat="1" applyFont="1" applyBorder="1" applyAlignment="1">
      <alignment horizontal="center" vertical="center" wrapText="1"/>
    </xf>
    <xf numFmtId="1" fontId="3" fillId="0" borderId="910" xfId="6" applyNumberFormat="1" applyFont="1" applyBorder="1" applyAlignment="1">
      <alignment horizontal="center" vertical="center" wrapText="1"/>
    </xf>
    <xf numFmtId="1" fontId="3" fillId="0" borderId="913" xfId="6" applyNumberFormat="1" applyFont="1" applyBorder="1" applyAlignment="1">
      <alignment horizontal="center" vertical="center" wrapText="1"/>
    </xf>
    <xf numFmtId="1" fontId="2" fillId="0" borderId="910" xfId="6" applyNumberFormat="1" applyFont="1" applyBorder="1" applyAlignment="1">
      <alignment horizontal="left" wrapText="1"/>
    </xf>
    <xf numFmtId="1" fontId="3" fillId="0" borderId="896" xfId="6" applyNumberFormat="1" applyFont="1" applyBorder="1" applyAlignment="1">
      <alignment horizontal="center" vertical="center"/>
    </xf>
    <xf numFmtId="1" fontId="3" fillId="0" borderId="299" xfId="6" applyNumberFormat="1" applyFont="1" applyBorder="1" applyAlignment="1">
      <alignment horizontal="center" vertical="center"/>
    </xf>
    <xf numFmtId="1" fontId="3" fillId="0" borderId="908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center" vertical="center" wrapText="1"/>
    </xf>
    <xf numFmtId="1" fontId="3" fillId="0" borderId="770" xfId="6" applyNumberFormat="1" applyFont="1" applyBorder="1" applyAlignment="1">
      <alignment horizontal="center" vertical="center" wrapText="1"/>
    </xf>
    <xf numFmtId="1" fontId="3" fillId="0" borderId="895" xfId="6" applyNumberFormat="1" applyFont="1" applyBorder="1" applyAlignment="1">
      <alignment horizontal="center" vertical="center" wrapText="1"/>
    </xf>
    <xf numFmtId="1" fontId="3" fillId="0" borderId="300" xfId="6" applyNumberFormat="1" applyFont="1" applyBorder="1" applyAlignment="1">
      <alignment horizontal="center" vertical="center" wrapText="1"/>
    </xf>
    <xf numFmtId="1" fontId="3" fillId="0" borderId="896" xfId="0" applyNumberFormat="1" applyFont="1" applyBorder="1" applyAlignment="1">
      <alignment horizontal="center" vertical="center" wrapText="1"/>
    </xf>
    <xf numFmtId="1" fontId="3" fillId="0" borderId="909" xfId="0" applyNumberFormat="1" applyFont="1" applyBorder="1" applyAlignment="1">
      <alignment horizontal="center" vertical="center" wrapText="1"/>
    </xf>
    <xf numFmtId="1" fontId="3" fillId="0" borderId="910" xfId="0" applyNumberFormat="1" applyFont="1" applyBorder="1" applyAlignment="1">
      <alignment horizontal="center" vertical="center" wrapText="1"/>
    </xf>
    <xf numFmtId="1" fontId="3" fillId="0" borderId="911" xfId="0" applyNumberFormat="1" applyFont="1" applyBorder="1" applyAlignment="1">
      <alignment horizontal="center" vertical="center" wrapText="1"/>
    </xf>
    <xf numFmtId="1" fontId="3" fillId="5" borderId="913" xfId="6" applyNumberFormat="1" applyFont="1" applyFill="1" applyBorder="1" applyAlignment="1" applyProtection="1">
      <alignment horizontal="center" wrapText="1"/>
      <protection locked="0"/>
    </xf>
    <xf numFmtId="1" fontId="3" fillId="5" borderId="908" xfId="6" applyNumberFormat="1" applyFont="1" applyFill="1" applyBorder="1" applyAlignment="1" applyProtection="1">
      <alignment horizontal="center" wrapText="1"/>
      <protection locked="0"/>
    </xf>
    <xf numFmtId="1" fontId="3" fillId="0" borderId="916" xfId="6" applyNumberFormat="1" applyFont="1" applyBorder="1" applyAlignment="1">
      <alignment horizontal="center"/>
    </xf>
    <xf numFmtId="1" fontId="3" fillId="0" borderId="931" xfId="6" applyNumberFormat="1" applyFont="1" applyBorder="1" applyAlignment="1">
      <alignment horizontal="center"/>
    </xf>
    <xf numFmtId="1" fontId="3" fillId="5" borderId="913" xfId="6" applyNumberFormat="1" applyFont="1" applyFill="1" applyBorder="1" applyAlignment="1" applyProtection="1">
      <alignment horizontal="center" vertical="center" wrapText="1"/>
      <protection locked="0"/>
    </xf>
    <xf numFmtId="1" fontId="3" fillId="0" borderId="931" xfId="6" applyNumberFormat="1" applyFont="1" applyBorder="1" applyAlignment="1">
      <alignment horizontal="center" vertical="center"/>
    </xf>
    <xf numFmtId="1" fontId="1" fillId="3" borderId="0" xfId="0" applyNumberFormat="1" applyFont="1" applyFill="1" applyAlignment="1">
      <alignment horizontal="center"/>
    </xf>
    <xf numFmtId="1" fontId="3" fillId="3" borderId="20" xfId="0" applyNumberFormat="1" applyFont="1" applyFill="1" applyBorder="1" applyAlignment="1">
      <alignment horizontal="center" vertical="center"/>
    </xf>
    <xf numFmtId="1" fontId="3" fillId="3" borderId="770" xfId="0" applyNumberFormat="1" applyFont="1" applyFill="1" applyBorder="1" applyAlignment="1">
      <alignment horizontal="center" vertical="center"/>
    </xf>
    <xf numFmtId="1" fontId="3" fillId="3" borderId="668" xfId="0" applyNumberFormat="1" applyFont="1" applyFill="1" applyBorder="1" applyAlignment="1">
      <alignment horizontal="center" vertical="center" wrapText="1"/>
    </xf>
    <xf numFmtId="1" fontId="3" fillId="3" borderId="133" xfId="0" applyNumberFormat="1" applyFont="1" applyFill="1" applyBorder="1" applyAlignment="1">
      <alignment horizontal="center" vertical="center" wrapText="1"/>
    </xf>
    <xf numFmtId="1" fontId="3" fillId="3" borderId="251" xfId="0" applyNumberFormat="1" applyFont="1" applyFill="1" applyBorder="1" applyAlignment="1">
      <alignment horizontal="center" vertical="center" wrapText="1"/>
    </xf>
    <xf numFmtId="1" fontId="3" fillId="3" borderId="862" xfId="0" applyNumberFormat="1" applyFont="1" applyFill="1" applyBorder="1" applyAlignment="1">
      <alignment horizontal="center" vertical="center" wrapText="1"/>
    </xf>
    <xf numFmtId="1" fontId="4" fillId="3" borderId="843" xfId="0" applyNumberFormat="1" applyFont="1" applyFill="1" applyBorder="1" applyAlignment="1">
      <alignment horizontal="center" vertical="center"/>
    </xf>
    <xf numFmtId="1" fontId="4" fillId="3" borderId="672" xfId="0" applyNumberFormat="1" applyFont="1" applyFill="1" applyBorder="1" applyAlignment="1">
      <alignment horizontal="center" vertical="center"/>
    </xf>
    <xf numFmtId="1" fontId="4" fillId="3" borderId="697" xfId="0" applyNumberFormat="1" applyFont="1" applyFill="1" applyBorder="1" applyAlignment="1">
      <alignment horizontal="center" vertical="center"/>
    </xf>
    <xf numFmtId="1" fontId="3" fillId="0" borderId="896" xfId="6" applyNumberFormat="1" applyFont="1" applyBorder="1" applyAlignment="1">
      <alignment horizontal="center" vertical="center" wrapText="1"/>
    </xf>
    <xf numFmtId="1" fontId="3" fillId="0" borderId="299" xfId="6" applyNumberFormat="1" applyFont="1" applyBorder="1" applyAlignment="1">
      <alignment horizontal="center" vertical="center" wrapText="1"/>
    </xf>
    <xf numFmtId="1" fontId="3" fillId="0" borderId="899" xfId="6" applyNumberFormat="1" applyFont="1" applyBorder="1" applyAlignment="1">
      <alignment horizontal="left"/>
    </xf>
    <xf numFmtId="1" fontId="3" fillId="0" borderId="917" xfId="6" applyNumberFormat="1" applyFont="1" applyBorder="1" applyAlignment="1">
      <alignment horizontal="left"/>
    </xf>
    <xf numFmtId="1" fontId="3" fillId="0" borderId="901" xfId="6" applyNumberFormat="1" applyFont="1" applyBorder="1" applyAlignment="1">
      <alignment horizontal="left"/>
    </xf>
    <xf numFmtId="1" fontId="3" fillId="0" borderId="919" xfId="6" applyNumberFormat="1" applyFont="1" applyBorder="1" applyAlignment="1">
      <alignment horizontal="left"/>
    </xf>
    <xf numFmtId="1" fontId="3" fillId="0" borderId="421" xfId="6" applyNumberFormat="1" applyFont="1" applyBorder="1" applyAlignment="1">
      <alignment horizontal="left"/>
    </xf>
    <xf numFmtId="1" fontId="3" fillId="0" borderId="354" xfId="6" applyNumberFormat="1" applyFont="1" applyBorder="1" applyAlignment="1">
      <alignment horizontal="left"/>
    </xf>
    <xf numFmtId="0" fontId="64" fillId="0" borderId="1087" xfId="0" applyFont="1" applyBorder="1" applyAlignment="1">
      <alignment horizontal="center"/>
    </xf>
    <xf numFmtId="0" fontId="64" fillId="0" borderId="1198" xfId="0" applyFont="1" applyBorder="1" applyAlignment="1">
      <alignment horizontal="center"/>
    </xf>
    <xf numFmtId="1" fontId="4" fillId="3" borderId="851" xfId="0" applyNumberFormat="1" applyFont="1" applyFill="1" applyBorder="1" applyAlignment="1">
      <alignment horizontal="center" vertical="center"/>
    </xf>
    <xf numFmtId="1" fontId="4" fillId="3" borderId="847" xfId="0" applyNumberFormat="1" applyFont="1" applyFill="1" applyBorder="1" applyAlignment="1">
      <alignment horizontal="center" vertical="center"/>
    </xf>
    <xf numFmtId="1" fontId="3" fillId="3" borderId="843" xfId="0" applyNumberFormat="1" applyFont="1" applyFill="1" applyBorder="1" applyAlignment="1">
      <alignment horizontal="center" vertical="center" wrapText="1"/>
    </xf>
    <xf numFmtId="1" fontId="3" fillId="0" borderId="895" xfId="0" applyNumberFormat="1" applyFont="1" applyBorder="1" applyAlignment="1">
      <alignment horizontal="center" vertical="center" wrapText="1"/>
    </xf>
    <xf numFmtId="1" fontId="3" fillId="0" borderId="908" xfId="0" applyNumberFormat="1" applyFont="1" applyBorder="1" applyAlignment="1">
      <alignment horizontal="center" vertical="center"/>
    </xf>
    <xf numFmtId="1" fontId="3" fillId="0" borderId="909" xfId="0" applyNumberFormat="1" applyFont="1" applyBorder="1" applyAlignment="1">
      <alignment horizontal="center" vertical="center"/>
    </xf>
    <xf numFmtId="1" fontId="3" fillId="0" borderId="909" xfId="0" applyNumberFormat="1" applyFont="1" applyBorder="1" applyAlignment="1">
      <alignment horizontal="center"/>
    </xf>
    <xf numFmtId="1" fontId="3" fillId="0" borderId="910" xfId="0" applyNumberFormat="1" applyFont="1" applyBorder="1" applyAlignment="1">
      <alignment horizontal="center"/>
    </xf>
    <xf numFmtId="1" fontId="3" fillId="0" borderId="913" xfId="0" applyNumberFormat="1" applyFont="1" applyBorder="1" applyAlignment="1">
      <alignment horizontal="center"/>
    </xf>
    <xf numFmtId="1" fontId="3" fillId="3" borderId="909" xfId="0" applyNumberFormat="1" applyFont="1" applyFill="1" applyBorder="1" applyAlignment="1">
      <alignment horizontal="center" vertical="center"/>
    </xf>
    <xf numFmtId="1" fontId="3" fillId="3" borderId="910" xfId="0" applyNumberFormat="1" applyFont="1" applyFill="1" applyBorder="1" applyAlignment="1">
      <alignment horizontal="center" vertical="center"/>
    </xf>
    <xf numFmtId="1" fontId="3" fillId="3" borderId="913" xfId="0" applyNumberFormat="1" applyFont="1" applyFill="1" applyBorder="1" applyAlignment="1">
      <alignment horizontal="center" vertical="center"/>
    </xf>
    <xf numFmtId="1" fontId="3" fillId="0" borderId="910" xfId="0" applyNumberFormat="1" applyFont="1" applyBorder="1" applyAlignment="1">
      <alignment horizontal="center" vertical="center"/>
    </xf>
    <xf numFmtId="1" fontId="3" fillId="0" borderId="895" xfId="0" applyNumberFormat="1" applyFont="1" applyBorder="1" applyAlignment="1">
      <alignment horizontal="center" vertical="center"/>
    </xf>
    <xf numFmtId="1" fontId="3" fillId="0" borderId="971" xfId="0" applyNumberFormat="1" applyFont="1" applyBorder="1" applyAlignment="1">
      <alignment horizontal="center" vertical="center" wrapText="1"/>
    </xf>
    <xf numFmtId="1" fontId="3" fillId="0" borderId="994" xfId="0" applyNumberFormat="1" applyFont="1" applyBorder="1" applyAlignment="1">
      <alignment horizontal="center" vertical="center" wrapText="1"/>
    </xf>
    <xf numFmtId="1" fontId="3" fillId="0" borderId="911" xfId="0" applyNumberFormat="1" applyFont="1" applyBorder="1" applyAlignment="1">
      <alignment horizontal="center"/>
    </xf>
    <xf numFmtId="1" fontId="3" fillId="0" borderId="978" xfId="0" applyNumberFormat="1" applyFont="1" applyBorder="1" applyAlignment="1">
      <alignment horizontal="center" vertical="center"/>
    </xf>
    <xf numFmtId="1" fontId="3" fillId="3" borderId="911" xfId="0" applyNumberFormat="1" applyFont="1" applyFill="1" applyBorder="1" applyAlignment="1">
      <alignment horizontal="center" vertical="center"/>
    </xf>
    <xf numFmtId="1" fontId="3" fillId="0" borderId="897" xfId="0" applyNumberFormat="1" applyFont="1" applyBorder="1" applyAlignment="1">
      <alignment horizontal="center" vertical="center" wrapText="1"/>
    </xf>
    <xf numFmtId="1" fontId="3" fillId="0" borderId="977" xfId="0" applyNumberFormat="1" applyFont="1" applyBorder="1" applyAlignment="1">
      <alignment horizontal="center" vertical="center" wrapText="1"/>
    </xf>
    <xf numFmtId="0" fontId="3" fillId="0" borderId="900" xfId="0" applyFont="1" applyBorder="1" applyAlignment="1">
      <alignment horizontal="left" vertical="center"/>
    </xf>
    <xf numFmtId="0" fontId="3" fillId="0" borderId="962" xfId="0" applyFont="1" applyBorder="1" applyAlignment="1">
      <alignment horizontal="left" vertical="center"/>
    </xf>
    <xf numFmtId="0" fontId="3" fillId="0" borderId="895" xfId="0" applyFont="1" applyBorder="1" applyAlignment="1">
      <alignment horizontal="left" vertical="center"/>
    </xf>
    <xf numFmtId="0" fontId="3" fillId="0" borderId="908" xfId="0" applyFont="1" applyBorder="1" applyAlignment="1">
      <alignment horizontal="left" vertical="center"/>
    </xf>
    <xf numFmtId="0" fontId="3" fillId="0" borderId="300" xfId="0" applyFont="1" applyBorder="1" applyAlignment="1">
      <alignment horizontal="left" vertical="center"/>
    </xf>
    <xf numFmtId="0" fontId="3" fillId="0" borderId="770" xfId="0" applyFont="1" applyBorder="1" applyAlignment="1">
      <alignment horizontal="left" vertical="center"/>
    </xf>
    <xf numFmtId="1" fontId="3" fillId="0" borderId="900" xfId="0" applyNumberFormat="1" applyFont="1" applyBorder="1" applyAlignment="1">
      <alignment horizontal="left" vertical="center" wrapText="1"/>
    </xf>
    <xf numFmtId="1" fontId="3" fillId="0" borderId="962" xfId="0" applyNumberFormat="1" applyFont="1" applyBorder="1" applyAlignment="1">
      <alignment horizontal="left" vertical="center" wrapText="1"/>
    </xf>
    <xf numFmtId="1" fontId="3" fillId="0" borderId="900" xfId="0" applyNumberFormat="1" applyFont="1" applyBorder="1" applyAlignment="1">
      <alignment horizontal="center" vertical="center"/>
    </xf>
    <xf numFmtId="1" fontId="3" fillId="0" borderId="958" xfId="0" applyNumberFormat="1" applyFont="1" applyBorder="1" applyAlignment="1">
      <alignment horizontal="center" vertical="center"/>
    </xf>
    <xf numFmtId="1" fontId="3" fillId="0" borderId="962" xfId="0" applyNumberFormat="1" applyFont="1" applyBorder="1" applyAlignment="1">
      <alignment horizontal="center" vertical="center"/>
    </xf>
    <xf numFmtId="0" fontId="3" fillId="0" borderId="916" xfId="0" applyFont="1" applyBorder="1" applyAlignment="1">
      <alignment horizontal="center" vertical="center" wrapText="1"/>
    </xf>
    <xf numFmtId="1" fontId="3" fillId="3" borderId="908" xfId="0" applyNumberFormat="1" applyFont="1" applyFill="1" applyBorder="1" applyAlignment="1">
      <alignment horizontal="center" vertical="center"/>
    </xf>
    <xf numFmtId="1" fontId="3" fillId="3" borderId="1087" xfId="0" applyNumberFormat="1" applyFont="1" applyFill="1" applyBorder="1" applyAlignment="1">
      <alignment horizontal="center" vertical="center"/>
    </xf>
    <xf numFmtId="1" fontId="3" fillId="3" borderId="1197" xfId="0" applyNumberFormat="1" applyFont="1" applyFill="1" applyBorder="1" applyAlignment="1">
      <alignment horizontal="center" vertical="center"/>
    </xf>
    <xf numFmtId="1" fontId="3" fillId="3" borderId="1198" xfId="0" applyNumberFormat="1" applyFont="1" applyFill="1" applyBorder="1" applyAlignment="1">
      <alignment horizontal="center" vertical="center"/>
    </xf>
    <xf numFmtId="1" fontId="2" fillId="0" borderId="910" xfId="0" applyNumberFormat="1" applyFont="1" applyBorder="1" applyAlignment="1">
      <alignment horizontal="left"/>
    </xf>
    <xf numFmtId="1" fontId="3" fillId="3" borderId="916" xfId="0" applyNumberFormat="1" applyFont="1" applyFill="1" applyBorder="1" applyAlignment="1">
      <alignment horizontal="center" vertical="center"/>
    </xf>
    <xf numFmtId="1" fontId="3" fillId="3" borderId="896" xfId="0" applyNumberFormat="1" applyFont="1" applyFill="1" applyBorder="1" applyAlignment="1">
      <alignment horizontal="left" vertical="center" wrapText="1"/>
    </xf>
    <xf numFmtId="1" fontId="3" fillId="3" borderId="0" xfId="0" applyNumberFormat="1" applyFont="1" applyFill="1" applyAlignment="1">
      <alignment horizontal="center" vertical="center"/>
    </xf>
    <xf numFmtId="1" fontId="3" fillId="3" borderId="895" xfId="0" applyNumberFormat="1" applyFont="1" applyFill="1" applyBorder="1" applyAlignment="1">
      <alignment horizontal="center" vertical="center"/>
    </xf>
    <xf numFmtId="1" fontId="3" fillId="0" borderId="896" xfId="0" applyNumberFormat="1" applyFont="1" applyBorder="1" applyAlignment="1">
      <alignment horizontal="left" vertical="center" wrapText="1"/>
    </xf>
    <xf numFmtId="1" fontId="3" fillId="0" borderId="896" xfId="0" applyNumberFormat="1" applyFont="1" applyBorder="1" applyAlignment="1">
      <alignment horizontal="center" vertical="center"/>
    </xf>
    <xf numFmtId="1" fontId="3" fillId="3" borderId="909" xfId="0" applyNumberFormat="1" applyFont="1" applyFill="1" applyBorder="1" applyAlignment="1">
      <alignment horizontal="center"/>
    </xf>
    <xf numFmtId="1" fontId="3" fillId="3" borderId="913" xfId="0" applyNumberFormat="1" applyFont="1" applyFill="1" applyBorder="1" applyAlignment="1">
      <alignment horizontal="center"/>
    </xf>
    <xf numFmtId="1" fontId="3" fillId="3" borderId="908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left"/>
    </xf>
    <xf numFmtId="1" fontId="3" fillId="3" borderId="909" xfId="0" applyNumberFormat="1" applyFont="1" applyFill="1" applyBorder="1" applyAlignment="1">
      <alignment horizontal="center" vertical="center" wrapText="1"/>
    </xf>
    <xf numFmtId="1" fontId="3" fillId="3" borderId="913" xfId="0" applyNumberFormat="1" applyFont="1" applyFill="1" applyBorder="1" applyAlignment="1">
      <alignment horizontal="center" vertical="center" wrapText="1"/>
    </xf>
    <xf numFmtId="1" fontId="3" fillId="3" borderId="900" xfId="0" applyNumberFormat="1" applyFont="1" applyFill="1" applyBorder="1" applyAlignment="1">
      <alignment horizontal="left" vertical="center" wrapText="1"/>
    </xf>
    <xf numFmtId="1" fontId="3" fillId="3" borderId="958" xfId="0" applyNumberFormat="1" applyFont="1" applyFill="1" applyBorder="1" applyAlignment="1">
      <alignment horizontal="left" vertical="center" wrapText="1"/>
    </xf>
    <xf numFmtId="1" fontId="3" fillId="3" borderId="962" xfId="0" applyNumberFormat="1" applyFont="1" applyFill="1" applyBorder="1" applyAlignment="1">
      <alignment horizontal="left" vertical="center" wrapText="1"/>
    </xf>
    <xf numFmtId="1" fontId="3" fillId="0" borderId="911" xfId="0" applyNumberFormat="1" applyFont="1" applyBorder="1" applyAlignment="1">
      <alignment horizontal="center" vertical="center"/>
    </xf>
    <xf numFmtId="1" fontId="3" fillId="0" borderId="916" xfId="0" applyNumberFormat="1" applyFont="1" applyBorder="1" applyAlignment="1">
      <alignment horizontal="center" vertical="center"/>
    </xf>
    <xf numFmtId="1" fontId="3" fillId="0" borderId="982" xfId="0" applyNumberFormat="1" applyFont="1" applyBorder="1" applyAlignment="1">
      <alignment horizontal="left" vertical="center" wrapText="1"/>
    </xf>
    <xf numFmtId="1" fontId="3" fillId="0" borderId="970" xfId="0" applyNumberFormat="1" applyFont="1" applyBorder="1" applyAlignment="1">
      <alignment horizontal="left" vertical="center" wrapText="1"/>
    </xf>
    <xf numFmtId="1" fontId="3" fillId="0" borderId="992" xfId="0" applyNumberFormat="1" applyFont="1" applyBorder="1" applyAlignment="1">
      <alignment horizontal="left" vertical="center"/>
    </xf>
    <xf numFmtId="1" fontId="3" fillId="0" borderId="899" xfId="0" applyNumberFormat="1" applyFont="1" applyBorder="1" applyAlignment="1">
      <alignment horizontal="left" vertical="center" wrapText="1"/>
    </xf>
    <xf numFmtId="1" fontId="3" fillId="0" borderId="917" xfId="0" applyNumberFormat="1" applyFont="1" applyBorder="1" applyAlignment="1">
      <alignment horizontal="left" vertical="center" wrapText="1"/>
    </xf>
    <xf numFmtId="1" fontId="3" fillId="0" borderId="913" xfId="0" applyNumberFormat="1" applyFont="1" applyBorder="1" applyAlignment="1">
      <alignment horizontal="center" vertical="center" wrapText="1"/>
    </xf>
    <xf numFmtId="1" fontId="3" fillId="0" borderId="908" xfId="14" applyNumberFormat="1" applyFont="1" applyBorder="1" applyAlignment="1">
      <alignment horizontal="center" vertical="center" wrapText="1"/>
    </xf>
    <xf numFmtId="1" fontId="3" fillId="0" borderId="20" xfId="14" applyNumberFormat="1" applyFont="1" applyBorder="1" applyAlignment="1">
      <alignment horizontal="center" vertical="center" wrapText="1"/>
    </xf>
    <xf numFmtId="1" fontId="3" fillId="0" borderId="770" xfId="14" applyNumberFormat="1" applyFont="1" applyBorder="1" applyAlignment="1">
      <alignment horizontal="center" vertical="center" wrapText="1"/>
    </xf>
    <xf numFmtId="1" fontId="3" fillId="0" borderId="895" xfId="14" applyNumberFormat="1" applyFont="1" applyBorder="1" applyAlignment="1">
      <alignment horizontal="center" vertical="center" wrapText="1"/>
    </xf>
    <xf numFmtId="1" fontId="3" fillId="0" borderId="672" xfId="14" applyNumberFormat="1" applyFont="1" applyBorder="1" applyAlignment="1">
      <alignment horizontal="center" vertical="center" wrapText="1"/>
    </xf>
    <xf numFmtId="1" fontId="3" fillId="0" borderId="300" xfId="14" applyNumberFormat="1" applyFont="1" applyBorder="1" applyAlignment="1">
      <alignment horizontal="center" vertical="center" wrapText="1"/>
    </xf>
    <xf numFmtId="1" fontId="3" fillId="0" borderId="252" xfId="14" applyNumberFormat="1" applyFont="1" applyBorder="1" applyAlignment="1">
      <alignment horizontal="center" vertical="center" wrapText="1"/>
    </xf>
    <xf numFmtId="1" fontId="3" fillId="0" borderId="993" xfId="14" quotePrefix="1" applyNumberFormat="1" applyFont="1" applyBorder="1" applyAlignment="1" applyProtection="1">
      <alignment horizontal="center" vertical="center"/>
      <protection hidden="1"/>
    </xf>
    <xf numFmtId="1" fontId="3" fillId="0" borderId="908" xfId="14" quotePrefix="1" applyNumberFormat="1" applyFont="1" applyBorder="1" applyAlignment="1" applyProtection="1">
      <alignment horizontal="center" vertical="center"/>
      <protection hidden="1"/>
    </xf>
    <xf numFmtId="1" fontId="3" fillId="0" borderId="260" xfId="14" quotePrefix="1" applyNumberFormat="1" applyFont="1" applyBorder="1" applyAlignment="1" applyProtection="1">
      <alignment horizontal="center" vertical="center"/>
      <protection hidden="1"/>
    </xf>
    <xf numFmtId="1" fontId="3" fillId="0" borderId="770" xfId="14" quotePrefix="1" applyNumberFormat="1" applyFont="1" applyBorder="1" applyAlignment="1" applyProtection="1">
      <alignment horizontal="center" vertical="center"/>
      <protection hidden="1"/>
    </xf>
    <xf numFmtId="1" fontId="3" fillId="0" borderId="896" xfId="0" applyNumberFormat="1" applyFont="1" applyBorder="1" applyAlignment="1">
      <alignment horizontal="left" vertical="center"/>
    </xf>
    <xf numFmtId="1" fontId="3" fillId="0" borderId="299" xfId="0" applyNumberFormat="1" applyFont="1" applyBorder="1" applyAlignment="1">
      <alignment horizontal="left" vertical="center"/>
    </xf>
    <xf numFmtId="1" fontId="3" fillId="0" borderId="895" xfId="0" applyNumberFormat="1" applyFont="1" applyBorder="1" applyAlignment="1">
      <alignment horizontal="left" vertical="center" wrapText="1"/>
    </xf>
    <xf numFmtId="1" fontId="3" fillId="0" borderId="899" xfId="0" applyNumberFormat="1" applyFont="1" applyBorder="1" applyAlignment="1">
      <alignment horizontal="left" vertical="center"/>
    </xf>
    <xf numFmtId="1" fontId="3" fillId="0" borderId="917" xfId="0" applyNumberFormat="1" applyFont="1" applyBorder="1" applyAlignment="1">
      <alignment horizontal="left" vertical="center"/>
    </xf>
    <xf numFmtId="1" fontId="3" fillId="0" borderId="982" xfId="0" applyNumberFormat="1" applyFont="1" applyBorder="1" applyAlignment="1">
      <alignment horizontal="left" vertical="center"/>
    </xf>
    <xf numFmtId="1" fontId="3" fillId="0" borderId="970" xfId="0" applyNumberFormat="1" applyFont="1" applyBorder="1" applyAlignment="1">
      <alignment horizontal="left" vertical="center"/>
    </xf>
    <xf numFmtId="1" fontId="3" fillId="0" borderId="973" xfId="0" applyNumberFormat="1" applyFont="1" applyBorder="1" applyAlignment="1">
      <alignment horizontal="left" vertical="center"/>
    </xf>
    <xf numFmtId="1" fontId="3" fillId="3" borderId="910" xfId="0" applyNumberFormat="1" applyFont="1" applyFill="1" applyBorder="1" applyAlignment="1">
      <alignment horizontal="center"/>
    </xf>
    <xf numFmtId="1" fontId="3" fillId="3" borderId="911" xfId="0" applyNumberFormat="1" applyFont="1" applyFill="1" applyBorder="1" applyAlignment="1">
      <alignment horizontal="center"/>
    </xf>
    <xf numFmtId="1" fontId="3" fillId="3" borderId="313" xfId="0" applyNumberFormat="1" applyFont="1" applyFill="1" applyBorder="1" applyAlignment="1">
      <alignment horizontal="center" vertical="center"/>
    </xf>
    <xf numFmtId="1" fontId="3" fillId="5" borderId="896" xfId="0" applyNumberFormat="1" applyFont="1" applyFill="1" applyBorder="1" applyAlignment="1">
      <alignment horizontal="center" vertical="center"/>
    </xf>
    <xf numFmtId="1" fontId="3" fillId="5" borderId="999" xfId="0" applyNumberFormat="1" applyFont="1" applyFill="1" applyBorder="1" applyAlignment="1">
      <alignment horizontal="center" vertical="center"/>
    </xf>
    <xf numFmtId="1" fontId="3" fillId="5" borderId="916" xfId="0" applyNumberFormat="1" applyFont="1" applyFill="1" applyBorder="1" applyAlignment="1">
      <alignment horizontal="center" vertical="center"/>
    </xf>
    <xf numFmtId="1" fontId="3" fillId="5" borderId="896" xfId="0" applyNumberFormat="1" applyFont="1" applyFill="1" applyBorder="1" applyAlignment="1">
      <alignment horizontal="left" vertical="center" wrapText="1"/>
    </xf>
    <xf numFmtId="1" fontId="3" fillId="5" borderId="162" xfId="0" applyNumberFormat="1" applyFont="1" applyFill="1" applyBorder="1" applyAlignment="1">
      <alignment horizontal="left" vertical="center" wrapText="1"/>
    </xf>
    <xf numFmtId="0" fontId="3" fillId="0" borderId="909" xfId="0" applyFont="1" applyBorder="1" applyAlignment="1">
      <alignment horizontal="center" vertical="center"/>
    </xf>
    <xf numFmtId="0" fontId="3" fillId="0" borderId="910" xfId="0" applyFont="1" applyBorder="1" applyAlignment="1">
      <alignment horizontal="center" vertical="center"/>
    </xf>
    <xf numFmtId="0" fontId="3" fillId="0" borderId="911" xfId="0" applyFont="1" applyBorder="1" applyAlignment="1">
      <alignment horizontal="center" vertical="center"/>
    </xf>
    <xf numFmtId="0" fontId="3" fillId="0" borderId="252" xfId="0" applyFont="1" applyBorder="1" applyAlignment="1">
      <alignment horizontal="center" vertical="center" wrapText="1"/>
    </xf>
    <xf numFmtId="0" fontId="3" fillId="0" borderId="896" xfId="0" applyFont="1" applyBorder="1" applyAlignment="1">
      <alignment horizontal="center" vertical="center"/>
    </xf>
    <xf numFmtId="0" fontId="3" fillId="0" borderId="999" xfId="0" applyFont="1" applyBorder="1" applyAlignment="1">
      <alignment horizontal="center" vertical="center"/>
    </xf>
    <xf numFmtId="0" fontId="3" fillId="0" borderId="896" xfId="0" applyFont="1" applyBorder="1" applyAlignment="1">
      <alignment horizontal="center" vertical="center" wrapText="1"/>
    </xf>
    <xf numFmtId="0" fontId="3" fillId="0" borderId="999" xfId="0" applyFont="1" applyBorder="1" applyAlignment="1">
      <alignment horizontal="center" vertical="center" wrapText="1"/>
    </xf>
    <xf numFmtId="1" fontId="3" fillId="0" borderId="909" xfId="0" applyNumberFormat="1" applyFont="1" applyBorder="1" applyAlignment="1">
      <alignment horizontal="left" vertical="center" wrapText="1"/>
    </xf>
    <xf numFmtId="1" fontId="3" fillId="0" borderId="913" xfId="0" applyNumberFormat="1" applyFont="1" applyBorder="1" applyAlignment="1">
      <alignment horizontal="left" vertical="center" wrapText="1"/>
    </xf>
    <xf numFmtId="1" fontId="2" fillId="0" borderId="768" xfId="0" applyNumberFormat="1" applyFont="1" applyBorder="1" applyAlignment="1">
      <alignment horizontal="left" wrapText="1"/>
    </xf>
    <xf numFmtId="1" fontId="2" fillId="0" borderId="252" xfId="0" applyNumberFormat="1" applyFont="1" applyBorder="1" applyAlignment="1">
      <alignment horizontal="left" wrapText="1"/>
    </xf>
    <xf numFmtId="1" fontId="3" fillId="0" borderId="999" xfId="0" applyNumberFormat="1" applyFont="1" applyBorder="1" applyAlignment="1">
      <alignment horizontal="center" vertical="center"/>
    </xf>
    <xf numFmtId="1" fontId="3" fillId="3" borderId="896" xfId="0" applyNumberFormat="1" applyFont="1" applyFill="1" applyBorder="1" applyAlignment="1">
      <alignment horizontal="center" vertical="center" wrapText="1"/>
    </xf>
    <xf numFmtId="1" fontId="3" fillId="3" borderId="999" xfId="0" applyNumberFormat="1" applyFont="1" applyFill="1" applyBorder="1" applyAlignment="1">
      <alignment horizontal="center" vertical="center" wrapText="1"/>
    </xf>
    <xf numFmtId="1" fontId="3" fillId="5" borderId="909" xfId="0" applyNumberFormat="1" applyFont="1" applyFill="1" applyBorder="1" applyAlignment="1">
      <alignment horizontal="center" vertical="center" wrapText="1"/>
    </xf>
    <xf numFmtId="1" fontId="3" fillId="5" borderId="910" xfId="0" applyNumberFormat="1" applyFont="1" applyFill="1" applyBorder="1" applyAlignment="1">
      <alignment horizontal="center" vertical="center" wrapText="1"/>
    </xf>
    <xf numFmtId="1" fontId="3" fillId="5" borderId="913" xfId="0" applyNumberFormat="1" applyFont="1" applyFill="1" applyBorder="1" applyAlignment="1">
      <alignment horizontal="center" vertical="center" wrapText="1"/>
    </xf>
    <xf numFmtId="1" fontId="4" fillId="0" borderId="672" xfId="0" applyNumberFormat="1" applyFont="1" applyBorder="1" applyAlignment="1">
      <alignment horizontal="left" wrapText="1"/>
    </xf>
    <xf numFmtId="1" fontId="3" fillId="0" borderId="909" xfId="0" applyNumberFormat="1" applyFont="1" applyBorder="1" applyAlignment="1">
      <alignment horizontal="left" wrapText="1"/>
    </xf>
    <xf numFmtId="1" fontId="3" fillId="0" borderId="913" xfId="0" applyNumberFormat="1" applyFont="1" applyBorder="1" applyAlignment="1">
      <alignment horizontal="left" wrapText="1"/>
    </xf>
    <xf numFmtId="1" fontId="3" fillId="0" borderId="89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978" xfId="0" applyNumberFormat="1" applyFont="1" applyBorder="1" applyAlignment="1">
      <alignment horizontal="center" vertical="center" wrapText="1"/>
    </xf>
    <xf numFmtId="1" fontId="3" fillId="0" borderId="922" xfId="0" applyNumberFormat="1" applyFont="1" applyBorder="1" applyAlignment="1">
      <alignment horizontal="center" vertical="center" wrapText="1"/>
    </xf>
    <xf numFmtId="0" fontId="3" fillId="0" borderId="993" xfId="0" applyFont="1" applyBorder="1" applyAlignment="1">
      <alignment horizontal="center" vertical="center"/>
    </xf>
    <xf numFmtId="0" fontId="3" fillId="0" borderId="908" xfId="0" applyFont="1" applyBorder="1" applyAlignment="1">
      <alignment horizontal="center" vertical="center"/>
    </xf>
    <xf numFmtId="0" fontId="3" fillId="0" borderId="260" xfId="0" applyFont="1" applyBorder="1" applyAlignment="1">
      <alignment horizontal="center" vertical="center"/>
    </xf>
    <xf numFmtId="1" fontId="3" fillId="5" borderId="912" xfId="0" applyNumberFormat="1" applyFont="1" applyFill="1" applyBorder="1" applyAlignment="1">
      <alignment horizontal="center" vertical="center" wrapText="1"/>
    </xf>
    <xf numFmtId="1" fontId="3" fillId="5" borderId="911" xfId="0" applyNumberFormat="1" applyFont="1" applyFill="1" applyBorder="1" applyAlignment="1">
      <alignment horizontal="center" vertical="center" wrapText="1"/>
    </xf>
    <xf numFmtId="1" fontId="3" fillId="3" borderId="909" xfId="0" applyNumberFormat="1" applyFont="1" applyFill="1" applyBorder="1" applyAlignment="1">
      <alignment horizontal="left" vertical="center"/>
    </xf>
    <xf numFmtId="1" fontId="3" fillId="3" borderId="913" xfId="0" applyNumberFormat="1" applyFont="1" applyFill="1" applyBorder="1" applyAlignment="1">
      <alignment horizontal="left" vertical="center"/>
    </xf>
    <xf numFmtId="1" fontId="3" fillId="3" borderId="910" xfId="0" applyNumberFormat="1" applyFont="1" applyFill="1" applyBorder="1" applyAlignment="1">
      <alignment horizontal="center" vertical="center" wrapText="1"/>
    </xf>
    <xf numFmtId="1" fontId="3" fillId="0" borderId="980" xfId="0" applyNumberFormat="1" applyFont="1" applyBorder="1" applyAlignment="1">
      <alignment horizontal="center" vertical="center" wrapText="1"/>
    </xf>
    <xf numFmtId="1" fontId="3" fillId="0" borderId="979" xfId="0" applyNumberFormat="1" applyFont="1" applyBorder="1" applyAlignment="1">
      <alignment horizontal="center" vertical="center" wrapText="1"/>
    </xf>
    <xf numFmtId="1" fontId="3" fillId="3" borderId="897" xfId="0" applyNumberFormat="1" applyFont="1" applyFill="1" applyBorder="1" applyAlignment="1">
      <alignment horizontal="center" vertical="center" wrapText="1"/>
    </xf>
    <xf numFmtId="1" fontId="3" fillId="0" borderId="898" xfId="0" applyNumberFormat="1" applyFont="1" applyBorder="1" applyAlignment="1">
      <alignment horizontal="center" vertical="center" wrapText="1"/>
    </xf>
    <xf numFmtId="1" fontId="3" fillId="3" borderId="979" xfId="0" applyNumberFormat="1" applyFont="1" applyFill="1" applyBorder="1" applyAlignment="1">
      <alignment horizontal="center" vertical="center" wrapText="1"/>
    </xf>
    <xf numFmtId="1" fontId="3" fillId="5" borderId="909" xfId="0" applyNumberFormat="1" applyFont="1" applyFill="1" applyBorder="1" applyAlignment="1">
      <alignment horizontal="left" vertical="center" wrapText="1"/>
    </xf>
    <xf numFmtId="1" fontId="3" fillId="5" borderId="913" xfId="0" applyNumberFormat="1" applyFont="1" applyFill="1" applyBorder="1" applyAlignment="1">
      <alignment horizontal="left" vertical="center" wrapText="1"/>
    </xf>
    <xf numFmtId="1" fontId="3" fillId="3" borderId="909" xfId="0" applyNumberFormat="1" applyFont="1" applyFill="1" applyBorder="1" applyAlignment="1">
      <alignment horizontal="left" vertical="center" wrapText="1"/>
    </xf>
    <xf numFmtId="1" fontId="3" fillId="3" borderId="913" xfId="0" applyNumberFormat="1" applyFont="1" applyFill="1" applyBorder="1" applyAlignment="1">
      <alignment horizontal="left" vertical="center" wrapText="1"/>
    </xf>
    <xf numFmtId="1" fontId="3" fillId="5" borderId="909" xfId="0" applyNumberFormat="1" applyFont="1" applyFill="1" applyBorder="1" applyAlignment="1">
      <alignment horizontal="center" vertical="center"/>
    </xf>
    <xf numFmtId="1" fontId="3" fillId="5" borderId="913" xfId="0" applyNumberFormat="1" applyFont="1" applyFill="1" applyBorder="1" applyAlignment="1">
      <alignment horizontal="center" vertical="center"/>
    </xf>
    <xf numFmtId="1" fontId="3" fillId="5" borderId="895" xfId="0" applyNumberFormat="1" applyFont="1" applyFill="1" applyBorder="1" applyAlignment="1">
      <alignment horizontal="left" vertical="center" wrapText="1"/>
    </xf>
    <xf numFmtId="1" fontId="3" fillId="5" borderId="300" xfId="0" applyNumberFormat="1" applyFont="1" applyFill="1" applyBorder="1" applyAlignment="1">
      <alignment horizontal="left" vertical="center" wrapText="1"/>
    </xf>
    <xf numFmtId="1" fontId="3" fillId="5" borderId="299" xfId="0" applyNumberFormat="1" applyFont="1" applyFill="1" applyBorder="1" applyAlignment="1">
      <alignment horizontal="left" vertical="center"/>
    </xf>
    <xf numFmtId="1" fontId="3" fillId="5" borderId="895" xfId="0" applyNumberFormat="1" applyFont="1" applyFill="1" applyBorder="1" applyAlignment="1">
      <alignment horizontal="center" vertical="center"/>
    </xf>
    <xf numFmtId="1" fontId="3" fillId="5" borderId="908" xfId="0" applyNumberFormat="1" applyFont="1" applyFill="1" applyBorder="1" applyAlignment="1">
      <alignment horizontal="center" vertical="center"/>
    </xf>
    <xf numFmtId="1" fontId="3" fillId="5" borderId="300" xfId="0" applyNumberFormat="1" applyFont="1" applyFill="1" applyBorder="1" applyAlignment="1">
      <alignment horizontal="center" vertical="center"/>
    </xf>
    <xf numFmtId="1" fontId="3" fillId="5" borderId="770" xfId="0" applyNumberFormat="1" applyFont="1" applyFill="1" applyBorder="1" applyAlignment="1">
      <alignment horizontal="center" vertical="center"/>
    </xf>
    <xf numFmtId="1" fontId="6" fillId="3" borderId="909" xfId="0" applyNumberFormat="1" applyFont="1" applyFill="1" applyBorder="1" applyAlignment="1">
      <alignment horizontal="center" vertical="center"/>
    </xf>
    <xf numFmtId="1" fontId="6" fillId="3" borderId="910" xfId="0" applyNumberFormat="1" applyFont="1" applyFill="1" applyBorder="1" applyAlignment="1">
      <alignment horizontal="center" vertical="center"/>
    </xf>
    <xf numFmtId="1" fontId="6" fillId="3" borderId="911" xfId="0" applyNumberFormat="1" applyFont="1" applyFill="1" applyBorder="1" applyAlignment="1">
      <alignment horizontal="center" vertical="center"/>
    </xf>
    <xf numFmtId="0" fontId="3" fillId="0" borderId="913" xfId="0" applyFont="1" applyBorder="1" applyAlignment="1">
      <alignment horizontal="center" vertical="center"/>
    </xf>
    <xf numFmtId="1" fontId="3" fillId="5" borderId="896" xfId="0" applyNumberFormat="1" applyFont="1" applyFill="1" applyBorder="1" applyAlignment="1">
      <alignment horizontal="center" vertical="center" wrapText="1"/>
    </xf>
    <xf numFmtId="1" fontId="3" fillId="5" borderId="299" xfId="0" applyNumberFormat="1" applyFont="1" applyFill="1" applyBorder="1" applyAlignment="1">
      <alignment horizontal="center" vertical="center" wrapText="1"/>
    </xf>
    <xf numFmtId="1" fontId="3" fillId="0" borderId="162" xfId="0" applyNumberFormat="1" applyFont="1" applyBorder="1" applyAlignment="1">
      <alignment horizontal="left" vertical="center"/>
    </xf>
    <xf numFmtId="1" fontId="3" fillId="5" borderId="896" xfId="0" applyNumberFormat="1" applyFont="1" applyFill="1" applyBorder="1" applyAlignment="1">
      <alignment horizontal="left" vertical="center"/>
    </xf>
    <xf numFmtId="1" fontId="3" fillId="5" borderId="162" xfId="0" applyNumberFormat="1" applyFont="1" applyFill="1" applyBorder="1" applyAlignment="1">
      <alignment horizontal="left" vertical="center"/>
    </xf>
    <xf numFmtId="1" fontId="3" fillId="5" borderId="895" xfId="0" applyNumberFormat="1" applyFont="1" applyFill="1" applyBorder="1" applyAlignment="1">
      <alignment horizontal="center" vertical="center" wrapText="1"/>
    </xf>
    <xf numFmtId="1" fontId="3" fillId="5" borderId="908" xfId="0" applyNumberFormat="1" applyFont="1" applyFill="1" applyBorder="1" applyAlignment="1">
      <alignment horizontal="center" vertical="center" wrapText="1"/>
    </xf>
    <xf numFmtId="1" fontId="3" fillId="5" borderId="979" xfId="0" applyNumberFormat="1" applyFont="1" applyFill="1" applyBorder="1" applyAlignment="1">
      <alignment horizontal="center" vertical="center" wrapText="1"/>
    </xf>
    <xf numFmtId="1" fontId="3" fillId="5" borderId="255" xfId="0" applyNumberFormat="1" applyFont="1" applyFill="1" applyBorder="1" applyAlignment="1">
      <alignment horizontal="center" vertical="center" wrapText="1"/>
    </xf>
    <xf numFmtId="1" fontId="3" fillId="5" borderId="897" xfId="0" applyNumberFormat="1" applyFont="1" applyFill="1" applyBorder="1" applyAlignment="1">
      <alignment horizontal="center" vertical="center" wrapText="1"/>
    </xf>
    <xf numFmtId="1" fontId="3" fillId="5" borderId="898" xfId="0" applyNumberFormat="1" applyFont="1" applyFill="1" applyBorder="1" applyAlignment="1">
      <alignment horizontal="center" vertical="center" wrapText="1"/>
    </xf>
    <xf numFmtId="1" fontId="3" fillId="5" borderId="992" xfId="0" applyNumberFormat="1" applyFont="1" applyFill="1" applyBorder="1" applyAlignment="1">
      <alignment horizontal="left" vertical="center"/>
    </xf>
    <xf numFmtId="1" fontId="3" fillId="5" borderId="354" xfId="0" applyNumberFormat="1" applyFont="1" applyFill="1" applyBorder="1" applyAlignment="1">
      <alignment horizontal="left" vertical="center"/>
    </xf>
    <xf numFmtId="1" fontId="3" fillId="5" borderId="909" xfId="0" applyNumberFormat="1" applyFont="1" applyFill="1" applyBorder="1" applyAlignment="1">
      <alignment horizontal="left" vertical="center"/>
    </xf>
    <xf numFmtId="1" fontId="3" fillId="5" borderId="913" xfId="0" applyNumberFormat="1" applyFont="1" applyFill="1" applyBorder="1" applyAlignment="1">
      <alignment horizontal="left" vertical="center"/>
    </xf>
    <xf numFmtId="1" fontId="2" fillId="3" borderId="305" xfId="0" applyNumberFormat="1" applyFont="1" applyFill="1" applyBorder="1" applyAlignment="1">
      <alignment horizontal="left" wrapText="1"/>
    </xf>
    <xf numFmtId="1" fontId="2" fillId="3" borderId="768" xfId="0" applyNumberFormat="1" applyFont="1" applyFill="1" applyBorder="1" applyAlignment="1">
      <alignment horizontal="left" wrapText="1"/>
    </xf>
    <xf numFmtId="1" fontId="2" fillId="3" borderId="252" xfId="0" applyNumberFormat="1" applyFont="1" applyFill="1" applyBorder="1" applyAlignment="1">
      <alignment horizontal="left" wrapText="1"/>
    </xf>
    <xf numFmtId="1" fontId="1" fillId="5" borderId="0" xfId="0" applyNumberFormat="1" applyFont="1" applyFill="1" applyAlignment="1">
      <alignment horizontal="center"/>
    </xf>
    <xf numFmtId="1" fontId="3" fillId="0" borderId="1001" xfId="0" applyNumberFormat="1" applyFont="1" applyBorder="1" applyAlignment="1">
      <alignment horizontal="center" vertical="center" wrapText="1"/>
    </xf>
    <xf numFmtId="1" fontId="3" fillId="0" borderId="899" xfId="0" applyNumberFormat="1" applyFont="1" applyBorder="1" applyAlignment="1">
      <alignment horizontal="left"/>
    </xf>
    <xf numFmtId="1" fontId="3" fillId="0" borderId="934" xfId="0" applyNumberFormat="1" applyFont="1" applyBorder="1" applyAlignment="1">
      <alignment horizontal="left"/>
    </xf>
    <xf numFmtId="1" fontId="3" fillId="0" borderId="917" xfId="0" applyNumberFormat="1" applyFont="1" applyBorder="1" applyAlignment="1">
      <alignment horizontal="left"/>
    </xf>
    <xf numFmtId="1" fontId="3" fillId="0" borderId="992" xfId="0" applyNumberFormat="1" applyFont="1" applyBorder="1" applyAlignment="1">
      <alignment horizontal="left"/>
    </xf>
    <xf numFmtId="1" fontId="3" fillId="5" borderId="909" xfId="14" applyNumberFormat="1" applyFont="1" applyFill="1" applyBorder="1" applyAlignment="1">
      <alignment horizontal="center" wrapText="1"/>
    </xf>
    <xf numFmtId="1" fontId="3" fillId="5" borderId="913" xfId="14" applyNumberFormat="1" applyFont="1" applyFill="1" applyBorder="1" applyAlignment="1">
      <alignment horizontal="center" wrapText="1"/>
    </xf>
    <xf numFmtId="1" fontId="3" fillId="5" borderId="999" xfId="0" applyNumberFormat="1" applyFont="1" applyFill="1" applyBorder="1" applyAlignment="1">
      <alignment horizontal="left" vertical="center" wrapText="1"/>
    </xf>
    <xf numFmtId="1" fontId="3" fillId="5" borderId="916" xfId="0" applyNumberFormat="1" applyFont="1" applyFill="1" applyBorder="1" applyAlignment="1">
      <alignment horizontal="left" vertical="center" wrapText="1"/>
    </xf>
    <xf numFmtId="1" fontId="3" fillId="0" borderId="899" xfId="14" applyNumberFormat="1" applyFont="1" applyBorder="1" applyAlignment="1">
      <alignment horizontal="left" vertical="center" wrapText="1"/>
    </xf>
    <xf numFmtId="1" fontId="3" fillId="0" borderId="917" xfId="14" applyNumberFormat="1" applyFont="1" applyBorder="1" applyAlignment="1">
      <alignment horizontal="left" vertical="center" wrapText="1"/>
    </xf>
    <xf numFmtId="1" fontId="3" fillId="0" borderId="982" xfId="14" applyNumberFormat="1" applyFont="1" applyBorder="1" applyAlignment="1">
      <alignment horizontal="left" vertical="center" wrapText="1"/>
    </xf>
    <xf numFmtId="1" fontId="3" fillId="0" borderId="970" xfId="14" applyNumberFormat="1" applyFont="1" applyBorder="1" applyAlignment="1">
      <alignment horizontal="left" vertical="center" wrapText="1"/>
    </xf>
    <xf numFmtId="1" fontId="3" fillId="0" borderId="992" xfId="14" applyNumberFormat="1" applyFont="1" applyBorder="1" applyAlignment="1">
      <alignment horizontal="left" vertical="center" wrapText="1"/>
    </xf>
    <xf numFmtId="1" fontId="3" fillId="0" borderId="354" xfId="14" applyNumberFormat="1" applyFont="1" applyBorder="1" applyAlignment="1">
      <alignment horizontal="left" vertical="center" wrapText="1"/>
    </xf>
    <xf numFmtId="1" fontId="3" fillId="0" borderId="999" xfId="0" applyNumberFormat="1" applyFont="1" applyBorder="1" applyAlignment="1">
      <alignment horizontal="left" vertical="center"/>
    </xf>
    <xf numFmtId="1" fontId="3" fillId="0" borderId="999" xfId="0" applyNumberFormat="1" applyFont="1" applyBorder="1" applyAlignment="1">
      <alignment horizontal="left" vertical="center" wrapText="1"/>
    </xf>
    <xf numFmtId="1" fontId="2" fillId="3" borderId="672" xfId="14" applyNumberFormat="1" applyFont="1" applyFill="1" applyBorder="1" applyAlignment="1">
      <alignment horizontal="left" wrapText="1"/>
    </xf>
    <xf numFmtId="1" fontId="3" fillId="5" borderId="899" xfId="0" applyNumberFormat="1" applyFont="1" applyFill="1" applyBorder="1" applyAlignment="1">
      <alignment horizontal="left" vertical="center" wrapText="1"/>
    </xf>
    <xf numFmtId="1" fontId="3" fillId="5" borderId="934" xfId="0" applyNumberFormat="1" applyFont="1" applyFill="1" applyBorder="1" applyAlignment="1">
      <alignment horizontal="left" vertical="center" wrapText="1"/>
    </xf>
    <xf numFmtId="1" fontId="3" fillId="5" borderId="917" xfId="0" applyNumberFormat="1" applyFont="1" applyFill="1" applyBorder="1" applyAlignment="1">
      <alignment horizontal="left" vertical="center" wrapText="1"/>
    </xf>
    <xf numFmtId="1" fontId="3" fillId="5" borderId="982" xfId="0" applyNumberFormat="1" applyFont="1" applyFill="1" applyBorder="1" applyAlignment="1">
      <alignment horizontal="left" vertical="center" wrapText="1"/>
    </xf>
    <xf numFmtId="1" fontId="3" fillId="5" borderId="973" xfId="0" applyNumberFormat="1" applyFont="1" applyFill="1" applyBorder="1" applyAlignment="1">
      <alignment horizontal="left" vertical="center" wrapText="1"/>
    </xf>
    <xf numFmtId="1" fontId="3" fillId="5" borderId="970" xfId="0" applyNumberFormat="1" applyFont="1" applyFill="1" applyBorder="1" applyAlignment="1">
      <alignment horizontal="left" vertical="center" wrapText="1"/>
    </xf>
    <xf numFmtId="1" fontId="3" fillId="5" borderId="1001" xfId="0" applyNumberFormat="1" applyFont="1" applyFill="1" applyBorder="1" applyAlignment="1">
      <alignment horizontal="left" vertical="center" wrapText="1"/>
    </xf>
    <xf numFmtId="1" fontId="3" fillId="5" borderId="252" xfId="0" applyNumberFormat="1" applyFont="1" applyFill="1" applyBorder="1" applyAlignment="1">
      <alignment horizontal="left" vertical="center" wrapText="1"/>
    </xf>
    <xf numFmtId="1" fontId="3" fillId="5" borderId="770" xfId="0" applyNumberFormat="1" applyFont="1" applyFill="1" applyBorder="1" applyAlignment="1">
      <alignment horizontal="left" vertical="center" wrapText="1"/>
    </xf>
    <xf numFmtId="1" fontId="3" fillId="5" borderId="910" xfId="0" applyNumberFormat="1" applyFont="1" applyFill="1" applyBorder="1" applyAlignment="1">
      <alignment horizontal="left" vertical="center" wrapText="1"/>
    </xf>
    <xf numFmtId="1" fontId="3" fillId="5" borderId="992" xfId="0" applyNumberFormat="1" applyFont="1" applyFill="1" applyBorder="1" applyAlignment="1">
      <alignment horizontal="left" vertical="center" wrapText="1"/>
    </xf>
    <xf numFmtId="1" fontId="3" fillId="5" borderId="367" xfId="0" applyNumberFormat="1" applyFont="1" applyFill="1" applyBorder="1" applyAlignment="1">
      <alignment horizontal="left" vertical="center" wrapText="1"/>
    </xf>
    <xf numFmtId="1" fontId="3" fillId="5" borderId="354" xfId="0" applyNumberFormat="1" applyFont="1" applyFill="1" applyBorder="1" applyAlignment="1">
      <alignment horizontal="left" vertical="center" wrapText="1"/>
    </xf>
    <xf numFmtId="1" fontId="3" fillId="5" borderId="237" xfId="0" applyNumberFormat="1" applyFont="1" applyFill="1" applyBorder="1" applyAlignment="1">
      <alignment horizontal="left" vertical="center" wrapText="1"/>
    </xf>
    <xf numFmtId="1" fontId="3" fillId="5" borderId="6" xfId="0" applyNumberFormat="1" applyFont="1" applyFill="1" applyBorder="1" applyAlignment="1">
      <alignment horizontal="left" vertical="center" wrapText="1"/>
    </xf>
    <xf numFmtId="1" fontId="3" fillId="5" borderId="134" xfId="0" applyNumberFormat="1" applyFont="1" applyFill="1" applyBorder="1" applyAlignment="1">
      <alignment horizontal="left" vertical="center" wrapText="1"/>
    </xf>
    <xf numFmtId="1" fontId="3" fillId="5" borderId="237" xfId="14" applyNumberFormat="1" applyFont="1" applyFill="1" applyBorder="1" applyAlignment="1">
      <alignment horizontal="left" vertical="center" wrapText="1"/>
    </xf>
    <xf numFmtId="1" fontId="3" fillId="5" borderId="134" xfId="14" applyNumberFormat="1" applyFont="1" applyFill="1" applyBorder="1" applyAlignment="1">
      <alignment horizontal="left" vertical="center" wrapText="1"/>
    </xf>
    <xf numFmtId="1" fontId="3" fillId="5" borderId="982" xfId="14" applyNumberFormat="1" applyFont="1" applyFill="1" applyBorder="1" applyAlignment="1">
      <alignment horizontal="left" vertical="center" wrapText="1"/>
    </xf>
    <xf numFmtId="1" fontId="3" fillId="5" borderId="970" xfId="14" applyNumberFormat="1" applyFont="1" applyFill="1" applyBorder="1" applyAlignment="1">
      <alignment horizontal="left" vertical="center" wrapText="1"/>
    </xf>
    <xf numFmtId="1" fontId="3" fillId="5" borderId="992" xfId="14" applyNumberFormat="1" applyFont="1" applyFill="1" applyBorder="1" applyAlignment="1">
      <alignment horizontal="left" vertical="center" wrapText="1"/>
    </xf>
    <xf numFmtId="1" fontId="3" fillId="5" borderId="354" xfId="14" applyNumberFormat="1" applyFont="1" applyFill="1" applyBorder="1" applyAlignment="1">
      <alignment horizontal="left" vertical="center" wrapText="1"/>
    </xf>
    <xf numFmtId="1" fontId="3" fillId="0" borderId="237" xfId="14" applyNumberFormat="1" applyFont="1" applyBorder="1" applyAlignment="1">
      <alignment horizontal="left" vertical="center" wrapText="1"/>
    </xf>
    <xf numFmtId="1" fontId="3" fillId="0" borderId="134" xfId="14" applyNumberFormat="1" applyFont="1" applyBorder="1" applyAlignment="1">
      <alignment horizontal="left" vertical="center" wrapText="1"/>
    </xf>
    <xf numFmtId="1" fontId="3" fillId="5" borderId="896" xfId="0" applyNumberFormat="1" applyFont="1" applyFill="1" applyBorder="1" applyAlignment="1">
      <alignment vertical="center" wrapText="1"/>
    </xf>
    <xf numFmtId="1" fontId="3" fillId="5" borderId="999" xfId="0" applyNumberFormat="1" applyFont="1" applyFill="1" applyBorder="1" applyAlignment="1">
      <alignment vertical="center" wrapText="1"/>
    </xf>
    <xf numFmtId="1" fontId="3" fillId="5" borderId="162" xfId="0" applyNumberFormat="1" applyFont="1" applyFill="1" applyBorder="1" applyAlignment="1">
      <alignment vertical="center" wrapText="1"/>
    </xf>
    <xf numFmtId="1" fontId="3" fillId="0" borderId="1001" xfId="0" applyNumberFormat="1" applyFont="1" applyBorder="1" applyAlignment="1">
      <alignment horizontal="left" vertical="center" wrapText="1"/>
    </xf>
    <xf numFmtId="1" fontId="3" fillId="0" borderId="1001" xfId="0" applyNumberFormat="1" applyFont="1" applyBorder="1" applyAlignment="1">
      <alignment horizontal="center"/>
    </xf>
    <xf numFmtId="1" fontId="3" fillId="0" borderId="252" xfId="0" applyNumberFormat="1" applyFont="1" applyBorder="1" applyAlignment="1">
      <alignment horizontal="center"/>
    </xf>
    <xf numFmtId="1" fontId="3" fillId="0" borderId="770" xfId="0" applyNumberFormat="1" applyFont="1" applyBorder="1" applyAlignment="1">
      <alignment horizontal="center"/>
    </xf>
    <xf numFmtId="1" fontId="2" fillId="3" borderId="910" xfId="14" applyNumberFormat="1" applyFont="1" applyFill="1" applyBorder="1" applyAlignment="1">
      <alignment horizontal="left" wrapText="1"/>
    </xf>
    <xf numFmtId="1" fontId="2" fillId="3" borderId="252" xfId="14" applyNumberFormat="1" applyFont="1" applyFill="1" applyBorder="1" applyAlignment="1">
      <alignment horizontal="left" wrapText="1"/>
    </xf>
    <xf numFmtId="1" fontId="3" fillId="3" borderId="908" xfId="14" applyNumberFormat="1" applyFont="1" applyFill="1" applyBorder="1" applyAlignment="1">
      <alignment horizontal="center" vertical="center" wrapText="1"/>
    </xf>
    <xf numFmtId="1" fontId="3" fillId="3" borderId="770" xfId="14" applyNumberFormat="1" applyFont="1" applyFill="1" applyBorder="1" applyAlignment="1">
      <alignment horizontal="center" vertical="center" wrapText="1"/>
    </xf>
    <xf numFmtId="1" fontId="3" fillId="3" borderId="913" xfId="14" applyNumberFormat="1" applyFont="1" applyFill="1" applyBorder="1" applyAlignment="1">
      <alignment horizontal="center" vertical="center" wrapText="1"/>
    </xf>
    <xf numFmtId="1" fontId="3" fillId="3" borderId="916" xfId="14" applyNumberFormat="1" applyFont="1" applyFill="1" applyBorder="1" applyAlignment="1">
      <alignment horizontal="center" vertical="center" wrapText="1"/>
    </xf>
    <xf numFmtId="1" fontId="3" fillId="3" borderId="899" xfId="0" applyNumberFormat="1" applyFont="1" applyFill="1" applyBorder="1" applyAlignment="1">
      <alignment horizontal="left" vertical="center" wrapText="1"/>
    </xf>
    <xf numFmtId="1" fontId="3" fillId="3" borderId="917" xfId="0" applyNumberFormat="1" applyFont="1" applyFill="1" applyBorder="1" applyAlignment="1">
      <alignment horizontal="left" vertical="center" wrapText="1"/>
    </xf>
    <xf numFmtId="1" fontId="3" fillId="0" borderId="909" xfId="0" applyNumberFormat="1" applyFont="1" applyBorder="1" applyAlignment="1">
      <alignment horizontal="left"/>
    </xf>
    <xf numFmtId="1" fontId="3" fillId="0" borderId="913" xfId="0" applyNumberFormat="1" applyFont="1" applyBorder="1" applyAlignment="1">
      <alignment horizontal="left"/>
    </xf>
    <xf numFmtId="1" fontId="3" fillId="3" borderId="979" xfId="14" applyNumberFormat="1" applyFont="1" applyFill="1" applyBorder="1" applyAlignment="1">
      <alignment horizontal="center" vertical="center" wrapText="1"/>
    </xf>
    <xf numFmtId="1" fontId="3" fillId="3" borderId="255" xfId="14" applyNumberFormat="1" applyFont="1" applyFill="1" applyBorder="1" applyAlignment="1">
      <alignment horizontal="center" vertical="center" wrapText="1"/>
    </xf>
    <xf numFmtId="1" fontId="3" fillId="0" borderId="916" xfId="0" applyNumberFormat="1" applyFont="1" applyBorder="1" applyAlignment="1">
      <alignment horizontal="center"/>
    </xf>
    <xf numFmtId="1" fontId="3" fillId="3" borderId="982" xfId="0" applyNumberFormat="1" applyFont="1" applyFill="1" applyBorder="1" applyAlignment="1">
      <alignment horizontal="left" vertical="center" wrapText="1"/>
    </xf>
    <xf numFmtId="1" fontId="3" fillId="3" borderId="970" xfId="0" applyNumberFormat="1" applyFont="1" applyFill="1" applyBorder="1" applyAlignment="1">
      <alignment horizontal="left" vertical="center" wrapText="1"/>
    </xf>
    <xf numFmtId="1" fontId="3" fillId="3" borderId="992" xfId="0" applyNumberFormat="1" applyFont="1" applyFill="1" applyBorder="1" applyAlignment="1">
      <alignment horizontal="left" vertical="center" wrapText="1"/>
    </xf>
    <xf numFmtId="1" fontId="2" fillId="5" borderId="910" xfId="14" applyNumberFormat="1" applyFont="1" applyFill="1" applyBorder="1" applyAlignment="1">
      <alignment horizontal="left" wrapText="1"/>
    </xf>
    <xf numFmtId="1" fontId="2" fillId="5" borderId="252" xfId="14" applyNumberFormat="1" applyFont="1" applyFill="1" applyBorder="1" applyAlignment="1">
      <alignment horizontal="left" wrapText="1"/>
    </xf>
    <xf numFmtId="1" fontId="2" fillId="3" borderId="0" xfId="14" applyNumberFormat="1" applyFont="1" applyFill="1" applyAlignment="1">
      <alignment horizontal="left" wrapText="1"/>
    </xf>
    <xf numFmtId="1" fontId="3" fillId="3" borderId="992" xfId="0" applyNumberFormat="1" applyFont="1" applyFill="1" applyBorder="1" applyAlignment="1">
      <alignment horizontal="left"/>
    </xf>
    <xf numFmtId="1" fontId="3" fillId="3" borderId="354" xfId="0" applyNumberFormat="1" applyFont="1" applyFill="1" applyBorder="1" applyAlignment="1">
      <alignment horizontal="left"/>
    </xf>
    <xf numFmtId="1" fontId="3" fillId="0" borderId="908" xfId="0" applyNumberFormat="1" applyFont="1" applyBorder="1"/>
    <xf numFmtId="1" fontId="2" fillId="3" borderId="910" xfId="0" applyNumberFormat="1" applyFont="1" applyFill="1" applyBorder="1" applyAlignment="1">
      <alignment horizontal="left"/>
    </xf>
    <xf numFmtId="1" fontId="3" fillId="3" borderId="916" xfId="0" applyNumberFormat="1" applyFont="1" applyFill="1" applyBorder="1" applyAlignment="1">
      <alignment horizontal="left" vertical="center"/>
    </xf>
    <xf numFmtId="1" fontId="3" fillId="3" borderId="899" xfId="0" applyNumberFormat="1" applyFont="1" applyFill="1" applyBorder="1"/>
    <xf numFmtId="1" fontId="3" fillId="3" borderId="934" xfId="0" applyNumberFormat="1" applyFont="1" applyFill="1" applyBorder="1"/>
    <xf numFmtId="1" fontId="3" fillId="3" borderId="917" xfId="0" applyNumberFormat="1" applyFont="1" applyFill="1" applyBorder="1"/>
    <xf numFmtId="1" fontId="3" fillId="3" borderId="982" xfId="0" applyNumberFormat="1" applyFont="1" applyFill="1" applyBorder="1"/>
    <xf numFmtId="1" fontId="3" fillId="3" borderId="973" xfId="0" applyNumberFormat="1" applyFont="1" applyFill="1" applyBorder="1"/>
    <xf numFmtId="1" fontId="3" fillId="3" borderId="970" xfId="0" applyNumberFormat="1" applyFont="1" applyFill="1" applyBorder="1"/>
    <xf numFmtId="1" fontId="3" fillId="3" borderId="1001" xfId="0" applyNumberFormat="1" applyFont="1" applyFill="1" applyBorder="1"/>
    <xf numFmtId="1" fontId="3" fillId="3" borderId="252" xfId="0" applyNumberFormat="1" applyFont="1" applyFill="1" applyBorder="1"/>
    <xf numFmtId="1" fontId="3" fillId="3" borderId="770" xfId="0" applyNumberFormat="1" applyFont="1" applyFill="1" applyBorder="1"/>
    <xf numFmtId="1" fontId="3" fillId="3" borderId="916" xfId="0" applyNumberFormat="1" applyFont="1" applyFill="1" applyBorder="1" applyAlignment="1">
      <alignment horizontal="left" vertical="center" wrapText="1"/>
    </xf>
    <xf numFmtId="0" fontId="3" fillId="0" borderId="896" xfId="0" applyFont="1" applyBorder="1" applyAlignment="1">
      <alignment horizontal="left" vertical="center"/>
    </xf>
    <xf numFmtId="0" fontId="3" fillId="0" borderId="162" xfId="0" applyFont="1" applyBorder="1" applyAlignment="1">
      <alignment horizontal="left" vertical="center"/>
    </xf>
    <xf numFmtId="0" fontId="3" fillId="0" borderId="999" xfId="0" applyFont="1" applyBorder="1" applyAlignment="1">
      <alignment horizontal="left" vertical="center"/>
    </xf>
    <xf numFmtId="0" fontId="2" fillId="0" borderId="252" xfId="0" applyFont="1" applyBorder="1" applyAlignment="1">
      <alignment horizontal="left"/>
    </xf>
    <xf numFmtId="0" fontId="2" fillId="0" borderId="0" xfId="0" applyFont="1" applyAlignment="1">
      <alignment horizontal="left"/>
    </xf>
    <xf numFmtId="1" fontId="3" fillId="3" borderId="992" xfId="0" applyNumberFormat="1" applyFont="1" applyFill="1" applyBorder="1"/>
    <xf numFmtId="1" fontId="3" fillId="3" borderId="367" xfId="0" applyNumberFormat="1" applyFont="1" applyFill="1" applyBorder="1"/>
    <xf numFmtId="1" fontId="3" fillId="3" borderId="354" xfId="0" applyNumberFormat="1" applyFont="1" applyFill="1" applyBorder="1"/>
    <xf numFmtId="0" fontId="3" fillId="0" borderId="1001" xfId="0" applyFont="1" applyBorder="1" applyAlignment="1">
      <alignment horizontal="center" vertical="center" wrapText="1"/>
    </xf>
    <xf numFmtId="1" fontId="3" fillId="3" borderId="237" xfId="0" applyNumberFormat="1" applyFont="1" applyFill="1" applyBorder="1"/>
    <xf numFmtId="1" fontId="3" fillId="3" borderId="6" xfId="0" applyNumberFormat="1" applyFont="1" applyFill="1" applyBorder="1"/>
    <xf numFmtId="1" fontId="3" fillId="3" borderId="134" xfId="0" applyNumberFormat="1" applyFont="1" applyFill="1" applyBorder="1"/>
    <xf numFmtId="0" fontId="3" fillId="0" borderId="982" xfId="0" applyFont="1" applyBorder="1" applyAlignment="1">
      <alignment horizontal="left" vertical="center"/>
    </xf>
    <xf numFmtId="0" fontId="3" fillId="0" borderId="970" xfId="0" applyFont="1" applyBorder="1" applyAlignment="1">
      <alignment horizontal="left" vertical="center"/>
    </xf>
    <xf numFmtId="0" fontId="2" fillId="0" borderId="910" xfId="0" applyFont="1" applyBorder="1" applyAlignment="1">
      <alignment horizontal="left"/>
    </xf>
    <xf numFmtId="0" fontId="3" fillId="0" borderId="982" xfId="0" applyFont="1" applyBorder="1" applyAlignment="1">
      <alignment horizontal="left" vertical="center" wrapText="1"/>
    </xf>
    <xf numFmtId="0" fontId="3" fillId="0" borderId="970" xfId="0" applyFont="1" applyBorder="1" applyAlignment="1">
      <alignment horizontal="left" vertical="center" wrapText="1"/>
    </xf>
    <xf numFmtId="0" fontId="3" fillId="0" borderId="992" xfId="0" applyFont="1" applyBorder="1" applyAlignment="1">
      <alignment horizontal="left" vertical="center" wrapText="1"/>
    </xf>
    <xf numFmtId="0" fontId="3" fillId="0" borderId="999" xfId="0" applyFont="1" applyBorder="1" applyAlignment="1">
      <alignment horizontal="left"/>
    </xf>
    <xf numFmtId="0" fontId="3" fillId="0" borderId="909" xfId="0" applyFont="1" applyBorder="1" applyAlignment="1">
      <alignment horizontal="center"/>
    </xf>
    <xf numFmtId="0" fontId="3" fillId="0" borderId="913" xfId="0" applyFont="1" applyBorder="1" applyAlignment="1">
      <alignment horizontal="center"/>
    </xf>
    <xf numFmtId="0" fontId="3" fillId="0" borderId="899" xfId="0" applyFont="1" applyBorder="1" applyAlignment="1">
      <alignment horizontal="left" vertical="center"/>
    </xf>
    <xf numFmtId="0" fontId="3" fillId="0" borderId="917" xfId="0" applyFont="1" applyBorder="1" applyAlignment="1">
      <alignment horizontal="left" vertical="center"/>
    </xf>
    <xf numFmtId="0" fontId="3" fillId="0" borderId="1001" xfId="0" applyFont="1" applyBorder="1" applyAlignment="1">
      <alignment horizontal="left" vertical="center"/>
    </xf>
    <xf numFmtId="0" fontId="3" fillId="0" borderId="916" xfId="0" applyFont="1" applyBorder="1" applyAlignment="1">
      <alignment horizontal="center" vertical="center"/>
    </xf>
    <xf numFmtId="0" fontId="3" fillId="0" borderId="900" xfId="0" applyFont="1" applyBorder="1"/>
    <xf numFmtId="0" fontId="3" fillId="0" borderId="999" xfId="0" applyFont="1" applyBorder="1"/>
    <xf numFmtId="0" fontId="3" fillId="0" borderId="916" xfId="0" applyFont="1" applyBorder="1" applyAlignment="1">
      <alignment horizontal="center"/>
    </xf>
    <xf numFmtId="0" fontId="5" fillId="0" borderId="896" xfId="0" applyFont="1" applyBorder="1" applyAlignment="1">
      <alignment horizontal="center" vertical="center"/>
    </xf>
    <xf numFmtId="0" fontId="5" fillId="0" borderId="162" xfId="0" applyFont="1" applyBorder="1" applyAlignment="1">
      <alignment horizontal="center" vertical="center"/>
    </xf>
    <xf numFmtId="0" fontId="5" fillId="0" borderId="999" xfId="0" applyFont="1" applyBorder="1" applyAlignment="1">
      <alignment horizontal="center" vertical="center"/>
    </xf>
    <xf numFmtId="1" fontId="5" fillId="0" borderId="909" xfId="0" applyNumberFormat="1" applyFont="1" applyBorder="1" applyAlignment="1">
      <alignment horizontal="center" vertical="center" wrapText="1"/>
    </xf>
    <xf numFmtId="1" fontId="5" fillId="0" borderId="913" xfId="0" applyNumberFormat="1" applyFont="1" applyBorder="1" applyAlignment="1">
      <alignment horizontal="center" vertical="center" wrapText="1"/>
    </xf>
    <xf numFmtId="164" fontId="3" fillId="0" borderId="916" xfId="18" applyNumberFormat="1" applyFont="1" applyBorder="1" applyAlignment="1" applyProtection="1">
      <alignment horizontal="center" vertical="center"/>
    </xf>
    <xf numFmtId="164" fontId="3" fillId="0" borderId="895" xfId="18" applyNumberFormat="1" applyFont="1" applyBorder="1" applyAlignment="1" applyProtection="1">
      <alignment horizontal="center" vertical="center"/>
    </xf>
    <xf numFmtId="164" fontId="3" fillId="0" borderId="672" xfId="18" applyNumberFormat="1" applyFont="1" applyBorder="1" applyAlignment="1" applyProtection="1">
      <alignment horizontal="center" vertical="center"/>
    </xf>
    <xf numFmtId="164" fontId="3" fillId="0" borderId="895" xfId="17" applyNumberFormat="1" applyFont="1" applyBorder="1" applyAlignment="1">
      <alignment horizontal="center" vertical="center"/>
    </xf>
    <xf numFmtId="164" fontId="3" fillId="0" borderId="908" xfId="17" applyNumberFormat="1" applyFont="1" applyBorder="1" applyAlignment="1">
      <alignment horizontal="center" vertical="center"/>
    </xf>
    <xf numFmtId="164" fontId="3" fillId="0" borderId="1001" xfId="17" applyNumberFormat="1" applyFont="1" applyBorder="1" applyAlignment="1">
      <alignment horizontal="center" vertical="center"/>
    </xf>
    <xf numFmtId="164" fontId="3" fillId="0" borderId="770" xfId="17" applyNumberFormat="1" applyFont="1" applyBorder="1" applyAlignment="1">
      <alignment horizontal="center" vertical="center"/>
    </xf>
    <xf numFmtId="164" fontId="3" fillId="0" borderId="909" xfId="18" applyNumberFormat="1" applyFont="1" applyBorder="1" applyAlignment="1" applyProtection="1">
      <alignment horizontal="center" vertical="center" wrapText="1"/>
    </xf>
    <xf numFmtId="164" fontId="3" fillId="0" borderId="910" xfId="18" applyNumberFormat="1" applyFont="1" applyBorder="1" applyAlignment="1" applyProtection="1">
      <alignment horizontal="center" vertical="center" wrapText="1"/>
    </xf>
    <xf numFmtId="1" fontId="3" fillId="0" borderId="982" xfId="0" applyNumberFormat="1" applyFont="1" applyBorder="1" applyAlignment="1">
      <alignment horizontal="left"/>
    </xf>
    <xf numFmtId="1" fontId="3" fillId="0" borderId="970" xfId="0" applyNumberFormat="1" applyFont="1" applyBorder="1" applyAlignment="1">
      <alignment horizontal="left"/>
    </xf>
    <xf numFmtId="1" fontId="3" fillId="0" borderId="896" xfId="0" applyNumberFormat="1" applyFont="1" applyBorder="1" applyAlignment="1" applyProtection="1">
      <alignment horizontal="center" vertical="center" wrapText="1"/>
      <protection hidden="1"/>
    </xf>
    <xf numFmtId="1" fontId="3" fillId="0" borderId="999" xfId="0" applyNumberFormat="1" applyFont="1" applyBorder="1" applyAlignment="1" applyProtection="1">
      <alignment horizontal="center" vertical="center" wrapText="1"/>
      <protection hidden="1"/>
    </xf>
    <xf numFmtId="1" fontId="3" fillId="0" borderId="982" xfId="0" quotePrefix="1" applyNumberFormat="1" applyFont="1" applyBorder="1" applyAlignment="1">
      <alignment horizontal="left"/>
    </xf>
    <xf numFmtId="1" fontId="3" fillId="0" borderId="931" xfId="0" applyNumberFormat="1" applyFont="1" applyBorder="1" applyAlignment="1">
      <alignment horizontal="center" vertical="center"/>
    </xf>
    <xf numFmtId="1" fontId="3" fillId="0" borderId="1001" xfId="0" applyNumberFormat="1" applyFont="1" applyBorder="1" applyAlignment="1">
      <alignment horizontal="center" vertical="center"/>
    </xf>
    <xf numFmtId="1" fontId="3" fillId="0" borderId="1125" xfId="0" applyNumberFormat="1" applyFont="1" applyBorder="1" applyAlignment="1">
      <alignment horizontal="left" vertical="center" wrapText="1"/>
    </xf>
    <xf numFmtId="1" fontId="3" fillId="0" borderId="1138" xfId="0" applyNumberFormat="1" applyFont="1" applyBorder="1" applyAlignment="1">
      <alignment horizontal="left" vertical="center" wrapText="1"/>
    </xf>
    <xf numFmtId="1" fontId="3" fillId="0" borderId="1201" xfId="0" applyNumberFormat="1" applyFont="1" applyBorder="1" applyAlignment="1">
      <alignment horizontal="center" vertical="center" wrapText="1"/>
    </xf>
    <xf numFmtId="1" fontId="3" fillId="0" borderId="1200" xfId="0" applyNumberFormat="1" applyFont="1" applyBorder="1" applyAlignment="1">
      <alignment horizontal="left" vertical="center" wrapText="1"/>
    </xf>
    <xf numFmtId="1" fontId="3" fillId="0" borderId="1196" xfId="0" applyNumberFormat="1" applyFont="1" applyBorder="1" applyAlignment="1">
      <alignment horizontal="center" vertical="center"/>
    </xf>
    <xf numFmtId="1" fontId="3" fillId="0" borderId="1157" xfId="0" applyNumberFormat="1" applyFont="1" applyBorder="1" applyAlignment="1">
      <alignment horizontal="center" vertical="center"/>
    </xf>
    <xf numFmtId="1" fontId="3" fillId="0" borderId="1133" xfId="0" applyNumberFormat="1" applyFont="1" applyBorder="1" applyAlignment="1">
      <alignment horizontal="center" vertical="center"/>
    </xf>
    <xf numFmtId="1" fontId="3" fillId="0" borderId="1087" xfId="0" applyNumberFormat="1" applyFont="1" applyBorder="1" applyAlignment="1">
      <alignment horizontal="center"/>
    </xf>
    <xf numFmtId="1" fontId="3" fillId="0" borderId="1198" xfId="0" applyNumberFormat="1" applyFont="1" applyBorder="1" applyAlignment="1">
      <alignment horizontal="center"/>
    </xf>
    <xf numFmtId="1" fontId="3" fillId="0" borderId="992" xfId="0" applyNumberFormat="1" applyFont="1" applyBorder="1" applyAlignment="1">
      <alignment horizontal="left" vertical="center" wrapText="1"/>
    </xf>
    <xf numFmtId="1" fontId="3" fillId="0" borderId="1198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1204" xfId="0" applyNumberFormat="1" applyFont="1" applyBorder="1" applyAlignment="1">
      <alignment horizontal="center" vertical="center" wrapText="1"/>
    </xf>
    <xf numFmtId="1" fontId="3" fillId="0" borderId="1205" xfId="0" applyNumberFormat="1" applyFont="1" applyBorder="1" applyAlignment="1">
      <alignment horizontal="center" vertical="center" wrapText="1"/>
    </xf>
    <xf numFmtId="0" fontId="6" fillId="0" borderId="1197" xfId="0" applyFont="1" applyBorder="1" applyAlignment="1">
      <alignment horizontal="center" vertical="center"/>
    </xf>
    <xf numFmtId="0" fontId="6" fillId="0" borderId="1199" xfId="0" applyFont="1" applyBorder="1" applyAlignment="1">
      <alignment horizontal="center" vertical="center"/>
    </xf>
    <xf numFmtId="1" fontId="3" fillId="0" borderId="1203" xfId="0" applyNumberFormat="1" applyFont="1" applyBorder="1" applyAlignment="1">
      <alignment horizontal="center" vertical="center" wrapText="1"/>
    </xf>
    <xf numFmtId="1" fontId="3" fillId="0" borderId="908" xfId="0" applyNumberFormat="1" applyFont="1" applyBorder="1" applyAlignment="1">
      <alignment horizontal="left" vertical="center" wrapText="1"/>
    </xf>
    <xf numFmtId="1" fontId="3" fillId="3" borderId="1001" xfId="0" applyNumberFormat="1" applyFont="1" applyFill="1" applyBorder="1" applyAlignment="1">
      <alignment horizontal="left" wrapText="1"/>
    </xf>
    <xf numFmtId="1" fontId="3" fillId="3" borderId="770" xfId="0" applyNumberFormat="1" applyFont="1" applyFill="1" applyBorder="1" applyAlignment="1">
      <alignment horizontal="left" wrapText="1"/>
    </xf>
    <xf numFmtId="1" fontId="3" fillId="0" borderId="895" xfId="0" applyNumberFormat="1" applyFont="1" applyBorder="1" applyAlignment="1">
      <alignment horizontal="left" wrapText="1"/>
    </xf>
    <xf numFmtId="1" fontId="3" fillId="0" borderId="908" xfId="0" applyNumberFormat="1" applyFont="1" applyBorder="1" applyAlignment="1">
      <alignment horizontal="left" wrapText="1"/>
    </xf>
    <xf numFmtId="1" fontId="3" fillId="0" borderId="394" xfId="0" applyNumberFormat="1" applyFont="1" applyBorder="1" applyAlignment="1">
      <alignment horizontal="left" vertical="center"/>
    </xf>
    <xf numFmtId="1" fontId="3" fillId="0" borderId="2" xfId="0" applyNumberFormat="1" applyFont="1" applyBorder="1" applyAlignment="1">
      <alignment horizontal="left" vertical="center"/>
    </xf>
    <xf numFmtId="1" fontId="3" fillId="0" borderId="899" xfId="0" applyNumberFormat="1" applyFont="1" applyBorder="1"/>
    <xf numFmtId="1" fontId="3" fillId="0" borderId="934" xfId="0" applyNumberFormat="1" applyFont="1" applyBorder="1"/>
    <xf numFmtId="1" fontId="3" fillId="0" borderId="917" xfId="0" applyNumberFormat="1" applyFont="1" applyBorder="1"/>
    <xf numFmtId="1" fontId="3" fillId="3" borderId="1100" xfId="0" applyNumberFormat="1" applyFont="1" applyFill="1" applyBorder="1" applyAlignment="1">
      <alignment horizontal="center" vertical="center" wrapText="1"/>
    </xf>
    <xf numFmtId="1" fontId="3" fillId="3" borderId="1153" xfId="0" applyNumberFormat="1" applyFont="1" applyFill="1" applyBorder="1" applyAlignment="1">
      <alignment horizontal="center" vertical="center" wrapText="1"/>
    </xf>
    <xf numFmtId="1" fontId="3" fillId="0" borderId="999" xfId="0" applyNumberFormat="1" applyFont="1" applyBorder="1" applyAlignment="1">
      <alignment horizontal="center" vertical="center" wrapText="1"/>
    </xf>
    <xf numFmtId="1" fontId="3" fillId="3" borderId="899" xfId="0" applyNumberFormat="1" applyFont="1" applyFill="1" applyBorder="1" applyAlignment="1">
      <alignment horizontal="left" wrapText="1"/>
    </xf>
    <xf numFmtId="1" fontId="3" fillId="3" borderId="917" xfId="0" applyNumberFormat="1" applyFont="1" applyFill="1" applyBorder="1" applyAlignment="1">
      <alignment horizontal="left" wrapText="1"/>
    </xf>
    <xf numFmtId="1" fontId="6" fillId="3" borderId="0" xfId="0" applyNumberFormat="1" applyFont="1" applyFill="1" applyAlignment="1">
      <alignment horizontal="center"/>
    </xf>
    <xf numFmtId="1" fontId="3" fillId="0" borderId="973" xfId="0" applyNumberFormat="1" applyFont="1" applyBorder="1" applyAlignment="1">
      <alignment horizontal="left"/>
    </xf>
    <xf numFmtId="1" fontId="3" fillId="0" borderId="1154" xfId="0" applyNumberFormat="1" applyFont="1" applyBorder="1" applyAlignment="1">
      <alignment horizontal="center" vertical="center"/>
    </xf>
    <xf numFmtId="1" fontId="3" fillId="3" borderId="895" xfId="0" applyNumberFormat="1" applyFont="1" applyFill="1" applyBorder="1" applyAlignment="1">
      <alignment horizontal="center" vertical="center" wrapText="1"/>
    </xf>
    <xf numFmtId="1" fontId="3" fillId="3" borderId="278" xfId="0" applyNumberFormat="1" applyFont="1" applyFill="1" applyBorder="1" applyAlignment="1">
      <alignment horizontal="center" vertical="center" wrapText="1"/>
    </xf>
    <xf numFmtId="1" fontId="3" fillId="0" borderId="909" xfId="0" applyNumberFormat="1" applyFont="1" applyBorder="1" applyAlignment="1">
      <alignment horizontal="center" wrapText="1"/>
    </xf>
    <xf numFmtId="1" fontId="3" fillId="0" borderId="913" xfId="0" applyNumberFormat="1" applyFont="1" applyBorder="1" applyAlignment="1">
      <alignment horizontal="center" wrapText="1"/>
    </xf>
    <xf numFmtId="1" fontId="3" fillId="0" borderId="909" xfId="0" applyNumberFormat="1" applyFont="1" applyBorder="1" applyAlignment="1">
      <alignment horizontal="left" vertical="center"/>
    </xf>
    <xf numFmtId="1" fontId="3" fillId="0" borderId="913" xfId="0" applyNumberFormat="1" applyFont="1" applyBorder="1" applyAlignment="1">
      <alignment horizontal="left" vertical="center"/>
    </xf>
    <xf numFmtId="1" fontId="3" fillId="0" borderId="916" xfId="0" applyNumberFormat="1" applyFont="1" applyBorder="1" applyAlignment="1">
      <alignment horizontal="left" vertical="center" wrapText="1"/>
    </xf>
    <xf numFmtId="1" fontId="3" fillId="0" borderId="1134" xfId="0" applyNumberFormat="1" applyFont="1" applyBorder="1" applyAlignment="1">
      <alignment horizontal="left" vertical="center"/>
    </xf>
    <xf numFmtId="1" fontId="3" fillId="0" borderId="1154" xfId="0" applyNumberFormat="1" applyFont="1" applyBorder="1" applyAlignment="1">
      <alignment horizontal="left" vertical="center"/>
    </xf>
    <xf numFmtId="1" fontId="3" fillId="0" borderId="934" xfId="0" applyNumberFormat="1" applyFont="1" applyBorder="1" applyAlignment="1">
      <alignment horizontal="left" vertical="center" wrapText="1"/>
    </xf>
    <xf numFmtId="1" fontId="3" fillId="0" borderId="973" xfId="0" applyNumberFormat="1" applyFont="1" applyBorder="1" applyAlignment="1">
      <alignment horizontal="left" vertical="center" wrapText="1"/>
    </xf>
    <xf numFmtId="1" fontId="3" fillId="0" borderId="931" xfId="0" applyNumberFormat="1" applyFont="1" applyBorder="1" applyAlignment="1">
      <alignment horizontal="center" vertical="center" wrapText="1"/>
    </xf>
    <xf numFmtId="1" fontId="3" fillId="0" borderId="25" xfId="0" applyNumberFormat="1" applyFont="1" applyBorder="1" applyAlignment="1">
      <alignment horizontal="center" vertical="center" wrapText="1"/>
    </xf>
    <xf numFmtId="1" fontId="3" fillId="0" borderId="31" xfId="0" applyNumberFormat="1" applyFont="1" applyBorder="1" applyAlignment="1">
      <alignment horizontal="center" vertical="center" wrapText="1"/>
    </xf>
    <xf numFmtId="1" fontId="3" fillId="0" borderId="367" xfId="0" applyNumberFormat="1" applyFont="1" applyBorder="1" applyAlignment="1">
      <alignment horizontal="left" vertical="center"/>
    </xf>
    <xf numFmtId="1" fontId="3" fillId="3" borderId="899" xfId="0" applyNumberFormat="1" applyFont="1" applyFill="1" applyBorder="1" applyAlignment="1">
      <alignment horizontal="left"/>
    </xf>
    <xf numFmtId="1" fontId="3" fillId="3" borderId="934" xfId="0" applyNumberFormat="1" applyFont="1" applyFill="1" applyBorder="1" applyAlignment="1">
      <alignment horizontal="left"/>
    </xf>
    <xf numFmtId="1" fontId="3" fillId="3" borderId="917" xfId="0" applyNumberFormat="1" applyFont="1" applyFill="1" applyBorder="1" applyAlignment="1">
      <alignment horizontal="left"/>
    </xf>
    <xf numFmtId="1" fontId="3" fillId="3" borderId="367" xfId="0" applyNumberFormat="1" applyFont="1" applyFill="1" applyBorder="1" applyAlignment="1">
      <alignment horizontal="left"/>
    </xf>
    <xf numFmtId="1" fontId="3" fillId="0" borderId="977" xfId="0" applyNumberFormat="1" applyFont="1" applyBorder="1" applyAlignment="1">
      <alignment horizontal="center" vertical="center"/>
    </xf>
    <xf numFmtId="1" fontId="3" fillId="0" borderId="259" xfId="0" applyNumberFormat="1" applyFont="1" applyBorder="1" applyAlignment="1">
      <alignment horizontal="center" vertical="center"/>
    </xf>
    <xf numFmtId="1" fontId="3" fillId="0" borderId="934" xfId="0" applyNumberFormat="1" applyFont="1" applyBorder="1" applyAlignment="1">
      <alignment horizontal="left" vertical="center"/>
    </xf>
    <xf numFmtId="1" fontId="3" fillId="0" borderId="909" xfId="2" applyNumberFormat="1" applyFont="1" applyBorder="1" applyAlignment="1">
      <alignment horizontal="center" vertical="center"/>
    </xf>
    <xf numFmtId="1" fontId="3" fillId="0" borderId="910" xfId="2" applyNumberFormat="1" applyFont="1" applyBorder="1" applyAlignment="1">
      <alignment horizontal="center" vertical="center"/>
    </xf>
    <xf numFmtId="1" fontId="3" fillId="0" borderId="911" xfId="2" applyNumberFormat="1" applyFont="1" applyBorder="1" applyAlignment="1">
      <alignment horizontal="center" vertical="center"/>
    </xf>
    <xf numFmtId="1" fontId="3" fillId="0" borderId="1011" xfId="0" applyNumberFormat="1" applyFont="1" applyBorder="1" applyAlignment="1">
      <alignment horizontal="center" vertical="center" wrapText="1"/>
    </xf>
    <xf numFmtId="1" fontId="3" fillId="0" borderId="1002" xfId="0" applyNumberFormat="1" applyFont="1" applyBorder="1" applyAlignment="1">
      <alignment horizontal="center" vertical="center" wrapText="1"/>
    </xf>
    <xf numFmtId="0" fontId="3" fillId="0" borderId="912" xfId="0" applyFont="1" applyBorder="1" applyAlignment="1">
      <alignment horizontal="center" vertical="center"/>
    </xf>
    <xf numFmtId="1" fontId="3" fillId="0" borderId="26" xfId="2" applyNumberFormat="1" applyFont="1" applyBorder="1" applyAlignment="1">
      <alignment horizontal="center" vertical="center"/>
    </xf>
    <xf numFmtId="1" fontId="3" fillId="0" borderId="30" xfId="2" applyNumberFormat="1" applyFont="1" applyBorder="1" applyAlignment="1">
      <alignment horizontal="center" vertical="center"/>
    </xf>
    <xf numFmtId="0" fontId="3" fillId="0" borderId="45" xfId="2" applyFont="1" applyBorder="1"/>
    <xf numFmtId="1" fontId="3" fillId="0" borderId="24" xfId="2" applyNumberFormat="1" applyFont="1" applyBorder="1" applyAlignment="1">
      <alignment horizontal="left" vertical="center" wrapText="1"/>
    </xf>
    <xf numFmtId="1" fontId="3" fillId="0" borderId="25" xfId="2" applyNumberFormat="1" applyFont="1" applyBorder="1" applyAlignment="1">
      <alignment horizontal="left" vertical="center" wrapText="1"/>
    </xf>
    <xf numFmtId="1" fontId="3" fillId="0" borderId="27" xfId="2" applyNumberFormat="1" applyFont="1" applyBorder="1" applyAlignment="1">
      <alignment horizontal="left" vertical="center" wrapText="1"/>
    </xf>
    <xf numFmtId="1" fontId="3" fillId="0" borderId="28" xfId="2" applyNumberFormat="1" applyFont="1" applyBorder="1" applyAlignment="1">
      <alignment horizontal="left" vertical="center" wrapText="1"/>
    </xf>
    <xf numFmtId="1" fontId="3" fillId="0" borderId="265" xfId="2" applyNumberFormat="1" applyFont="1" applyBorder="1" applyAlignment="1">
      <alignment horizontal="left" vertical="center" wrapText="1"/>
    </xf>
    <xf numFmtId="1" fontId="3" fillId="0" borderId="1012" xfId="2" applyNumberFormat="1" applyFont="1" applyBorder="1" applyAlignment="1">
      <alignment horizontal="left" vertical="center" wrapText="1"/>
    </xf>
    <xf numFmtId="1" fontId="3" fillId="0" borderId="895" xfId="2" applyNumberFormat="1" applyFont="1" applyBorder="1" applyAlignment="1">
      <alignment horizontal="left" vertical="center" wrapText="1"/>
    </xf>
    <xf numFmtId="1" fontId="3" fillId="0" borderId="1013" xfId="2" applyNumberFormat="1" applyFont="1" applyBorder="1" applyAlignment="1">
      <alignment horizontal="left" vertical="center" wrapText="1"/>
    </xf>
    <xf numFmtId="1" fontId="3" fillId="0" borderId="278" xfId="2" applyNumberFormat="1" applyFont="1" applyBorder="1" applyAlignment="1">
      <alignment horizontal="left" vertical="center" wrapText="1"/>
    </xf>
    <xf numFmtId="1" fontId="3" fillId="0" borderId="1001" xfId="2" applyNumberFormat="1" applyFont="1" applyBorder="1" applyAlignment="1">
      <alignment horizontal="left" vertical="center" wrapText="1"/>
    </xf>
    <xf numFmtId="1" fontId="3" fillId="0" borderId="914" xfId="0" applyNumberFormat="1" applyFont="1" applyBorder="1" applyAlignment="1">
      <alignment horizontal="center" wrapText="1"/>
    </xf>
    <xf numFmtId="1" fontId="3" fillId="0" borderId="991" xfId="0" applyNumberFormat="1" applyFont="1" applyBorder="1" applyAlignment="1">
      <alignment horizontal="center" wrapText="1"/>
    </xf>
    <xf numFmtId="0" fontId="3" fillId="0" borderId="1016" xfId="0" applyFont="1" applyBorder="1" applyAlignment="1">
      <alignment horizontal="center" vertical="center"/>
    </xf>
    <xf numFmtId="1" fontId="3" fillId="0" borderId="1018" xfId="0" applyNumberFormat="1" applyFont="1" applyBorder="1" applyAlignment="1">
      <alignment horizontal="center" vertical="center"/>
    </xf>
    <xf numFmtId="1" fontId="3" fillId="0" borderId="1017" xfId="0" applyNumberFormat="1" applyFont="1" applyBorder="1" applyAlignment="1">
      <alignment horizontal="center" vertical="center" wrapText="1"/>
    </xf>
    <xf numFmtId="1" fontId="3" fillId="0" borderId="1214" xfId="0" applyNumberFormat="1" applyFont="1" applyBorder="1" applyAlignment="1">
      <alignment horizontal="center" vertical="center" wrapText="1"/>
    </xf>
    <xf numFmtId="1" fontId="3" fillId="0" borderId="54" xfId="2" applyNumberFormat="1" applyFont="1" applyBorder="1" applyAlignment="1">
      <alignment horizontal="center" vertical="center"/>
    </xf>
    <xf numFmtId="0" fontId="3" fillId="0" borderId="34" xfId="2" applyFont="1" applyBorder="1"/>
    <xf numFmtId="1" fontId="3" fillId="0" borderId="1016" xfId="0" applyNumberFormat="1" applyFont="1" applyBorder="1" applyAlignment="1">
      <alignment horizontal="left" vertical="center" wrapText="1"/>
    </xf>
    <xf numFmtId="1" fontId="3" fillId="3" borderId="1001" xfId="0" applyNumberFormat="1" applyFont="1" applyFill="1" applyBorder="1" applyAlignment="1">
      <alignment horizontal="center" vertical="center" wrapText="1"/>
    </xf>
    <xf numFmtId="1" fontId="3" fillId="0" borderId="1020" xfId="0" applyNumberFormat="1" applyFont="1" applyBorder="1" applyAlignment="1">
      <alignment horizontal="left" vertical="center" wrapText="1"/>
    </xf>
    <xf numFmtId="1" fontId="3" fillId="0" borderId="116" xfId="0" applyNumberFormat="1" applyFont="1" applyBorder="1" applyAlignment="1">
      <alignment horizontal="left" vertical="center" wrapText="1"/>
    </xf>
    <xf numFmtId="1" fontId="3" fillId="0" borderId="1023" xfId="0" applyNumberFormat="1" applyFont="1" applyBorder="1" applyAlignment="1">
      <alignment horizontal="left" vertical="center" wrapText="1"/>
    </xf>
    <xf numFmtId="1" fontId="3" fillId="0" borderId="1024" xfId="0" applyNumberFormat="1" applyFont="1" applyBorder="1" applyAlignment="1">
      <alignment horizontal="center" vertical="center" wrapText="1"/>
    </xf>
    <xf numFmtId="1" fontId="3" fillId="0" borderId="1018" xfId="0" applyNumberFormat="1" applyFont="1" applyBorder="1" applyAlignment="1">
      <alignment horizontal="center" vertical="center" wrapText="1"/>
    </xf>
    <xf numFmtId="1" fontId="3" fillId="0" borderId="1025" xfId="0" applyNumberFormat="1" applyFont="1" applyBorder="1" applyAlignment="1">
      <alignment horizontal="center" vertical="center" wrapText="1"/>
    </xf>
    <xf numFmtId="1" fontId="3" fillId="0" borderId="1026" xfId="0" applyNumberFormat="1" applyFont="1" applyBorder="1" applyAlignment="1">
      <alignment horizontal="center" vertical="center" wrapText="1"/>
    </xf>
    <xf numFmtId="1" fontId="3" fillId="0" borderId="1028" xfId="0" applyNumberFormat="1" applyFont="1" applyBorder="1" applyAlignment="1">
      <alignment horizontal="center" vertical="center" wrapText="1"/>
    </xf>
    <xf numFmtId="1" fontId="3" fillId="0" borderId="1027" xfId="0" applyNumberFormat="1" applyFont="1" applyBorder="1" applyAlignment="1">
      <alignment horizontal="center" vertical="center"/>
    </xf>
    <xf numFmtId="1" fontId="3" fillId="5" borderId="910" xfId="0" applyNumberFormat="1" applyFont="1" applyFill="1" applyBorder="1" applyAlignment="1">
      <alignment horizontal="center" vertical="center"/>
    </xf>
    <xf numFmtId="1" fontId="3" fillId="3" borderId="1024" xfId="0" applyNumberFormat="1" applyFont="1" applyFill="1" applyBorder="1" applyAlignment="1">
      <alignment horizontal="center" vertical="center"/>
    </xf>
    <xf numFmtId="1" fontId="3" fillId="3" borderId="1018" xfId="0" applyNumberFormat="1" applyFont="1" applyFill="1" applyBorder="1" applyAlignment="1">
      <alignment horizontal="center" vertical="center"/>
    </xf>
    <xf numFmtId="1" fontId="3" fillId="3" borderId="1024" xfId="0" applyNumberFormat="1" applyFont="1" applyFill="1" applyBorder="1" applyAlignment="1">
      <alignment horizontal="center" vertical="center" wrapText="1"/>
    </xf>
    <xf numFmtId="1" fontId="3" fillId="3" borderId="1018" xfId="0" applyNumberFormat="1" applyFont="1" applyFill="1" applyBorder="1" applyAlignment="1">
      <alignment horizontal="center" vertical="center" wrapText="1"/>
    </xf>
    <xf numFmtId="1" fontId="3" fillId="0" borderId="1024" xfId="0" applyNumberFormat="1" applyFont="1" applyBorder="1" applyAlignment="1">
      <alignment horizontal="center" vertical="center"/>
    </xf>
    <xf numFmtId="1" fontId="3" fillId="5" borderId="1016" xfId="0" applyNumberFormat="1" applyFont="1" applyFill="1" applyBorder="1" applyAlignment="1">
      <alignment horizontal="center" vertical="center"/>
    </xf>
    <xf numFmtId="1" fontId="3" fillId="5" borderId="1030" xfId="0" applyNumberFormat="1" applyFont="1" applyFill="1" applyBorder="1" applyAlignment="1">
      <alignment horizontal="center" vertical="center"/>
    </xf>
    <xf numFmtId="1" fontId="3" fillId="0" borderId="1024" xfId="0" applyNumberFormat="1" applyFont="1" applyBorder="1" applyAlignment="1">
      <alignment horizontal="left" vertical="center" wrapText="1"/>
    </xf>
    <xf numFmtId="1" fontId="3" fillId="0" borderId="1018" xfId="0" applyNumberFormat="1" applyFont="1" applyBorder="1" applyAlignment="1">
      <alignment horizontal="left" vertical="center" wrapText="1"/>
    </xf>
    <xf numFmtId="1" fontId="3" fillId="0" borderId="1025" xfId="0" applyNumberFormat="1" applyFont="1" applyBorder="1" applyAlignment="1">
      <alignment horizontal="center" vertical="center"/>
    </xf>
    <xf numFmtId="1" fontId="3" fillId="0" borderId="1016" xfId="0" applyNumberFormat="1" applyFont="1" applyBorder="1" applyAlignment="1">
      <alignment horizontal="center" vertical="center" wrapText="1"/>
    </xf>
    <xf numFmtId="1" fontId="3" fillId="0" borderId="1019" xfId="0" applyNumberFormat="1" applyFont="1" applyBorder="1" applyAlignment="1">
      <alignment horizontal="center" vertical="center" wrapText="1"/>
    </xf>
    <xf numFmtId="1" fontId="3" fillId="0" borderId="915" xfId="0" applyNumberFormat="1" applyFont="1" applyBorder="1" applyAlignment="1">
      <alignment horizontal="center" vertical="center" wrapText="1"/>
    </xf>
    <xf numFmtId="1" fontId="3" fillId="0" borderId="964" xfId="0" applyNumberFormat="1" applyFont="1" applyBorder="1" applyAlignment="1">
      <alignment horizontal="center" vertical="center" wrapText="1"/>
    </xf>
    <xf numFmtId="1" fontId="3" fillId="0" borderId="924" xfId="0" applyNumberFormat="1" applyFont="1" applyBorder="1" applyAlignment="1">
      <alignment horizontal="center" vertical="center" wrapText="1"/>
    </xf>
    <xf numFmtId="1" fontId="3" fillId="0" borderId="925" xfId="0" applyNumberFormat="1" applyFont="1" applyBorder="1" applyAlignment="1">
      <alignment horizontal="center" vertical="center" wrapText="1"/>
    </xf>
    <xf numFmtId="1" fontId="3" fillId="5" borderId="912" xfId="0" applyNumberFormat="1" applyFont="1" applyFill="1" applyBorder="1" applyAlignment="1">
      <alignment horizontal="center" vertical="center"/>
    </xf>
    <xf numFmtId="1" fontId="3" fillId="0" borderId="1016" xfId="0" applyNumberFormat="1" applyFont="1" applyBorder="1" applyAlignment="1">
      <alignment horizontal="left" vertical="center"/>
    </xf>
    <xf numFmtId="1" fontId="3" fillId="3" borderId="912" xfId="0" applyNumberFormat="1" applyFont="1" applyFill="1" applyBorder="1" applyAlignment="1">
      <alignment horizontal="center" vertical="center" wrapText="1"/>
    </xf>
    <xf numFmtId="1" fontId="3" fillId="0" borderId="1016" xfId="0" quotePrefix="1" applyNumberFormat="1" applyFont="1" applyBorder="1" applyAlignment="1">
      <alignment horizontal="center" vertical="center" wrapText="1"/>
    </xf>
    <xf numFmtId="1" fontId="3" fillId="0" borderId="699" xfId="0" applyNumberFormat="1" applyFont="1" applyBorder="1" applyAlignment="1">
      <alignment horizontal="center" vertical="center"/>
    </xf>
    <xf numFmtId="1" fontId="3" fillId="0" borderId="717" xfId="0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0" fontId="3" fillId="0" borderId="1024" xfId="0" applyFont="1" applyBorder="1" applyAlignment="1">
      <alignment horizontal="center" vertical="center" wrapText="1"/>
    </xf>
    <xf numFmtId="0" fontId="3" fillId="0" borderId="1018" xfId="0" applyFont="1" applyBorder="1" applyAlignment="1">
      <alignment horizontal="center" vertical="center" wrapText="1"/>
    </xf>
    <xf numFmtId="1" fontId="3" fillId="5" borderId="1024" xfId="0" applyNumberFormat="1" applyFont="1" applyFill="1" applyBorder="1" applyAlignment="1">
      <alignment horizontal="center" vertical="center"/>
    </xf>
    <xf numFmtId="1" fontId="3" fillId="5" borderId="162" xfId="0" applyNumberFormat="1" applyFont="1" applyFill="1" applyBorder="1" applyAlignment="1">
      <alignment horizontal="center" vertical="center"/>
    </xf>
    <xf numFmtId="1" fontId="3" fillId="5" borderId="1018" xfId="0" applyNumberFormat="1" applyFont="1" applyFill="1" applyBorder="1" applyAlignment="1">
      <alignment horizontal="center" vertical="center"/>
    </xf>
    <xf numFmtId="1" fontId="3" fillId="5" borderId="1025" xfId="0" applyNumberFormat="1" applyFont="1" applyFill="1" applyBorder="1" applyAlignment="1">
      <alignment horizontal="center" vertical="center"/>
    </xf>
    <xf numFmtId="1" fontId="3" fillId="5" borderId="672" xfId="0" applyNumberFormat="1" applyFont="1" applyFill="1" applyBorder="1" applyAlignment="1">
      <alignment horizontal="center" vertical="center"/>
    </xf>
    <xf numFmtId="1" fontId="3" fillId="5" borderId="1038" xfId="0" applyNumberFormat="1" applyFont="1" applyFill="1" applyBorder="1" applyAlignment="1">
      <alignment horizontal="center" vertical="center"/>
    </xf>
    <xf numFmtId="1" fontId="3" fillId="5" borderId="1017" xfId="0" applyNumberFormat="1" applyFont="1" applyFill="1" applyBorder="1" applyAlignment="1">
      <alignment horizontal="center" vertical="center"/>
    </xf>
    <xf numFmtId="1" fontId="3" fillId="5" borderId="252" xfId="0" applyNumberFormat="1" applyFont="1" applyFill="1" applyBorder="1" applyAlignment="1">
      <alignment horizontal="center" vertical="center"/>
    </xf>
    <xf numFmtId="1" fontId="3" fillId="5" borderId="746" xfId="0" applyNumberFormat="1" applyFont="1" applyFill="1" applyBorder="1" applyAlignment="1">
      <alignment horizontal="center" vertical="center"/>
    </xf>
    <xf numFmtId="0" fontId="3" fillId="5" borderId="672" xfId="0" applyFont="1" applyFill="1" applyBorder="1" applyAlignment="1">
      <alignment horizontal="center" wrapText="1"/>
    </xf>
    <xf numFmtId="0" fontId="3" fillId="5" borderId="1027" xfId="0" applyFont="1" applyFill="1" applyBorder="1" applyAlignment="1">
      <alignment horizontal="center" wrapText="1"/>
    </xf>
    <xf numFmtId="1" fontId="3" fillId="5" borderId="1016" xfId="0" applyNumberFormat="1" applyFont="1" applyFill="1" applyBorder="1" applyAlignment="1">
      <alignment horizontal="center" vertical="center" wrapText="1"/>
    </xf>
    <xf numFmtId="0" fontId="3" fillId="5" borderId="977" xfId="0" applyFont="1" applyFill="1" applyBorder="1" applyAlignment="1">
      <alignment horizontal="center" wrapText="1"/>
    </xf>
    <xf numFmtId="0" fontId="3" fillId="5" borderId="897" xfId="0" applyFont="1" applyFill="1" applyBorder="1" applyAlignment="1">
      <alignment horizontal="center" wrapText="1"/>
    </xf>
    <xf numFmtId="0" fontId="3" fillId="5" borderId="898" xfId="0" applyFont="1" applyFill="1" applyBorder="1" applyAlignment="1">
      <alignment horizontal="center" wrapText="1"/>
    </xf>
    <xf numFmtId="1" fontId="3" fillId="0" borderId="1024" xfId="0" applyNumberFormat="1" applyFont="1" applyBorder="1" applyAlignment="1">
      <alignment horizontal="left" vertical="center"/>
    </xf>
    <xf numFmtId="1" fontId="3" fillId="0" borderId="1016" xfId="0" applyNumberFormat="1" applyFont="1" applyBorder="1" applyAlignment="1">
      <alignment horizontal="center" vertical="center"/>
    </xf>
    <xf numFmtId="1" fontId="3" fillId="0" borderId="1030" xfId="0" applyNumberFormat="1" applyFont="1" applyBorder="1" applyAlignment="1">
      <alignment horizontal="center" vertical="center"/>
    </xf>
    <xf numFmtId="0" fontId="3" fillId="0" borderId="913" xfId="0" applyFont="1" applyBorder="1" applyAlignment="1">
      <alignment horizontal="center" vertical="center" wrapText="1"/>
    </xf>
    <xf numFmtId="0" fontId="3" fillId="0" borderId="1016" xfId="0" applyFont="1" applyBorder="1" applyAlignment="1">
      <alignment horizontal="center" vertical="center" wrapText="1"/>
    </xf>
    <xf numFmtId="0" fontId="3" fillId="0" borderId="1030" xfId="0" applyFont="1" applyBorder="1" applyAlignment="1">
      <alignment horizontal="center" vertical="center" wrapText="1"/>
    </xf>
    <xf numFmtId="0" fontId="3" fillId="0" borderId="977" xfId="0" applyFont="1" applyBorder="1" applyAlignment="1">
      <alignment horizontal="center" vertical="center" wrapText="1"/>
    </xf>
    <xf numFmtId="0" fontId="3" fillId="0" borderId="1027" xfId="0" applyFont="1" applyBorder="1" applyAlignment="1">
      <alignment horizontal="center" vertical="center" wrapText="1"/>
    </xf>
    <xf numFmtId="1" fontId="3" fillId="0" borderId="1017" xfId="0" applyNumberFormat="1" applyFont="1" applyBorder="1" applyAlignment="1">
      <alignment horizontal="center" vertical="center"/>
    </xf>
    <xf numFmtId="1" fontId="3" fillId="0" borderId="1064" xfId="0" applyNumberFormat="1" applyFont="1" applyBorder="1" applyAlignment="1">
      <alignment horizontal="center" vertical="center"/>
    </xf>
    <xf numFmtId="1" fontId="3" fillId="0" borderId="1052" xfId="0" applyNumberFormat="1" applyFont="1" applyBorder="1" applyAlignment="1">
      <alignment horizontal="left" vertical="center" wrapText="1"/>
    </xf>
    <xf numFmtId="1" fontId="3" fillId="0" borderId="1063" xfId="0" applyNumberFormat="1" applyFont="1" applyBorder="1" applyAlignment="1">
      <alignment horizontal="center" vertical="center"/>
    </xf>
    <xf numFmtId="0" fontId="3" fillId="0" borderId="900" xfId="0" applyFont="1" applyBorder="1" applyAlignment="1">
      <alignment horizontal="left" vertical="center" wrapText="1"/>
    </xf>
    <xf numFmtId="0" fontId="3" fillId="0" borderId="962" xfId="0" applyFont="1" applyBorder="1" applyAlignment="1">
      <alignment horizontal="left" vertical="center" wrapText="1"/>
    </xf>
    <xf numFmtId="1" fontId="3" fillId="0" borderId="900" xfId="0" applyNumberFormat="1" applyFont="1" applyBorder="1" applyAlignment="1">
      <alignment horizontal="left" vertical="center"/>
    </xf>
    <xf numFmtId="1" fontId="3" fillId="0" borderId="962" xfId="0" applyNumberFormat="1" applyFont="1" applyBorder="1" applyAlignment="1">
      <alignment horizontal="left" vertical="center"/>
    </xf>
    <xf numFmtId="1" fontId="3" fillId="0" borderId="302" xfId="0" applyNumberFormat="1" applyFont="1" applyBorder="1" applyAlignment="1">
      <alignment horizontal="left" vertical="center"/>
    </xf>
    <xf numFmtId="1" fontId="3" fillId="0" borderId="1060" xfId="0" applyNumberFormat="1" applyFont="1" applyBorder="1" applyAlignment="1">
      <alignment horizontal="left" vertical="center"/>
    </xf>
    <xf numFmtId="1" fontId="3" fillId="0" borderId="1052" xfId="0" applyNumberFormat="1" applyFont="1" applyBorder="1" applyAlignment="1">
      <alignment horizontal="left" vertical="center"/>
    </xf>
    <xf numFmtId="0" fontId="3" fillId="0" borderId="1064" xfId="0" applyFont="1" applyBorder="1" applyAlignment="1">
      <alignment horizontal="center"/>
    </xf>
    <xf numFmtId="0" fontId="3" fillId="0" borderId="1016" xfId="0" applyFont="1" applyBorder="1" applyAlignment="1">
      <alignment horizontal="center"/>
    </xf>
    <xf numFmtId="0" fontId="3" fillId="0" borderId="1065" xfId="0" applyFont="1" applyBorder="1" applyAlignment="1">
      <alignment horizontal="center" vertical="center"/>
    </xf>
    <xf numFmtId="0" fontId="3" fillId="0" borderId="1066" xfId="0" applyFont="1" applyBorder="1" applyAlignment="1">
      <alignment horizontal="center" vertical="center"/>
    </xf>
    <xf numFmtId="0" fontId="3" fillId="0" borderId="1067" xfId="0" applyFont="1" applyBorder="1" applyAlignment="1">
      <alignment horizontal="center" vertical="center"/>
    </xf>
    <xf numFmtId="0" fontId="3" fillId="0" borderId="746" xfId="0" applyFont="1" applyBorder="1" applyAlignment="1">
      <alignment horizontal="center" vertical="center"/>
    </xf>
    <xf numFmtId="0" fontId="3" fillId="0" borderId="1068" xfId="0" applyFont="1" applyBorder="1" applyAlignment="1">
      <alignment horizontal="center" vertical="center"/>
    </xf>
    <xf numFmtId="0" fontId="3" fillId="0" borderId="1064" xfId="0" applyFont="1" applyBorder="1" applyAlignment="1">
      <alignment horizontal="center" vertical="center"/>
    </xf>
    <xf numFmtId="1" fontId="3" fillId="0" borderId="1068" xfId="0" applyNumberFormat="1" applyFont="1" applyBorder="1" applyAlignment="1">
      <alignment horizontal="center" vertical="center"/>
    </xf>
    <xf numFmtId="1" fontId="3" fillId="0" borderId="1068" xfId="0" applyNumberFormat="1" applyFont="1" applyBorder="1" applyAlignment="1">
      <alignment horizontal="center" vertical="center" wrapText="1"/>
    </xf>
    <xf numFmtId="1" fontId="3" fillId="0" borderId="1027" xfId="34" applyNumberFormat="1" applyFont="1" applyBorder="1" applyAlignment="1">
      <alignment horizontal="center" vertical="center" wrapText="1"/>
    </xf>
    <xf numFmtId="1" fontId="3" fillId="0" borderId="20" xfId="34" applyNumberFormat="1" applyFont="1" applyBorder="1" applyAlignment="1">
      <alignment horizontal="center" vertical="center" wrapText="1"/>
    </xf>
    <xf numFmtId="1" fontId="3" fillId="0" borderId="770" xfId="34" applyNumberFormat="1" applyFont="1" applyBorder="1" applyAlignment="1">
      <alignment horizontal="center" vertical="center" wrapText="1"/>
    </xf>
    <xf numFmtId="1" fontId="3" fillId="0" borderId="1024" xfId="34" applyNumberFormat="1" applyFont="1" applyBorder="1" applyAlignment="1">
      <alignment horizontal="center" vertical="center" wrapText="1"/>
    </xf>
    <xf numFmtId="1" fontId="3" fillId="0" borderId="162" xfId="34" applyNumberFormat="1" applyFont="1" applyBorder="1" applyAlignment="1">
      <alignment horizontal="center" vertical="center" wrapText="1"/>
    </xf>
    <xf numFmtId="1" fontId="3" fillId="0" borderId="299" xfId="34" applyNumberFormat="1" applyFont="1" applyBorder="1" applyAlignment="1">
      <alignment horizontal="center" vertical="center" wrapText="1"/>
    </xf>
    <xf numFmtId="1" fontId="3" fillId="0" borderId="998" xfId="0" applyNumberFormat="1" applyFont="1" applyBorder="1" applyAlignment="1">
      <alignment horizontal="center" vertical="center" wrapText="1"/>
    </xf>
    <xf numFmtId="1" fontId="3" fillId="0" borderId="1037" xfId="0" applyNumberFormat="1" applyFont="1" applyBorder="1" applyAlignment="1">
      <alignment horizontal="center" vertical="center"/>
    </xf>
    <xf numFmtId="1" fontId="3" fillId="0" borderId="255" xfId="0" applyNumberFormat="1" applyFont="1" applyBorder="1" applyAlignment="1">
      <alignment horizontal="center" vertical="center"/>
    </xf>
    <xf numFmtId="1" fontId="3" fillId="0" borderId="912" xfId="0" applyNumberFormat="1" applyFont="1" applyBorder="1" applyAlignment="1">
      <alignment horizontal="center" vertical="center" wrapText="1"/>
    </xf>
    <xf numFmtId="1" fontId="3" fillId="3" borderId="1064" xfId="0" applyNumberFormat="1" applyFont="1" applyFill="1" applyBorder="1" applyAlignment="1">
      <alignment horizontal="center" vertical="center" wrapText="1"/>
    </xf>
    <xf numFmtId="1" fontId="3" fillId="3" borderId="1016" xfId="0" applyNumberFormat="1" applyFont="1" applyFill="1" applyBorder="1" applyAlignment="1">
      <alignment horizontal="center" vertical="center" wrapText="1"/>
    </xf>
    <xf numFmtId="1" fontId="3" fillId="0" borderId="1064" xfId="0" applyNumberFormat="1" applyFont="1" applyBorder="1" applyAlignment="1">
      <alignment horizontal="center" vertical="center" wrapText="1"/>
    </xf>
    <xf numFmtId="1" fontId="3" fillId="0" borderId="1197" xfId="0" applyNumberFormat="1" applyFont="1" applyBorder="1" applyAlignment="1">
      <alignment horizontal="center" vertical="center" wrapText="1"/>
    </xf>
    <xf numFmtId="1" fontId="3" fillId="0" borderId="1198" xfId="0" applyNumberFormat="1" applyFont="1" applyBorder="1" applyAlignment="1">
      <alignment horizontal="center" vertical="center" wrapText="1"/>
    </xf>
    <xf numFmtId="1" fontId="3" fillId="0" borderId="1029" xfId="0" applyNumberFormat="1" applyFont="1" applyBorder="1" applyAlignment="1">
      <alignment horizontal="center" vertical="center" wrapText="1"/>
    </xf>
    <xf numFmtId="1" fontId="3" fillId="0" borderId="991" xfId="0" applyNumberFormat="1" applyFont="1" applyBorder="1" applyAlignment="1">
      <alignment horizontal="center" vertical="center" wrapText="1"/>
    </xf>
    <xf numFmtId="1" fontId="3" fillId="0" borderId="1038" xfId="0" applyNumberFormat="1" applyFont="1" applyBorder="1" applyAlignment="1">
      <alignment horizontal="center" vertical="center"/>
    </xf>
    <xf numFmtId="1" fontId="3" fillId="0" borderId="1026" xfId="0" applyNumberFormat="1" applyFont="1" applyBorder="1" applyAlignment="1">
      <alignment horizontal="center" vertical="center"/>
    </xf>
    <xf numFmtId="1" fontId="3" fillId="0" borderId="1029" xfId="0" applyNumberFormat="1" applyFont="1" applyBorder="1" applyAlignment="1">
      <alignment horizontal="center" vertical="center"/>
    </xf>
    <xf numFmtId="1" fontId="3" fillId="0" borderId="1028" xfId="0" applyNumberFormat="1" applyFont="1" applyBorder="1" applyAlignment="1">
      <alignment horizontal="center" vertical="center"/>
    </xf>
    <xf numFmtId="1" fontId="3" fillId="0" borderId="1030" xfId="0" applyNumberFormat="1" applyFont="1" applyBorder="1" applyAlignment="1">
      <alignment horizontal="center" vertical="center" wrapText="1"/>
    </xf>
    <xf numFmtId="1" fontId="3" fillId="0" borderId="1069" xfId="0" applyNumberFormat="1" applyFont="1" applyBorder="1" applyAlignment="1">
      <alignment horizontal="center" vertical="center"/>
    </xf>
    <xf numFmtId="1" fontId="3" fillId="0" borderId="262" xfId="0" applyNumberFormat="1" applyFont="1" applyBorder="1" applyAlignment="1">
      <alignment horizontal="center" vertical="center"/>
    </xf>
    <xf numFmtId="1" fontId="3" fillId="3" borderId="1064" xfId="0" applyNumberFormat="1" applyFont="1" applyFill="1" applyBorder="1" applyAlignment="1">
      <alignment horizontal="center" wrapText="1"/>
    </xf>
    <xf numFmtId="1" fontId="3" fillId="0" borderId="1073" xfId="0" applyNumberFormat="1" applyFont="1" applyBorder="1" applyAlignment="1">
      <alignment horizontal="center" vertical="center" wrapText="1"/>
    </xf>
    <xf numFmtId="1" fontId="3" fillId="3" borderId="1016" xfId="0" applyNumberFormat="1" applyFont="1" applyFill="1" applyBorder="1" applyAlignment="1">
      <alignment horizontal="center" wrapText="1"/>
    </xf>
    <xf numFmtId="1" fontId="6" fillId="0" borderId="1016" xfId="34" applyNumberFormat="1" applyFont="1" applyBorder="1" applyAlignment="1">
      <alignment horizontal="center" vertical="center" wrapText="1"/>
    </xf>
    <xf numFmtId="1" fontId="6" fillId="0" borderId="1024" xfId="34" applyNumberFormat="1" applyFont="1" applyBorder="1" applyAlignment="1">
      <alignment horizontal="center" vertical="center" wrapText="1"/>
    </xf>
    <xf numFmtId="1" fontId="6" fillId="0" borderId="162" xfId="34" applyNumberFormat="1" applyFont="1" applyBorder="1" applyAlignment="1">
      <alignment horizontal="center" vertical="center" wrapText="1"/>
    </xf>
    <xf numFmtId="1" fontId="6" fillId="0" borderId="299" xfId="34" applyNumberFormat="1" applyFont="1" applyBorder="1" applyAlignment="1">
      <alignment horizontal="center" vertical="center" wrapText="1"/>
    </xf>
    <xf numFmtId="1" fontId="3" fillId="0" borderId="900" xfId="0" applyNumberFormat="1" applyFont="1" applyBorder="1" applyAlignment="1">
      <alignment horizontal="center" vertical="center" wrapText="1"/>
    </xf>
    <xf numFmtId="1" fontId="3" fillId="0" borderId="958" xfId="0" applyNumberFormat="1" applyFont="1" applyBorder="1" applyAlignment="1">
      <alignment horizontal="center" vertical="center" wrapText="1"/>
    </xf>
    <xf numFmtId="1" fontId="3" fillId="0" borderId="232" xfId="0" applyNumberFormat="1" applyFont="1" applyBorder="1" applyAlignment="1">
      <alignment horizontal="center" vertical="center" wrapText="1"/>
    </xf>
    <xf numFmtId="1" fontId="3" fillId="0" borderId="1016" xfId="34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1" fontId="2" fillId="3" borderId="909" xfId="0" applyNumberFormat="1" applyFont="1" applyFill="1" applyBorder="1" applyAlignment="1">
      <alignment horizontal="left"/>
    </xf>
    <xf numFmtId="1" fontId="2" fillId="3" borderId="1068" xfId="0" applyNumberFormat="1" applyFont="1" applyFill="1" applyBorder="1" applyAlignment="1">
      <alignment horizontal="left"/>
    </xf>
    <xf numFmtId="0" fontId="2" fillId="0" borderId="1068" xfId="0" applyFont="1" applyBorder="1" applyAlignment="1">
      <alignment horizontal="left"/>
    </xf>
    <xf numFmtId="1" fontId="3" fillId="0" borderId="1063" xfId="0" applyNumberFormat="1" applyFont="1" applyBorder="1" applyAlignment="1" applyProtection="1">
      <alignment horizontal="center" vertical="center" wrapText="1"/>
      <protection hidden="1"/>
    </xf>
    <xf numFmtId="1" fontId="3" fillId="0" borderId="299" xfId="0" applyNumberFormat="1" applyFont="1" applyBorder="1" applyAlignment="1" applyProtection="1">
      <alignment horizontal="center" vertical="center" wrapText="1"/>
      <protection hidden="1"/>
    </xf>
    <xf numFmtId="0" fontId="3" fillId="0" borderId="1075" xfId="0" applyFont="1" applyBorder="1" applyAlignment="1">
      <alignment horizontal="center" vertical="center" wrapText="1"/>
    </xf>
    <xf numFmtId="0" fontId="3" fillId="0" borderId="165" xfId="0" applyFont="1" applyBorder="1" applyAlignment="1">
      <alignment horizontal="center" vertical="center" wrapText="1"/>
    </xf>
    <xf numFmtId="0" fontId="3" fillId="0" borderId="745" xfId="0" applyFont="1" applyBorder="1" applyAlignment="1">
      <alignment horizontal="center" vertical="center" wrapText="1"/>
    </xf>
    <xf numFmtId="0" fontId="3" fillId="0" borderId="1026" xfId="0" applyFont="1" applyBorder="1" applyAlignment="1">
      <alignment horizontal="center" vertical="center" wrapText="1"/>
    </xf>
    <xf numFmtId="0" fontId="3" fillId="0" borderId="909" xfId="0" applyFont="1" applyBorder="1" applyAlignment="1">
      <alignment horizontal="center" vertical="center" wrapText="1"/>
    </xf>
    <xf numFmtId="0" fontId="3" fillId="0" borderId="1068" xfId="0" applyFont="1" applyBorder="1" applyAlignment="1">
      <alignment horizontal="center" vertical="center" wrapText="1"/>
    </xf>
    <xf numFmtId="0" fontId="3" fillId="0" borderId="911" xfId="0" applyFont="1" applyBorder="1" applyAlignment="1">
      <alignment horizontal="center" vertical="center" wrapText="1"/>
    </xf>
    <xf numFmtId="0" fontId="3" fillId="0" borderId="1070" xfId="0" applyFont="1" applyBorder="1" applyAlignment="1">
      <alignment horizontal="center" vertical="center" wrapText="1"/>
    </xf>
    <xf numFmtId="0" fontId="3" fillId="0" borderId="1064" xfId="0" applyFont="1" applyBorder="1" applyAlignment="1">
      <alignment horizontal="center" vertical="center" wrapText="1"/>
    </xf>
    <xf numFmtId="0" fontId="3" fillId="0" borderId="1072" xfId="0" applyFont="1" applyBorder="1" applyAlignment="1">
      <alignment horizontal="center" vertical="center" wrapText="1"/>
    </xf>
    <xf numFmtId="0" fontId="3" fillId="0" borderId="255" xfId="0" applyFont="1" applyBorder="1" applyAlignment="1">
      <alignment horizontal="center" vertical="center" wrapText="1"/>
    </xf>
    <xf numFmtId="0" fontId="3" fillId="0" borderId="1071" xfId="0" applyFont="1" applyBorder="1" applyAlignment="1">
      <alignment horizontal="center" vertical="center" wrapText="1"/>
    </xf>
    <xf numFmtId="0" fontId="3" fillId="0" borderId="1027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770" xfId="0" applyFont="1" applyBorder="1" applyAlignment="1">
      <alignment horizontal="left" vertical="center" wrapText="1"/>
    </xf>
    <xf numFmtId="0" fontId="3" fillId="5" borderId="1070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259" xfId="0" applyFont="1" applyFill="1" applyBorder="1" applyAlignment="1">
      <alignment horizontal="center" vertical="center" wrapText="1"/>
    </xf>
    <xf numFmtId="0" fontId="3" fillId="5" borderId="107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256" xfId="0" applyFont="1" applyFill="1" applyBorder="1" applyAlignment="1">
      <alignment horizontal="center" vertical="center" wrapText="1"/>
    </xf>
    <xf numFmtId="0" fontId="3" fillId="5" borderId="1027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770" xfId="0" applyFont="1" applyFill="1" applyBorder="1" applyAlignment="1">
      <alignment horizontal="center" vertical="center" wrapText="1"/>
    </xf>
    <xf numFmtId="0" fontId="3" fillId="5" borderId="1038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746" xfId="0" applyFont="1" applyFill="1" applyBorder="1" applyAlignment="1">
      <alignment horizontal="center" vertical="center" wrapText="1"/>
    </xf>
    <xf numFmtId="1" fontId="3" fillId="0" borderId="1088" xfId="0" applyNumberFormat="1" applyFont="1" applyBorder="1" applyAlignment="1">
      <alignment horizontal="center" vertical="center"/>
    </xf>
    <xf numFmtId="1" fontId="3" fillId="0" borderId="1092" xfId="0" applyNumberFormat="1" applyFont="1" applyBorder="1" applyAlignment="1">
      <alignment horizontal="center" vertical="center"/>
    </xf>
    <xf numFmtId="1" fontId="3" fillId="0" borderId="1086" xfId="0" applyNumberFormat="1" applyFont="1" applyBorder="1" applyAlignment="1">
      <alignment horizontal="center" vertical="center"/>
    </xf>
    <xf numFmtId="1" fontId="3" fillId="0" borderId="1092" xfId="0" applyNumberFormat="1" applyFont="1" applyBorder="1" applyAlignment="1">
      <alignment horizontal="center" vertical="center" wrapText="1"/>
    </xf>
    <xf numFmtId="0" fontId="3" fillId="5" borderId="1087" xfId="0" applyFont="1" applyFill="1" applyBorder="1" applyAlignment="1">
      <alignment horizontal="center" vertical="center" wrapText="1"/>
    </xf>
    <xf numFmtId="0" fontId="3" fillId="5" borderId="1068" xfId="0" applyFont="1" applyFill="1" applyBorder="1" applyAlignment="1">
      <alignment horizontal="center" vertical="center" wrapText="1"/>
    </xf>
    <xf numFmtId="0" fontId="3" fillId="0" borderId="1099" xfId="0" applyFont="1" applyBorder="1" applyAlignment="1">
      <alignment horizontal="center" vertical="center" wrapText="1"/>
    </xf>
    <xf numFmtId="0" fontId="3" fillId="0" borderId="1087" xfId="0" applyFont="1" applyBorder="1" applyAlignment="1">
      <alignment horizontal="center" vertical="center" wrapText="1"/>
    </xf>
    <xf numFmtId="0" fontId="3" fillId="0" borderId="1092" xfId="0" applyFont="1" applyBorder="1" applyAlignment="1">
      <alignment horizontal="center" vertical="center" wrapText="1"/>
    </xf>
    <xf numFmtId="0" fontId="3" fillId="0" borderId="1089" xfId="0" applyFont="1" applyBorder="1" applyAlignment="1">
      <alignment horizontal="center" vertical="center" wrapText="1"/>
    </xf>
    <xf numFmtId="0" fontId="3" fillId="0" borderId="1076" xfId="0" applyFont="1" applyBorder="1" applyAlignment="1">
      <alignment horizontal="center" vertical="center" wrapText="1"/>
    </xf>
    <xf numFmtId="0" fontId="3" fillId="0" borderId="261" xfId="0" applyFont="1" applyBorder="1" applyAlignment="1">
      <alignment horizontal="center" vertical="center" wrapText="1"/>
    </xf>
    <xf numFmtId="0" fontId="3" fillId="0" borderId="1063" xfId="0" applyFont="1" applyBorder="1" applyAlignment="1">
      <alignment horizontal="center" vertical="center" wrapText="1"/>
    </xf>
    <xf numFmtId="0" fontId="3" fillId="5" borderId="1099" xfId="0" applyFont="1" applyFill="1" applyBorder="1" applyAlignment="1">
      <alignment horizontal="center" vertical="center" wrapText="1"/>
    </xf>
    <xf numFmtId="0" fontId="3" fillId="5" borderId="1063" xfId="0" applyFont="1" applyFill="1" applyBorder="1" applyAlignment="1">
      <alignment horizontal="center" vertical="center" wrapText="1"/>
    </xf>
    <xf numFmtId="0" fontId="3" fillId="5" borderId="299" xfId="0" applyFont="1" applyFill="1" applyBorder="1" applyAlignment="1">
      <alignment horizontal="center" vertical="center" wrapText="1"/>
    </xf>
    <xf numFmtId="0" fontId="3" fillId="5" borderId="1092" xfId="0" applyFont="1" applyFill="1" applyBorder="1" applyAlignment="1">
      <alignment horizontal="center" vertical="center" wrapText="1"/>
    </xf>
    <xf numFmtId="0" fontId="2" fillId="5" borderId="1068" xfId="0" applyFont="1" applyFill="1" applyBorder="1" applyAlignment="1">
      <alignment horizontal="left" vertical="center"/>
    </xf>
    <xf numFmtId="0" fontId="2" fillId="0" borderId="1068" xfId="0" applyFont="1" applyBorder="1" applyAlignment="1">
      <alignment horizontal="left" vertical="center"/>
    </xf>
    <xf numFmtId="1" fontId="3" fillId="0" borderId="1063" xfId="0" applyNumberFormat="1" applyFont="1" applyBorder="1" applyAlignment="1">
      <alignment horizontal="left" vertical="center" wrapText="1"/>
    </xf>
    <xf numFmtId="1" fontId="3" fillId="0" borderId="1070" xfId="0" applyNumberFormat="1" applyFont="1" applyBorder="1" applyAlignment="1">
      <alignment horizontal="center" vertical="center" wrapText="1"/>
    </xf>
    <xf numFmtId="0" fontId="2" fillId="0" borderId="1026" xfId="22" applyFont="1" applyBorder="1" applyAlignment="1" applyProtection="1">
      <alignment horizontal="left" vertical="center"/>
    </xf>
    <xf numFmtId="1" fontId="3" fillId="0" borderId="1063" xfId="0" applyNumberFormat="1" applyFont="1" applyBorder="1" applyAlignment="1">
      <alignment horizontal="center" vertical="center" wrapText="1"/>
    </xf>
    <xf numFmtId="1" fontId="3" fillId="0" borderId="1076" xfId="0" applyNumberFormat="1" applyFont="1" applyBorder="1" applyAlignment="1">
      <alignment horizontal="center" vertical="center" wrapText="1"/>
    </xf>
    <xf numFmtId="0" fontId="2" fillId="0" borderId="252" xfId="20" applyFont="1" applyBorder="1" applyAlignment="1">
      <alignment horizontal="left" vertical="center" wrapText="1"/>
    </xf>
    <xf numFmtId="164" fontId="3" fillId="0" borderId="1068" xfId="18" applyNumberFormat="1" applyFont="1" applyBorder="1" applyAlignment="1" applyProtection="1">
      <alignment horizontal="center" vertical="center" wrapText="1"/>
    </xf>
    <xf numFmtId="164" fontId="3" fillId="0" borderId="1064" xfId="18" applyNumberFormat="1" applyFont="1" applyBorder="1" applyAlignment="1" applyProtection="1">
      <alignment horizontal="center" vertical="center" wrapText="1"/>
    </xf>
    <xf numFmtId="164" fontId="3" fillId="0" borderId="1064" xfId="17" applyNumberFormat="1" applyFont="1" applyBorder="1" applyAlignment="1">
      <alignment horizontal="center" vertical="center"/>
    </xf>
    <xf numFmtId="164" fontId="3" fillId="0" borderId="1016" xfId="17" applyNumberFormat="1" applyFont="1" applyBorder="1" applyAlignment="1">
      <alignment horizontal="center" vertical="center"/>
    </xf>
    <xf numFmtId="0" fontId="2" fillId="0" borderId="1068" xfId="20" applyFont="1" applyBorder="1" applyAlignment="1">
      <alignment horizontal="left" vertical="center" wrapText="1"/>
    </xf>
    <xf numFmtId="1" fontId="3" fillId="0" borderId="1038" xfId="0" applyNumberFormat="1" applyFont="1" applyBorder="1" applyAlignment="1">
      <alignment horizontal="center" vertical="center" wrapText="1"/>
    </xf>
    <xf numFmtId="1" fontId="3" fillId="5" borderId="1068" xfId="0" applyNumberFormat="1" applyFont="1" applyFill="1" applyBorder="1" applyAlignment="1">
      <alignment horizontal="center" vertical="center" wrapText="1"/>
    </xf>
    <xf numFmtId="1" fontId="3" fillId="5" borderId="1092" xfId="0" applyNumberFormat="1" applyFont="1" applyFill="1" applyBorder="1" applyAlignment="1">
      <alignment horizontal="center" vertical="center" wrapText="1"/>
    </xf>
    <xf numFmtId="1" fontId="3" fillId="0" borderId="1088" xfId="0" applyNumberFormat="1" applyFont="1" applyBorder="1" applyAlignment="1">
      <alignment horizontal="center" vertical="center" wrapText="1"/>
    </xf>
    <xf numFmtId="0" fontId="3" fillId="0" borderId="1087" xfId="0" applyFont="1" applyBorder="1" applyAlignment="1">
      <alignment horizontal="center" vertical="center"/>
    </xf>
    <xf numFmtId="0" fontId="3" fillId="0" borderId="1092" xfId="0" applyFont="1" applyBorder="1" applyAlignment="1">
      <alignment horizontal="center" vertical="center"/>
    </xf>
    <xf numFmtId="0" fontId="3" fillId="0" borderId="1027" xfId="0" applyFont="1" applyBorder="1" applyAlignment="1">
      <alignment horizontal="center" vertical="center"/>
    </xf>
    <xf numFmtId="1" fontId="3" fillId="5" borderId="1063" xfId="0" applyNumberFormat="1" applyFont="1" applyFill="1" applyBorder="1" applyAlignment="1" applyProtection="1">
      <alignment horizontal="center" vertical="center" wrapText="1"/>
      <protection hidden="1"/>
    </xf>
    <xf numFmtId="1" fontId="3" fillId="5" borderId="299" xfId="0" applyNumberFormat="1" applyFont="1" applyFill="1" applyBorder="1" applyAlignment="1" applyProtection="1">
      <alignment horizontal="center" vertical="center" wrapText="1"/>
      <protection hidden="1"/>
    </xf>
    <xf numFmtId="1" fontId="3" fillId="5" borderId="1025" xfId="0" applyNumberFormat="1" applyFont="1" applyFill="1" applyBorder="1" applyAlignment="1">
      <alignment horizontal="center" vertical="center" wrapText="1"/>
    </xf>
    <xf numFmtId="1" fontId="3" fillId="5" borderId="1027" xfId="0" applyNumberFormat="1" applyFont="1" applyFill="1" applyBorder="1" applyAlignment="1">
      <alignment horizontal="center" vertical="center" wrapText="1"/>
    </xf>
    <xf numFmtId="0" fontId="3" fillId="0" borderId="1025" xfId="0" applyFont="1" applyBorder="1" applyAlignment="1">
      <alignment horizontal="center" vertical="center"/>
    </xf>
    <xf numFmtId="0" fontId="3" fillId="0" borderId="1026" xfId="0" applyFont="1" applyBorder="1" applyAlignment="1">
      <alignment horizontal="center" vertical="center"/>
    </xf>
    <xf numFmtId="1" fontId="3" fillId="0" borderId="1080" xfId="0" applyNumberFormat="1" applyFont="1" applyBorder="1" applyAlignment="1">
      <alignment horizontal="left" vertical="center" wrapText="1"/>
    </xf>
    <xf numFmtId="1" fontId="3" fillId="0" borderId="1090" xfId="0" applyNumberFormat="1" applyFont="1" applyBorder="1" applyAlignment="1">
      <alignment horizontal="center" vertical="center" wrapText="1"/>
    </xf>
    <xf numFmtId="1" fontId="3" fillId="0" borderId="1091" xfId="0" applyNumberFormat="1" applyFont="1" applyBorder="1" applyAlignment="1">
      <alignment horizontal="center" vertical="center" wrapText="1"/>
    </xf>
    <xf numFmtId="1" fontId="3" fillId="0" borderId="963" xfId="0" applyNumberFormat="1" applyFont="1" applyBorder="1" applyAlignment="1">
      <alignment horizontal="center" vertical="center" wrapText="1"/>
    </xf>
    <xf numFmtId="1" fontId="3" fillId="0" borderId="1071" xfId="0" applyNumberFormat="1" applyFont="1" applyBorder="1" applyAlignment="1">
      <alignment horizontal="center" vertical="center" wrapText="1"/>
    </xf>
    <xf numFmtId="0" fontId="2" fillId="0" borderId="0" xfId="20" applyFont="1" applyAlignment="1">
      <alignment horizontal="left" vertical="center" wrapText="1"/>
    </xf>
    <xf numFmtId="164" fontId="3" fillId="0" borderId="909" xfId="17" applyNumberFormat="1" applyFont="1" applyBorder="1" applyAlignment="1">
      <alignment horizontal="center" vertical="center"/>
    </xf>
    <xf numFmtId="164" fontId="3" fillId="0" borderId="911" xfId="17" applyNumberFormat="1" applyFont="1" applyBorder="1" applyAlignment="1">
      <alignment horizontal="center" vertical="center"/>
    </xf>
    <xf numFmtId="0" fontId="2" fillId="0" borderId="1026" xfId="20" applyFont="1" applyBorder="1" applyAlignment="1">
      <alignment horizontal="left" vertical="center" wrapText="1"/>
    </xf>
    <xf numFmtId="1" fontId="3" fillId="0" borderId="1016" xfId="0" applyNumberFormat="1" applyFont="1" applyBorder="1" applyAlignment="1" applyProtection="1">
      <alignment horizontal="center" vertical="center" wrapText="1"/>
      <protection hidden="1"/>
    </xf>
    <xf numFmtId="164" fontId="3" fillId="0" borderId="998" xfId="17" applyNumberFormat="1" applyFont="1" applyBorder="1" applyAlignment="1">
      <alignment horizontal="center" vertical="center"/>
    </xf>
    <xf numFmtId="164" fontId="3" fillId="0" borderId="1030" xfId="17" applyNumberFormat="1" applyFont="1" applyBorder="1" applyAlignment="1">
      <alignment horizontal="center" vertical="center"/>
    </xf>
    <xf numFmtId="164" fontId="3" fillId="0" borderId="1063" xfId="18" applyNumberFormat="1" applyFont="1" applyBorder="1" applyAlignment="1" applyProtection="1">
      <alignment horizontal="center" vertical="center"/>
    </xf>
    <xf numFmtId="164" fontId="3" fillId="0" borderId="162" xfId="18" applyNumberFormat="1" applyFont="1" applyBorder="1" applyAlignment="1" applyProtection="1">
      <alignment horizontal="center" vertical="center"/>
    </xf>
    <xf numFmtId="164" fontId="3" fillId="0" borderId="299" xfId="18" applyNumberFormat="1" applyFont="1" applyBorder="1" applyAlignment="1" applyProtection="1">
      <alignment horizontal="center" vertical="center"/>
    </xf>
    <xf numFmtId="164" fontId="3" fillId="0" borderId="909" xfId="18" applyNumberFormat="1" applyFont="1" applyBorder="1" applyAlignment="1" applyProtection="1">
      <alignment horizontal="center" vertical="center"/>
    </xf>
    <xf numFmtId="164" fontId="3" fillId="0" borderId="1068" xfId="18" applyNumberFormat="1" applyFont="1" applyBorder="1" applyAlignment="1" applyProtection="1">
      <alignment horizontal="center" vertical="center"/>
    </xf>
    <xf numFmtId="164" fontId="3" fillId="0" borderId="1064" xfId="18" applyNumberFormat="1" applyFont="1" applyBorder="1" applyAlignment="1" applyProtection="1">
      <alignment horizontal="center" vertical="center"/>
    </xf>
    <xf numFmtId="164" fontId="3" fillId="0" borderId="1025" xfId="18" applyNumberFormat="1" applyFont="1" applyBorder="1" applyAlignment="1" applyProtection="1">
      <alignment horizontal="center" vertical="center"/>
    </xf>
    <xf numFmtId="164" fontId="3" fillId="0" borderId="1027" xfId="18" applyNumberFormat="1" applyFont="1" applyBorder="1" applyAlignment="1" applyProtection="1">
      <alignment horizontal="center" vertical="center"/>
    </xf>
    <xf numFmtId="164" fontId="3" fillId="0" borderId="300" xfId="18" applyNumberFormat="1" applyFont="1" applyBorder="1" applyAlignment="1" applyProtection="1">
      <alignment horizontal="center" vertical="center"/>
    </xf>
    <xf numFmtId="164" fontId="3" fillId="0" borderId="770" xfId="18" applyNumberFormat="1" applyFont="1" applyBorder="1" applyAlignment="1" applyProtection="1">
      <alignment horizontal="center" vertical="center"/>
    </xf>
    <xf numFmtId="0" fontId="2" fillId="0" borderId="300" xfId="20" applyFont="1" applyBorder="1" applyAlignment="1">
      <alignment horizontal="left" vertical="center" wrapText="1"/>
    </xf>
    <xf numFmtId="164" fontId="3" fillId="0" borderId="1016" xfId="18" applyNumberFormat="1" applyFont="1" applyBorder="1" applyAlignment="1" applyProtection="1">
      <alignment horizontal="center" vertical="center"/>
    </xf>
    <xf numFmtId="164" fontId="3" fillId="0" borderId="1025" xfId="18" applyNumberFormat="1" applyFont="1" applyBorder="1" applyAlignment="1" applyProtection="1">
      <alignment horizontal="center" vertical="center" wrapText="1"/>
    </xf>
    <xf numFmtId="164" fontId="3" fillId="0" borderId="1026" xfId="18" applyNumberFormat="1" applyFont="1" applyBorder="1" applyAlignment="1" applyProtection="1">
      <alignment horizontal="center" vertical="center" wrapText="1"/>
    </xf>
    <xf numFmtId="164" fontId="3" fillId="0" borderId="1027" xfId="18" applyNumberFormat="1" applyFont="1" applyBorder="1" applyAlignment="1" applyProtection="1">
      <alignment horizontal="center" vertical="center" wrapText="1"/>
    </xf>
    <xf numFmtId="0" fontId="2" fillId="0" borderId="909" xfId="2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1099" xfId="0" applyFont="1" applyBorder="1" applyAlignment="1">
      <alignment horizontal="center" vertical="center"/>
    </xf>
    <xf numFmtId="1" fontId="3" fillId="0" borderId="1104" xfId="0" applyNumberFormat="1" applyFont="1" applyBorder="1" applyAlignment="1">
      <alignment horizontal="center" vertical="center"/>
    </xf>
    <xf numFmtId="0" fontId="3" fillId="0" borderId="106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" fontId="3" fillId="0" borderId="30" xfId="0" applyNumberFormat="1" applyFont="1" applyBorder="1" applyAlignment="1">
      <alignment horizontal="center" vertical="center" wrapText="1"/>
    </xf>
    <xf numFmtId="0" fontId="3" fillId="0" borderId="1025" xfId="0" applyFont="1" applyBorder="1" applyAlignment="1">
      <alignment horizontal="center" wrapText="1"/>
    </xf>
    <xf numFmtId="0" fontId="3" fillId="0" borderId="1027" xfId="0" applyFont="1" applyBorder="1" applyAlignment="1">
      <alignment horizontal="center" wrapText="1"/>
    </xf>
    <xf numFmtId="0" fontId="3" fillId="0" borderId="300" xfId="0" applyFont="1" applyBorder="1" applyAlignment="1">
      <alignment horizontal="center" wrapText="1"/>
    </xf>
    <xf numFmtId="0" fontId="3" fillId="0" borderId="770" xfId="0" applyFont="1" applyBorder="1" applyAlignment="1">
      <alignment horizontal="center" wrapText="1"/>
    </xf>
    <xf numFmtId="1" fontId="3" fillId="0" borderId="110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30" xfId="0" applyFont="1" applyBorder="1" applyAlignment="1">
      <alignment horizontal="left"/>
    </xf>
    <xf numFmtId="1" fontId="4" fillId="0" borderId="24" xfId="0" applyNumberFormat="1" applyFont="1" applyBorder="1" applyAlignment="1">
      <alignment horizontal="center" vertical="center" wrapText="1"/>
    </xf>
    <xf numFmtId="1" fontId="4" fillId="0" borderId="26" xfId="0" applyNumberFormat="1" applyFont="1" applyBorder="1" applyAlignment="1">
      <alignment horizontal="center" vertical="center" wrapText="1"/>
    </xf>
    <xf numFmtId="1" fontId="4" fillId="0" borderId="25" xfId="0" applyNumberFormat="1" applyFont="1" applyBorder="1" applyAlignment="1">
      <alignment horizontal="center" vertical="center" wrapText="1"/>
    </xf>
    <xf numFmtId="1" fontId="4" fillId="0" borderId="27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" fontId="4" fillId="0" borderId="28" xfId="0" applyNumberFormat="1" applyFont="1" applyBorder="1" applyAlignment="1">
      <alignment horizontal="center" vertical="center" wrapText="1"/>
    </xf>
    <xf numFmtId="1" fontId="3" fillId="0" borderId="1105" xfId="0" applyNumberFormat="1" applyFont="1" applyBorder="1" applyAlignment="1">
      <alignment horizontal="center" vertical="center"/>
    </xf>
    <xf numFmtId="0" fontId="3" fillId="0" borderId="104" xfId="0" applyFont="1" applyBorder="1" applyAlignment="1">
      <alignment horizontal="center" vertical="center" wrapText="1"/>
    </xf>
    <xf numFmtId="0" fontId="3" fillId="0" borderId="149" xfId="0" applyFont="1" applyBorder="1" applyAlignment="1">
      <alignment horizontal="center" vertical="center" wrapText="1"/>
    </xf>
    <xf numFmtId="0" fontId="3" fillId="0" borderId="1107" xfId="0" applyFont="1" applyBorder="1" applyAlignment="1">
      <alignment horizontal="center" vertical="center" wrapText="1"/>
    </xf>
    <xf numFmtId="0" fontId="7" fillId="0" borderId="1063" xfId="0" applyFont="1" applyBorder="1" applyAlignment="1">
      <alignment horizontal="center" vertical="center"/>
    </xf>
    <xf numFmtId="0" fontId="7" fillId="0" borderId="299" xfId="0" applyFont="1" applyBorder="1" applyAlignment="1">
      <alignment horizontal="center" vertical="center"/>
    </xf>
    <xf numFmtId="0" fontId="7" fillId="0" borderId="162" xfId="0" applyFont="1" applyBorder="1" applyAlignment="1">
      <alignment horizontal="center" vertical="center"/>
    </xf>
    <xf numFmtId="0" fontId="3" fillId="0" borderId="16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161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wrapText="1"/>
    </xf>
    <xf numFmtId="0" fontId="3" fillId="0" borderId="34" xfId="0" applyFont="1" applyBorder="1" applyAlignment="1">
      <alignment horizontal="center" wrapText="1"/>
    </xf>
    <xf numFmtId="0" fontId="3" fillId="0" borderId="1111" xfId="0" applyFont="1" applyBorder="1" applyAlignment="1">
      <alignment horizontal="center" vertical="center"/>
    </xf>
    <xf numFmtId="0" fontId="3" fillId="0" borderId="1112" xfId="0" applyFont="1" applyBorder="1" applyAlignment="1">
      <alignment horizontal="center" vertical="center"/>
    </xf>
    <xf numFmtId="0" fontId="5" fillId="0" borderId="1201" xfId="0" applyFont="1" applyBorder="1" applyAlignment="1">
      <alignment horizontal="center" vertical="center"/>
    </xf>
    <xf numFmtId="0" fontId="5" fillId="0" borderId="327" xfId="0" applyFont="1" applyBorder="1" applyAlignment="1">
      <alignment horizontal="center" vertical="center"/>
    </xf>
    <xf numFmtId="0" fontId="5" fillId="0" borderId="1156" xfId="0" applyFont="1" applyBorder="1" applyAlignment="1">
      <alignment horizontal="center" vertical="center"/>
    </xf>
    <xf numFmtId="1" fontId="1" fillId="5" borderId="0" xfId="0" applyNumberFormat="1" applyFont="1" applyFill="1" applyAlignment="1">
      <alignment horizontal="center" vertical="center" wrapText="1"/>
    </xf>
    <xf numFmtId="0" fontId="3" fillId="5" borderId="1063" xfId="0" applyFont="1" applyFill="1" applyBorder="1" applyAlignment="1">
      <alignment horizontal="center" vertical="center"/>
    </xf>
    <xf numFmtId="0" fontId="3" fillId="5" borderId="1025" xfId="0" applyFont="1" applyFill="1" applyBorder="1" applyAlignment="1">
      <alignment horizontal="center" wrapText="1"/>
    </xf>
    <xf numFmtId="0" fontId="3" fillId="5" borderId="1087" xfId="0" applyFont="1" applyFill="1" applyBorder="1" applyAlignment="1">
      <alignment horizontal="center" wrapText="1"/>
    </xf>
    <xf numFmtId="0" fontId="3" fillId="5" borderId="1114" xfId="0" applyFont="1" applyFill="1" applyBorder="1" applyAlignment="1">
      <alignment horizontal="center" wrapText="1"/>
    </xf>
    <xf numFmtId="0" fontId="3" fillId="5" borderId="1099" xfId="0" applyFont="1" applyFill="1" applyBorder="1" applyAlignment="1">
      <alignment horizontal="center" wrapText="1"/>
    </xf>
    <xf numFmtId="0" fontId="3" fillId="20" borderId="1063" xfId="0" applyFont="1" applyFill="1" applyBorder="1" applyAlignment="1">
      <alignment vertical="center" wrapText="1"/>
    </xf>
    <xf numFmtId="1" fontId="3" fillId="0" borderId="1099" xfId="0" applyNumberFormat="1" applyFont="1" applyBorder="1" applyAlignment="1">
      <alignment horizontal="center" vertical="center"/>
    </xf>
    <xf numFmtId="1" fontId="3" fillId="0" borderId="1094" xfId="0" applyNumberFormat="1" applyFont="1" applyBorder="1" applyAlignment="1">
      <alignment horizontal="center" vertical="center" wrapText="1"/>
    </xf>
    <xf numFmtId="1" fontId="3" fillId="0" borderId="1093" xfId="0" applyNumberFormat="1" applyFont="1" applyBorder="1" applyAlignment="1">
      <alignment horizontal="center" vertical="center" wrapText="1"/>
    </xf>
    <xf numFmtId="0" fontId="3" fillId="0" borderId="1068" xfId="0" applyFont="1" applyBorder="1" applyAlignment="1">
      <alignment horizontal="center" wrapText="1"/>
    </xf>
    <xf numFmtId="0" fontId="3" fillId="0" borderId="1092" xfId="0" applyFont="1" applyBorder="1" applyAlignment="1">
      <alignment horizontal="center" wrapText="1"/>
    </xf>
    <xf numFmtId="1" fontId="3" fillId="0" borderId="1099" xfId="0" applyNumberFormat="1" applyFont="1" applyBorder="1" applyAlignment="1">
      <alignment horizontal="center" vertical="center" wrapText="1"/>
    </xf>
    <xf numFmtId="1" fontId="3" fillId="3" borderId="1025" xfId="0" applyNumberFormat="1" applyFont="1" applyFill="1" applyBorder="1" applyAlignment="1">
      <alignment horizontal="center" vertical="center"/>
    </xf>
    <xf numFmtId="0" fontId="3" fillId="5" borderId="1099" xfId="0" applyFont="1" applyFill="1" applyBorder="1" applyAlignment="1">
      <alignment horizontal="center" vertical="center"/>
    </xf>
    <xf numFmtId="0" fontId="3" fillId="20" borderId="1099" xfId="0" applyFont="1" applyFill="1" applyBorder="1" applyAlignment="1">
      <alignment horizontal="center" vertical="center" wrapText="1"/>
    </xf>
    <xf numFmtId="0" fontId="3" fillId="0" borderId="1099" xfId="0" applyFont="1" applyBorder="1" applyAlignment="1">
      <alignment horizontal="center" wrapText="1"/>
    </xf>
    <xf numFmtId="0" fontId="3" fillId="0" borderId="1114" xfId="0" applyFont="1" applyBorder="1" applyAlignment="1">
      <alignment horizontal="center" wrapText="1"/>
    </xf>
    <xf numFmtId="1" fontId="3" fillId="3" borderId="1087" xfId="0" applyNumberFormat="1" applyFont="1" applyFill="1" applyBorder="1" applyAlignment="1">
      <alignment horizontal="center"/>
    </xf>
    <xf numFmtId="1" fontId="3" fillId="3" borderId="1068" xfId="0" applyNumberFormat="1" applyFont="1" applyFill="1" applyBorder="1" applyAlignment="1">
      <alignment horizontal="center"/>
    </xf>
    <xf numFmtId="1" fontId="3" fillId="3" borderId="1089" xfId="0" applyNumberFormat="1" applyFont="1" applyFill="1" applyBorder="1" applyAlignment="1">
      <alignment horizontal="center"/>
    </xf>
    <xf numFmtId="0" fontId="3" fillId="0" borderId="1092" xfId="0" applyFont="1" applyBorder="1" applyAlignment="1">
      <alignment horizontal="center"/>
    </xf>
    <xf numFmtId="0" fontId="3" fillId="0" borderId="1099" xfId="0" applyFont="1" applyBorder="1" applyAlignment="1">
      <alignment horizontal="center"/>
    </xf>
    <xf numFmtId="0" fontId="3" fillId="0" borderId="1114" xfId="0" applyFont="1" applyBorder="1" applyAlignment="1">
      <alignment horizontal="center"/>
    </xf>
    <xf numFmtId="1" fontId="3" fillId="5" borderId="278" xfId="0" applyNumberFormat="1" applyFont="1" applyFill="1" applyBorder="1" applyAlignment="1">
      <alignment horizontal="center" vertical="center" wrapText="1"/>
    </xf>
    <xf numFmtId="1" fontId="3" fillId="3" borderId="1068" xfId="0" applyNumberFormat="1" applyFont="1" applyFill="1" applyBorder="1" applyAlignment="1">
      <alignment horizontal="center" vertical="center"/>
    </xf>
    <xf numFmtId="1" fontId="3" fillId="3" borderId="1089" xfId="0" applyNumberFormat="1" applyFont="1" applyFill="1" applyBorder="1" applyAlignment="1">
      <alignment horizontal="center" vertical="center"/>
    </xf>
    <xf numFmtId="0" fontId="3" fillId="0" borderId="1025" xfId="0" applyFont="1" applyBorder="1" applyAlignment="1">
      <alignment horizontal="center" vertical="center" wrapText="1"/>
    </xf>
    <xf numFmtId="0" fontId="3" fillId="0" borderId="300" xfId="0" applyFont="1" applyBorder="1" applyAlignment="1">
      <alignment horizontal="center" vertical="center" wrapText="1"/>
    </xf>
    <xf numFmtId="0" fontId="3" fillId="5" borderId="1025" xfId="0" applyFont="1" applyFill="1" applyBorder="1" applyAlignment="1">
      <alignment horizontal="center" vertical="center"/>
    </xf>
    <xf numFmtId="0" fontId="3" fillId="5" borderId="1026" xfId="0" applyFont="1" applyFill="1" applyBorder="1" applyAlignment="1">
      <alignment horizontal="center" vertical="center"/>
    </xf>
    <xf numFmtId="0" fontId="3" fillId="5" borderId="1027" xfId="0" applyFont="1" applyFill="1" applyBorder="1" applyAlignment="1">
      <alignment horizontal="center" vertical="center"/>
    </xf>
    <xf numFmtId="0" fontId="3" fillId="5" borderId="300" xfId="0" applyFont="1" applyFill="1" applyBorder="1" applyAlignment="1">
      <alignment horizontal="center" vertical="center"/>
    </xf>
    <xf numFmtId="0" fontId="3" fillId="5" borderId="252" xfId="0" applyFont="1" applyFill="1" applyBorder="1" applyAlignment="1">
      <alignment horizontal="center" vertical="center"/>
    </xf>
    <xf numFmtId="0" fontId="3" fillId="5" borderId="770" xfId="0" applyFont="1" applyFill="1" applyBorder="1" applyAlignment="1">
      <alignment horizontal="center" vertical="center"/>
    </xf>
    <xf numFmtId="0" fontId="3" fillId="5" borderId="1026" xfId="0" applyFont="1" applyFill="1" applyBorder="1" applyAlignment="1">
      <alignment horizontal="center" wrapText="1"/>
    </xf>
    <xf numFmtId="0" fontId="3" fillId="5" borderId="1038" xfId="0" applyFont="1" applyFill="1" applyBorder="1" applyAlignment="1">
      <alignment horizontal="center" wrapText="1"/>
    </xf>
    <xf numFmtId="0" fontId="3" fillId="5" borderId="300" xfId="0" applyFont="1" applyFill="1" applyBorder="1" applyAlignment="1">
      <alignment horizontal="center" wrapText="1"/>
    </xf>
    <xf numFmtId="0" fontId="3" fillId="5" borderId="252" xfId="0" applyFont="1" applyFill="1" applyBorder="1" applyAlignment="1">
      <alignment horizontal="center" wrapText="1"/>
    </xf>
    <xf numFmtId="0" fontId="3" fillId="5" borderId="746" xfId="0" applyFont="1" applyFill="1" applyBorder="1" applyAlignment="1">
      <alignment horizontal="center" wrapText="1"/>
    </xf>
    <xf numFmtId="1" fontId="3" fillId="3" borderId="1063" xfId="0" applyNumberFormat="1" applyFont="1" applyFill="1" applyBorder="1" applyAlignment="1">
      <alignment horizontal="center" vertical="center" wrapText="1"/>
    </xf>
    <xf numFmtId="1" fontId="3" fillId="3" borderId="1075" xfId="0" applyNumberFormat="1" applyFont="1" applyFill="1" applyBorder="1" applyAlignment="1">
      <alignment horizontal="center" vertical="center" wrapText="1"/>
    </xf>
    <xf numFmtId="1" fontId="3" fillId="3" borderId="745" xfId="0" applyNumberFormat="1" applyFont="1" applyFill="1" applyBorder="1" applyAlignment="1">
      <alignment horizontal="center" vertical="center" wrapText="1"/>
    </xf>
    <xf numFmtId="0" fontId="3" fillId="0" borderId="1068" xfId="0" applyFont="1" applyBorder="1" applyAlignment="1">
      <alignment horizontal="center"/>
    </xf>
    <xf numFmtId="1" fontId="3" fillId="3" borderId="962" xfId="0" applyNumberFormat="1" applyFont="1" applyFill="1" applyBorder="1" applyAlignment="1">
      <alignment horizontal="center" vertical="center" wrapText="1"/>
    </xf>
    <xf numFmtId="1" fontId="3" fillId="3" borderId="45" xfId="0" applyNumberFormat="1" applyFont="1" applyFill="1" applyBorder="1" applyAlignment="1">
      <alignment horizontal="center" vertical="center" wrapText="1"/>
    </xf>
    <xf numFmtId="1" fontId="3" fillId="3" borderId="32" xfId="0" applyNumberFormat="1" applyFont="1" applyFill="1" applyBorder="1" applyAlignment="1">
      <alignment horizontal="center" vertical="center" wrapText="1"/>
    </xf>
    <xf numFmtId="1" fontId="3" fillId="3" borderId="1027" xfId="0" applyNumberFormat="1" applyFont="1" applyFill="1" applyBorder="1" applyAlignment="1">
      <alignment horizontal="center" vertical="center" wrapText="1"/>
    </xf>
    <xf numFmtId="1" fontId="3" fillId="3" borderId="1026" xfId="0" applyNumberFormat="1" applyFont="1" applyFill="1" applyBorder="1" applyAlignment="1">
      <alignment horizontal="center" vertical="center"/>
    </xf>
    <xf numFmtId="1" fontId="3" fillId="0" borderId="1114" xfId="0" applyNumberFormat="1" applyFont="1" applyBorder="1" applyAlignment="1">
      <alignment horizontal="center" vertical="center"/>
    </xf>
    <xf numFmtId="1" fontId="3" fillId="3" borderId="232" xfId="0" applyNumberFormat="1" applyFont="1" applyFill="1" applyBorder="1" applyAlignment="1">
      <alignment horizontal="center" vertical="center" wrapText="1"/>
    </xf>
    <xf numFmtId="0" fontId="2" fillId="5" borderId="1068" xfId="0" applyFont="1" applyFill="1" applyBorder="1"/>
    <xf numFmtId="0" fontId="2" fillId="5" borderId="1026" xfId="0" applyFont="1" applyFill="1" applyBorder="1"/>
    <xf numFmtId="0" fontId="2" fillId="5" borderId="252" xfId="0" applyFont="1" applyFill="1" applyBorder="1"/>
    <xf numFmtId="0" fontId="2" fillId="5" borderId="0" xfId="0" applyFont="1" applyFill="1"/>
    <xf numFmtId="1" fontId="3" fillId="3" borderId="1026" xfId="0" applyNumberFormat="1" applyFont="1" applyFill="1" applyBorder="1" applyAlignment="1">
      <alignment horizontal="center" vertical="center" wrapText="1"/>
    </xf>
    <xf numFmtId="1" fontId="3" fillId="3" borderId="166" xfId="0" applyNumberFormat="1" applyFont="1" applyFill="1" applyBorder="1" applyAlignment="1">
      <alignment horizontal="center" vertical="center" wrapText="1"/>
    </xf>
    <xf numFmtId="0" fontId="3" fillId="0" borderId="1073" xfId="0" applyFont="1" applyBorder="1" applyAlignment="1">
      <alignment horizontal="center"/>
    </xf>
    <xf numFmtId="0" fontId="3" fillId="0" borderId="1026" xfId="0" applyFont="1" applyBorder="1" applyAlignment="1">
      <alignment horizontal="center"/>
    </xf>
    <xf numFmtId="0" fontId="3" fillId="0" borderId="1038" xfId="0" applyFont="1" applyBorder="1" applyAlignment="1">
      <alignment horizontal="center"/>
    </xf>
    <xf numFmtId="1" fontId="3" fillId="3" borderId="1123" xfId="0" applyNumberFormat="1" applyFont="1" applyFill="1" applyBorder="1" applyAlignment="1">
      <alignment horizontal="center" vertical="center" wrapText="1"/>
    </xf>
    <xf numFmtId="1" fontId="3" fillId="3" borderId="234" xfId="0" applyNumberFormat="1" applyFont="1" applyFill="1" applyBorder="1" applyAlignment="1">
      <alignment horizontal="center" vertical="center" wrapText="1"/>
    </xf>
    <xf numFmtId="1" fontId="3" fillId="3" borderId="1124" xfId="0" applyNumberFormat="1" applyFont="1" applyFill="1" applyBorder="1" applyAlignment="1">
      <alignment horizontal="center" vertical="center" wrapText="1"/>
    </xf>
    <xf numFmtId="1" fontId="3" fillId="3" borderId="170" xfId="0" applyNumberFormat="1" applyFont="1" applyFill="1" applyBorder="1" applyAlignment="1">
      <alignment horizontal="center" vertical="center" wrapText="1"/>
    </xf>
    <xf numFmtId="0" fontId="3" fillId="0" borderId="1114" xfId="0" applyFont="1" applyBorder="1" applyAlignment="1">
      <alignment horizontal="center" vertical="center" wrapText="1"/>
    </xf>
    <xf numFmtId="1" fontId="3" fillId="3" borderId="1122" xfId="0" applyNumberFormat="1" applyFont="1" applyFill="1" applyBorder="1" applyAlignment="1">
      <alignment horizontal="center" vertical="center" wrapText="1"/>
    </xf>
    <xf numFmtId="1" fontId="3" fillId="3" borderId="248" xfId="0" applyNumberFormat="1" applyFont="1" applyFill="1" applyBorder="1" applyAlignment="1">
      <alignment horizontal="center" vertical="center" wrapText="1"/>
    </xf>
    <xf numFmtId="0" fontId="2" fillId="0" borderId="252" xfId="0" applyFont="1" applyBorder="1"/>
    <xf numFmtId="0" fontId="3" fillId="0" borderId="167" xfId="0" applyFont="1" applyBorder="1" applyAlignment="1">
      <alignment horizontal="center" vertical="center" wrapText="1"/>
    </xf>
    <xf numFmtId="1" fontId="3" fillId="3" borderId="1070" xfId="0" applyNumberFormat="1" applyFont="1" applyFill="1" applyBorder="1" applyAlignment="1">
      <alignment horizontal="center" vertical="center" wrapText="1"/>
    </xf>
    <xf numFmtId="1" fontId="3" fillId="3" borderId="1074" xfId="0" applyNumberFormat="1" applyFont="1" applyFill="1" applyBorder="1" applyAlignment="1">
      <alignment horizontal="center" vertical="center" wrapText="1"/>
    </xf>
    <xf numFmtId="0" fontId="15" fillId="0" borderId="1087" xfId="0" applyFont="1" applyBorder="1" applyAlignment="1" applyProtection="1">
      <alignment horizontal="center" vertical="center"/>
      <protection hidden="1"/>
    </xf>
    <xf numFmtId="0" fontId="15" fillId="0" borderId="1155" xfId="0" applyFont="1" applyBorder="1" applyAlignment="1" applyProtection="1">
      <alignment horizontal="center" vertical="center"/>
      <protection hidden="1"/>
    </xf>
    <xf numFmtId="0" fontId="15" fillId="0" borderId="1139" xfId="0" applyFont="1" applyBorder="1" applyAlignment="1" applyProtection="1">
      <alignment horizontal="center" vertical="center"/>
      <protection hidden="1"/>
    </xf>
    <xf numFmtId="0" fontId="38" fillId="38" borderId="1087" xfId="0" applyFont="1" applyFill="1" applyBorder="1" applyAlignment="1">
      <alignment horizontal="center" vertical="center" wrapText="1"/>
    </xf>
    <xf numFmtId="0" fontId="38" fillId="38" borderId="1068" xfId="0" applyFont="1" applyFill="1" applyBorder="1" applyAlignment="1">
      <alignment horizontal="center" vertical="center" wrapText="1"/>
    </xf>
    <xf numFmtId="0" fontId="38" fillId="38" borderId="1092" xfId="0" applyFont="1" applyFill="1" applyBorder="1" applyAlignment="1">
      <alignment horizontal="center" vertical="center" wrapText="1"/>
    </xf>
    <xf numFmtId="0" fontId="40" fillId="38" borderId="1025" xfId="0" applyFont="1" applyFill="1" applyBorder="1" applyAlignment="1" applyProtection="1">
      <alignment horizontal="center" vertical="center" wrapText="1"/>
      <protection hidden="1"/>
    </xf>
    <xf numFmtId="0" fontId="40" fillId="38" borderId="1026" xfId="0" applyFont="1" applyFill="1" applyBorder="1" applyAlignment="1" applyProtection="1">
      <alignment horizontal="center" vertical="center" wrapText="1"/>
      <protection hidden="1"/>
    </xf>
    <xf numFmtId="0" fontId="40" fillId="38" borderId="1027" xfId="0" applyFont="1" applyFill="1" applyBorder="1" applyAlignment="1" applyProtection="1">
      <alignment horizontal="center" vertical="center" wrapText="1"/>
      <protection hidden="1"/>
    </xf>
    <xf numFmtId="0" fontId="40" fillId="38" borderId="300" xfId="0" applyFont="1" applyFill="1" applyBorder="1" applyAlignment="1" applyProtection="1">
      <alignment horizontal="center" vertical="center" wrapText="1"/>
      <protection hidden="1"/>
    </xf>
    <xf numFmtId="0" fontId="40" fillId="38" borderId="252" xfId="0" applyFont="1" applyFill="1" applyBorder="1" applyAlignment="1" applyProtection="1">
      <alignment horizontal="center" vertical="center" wrapText="1"/>
      <protection hidden="1"/>
    </xf>
    <xf numFmtId="0" fontId="40" fillId="38" borderId="770" xfId="0" applyFont="1" applyFill="1" applyBorder="1" applyAlignment="1" applyProtection="1">
      <alignment horizontal="center" vertical="center" wrapText="1"/>
      <protection hidden="1"/>
    </xf>
  </cellXfs>
  <cellStyles count="153">
    <cellStyle name="20% - Énfasis1" xfId="33" builtinId="30"/>
    <cellStyle name="Bueno" xfId="9" builtinId="26"/>
    <cellStyle name="Celda de comprobación" xfId="10" builtinId="23"/>
    <cellStyle name="Escribir 2" xfId="37" xr:uid="{00000000-0005-0000-0000-000003000000}"/>
    <cellStyle name="Escribir 2 11" xfId="40" xr:uid="{1E22F33B-672E-4049-8B35-AA9C070A1C73}"/>
    <cellStyle name="Escribir 2 11 2" xfId="58" xr:uid="{46C1777D-83D3-4184-B4A5-C1F7F8AC4FCA}"/>
    <cellStyle name="Escribir 2 11 3" xfId="78" xr:uid="{4EC1C0C9-4849-4AEA-9CBD-4991C93344C4}"/>
    <cellStyle name="Escribir 2 11 4" xfId="98" xr:uid="{68D45377-8107-49D6-B673-04E66863F9CF}"/>
    <cellStyle name="Escribir 2 2" xfId="36" xr:uid="{00000000-0005-0000-0000-000004000000}"/>
    <cellStyle name="Escribir 2 2 2" xfId="54" xr:uid="{D1A85217-058B-4DA5-B472-67B20D77B1DF}"/>
    <cellStyle name="Escribir 2 2 3" xfId="75" xr:uid="{EF628A67-3B6B-48CF-B3B7-709F5842A20F}"/>
    <cellStyle name="Escribir 2 2 4" xfId="95" xr:uid="{D79E4601-1087-45F9-8BFB-594DD31AB316}"/>
    <cellStyle name="Escribir 2 2 5" xfId="123" xr:uid="{14DB5056-F358-4250-B014-37DA6C4955C2}"/>
    <cellStyle name="Escribir 2 2 6" xfId="150" xr:uid="{8472945F-81A1-47F3-98DF-910ACB87A548}"/>
    <cellStyle name="Escribir 2 3" xfId="57" xr:uid="{D946161B-AA88-45C7-8D02-0DF87D33FDFB}"/>
    <cellStyle name="Escribir 2 3 2" xfId="77" xr:uid="{2F6F5250-46EA-4254-94FA-C1CB2F79B96F}"/>
    <cellStyle name="Escribir 2 4" xfId="62" xr:uid="{2D9D1E66-0E20-458F-BCF1-2A6CA45D66E9}"/>
    <cellStyle name="Escribir 2 5" xfId="55" xr:uid="{E8ECF29E-65E4-4276-80B4-4E47869D1AF0}"/>
    <cellStyle name="Escribir 2 6" xfId="60" xr:uid="{6C5AD32E-ECCA-4062-95C2-7B12F34B6685}"/>
    <cellStyle name="Escribir 2 6 2" xfId="61" xr:uid="{734CAF52-EDD5-4D01-9EBA-D4F59D61E080}"/>
    <cellStyle name="Escribir 2 6 2 2" xfId="80" xr:uid="{1CC85D76-ECA0-4B91-9717-EB5335A23AE0}"/>
    <cellStyle name="Escribir 2 6 3" xfId="79" xr:uid="{310B763E-0496-48E2-8F90-4BE5398D23E9}"/>
    <cellStyle name="Escribir 2 7" xfId="96" xr:uid="{BF6D197C-788A-4E0C-B062-B3C66C5B7226}"/>
    <cellStyle name="Escribir 2 8" xfId="124" xr:uid="{8F616DA1-8491-46C5-885B-00C8A37A9041}"/>
    <cellStyle name="Escribir 2 9" xfId="151" xr:uid="{5660CE09-2BE1-4D2A-8D23-0FBFF69ACD8E}"/>
    <cellStyle name="Escribir_P12" xfId="59" xr:uid="{A12BF026-3DFD-4FF2-8594-94826E81AD74}"/>
    <cellStyle name="Millares [0] 2" xfId="25" xr:uid="{00000000-0005-0000-0000-000005000000}"/>
    <cellStyle name="Millares [0] 2 2" xfId="8" xr:uid="{00000000-0005-0000-0000-000006000000}"/>
    <cellStyle name="Millares 10 3" xfId="30" xr:uid="{00000000-0005-0000-0000-000007000000}"/>
    <cellStyle name="Millares 2 2" xfId="19" xr:uid="{00000000-0005-0000-0000-000008000000}"/>
    <cellStyle name="Normal" xfId="0" builtinId="0"/>
    <cellStyle name="Normal 2" xfId="2" xr:uid="{00000000-0005-0000-0000-00000A000000}"/>
    <cellStyle name="Normal 2 2" xfId="17" xr:uid="{00000000-0005-0000-0000-00000B000000}"/>
    <cellStyle name="Normal 3" xfId="20" xr:uid="{00000000-0005-0000-0000-00000C000000}"/>
    <cellStyle name="Normal 6" xfId="7" xr:uid="{00000000-0005-0000-0000-00000D000000}"/>
    <cellStyle name="Normal_nombre" xfId="35" xr:uid="{00000000-0005-0000-0000-00000E000000}"/>
    <cellStyle name="Normal_REM 02-2002" xfId="15" xr:uid="{00000000-0005-0000-0000-00000F000000}"/>
    <cellStyle name="Normal_REM 04-2002" xfId="14" xr:uid="{00000000-0005-0000-0000-000010000000}"/>
    <cellStyle name="Normal_REM 05-2002" xfId="16" xr:uid="{00000000-0005-0000-0000-000011000000}"/>
    <cellStyle name="Normal_REM 09-2002" xfId="22" xr:uid="{00000000-0005-0000-0000-000012000000}"/>
    <cellStyle name="Normal_REM 12-2002" xfId="39" xr:uid="{CF269FE7-96A4-4A45-BA98-AAFAF536881D}"/>
    <cellStyle name="Normal_REM 17-2002" xfId="29" xr:uid="{00000000-0005-0000-0000-000013000000}"/>
    <cellStyle name="Normal_REM 18A-2002" xfId="34" xr:uid="{00000000-0005-0000-0000-000014000000}"/>
    <cellStyle name="Normal_REM 21-2002" xfId="6" xr:uid="{00000000-0005-0000-0000-000015000000}"/>
    <cellStyle name="Normal_RMC-MUNI" xfId="18" xr:uid="{00000000-0005-0000-0000-000016000000}"/>
    <cellStyle name="Notas 2" xfId="5" xr:uid="{00000000-0005-0000-0000-000017000000}"/>
    <cellStyle name="Notas 2 10" xfId="109" xr:uid="{FBB05FE9-9E7A-45A3-8C5E-054C601C7E24}"/>
    <cellStyle name="Notas 2 10 2" xfId="136" xr:uid="{57EEE613-D266-48F3-9E51-8A114C34E73E}"/>
    <cellStyle name="Notas 2 11" xfId="108" xr:uid="{48B1FB2E-E478-4CF3-A1D3-01233F34A775}"/>
    <cellStyle name="Notas 2 11 2" xfId="135" xr:uid="{B35D0727-B78C-4EE9-A19A-98D66BA65AAC}"/>
    <cellStyle name="Notas 2 12" xfId="111" xr:uid="{04A85617-6F8D-4825-928C-46F78B4D7107}"/>
    <cellStyle name="Notas 2 12 2" xfId="138" xr:uid="{39888445-A366-445A-8986-469B280F79EB}"/>
    <cellStyle name="Notas 2 13" xfId="99" xr:uid="{8E540934-C1DD-4DF0-9068-B40CE3683F3B}"/>
    <cellStyle name="Notas 2 14" xfId="126" xr:uid="{BD819BF9-DFF8-4C7A-91A8-0DFBA6ADDF3A}"/>
    <cellStyle name="Notas 2 2" xfId="3" xr:uid="{00000000-0005-0000-0000-000018000000}"/>
    <cellStyle name="Notas 2 2 2" xfId="31" xr:uid="{00000000-0005-0000-0000-000019000000}"/>
    <cellStyle name="Notas 2 2 2 2" xfId="11" xr:uid="{00000000-0005-0000-0000-00001A000000}"/>
    <cellStyle name="Notas 2 2 2 2 19" xfId="12" xr:uid="{00000000-0005-0000-0000-00001B000000}"/>
    <cellStyle name="Notas 2 2 2 2 19 2" xfId="26" xr:uid="{00000000-0005-0000-0000-00001C000000}"/>
    <cellStyle name="Notas 2 2 2 2 19 2 2" xfId="49" xr:uid="{5089D03C-9975-4A82-BA0A-B420F85B6D05}"/>
    <cellStyle name="Notas 2 2 2 2 19 2 3" xfId="70" xr:uid="{60212507-6601-41F0-8AA8-0F6215E29D50}"/>
    <cellStyle name="Notas 2 2 2 2 19 2 4" xfId="90" xr:uid="{EDC3BAE3-87F6-4724-A202-90CF5EEB102A}"/>
    <cellStyle name="Notas 2 2 2 2 19 2 5" xfId="118" xr:uid="{795B9D66-F72F-471E-9262-EFAB5E89CB96}"/>
    <cellStyle name="Notas 2 2 2 2 19 2 6" xfId="145" xr:uid="{21310BE2-224B-46CC-B4CC-D2BCBE40D866}"/>
    <cellStyle name="Notas 2 2 2 2 19 3" xfId="44" xr:uid="{407D18ED-8AE9-43A0-B8A1-698D4FBDE630}"/>
    <cellStyle name="Notas 2 2 2 2 19 4" xfId="66" xr:uid="{A0B7E27D-14E2-4D84-A6F3-B420600EDA49}"/>
    <cellStyle name="Notas 2 2 2 2 19 5" xfId="85" xr:uid="{F26A89AF-EE78-42CF-913E-BC0E399ED435}"/>
    <cellStyle name="Notas 2 2 2 2 19 6" xfId="113" xr:uid="{93B23122-E7D3-4DC6-A2C0-1242A5702604}"/>
    <cellStyle name="Notas 2 2 2 2 19 7" xfId="140" xr:uid="{91867C28-C844-40B0-81E6-30B66BFDAE91}"/>
    <cellStyle name="Notas 2 2 2 2 2" xfId="24" xr:uid="{00000000-0005-0000-0000-00001D000000}"/>
    <cellStyle name="Notas 2 2 2 2 2 2" xfId="48" xr:uid="{21437987-EBCB-468D-B38D-EF6CE463ABD6}"/>
    <cellStyle name="Notas 2 2 2 2 2 3" xfId="69" xr:uid="{9E38868A-810D-4CD0-99A3-180069078221}"/>
    <cellStyle name="Notas 2 2 2 2 2 4" xfId="89" xr:uid="{BDBBE0A0-EAA4-4514-BE2A-F5ACD81E157F}"/>
    <cellStyle name="Notas 2 2 2 2 2 5" xfId="117" xr:uid="{62562872-FF8A-4C83-A19E-988646719096}"/>
    <cellStyle name="Notas 2 2 2 2 2 6" xfId="144" xr:uid="{38EB27B9-9DF9-4C14-AAA1-349A0C36F5A3}"/>
    <cellStyle name="Notas 2 2 2 2 21" xfId="13" xr:uid="{00000000-0005-0000-0000-00001E000000}"/>
    <cellStyle name="Notas 2 2 2 2 21 2" xfId="27" xr:uid="{00000000-0005-0000-0000-00001F000000}"/>
    <cellStyle name="Notas 2 2 2 2 21 2 2" xfId="50" xr:uid="{13B43635-DF72-46EF-A23A-431311D3BB0D}"/>
    <cellStyle name="Notas 2 2 2 2 21 2 3" xfId="71" xr:uid="{AEC5C4AD-4CBD-4E07-BE33-6FA37768054F}"/>
    <cellStyle name="Notas 2 2 2 2 21 2 4" xfId="91" xr:uid="{99465725-8B88-415E-97B1-9ADCE92A39A2}"/>
    <cellStyle name="Notas 2 2 2 2 21 2 5" xfId="119" xr:uid="{32ECC632-9889-4613-9711-36ED2679D418}"/>
    <cellStyle name="Notas 2 2 2 2 21 2 6" xfId="146" xr:uid="{7A06FF50-645A-439B-AEE3-0B827897C3C6}"/>
    <cellStyle name="Notas 2 2 2 2 21 3" xfId="45" xr:uid="{DAE55572-131C-49F6-AC34-5C9C73535576}"/>
    <cellStyle name="Notas 2 2 2 2 21 4" xfId="67" xr:uid="{B6FB3C22-71C0-4C26-93E4-BDE4A58D3198}"/>
    <cellStyle name="Notas 2 2 2 2 21 5" xfId="86" xr:uid="{9DB3D206-933B-4A2C-9AB1-7243B31A0D34}"/>
    <cellStyle name="Notas 2 2 2 2 21 6" xfId="114" xr:uid="{9C99436C-3996-4BBE-9199-7D820B5EA779}"/>
    <cellStyle name="Notas 2 2 2 2 21 7" xfId="141" xr:uid="{A19D0E31-A72C-4C10-8709-F0BD1BB7AD00}"/>
    <cellStyle name="Notas 2 2 2 2 3" xfId="43" xr:uid="{55B39F2C-84DC-4140-BDF4-AA4565CDE3A3}"/>
    <cellStyle name="Notas 2 2 2 2 4" xfId="65" xr:uid="{F3285BC7-AD4B-4589-8D0A-760E143DA6FA}"/>
    <cellStyle name="Notas 2 2 2 2 5" xfId="84" xr:uid="{FE52D2A5-AD93-4C8A-B5A7-E10F409B5BA4}"/>
    <cellStyle name="Notas 2 2 2 2 6" xfId="112" xr:uid="{54E1ADA2-87CA-4D94-9EC6-D5A624CB16B8}"/>
    <cellStyle name="Notas 2 2 2 2 7" xfId="139" xr:uid="{2B114437-1E4D-43AA-9563-63056446C37C}"/>
    <cellStyle name="Notas 2 2 2 3" xfId="38" xr:uid="{00000000-0005-0000-0000-000020000000}"/>
    <cellStyle name="Notas 2 2 2 3 2" xfId="56" xr:uid="{70EF302F-BB29-42BE-83ED-97523F823EFE}"/>
    <cellStyle name="Notas 2 2 2 3 3" xfId="76" xr:uid="{AD251EEF-F753-4287-86AC-0BFC39407842}"/>
    <cellStyle name="Notas 2 2 2 3 4" xfId="97" xr:uid="{7E08E723-9783-43A1-A992-7FC454622D7B}"/>
    <cellStyle name="Notas 2 2 2 3 5" xfId="125" xr:uid="{DFDACD7E-4A47-43A4-B5D1-C701CFFD9641}"/>
    <cellStyle name="Notas 2 2 2 3 6" xfId="152" xr:uid="{C8E5B022-75C0-49ED-B26D-7318EB325FFC}"/>
    <cellStyle name="Notas 2 2 2 4" xfId="52" xr:uid="{11F3A5E9-6F12-4ED4-9A90-9543C7C725DA}"/>
    <cellStyle name="Notas 2 2 2 5" xfId="73" xr:uid="{E3322259-1321-4519-BADE-39D1D027405F}"/>
    <cellStyle name="Notas 2 2 2 6" xfId="93" xr:uid="{3F7EAE47-3DC4-4C48-9814-89E02762AF4E}"/>
    <cellStyle name="Notas 2 2 2 7" xfId="121" xr:uid="{BE6C91E5-ECE7-4C81-B48F-327F8F421915}"/>
    <cellStyle name="Notas 2 2 2 8" xfId="148" xr:uid="{C0B0FC8E-8CA0-4C75-8525-A6814655B8FD}"/>
    <cellStyle name="Notas 2 2 3" xfId="41" xr:uid="{94B14A89-B17D-4653-97F1-79436D35C90B}"/>
    <cellStyle name="Notas 2 2 3 2" xfId="110" xr:uid="{9E29CC43-5F09-4132-B1A1-087EB6C7C16F}"/>
    <cellStyle name="Notas 2 2 3 3" xfId="137" xr:uid="{84E27CC9-A39F-4530-813E-5D4842824252}"/>
    <cellStyle name="Notas 2 2 4" xfId="64" xr:uid="{A50D4720-A818-43F7-8DE0-DD96A519046F}"/>
    <cellStyle name="Notas 2 2 5" xfId="82" xr:uid="{13C28C08-FC93-40C2-A899-3E3D40DC28E9}"/>
    <cellStyle name="Notas 2 2 6" xfId="100" xr:uid="{BAC1A7DB-B7D8-4067-9724-143E56A3477D}"/>
    <cellStyle name="Notas 2 2 7" xfId="127" xr:uid="{BC5A0D8E-18A9-48B2-A638-62CCF7B8B09F}"/>
    <cellStyle name="Notas 2 3" xfId="21" xr:uid="{00000000-0005-0000-0000-000021000000}"/>
    <cellStyle name="Notas 2 3 2" xfId="32" xr:uid="{00000000-0005-0000-0000-000022000000}"/>
    <cellStyle name="Notas 2 3 2 2" xfId="63" xr:uid="{C8239CD0-AC06-417C-89B7-83F5F6A60801}"/>
    <cellStyle name="Notas 2 3 2 2 2" xfId="81" xr:uid="{1C4E27A6-97A8-4759-B40B-D04F250CAFD7}"/>
    <cellStyle name="Notas 2 3 2 3" xfId="53" xr:uid="{D5E83DC5-B295-4834-9331-01572EAF764A}"/>
    <cellStyle name="Notas 2 3 2 4" xfId="74" xr:uid="{A56C4C14-1C8D-41A5-9ABC-303CDEFB656E}"/>
    <cellStyle name="Notas 2 3 2 5" xfId="94" xr:uid="{14BB9A82-3093-401B-A52B-592A812DEAA8}"/>
    <cellStyle name="Notas 2 3 2 6" xfId="122" xr:uid="{645EF792-DD25-4EB0-B709-4572ACBEC22F}"/>
    <cellStyle name="Notas 2 3 2 7" xfId="149" xr:uid="{F2376D18-107E-4193-B4FE-0190E24E6616}"/>
    <cellStyle name="Notas 2 3 3" xfId="46" xr:uid="{B0FCCA89-17DA-4960-99E9-F4DA108F6495}"/>
    <cellStyle name="Notas 2 3 3 2" xfId="115" xr:uid="{7C3552E7-70F1-433F-91C8-D9F1876092C5}"/>
    <cellStyle name="Notas 2 3 3 3" xfId="142" xr:uid="{5D2F514A-CE57-43A1-BE64-269CB4B0FF54}"/>
    <cellStyle name="Notas 2 3 4" xfId="87" xr:uid="{A213BE75-FD6E-4929-8E05-E3066DD0836A}"/>
    <cellStyle name="Notas 2 3 5" xfId="101" xr:uid="{747B9937-89DA-4CA4-8CEB-98DEAB665523}"/>
    <cellStyle name="Notas 2 3 6" xfId="128" xr:uid="{C3496A46-8FC8-4746-87FF-1CBD04906B1D}"/>
    <cellStyle name="Notas 2 4" xfId="28" xr:uid="{00000000-0005-0000-0000-000023000000}"/>
    <cellStyle name="Notas 2 4 2" xfId="51" xr:uid="{ED54C43D-B960-428F-BBC1-04A173960FCE}"/>
    <cellStyle name="Notas 2 4 2 2" xfId="120" xr:uid="{93E143EC-9FE1-4589-A92B-3D03D943D965}"/>
    <cellStyle name="Notas 2 4 2 3" xfId="147" xr:uid="{EDE28234-2CBB-4D2C-815D-E9D96965FDA7}"/>
    <cellStyle name="Notas 2 4 3" xfId="72" xr:uid="{A9C2AF49-67DA-4073-B66A-9D0A4719C362}"/>
    <cellStyle name="Notas 2 4 4" xfId="92" xr:uid="{FE8DBA90-BEF5-4899-9FAC-981CE731D8B8}"/>
    <cellStyle name="Notas 2 4 5" xfId="102" xr:uid="{0B61EB45-BA6E-4893-B3F9-ED39DE0AD1C0}"/>
    <cellStyle name="Notas 2 4 6" xfId="129" xr:uid="{B9B1905C-91C4-43CA-9CFF-384701DFE85C}"/>
    <cellStyle name="Notas 2 5" xfId="42" xr:uid="{9FFF6C33-92B6-400F-978A-807CF6F1E597}"/>
    <cellStyle name="Notas 2 5 2" xfId="103" xr:uid="{218967C8-AA89-44B6-AF8D-E83CA7464752}"/>
    <cellStyle name="Notas 2 5 3" xfId="130" xr:uid="{B76B7EED-ED4F-4212-9B9D-18848FB9DB44}"/>
    <cellStyle name="Notas 2 6" xfId="83" xr:uid="{8C10F582-C581-41A9-8E0F-7FD49A95E221}"/>
    <cellStyle name="Notas 2 6 2" xfId="104" xr:uid="{5FF15C61-D445-4E17-9C22-AB9FC2B8AFD2}"/>
    <cellStyle name="Notas 2 6 3" xfId="131" xr:uid="{10B2CC9B-14EF-4044-85D0-4F0E4A40A6E6}"/>
    <cellStyle name="Notas 2 7" xfId="105" xr:uid="{600D30B5-1C83-4CF1-AF34-28626B0DD05C}"/>
    <cellStyle name="Notas 2 7 2" xfId="132" xr:uid="{56A62472-E724-4FAB-BA3F-85D6999E3A6A}"/>
    <cellStyle name="Notas 2 8" xfId="106" xr:uid="{E56987EF-9718-4D55-9508-216C915A19A4}"/>
    <cellStyle name="Notas 2 8 2" xfId="133" xr:uid="{24B7CE13-BB4A-4C50-B126-D3E9874ADC10}"/>
    <cellStyle name="Notas 2 9" xfId="107" xr:uid="{D506722A-C16C-4814-8DA8-287BCD9017A9}"/>
    <cellStyle name="Notas 2 9 2" xfId="134" xr:uid="{F3A8B77C-4AD4-4DD9-911F-86C2C89F798D}"/>
    <cellStyle name="Notas 3" xfId="1" xr:uid="{00000000-0005-0000-0000-000024000000}"/>
    <cellStyle name="Notas 3 2" xfId="23" xr:uid="{00000000-0005-0000-0000-000025000000}"/>
    <cellStyle name="Notas 3 2 2" xfId="47" xr:uid="{0DA825C9-6157-474A-AD65-D0C0CD2EAC76}"/>
    <cellStyle name="Notas 3 2 3" xfId="68" xr:uid="{17B9B4BC-7D7A-4478-9AF2-C3811D8F79EF}"/>
    <cellStyle name="Notas 3 2 4" xfId="88" xr:uid="{F33795AD-BDFC-45CC-8379-0EF6A135D108}"/>
    <cellStyle name="Notas 3 2 5" xfId="116" xr:uid="{AC6394DF-B101-4F42-9EE6-0A64A06D3CA4}"/>
    <cellStyle name="Notas 3 2 6" xfId="143" xr:uid="{0A53E0D2-40DE-4E58-BA1D-1311A603B9A9}"/>
    <cellStyle name="Porcentaje" xfId="4" builtinId="5"/>
  </cellStyles>
  <dxfs count="0"/>
  <tableStyles count="0" defaultTableStyle="TableStyleMedium2" defaultPivotStyle="PivotStyleLight16"/>
  <colors>
    <mruColors>
      <color rgb="FFFFFFCC"/>
      <color rgb="FFBFBFBF"/>
      <color rgb="FFD9D9D9"/>
      <color rgb="FFE2EFDA"/>
      <color rgb="FFFFC000"/>
      <color rgb="FFC6E0B4"/>
      <color rgb="FFC0C0C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eetMetadata" Target="metadata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137160</xdr:colOff>
          <xdr:row>4</xdr:row>
          <xdr:rowOff>121920</xdr:rowOff>
        </xdr:from>
        <xdr:to>
          <xdr:col>4</xdr:col>
          <xdr:colOff>1584960</xdr:colOff>
          <xdr:row>4</xdr:row>
          <xdr:rowOff>632460</xdr:rowOff>
        </xdr:to>
        <xdr:sp macro="" textlink="">
          <xdr:nvSpPr>
            <xdr:cNvPr id="29697" name="Button 1" hidden="1">
              <a:extLst>
                <a:ext uri="{63B3BB69-23CF-44E3-9099-C40C66FF867C}">
                  <a14:compatExt spid="_x0000_s29697"/>
                </a:ext>
                <a:ext uri="{FF2B5EF4-FFF2-40B4-BE49-F238E27FC236}">
                  <a16:creationId xmlns:a16="http://schemas.microsoft.com/office/drawing/2014/main" id="{00000000-0008-0000-1D00-00000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es-CL" sz="12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ACEPTAR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0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M32"/>
  <sheetViews>
    <sheetView showGridLines="0" tabSelected="1" workbookViewId="0">
      <selection sqref="A1:B1"/>
    </sheetView>
  </sheetViews>
  <sheetFormatPr baseColWidth="10" defaultColWidth="11.44140625" defaultRowHeight="10.199999999999999" x14ac:dyDescent="0.2"/>
  <cols>
    <col min="1" max="1" width="49.44140625" style="129" customWidth="1"/>
    <col min="2" max="2" width="60.6640625" style="100" customWidth="1"/>
    <col min="3" max="8" width="5.6640625" style="100" customWidth="1"/>
    <col min="9" max="9" width="16.88671875" style="114" customWidth="1"/>
    <col min="10" max="18" width="11.88671875" style="114" customWidth="1"/>
    <col min="19" max="21" width="23.109375" style="114" customWidth="1"/>
    <col min="22" max="23" width="23.109375" style="114" hidden="1" customWidth="1"/>
    <col min="24" max="24" width="23.109375" style="100" hidden="1" customWidth="1"/>
    <col min="25" max="26" width="23.109375" style="100" customWidth="1"/>
    <col min="27" max="27" width="11.44140625" style="100" customWidth="1"/>
    <col min="28" max="28" width="54.33203125" style="100" customWidth="1"/>
    <col min="29" max="29" width="27.44140625" style="100" customWidth="1"/>
    <col min="30" max="30" width="8.6640625" style="100" customWidth="1"/>
    <col min="31" max="32" width="23.109375" style="100" customWidth="1"/>
    <col min="33" max="33" width="39.5546875" style="100" customWidth="1"/>
    <col min="34" max="37" width="23.109375" style="100" customWidth="1"/>
    <col min="38" max="39" width="23.109375" style="114" customWidth="1"/>
    <col min="40" max="50" width="23.109375" style="100" customWidth="1"/>
    <col min="51" max="16384" width="11.44140625" style="100"/>
  </cols>
  <sheetData>
    <row r="1" spans="1:23" ht="36" customHeight="1" x14ac:dyDescent="0.2">
      <c r="A1" s="5713" t="s">
        <v>0</v>
      </c>
      <c r="B1" s="5714"/>
      <c r="C1" s="5715" t="s">
        <v>1</v>
      </c>
      <c r="D1" s="5716"/>
      <c r="E1" s="5716"/>
      <c r="F1" s="5716"/>
      <c r="G1" s="5716"/>
      <c r="H1" s="5717"/>
    </row>
    <row r="2" spans="1:23" ht="21.75" customHeight="1" x14ac:dyDescent="0.25">
      <c r="A2" s="443" t="s">
        <v>2</v>
      </c>
      <c r="B2" s="444"/>
      <c r="C2" s="445"/>
      <c r="D2" s="446"/>
      <c r="E2" s="446"/>
      <c r="F2" s="446"/>
      <c r="G2" s="447"/>
      <c r="H2" s="448"/>
      <c r="I2" s="136" t="str">
        <f>IF(OR(C2="",D2="",E2="",F2="",G2=""),"Falta Cód. Com.","")</f>
        <v>Falta Cód. Com.</v>
      </c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37">
        <f>IF(OR(C2="",D2="",E2="",F2="",G2=""),1,0)</f>
        <v>1</v>
      </c>
    </row>
    <row r="3" spans="1:23" ht="21.75" customHeight="1" x14ac:dyDescent="0.25">
      <c r="A3" s="449" t="s">
        <v>3</v>
      </c>
      <c r="B3" s="450"/>
      <c r="C3" s="445"/>
      <c r="D3" s="446"/>
      <c r="E3" s="446"/>
      <c r="F3" s="446"/>
      <c r="G3" s="446"/>
      <c r="H3" s="447"/>
      <c r="I3" s="451" t="str">
        <f>IF(OR(C3="",D3="",E3="",F3="",G3="",H3=""),"Falta Cód. Est.","")</f>
        <v>Falta Cód. Est.</v>
      </c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37">
        <f>IF(OR(C3="",D3="",E3="",F3="",G3="",H3=""),1,0)</f>
        <v>1</v>
      </c>
    </row>
    <row r="4" spans="1:23" ht="9.75" customHeight="1" x14ac:dyDescent="0.25">
      <c r="A4" s="149"/>
      <c r="B4" s="150"/>
      <c r="C4" s="148"/>
      <c r="D4" s="148"/>
      <c r="E4" s="148"/>
      <c r="F4" s="148"/>
      <c r="G4" s="148"/>
      <c r="H4" s="148"/>
      <c r="I4" s="136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</row>
    <row r="5" spans="1:23" ht="9.75" customHeight="1" x14ac:dyDescent="0.25">
      <c r="A5" s="452"/>
      <c r="B5" s="453"/>
      <c r="C5" s="454"/>
      <c r="D5" s="454"/>
      <c r="E5" s="148"/>
      <c r="F5" s="148"/>
      <c r="G5" s="148"/>
      <c r="H5" s="148"/>
      <c r="I5" s="136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</row>
    <row r="6" spans="1:23" ht="21.75" customHeight="1" x14ac:dyDescent="0.25">
      <c r="A6" s="149" t="s">
        <v>4</v>
      </c>
      <c r="B6" s="455"/>
      <c r="C6" s="456"/>
      <c r="D6" s="289"/>
      <c r="E6" s="116"/>
      <c r="F6" s="116"/>
      <c r="G6" s="116"/>
      <c r="H6" s="116"/>
      <c r="I6" s="117" t="str">
        <f>IF(OR(C6="",D6=""),"Falta Cód. Mes.","")</f>
        <v>Falta Cód. Mes.</v>
      </c>
      <c r="J6" s="118"/>
      <c r="K6" s="118"/>
      <c r="L6" s="118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37">
        <f>IF(OR(C6="",D6=""),1,0)</f>
        <v>1</v>
      </c>
    </row>
    <row r="7" spans="1:23" ht="21.75" customHeight="1" x14ac:dyDescent="0.3">
      <c r="A7" s="443" t="s">
        <v>5</v>
      </c>
      <c r="B7" s="457">
        <v>2025</v>
      </c>
      <c r="C7" s="114"/>
      <c r="D7" s="114"/>
      <c r="E7" s="114"/>
      <c r="F7" s="114"/>
      <c r="G7" s="114"/>
      <c r="H7" s="114"/>
    </row>
    <row r="8" spans="1:23" ht="12" customHeight="1" x14ac:dyDescent="0.2">
      <c r="A8" s="458"/>
      <c r="B8" s="459"/>
      <c r="C8" s="114"/>
      <c r="D8" s="114"/>
      <c r="E8" s="114"/>
      <c r="F8" s="114"/>
      <c r="G8" s="114"/>
      <c r="H8" s="114"/>
    </row>
    <row r="9" spans="1:23" ht="28.5" customHeight="1" x14ac:dyDescent="0.2">
      <c r="A9" s="5718" t="s">
        <v>4428</v>
      </c>
      <c r="B9" s="5719"/>
      <c r="C9" s="114"/>
      <c r="D9" s="114"/>
      <c r="E9" s="114"/>
      <c r="F9" s="114"/>
      <c r="G9" s="114"/>
      <c r="H9" s="114"/>
    </row>
    <row r="10" spans="1:23" ht="12" customHeight="1" x14ac:dyDescent="0.2">
      <c r="A10" s="120"/>
      <c r="B10" s="121"/>
      <c r="C10" s="114"/>
      <c r="D10" s="114"/>
      <c r="E10" s="114"/>
      <c r="F10" s="114"/>
      <c r="G10" s="114"/>
      <c r="H10" s="114"/>
    </row>
    <row r="11" spans="1:23" ht="27" customHeight="1" x14ac:dyDescent="0.2">
      <c r="A11" s="460" t="s">
        <v>6</v>
      </c>
      <c r="B11" s="461"/>
      <c r="C11" s="114"/>
      <c r="D11" s="114"/>
      <c r="E11" s="114"/>
      <c r="F11" s="114"/>
      <c r="G11" s="114"/>
      <c r="H11" s="122"/>
      <c r="I11" s="122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4" t="s">
        <v>7</v>
      </c>
    </row>
    <row r="12" spans="1:23" ht="23.25" customHeight="1" x14ac:dyDescent="0.2">
      <c r="A12" s="462" t="s">
        <v>8</v>
      </c>
      <c r="B12" s="461"/>
      <c r="C12" s="114"/>
      <c r="D12" s="114"/>
      <c r="E12" s="114"/>
      <c r="F12" s="114"/>
      <c r="G12" s="114"/>
      <c r="H12" s="122"/>
      <c r="I12" s="122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4" t="s">
        <v>9</v>
      </c>
    </row>
    <row r="13" spans="1:23" ht="23.25" customHeight="1" x14ac:dyDescent="0.2">
      <c r="A13" s="121"/>
      <c r="B13" s="463"/>
      <c r="C13" s="114"/>
      <c r="D13" s="114"/>
      <c r="E13" s="114"/>
      <c r="F13" s="114"/>
      <c r="G13" s="114"/>
      <c r="H13" s="122" t="s">
        <v>10</v>
      </c>
      <c r="I13" s="122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4" t="s">
        <v>11</v>
      </c>
    </row>
    <row r="14" spans="1:23" ht="23.25" customHeight="1" x14ac:dyDescent="0.2">
      <c r="A14" s="125"/>
      <c r="B14" s="114"/>
      <c r="C14" s="114"/>
      <c r="D14" s="114"/>
      <c r="E14" s="114"/>
      <c r="F14" s="114"/>
      <c r="G14" s="114"/>
      <c r="H14" s="122"/>
      <c r="I14" s="122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4" t="s">
        <v>12</v>
      </c>
    </row>
    <row r="15" spans="1:23" ht="21" customHeight="1" x14ac:dyDescent="0.2">
      <c r="A15" s="5720" t="s">
        <v>13</v>
      </c>
      <c r="B15" s="5721"/>
      <c r="C15" s="114"/>
      <c r="D15" s="114"/>
      <c r="E15" s="114"/>
      <c r="F15" s="114"/>
      <c r="G15" s="114"/>
      <c r="H15" s="122"/>
      <c r="I15" s="122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4" t="s">
        <v>14</v>
      </c>
    </row>
    <row r="16" spans="1:23" ht="21.75" customHeight="1" x14ac:dyDescent="0.2">
      <c r="A16" s="125"/>
      <c r="B16" s="114"/>
      <c r="C16" s="114"/>
      <c r="D16" s="114"/>
      <c r="E16" s="114"/>
      <c r="F16" s="114"/>
      <c r="G16" s="114"/>
      <c r="H16" s="122"/>
      <c r="I16" s="122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4" t="s">
        <v>15</v>
      </c>
    </row>
    <row r="17" spans="1:23" ht="21" customHeight="1" x14ac:dyDescent="0.2">
      <c r="A17" s="125"/>
      <c r="B17" s="5710" t="s">
        <v>16</v>
      </c>
      <c r="C17" s="114"/>
      <c r="D17" s="114"/>
      <c r="E17" s="114"/>
      <c r="F17" s="114"/>
      <c r="G17" s="114"/>
      <c r="H17" s="122"/>
      <c r="I17" s="122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4" t="s">
        <v>17</v>
      </c>
    </row>
    <row r="18" spans="1:23" ht="21" customHeight="1" x14ac:dyDescent="0.2">
      <c r="A18" s="125"/>
      <c r="B18" s="5711"/>
      <c r="C18" s="114"/>
      <c r="D18" s="114"/>
      <c r="E18" s="114"/>
      <c r="F18" s="114"/>
      <c r="G18" s="114"/>
      <c r="H18" s="122"/>
      <c r="I18" s="122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4" t="s">
        <v>18</v>
      </c>
    </row>
    <row r="19" spans="1:23" ht="21" customHeight="1" x14ac:dyDescent="0.2">
      <c r="A19" s="125"/>
      <c r="B19" s="5712"/>
      <c r="C19" s="114"/>
      <c r="D19" s="114"/>
      <c r="E19" s="114"/>
      <c r="F19" s="114"/>
      <c r="G19" s="114"/>
      <c r="H19" s="122"/>
      <c r="I19" s="122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4" t="s">
        <v>19</v>
      </c>
    </row>
    <row r="20" spans="1:23" ht="21" customHeight="1" x14ac:dyDescent="0.2">
      <c r="A20" s="125"/>
      <c r="B20" s="114"/>
      <c r="C20" s="114"/>
      <c r="D20" s="114"/>
      <c r="E20" s="114"/>
      <c r="F20" s="114"/>
      <c r="G20" s="114"/>
      <c r="H20" s="122"/>
      <c r="I20" s="122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4" t="s">
        <v>20</v>
      </c>
    </row>
    <row r="21" spans="1:23" ht="21" customHeight="1" x14ac:dyDescent="0.2">
      <c r="A21" s="125"/>
      <c r="B21" s="114"/>
      <c r="C21" s="114"/>
      <c r="D21" s="114"/>
      <c r="E21" s="114"/>
      <c r="F21" s="114"/>
      <c r="G21" s="126"/>
      <c r="H21" s="126"/>
      <c r="I21" s="126"/>
      <c r="J21" s="126"/>
      <c r="N21" s="123"/>
      <c r="O21" s="123"/>
      <c r="P21" s="123"/>
      <c r="Q21" s="123"/>
      <c r="R21" s="123"/>
      <c r="S21" s="123"/>
      <c r="T21" s="123"/>
      <c r="U21" s="123"/>
      <c r="V21" s="123"/>
      <c r="W21" s="124" t="s">
        <v>21</v>
      </c>
    </row>
    <row r="22" spans="1:23" ht="21" customHeight="1" x14ac:dyDescent="0.2">
      <c r="A22" s="125"/>
      <c r="B22" s="114"/>
      <c r="C22" s="114"/>
      <c r="D22" s="114"/>
      <c r="E22" s="114"/>
      <c r="F22" s="114"/>
      <c r="G22" s="126"/>
      <c r="H22" s="126"/>
      <c r="I22" s="126"/>
      <c r="J22" s="126"/>
      <c r="N22" s="123"/>
      <c r="O22" s="123"/>
      <c r="P22" s="123"/>
      <c r="Q22" s="123"/>
      <c r="R22" s="123"/>
      <c r="S22" s="123"/>
      <c r="T22" s="123"/>
      <c r="U22" s="123"/>
      <c r="V22" s="123"/>
      <c r="W22" s="124" t="s">
        <v>22</v>
      </c>
    </row>
    <row r="23" spans="1:23" ht="17.25" customHeight="1" x14ac:dyDescent="0.2">
      <c r="A23" s="125"/>
      <c r="B23" s="114"/>
      <c r="C23" s="114"/>
      <c r="D23" s="114"/>
      <c r="E23" s="114"/>
      <c r="F23" s="114"/>
      <c r="G23" s="114"/>
      <c r="H23" s="114"/>
      <c r="I23" s="127"/>
      <c r="J23" s="127"/>
      <c r="N23" s="123"/>
      <c r="O23" s="123"/>
      <c r="P23" s="123"/>
      <c r="Q23" s="123"/>
      <c r="R23" s="123"/>
      <c r="S23" s="123"/>
      <c r="T23" s="123"/>
      <c r="U23" s="123"/>
      <c r="V23" s="123"/>
      <c r="W23" s="123"/>
    </row>
    <row r="24" spans="1:23" ht="18.75" customHeight="1" x14ac:dyDescent="0.2">
      <c r="A24" s="128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3"/>
      <c r="S24" s="123"/>
      <c r="T24" s="123"/>
      <c r="U24" s="123"/>
      <c r="V24" s="123"/>
      <c r="W24" s="123"/>
    </row>
    <row r="25" spans="1:23" ht="18" customHeight="1" x14ac:dyDescent="0.2">
      <c r="A25" s="128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3"/>
      <c r="S25" s="123"/>
      <c r="T25" s="123"/>
      <c r="U25" s="123"/>
      <c r="V25" s="123"/>
      <c r="W25" s="123"/>
    </row>
    <row r="26" spans="1:23" ht="19.5" customHeight="1" x14ac:dyDescent="0.2">
      <c r="A26" s="128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3"/>
      <c r="S26" s="123"/>
      <c r="T26" s="123"/>
      <c r="U26" s="123"/>
      <c r="V26" s="123"/>
      <c r="W26" s="123"/>
    </row>
    <row r="27" spans="1:23" ht="19.5" customHeight="1" x14ac:dyDescent="0.2">
      <c r="A27" s="128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3"/>
      <c r="S27" s="123"/>
      <c r="T27" s="123"/>
      <c r="U27" s="123"/>
      <c r="V27" s="123"/>
      <c r="W27" s="123"/>
    </row>
    <row r="28" spans="1:23" ht="18.75" customHeight="1" x14ac:dyDescent="0.2">
      <c r="A28" s="128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3"/>
      <c r="S28" s="123"/>
      <c r="T28" s="123"/>
      <c r="U28" s="123"/>
      <c r="V28" s="123"/>
      <c r="W28" s="123"/>
    </row>
    <row r="29" spans="1:23" ht="18.75" customHeight="1" x14ac:dyDescent="0.2">
      <c r="A29" s="128"/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3"/>
      <c r="S29" s="123"/>
      <c r="T29" s="123"/>
      <c r="U29" s="123"/>
      <c r="V29" s="123"/>
      <c r="W29" s="123"/>
    </row>
    <row r="30" spans="1:23" ht="18.75" customHeight="1" x14ac:dyDescent="0.2">
      <c r="A30" s="128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3"/>
      <c r="S30" s="123"/>
      <c r="T30" s="123"/>
      <c r="U30" s="123"/>
      <c r="V30" s="123"/>
      <c r="W30" s="123"/>
    </row>
    <row r="31" spans="1:23" ht="17.25" customHeight="1" x14ac:dyDescent="0.2">
      <c r="A31" s="128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3"/>
      <c r="S31" s="123"/>
      <c r="T31" s="123"/>
      <c r="U31" s="123"/>
      <c r="V31" s="123"/>
      <c r="W31" s="123"/>
    </row>
    <row r="32" spans="1:23" ht="17.25" hidden="1" customHeight="1" x14ac:dyDescent="0.2">
      <c r="A32" s="138">
        <f>SUM(W2:W6)</f>
        <v>3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3"/>
      <c r="S32" s="123"/>
      <c r="T32" s="123"/>
      <c r="U32" s="123"/>
      <c r="V32" s="123"/>
      <c r="W32" s="123"/>
    </row>
  </sheetData>
  <sheetProtection algorithmName="SHA-512" hashValue="K6AgFmJoCJNAdla5qW6T1HV+AdxvrKGHDwVcTIPKrzCuWT7kW1hJEphaUn0dzwE9XbhoAtScepeeqcmnlMGoKw==" saltValue="OzVPieS9dNwpv8cDedA7gg==" spinCount="100000" sheet="1" objects="1" scenarios="1"/>
  <mergeCells count="5">
    <mergeCell ref="B17:B19"/>
    <mergeCell ref="A1:B1"/>
    <mergeCell ref="C1:H1"/>
    <mergeCell ref="A9:B9"/>
    <mergeCell ref="A15:B15"/>
  </mergeCells>
  <phoneticPr fontId="37" type="noConversion"/>
  <dataValidations count="5">
    <dataValidation type="whole" allowBlank="1" showInputMessage="1" showErrorMessage="1" errorTitle="Número Incorrecto" error="Sólo se permite ingresar un dígito 0 o 1." sqref="C6" xr:uid="{00000000-0002-0000-0000-000000000000}">
      <formula1>0</formula1>
      <formula2>1</formula2>
    </dataValidation>
    <dataValidation type="whole" allowBlank="1" showInputMessage="1" showErrorMessage="1" errorTitle="Número Inválido" error="Sólo se permite ingresar un dígito entre 0 y 9." sqref="C3:H5" xr:uid="{00000000-0002-0000-0000-000001000000}">
      <formula1>0</formula1>
      <formula2>9</formula2>
    </dataValidation>
    <dataValidation type="whole" allowBlank="1" showInputMessage="1" showErrorMessage="1" errorTitle="Número Inválido" error="Sólo se permite ingresar un dígito." sqref="C2:G2" xr:uid="{00000000-0002-0000-0000-000002000000}">
      <formula1>0</formula1>
      <formula2>9</formula2>
    </dataValidation>
    <dataValidation type="whole" allowBlank="1" showInputMessage="1" showErrorMessage="1" errorTitle="Número Incorrecto" error="Sólo se permite ingresar un dígito entre 0 y 9." sqref="D6" xr:uid="{00000000-0002-0000-0000-000003000000}">
      <formula1>0</formula1>
      <formula2>9</formula2>
    </dataValidation>
    <dataValidation type="list" allowBlank="1" showInputMessage="1" showErrorMessage="1" sqref="B6" xr:uid="{00000000-0002-0000-0000-000004000000}">
      <formula1>$W$11:$W$22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H258"/>
  <sheetViews>
    <sheetView showGridLines="0" zoomScaleNormal="100" workbookViewId="0"/>
  </sheetViews>
  <sheetFormatPr baseColWidth="10" defaultColWidth="11.44140625" defaultRowHeight="14.4" x14ac:dyDescent="0.3"/>
  <cols>
    <col min="1" max="1" width="53.6640625" customWidth="1"/>
    <col min="2" max="2" width="26" customWidth="1"/>
    <col min="3" max="3" width="12.44140625" customWidth="1"/>
    <col min="4" max="4" width="12.109375" customWidth="1"/>
    <col min="5" max="5" width="14.44140625" bestFit="1" customWidth="1"/>
    <col min="6" max="6" width="12.33203125" customWidth="1"/>
    <col min="8" max="8" width="12.88671875" customWidth="1"/>
    <col min="9" max="9" width="14.33203125" customWidth="1"/>
    <col min="10" max="10" width="12.33203125" customWidth="1"/>
    <col min="11" max="11" width="16" customWidth="1"/>
    <col min="12" max="12" width="14.5546875" customWidth="1"/>
    <col min="13" max="13" width="13.88671875" customWidth="1"/>
    <col min="23" max="34" width="12.6640625" customWidth="1"/>
    <col min="36" max="36" width="13.5546875" customWidth="1"/>
    <col min="37" max="38" width="15.6640625" customWidth="1"/>
    <col min="39" max="39" width="12.44140625" customWidth="1"/>
    <col min="42" max="42" width="12.6640625" customWidth="1"/>
    <col min="47" max="47" width="9.44140625" customWidth="1"/>
    <col min="78" max="112" width="11.44140625" hidden="1" customWidth="1"/>
    <col min="113" max="130" width="11.44140625" customWidth="1"/>
  </cols>
  <sheetData>
    <row r="1" spans="1:111" x14ac:dyDescent="0.3">
      <c r="A1" s="50" t="s">
        <v>23</v>
      </c>
    </row>
    <row r="2" spans="1:111" x14ac:dyDescent="0.3">
      <c r="A2" s="50" t="str">
        <f>CONCATENATE("COMUNA: ",NOMBRE!B2, " (",NOMBRE!C2,NOMBRE!D2,NOMBRE!E2,NOMBRE!F2,NOMBRE!G2,")")</f>
        <v>COMUNA:  ()</v>
      </c>
    </row>
    <row r="3" spans="1:111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111" x14ac:dyDescent="0.3">
      <c r="A4" s="50" t="str">
        <f>CONCATENATE("MES: ",NOMBRE!B6, " (",NOMBRE!C6,NOMBRE!D6,")")</f>
        <v>MES:  ()</v>
      </c>
    </row>
    <row r="5" spans="1:111" x14ac:dyDescent="0.3">
      <c r="A5" s="50" t="str">
        <f>CONCATENATE("AÑO: ",NOMBRE!B7)</f>
        <v>AÑO: 2025</v>
      </c>
    </row>
    <row r="6" spans="1:111" s="9" customFormat="1" ht="18" customHeight="1" x14ac:dyDescent="0.25">
      <c r="A6" s="5819" t="s">
        <v>24</v>
      </c>
      <c r="B6" s="5819"/>
      <c r="C6" s="5819"/>
      <c r="D6" s="5819"/>
      <c r="E6" s="5819"/>
      <c r="F6" s="5819"/>
      <c r="G6" s="5819"/>
      <c r="H6" s="5819"/>
      <c r="I6" s="5819"/>
      <c r="J6" s="5819"/>
      <c r="K6" s="5819"/>
      <c r="L6" s="5819"/>
      <c r="M6" s="5819"/>
      <c r="N6" s="5819"/>
      <c r="O6" s="5819"/>
      <c r="P6" s="5819"/>
      <c r="Q6" s="1775"/>
      <c r="R6" s="1775"/>
      <c r="S6" s="1775"/>
      <c r="T6" s="1775"/>
      <c r="U6" s="1775"/>
      <c r="V6" s="1775"/>
      <c r="W6" s="1775"/>
      <c r="X6" s="1775"/>
      <c r="Y6" s="1775"/>
      <c r="Z6" s="1775"/>
      <c r="AA6" s="1775"/>
      <c r="AB6" s="1775"/>
      <c r="AC6" s="1775"/>
      <c r="AD6" s="1775"/>
      <c r="AE6" s="1775"/>
      <c r="AF6" s="1775"/>
      <c r="AG6" s="1775"/>
      <c r="AH6" s="1775"/>
      <c r="AI6" s="1775"/>
      <c r="AJ6" s="1775"/>
      <c r="AK6" s="1775"/>
      <c r="AL6" s="1872"/>
      <c r="AM6" s="1872"/>
      <c r="AN6" s="1872"/>
      <c r="AO6" s="1872"/>
      <c r="AP6" s="1872"/>
      <c r="AQ6" s="1872"/>
      <c r="AR6" s="1872"/>
      <c r="AS6" s="1872"/>
      <c r="BA6" s="1873"/>
      <c r="BB6" s="1873"/>
      <c r="BC6" s="1873"/>
      <c r="BD6" s="1873"/>
      <c r="BE6" s="1873"/>
      <c r="BF6" s="1873"/>
      <c r="BG6" s="1873"/>
      <c r="BH6" s="1873"/>
      <c r="BI6" s="1873"/>
      <c r="BJ6" s="1873"/>
      <c r="BK6" s="1873"/>
      <c r="BL6" s="1873"/>
      <c r="BM6" s="1873"/>
      <c r="BN6" s="1873"/>
      <c r="BO6" s="1873"/>
      <c r="BP6" s="1873"/>
      <c r="BQ6" s="1873"/>
      <c r="BR6" s="1873"/>
      <c r="BS6" s="1873"/>
      <c r="BT6" s="1873"/>
      <c r="BU6" s="1873"/>
      <c r="BV6" s="1873"/>
      <c r="BW6" s="1873"/>
      <c r="BX6" s="1873"/>
      <c r="BY6" s="1873"/>
      <c r="BZ6" s="1873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9"/>
    </row>
    <row r="8" spans="1:111" ht="18" customHeight="1" x14ac:dyDescent="0.3">
      <c r="A8" s="5821" t="s">
        <v>25</v>
      </c>
      <c r="B8" s="5821"/>
      <c r="C8" s="5821"/>
      <c r="D8" s="5821"/>
      <c r="E8" s="5821"/>
      <c r="F8" s="5821"/>
      <c r="G8" s="5821"/>
      <c r="H8" s="5821"/>
      <c r="I8" s="5821"/>
      <c r="J8" s="5821"/>
      <c r="K8" s="5821"/>
      <c r="L8" s="5821"/>
      <c r="M8" s="5821"/>
      <c r="N8" s="5821"/>
      <c r="O8" s="5821"/>
      <c r="P8" s="5821"/>
      <c r="Q8" s="5821"/>
      <c r="R8" s="5821"/>
      <c r="S8" s="5821"/>
      <c r="T8" s="5821"/>
      <c r="U8" s="5821"/>
      <c r="V8" s="5821"/>
      <c r="W8" s="5821"/>
      <c r="X8" s="5821"/>
      <c r="Y8" s="5821"/>
      <c r="Z8" s="5821"/>
      <c r="AA8" s="5821"/>
      <c r="AB8" s="5821"/>
      <c r="AC8" s="5821"/>
      <c r="AD8" s="5821"/>
      <c r="AE8" s="5821"/>
      <c r="AF8" s="5821"/>
      <c r="AG8" s="5821"/>
      <c r="AH8" s="5821"/>
    </row>
    <row r="9" spans="1:111" x14ac:dyDescent="0.3">
      <c r="A9" s="5770" t="s">
        <v>26</v>
      </c>
      <c r="B9" s="5770" t="s">
        <v>27</v>
      </c>
      <c r="C9" s="5754" t="s">
        <v>28</v>
      </c>
      <c r="D9" s="5800" t="s">
        <v>29</v>
      </c>
      <c r="E9" s="5807"/>
      <c r="F9" s="5807"/>
      <c r="G9" s="5807"/>
      <c r="H9" s="5807"/>
      <c r="I9" s="5807"/>
      <c r="J9" s="5807"/>
      <c r="K9" s="5807"/>
      <c r="L9" s="5807"/>
      <c r="M9" s="5807"/>
      <c r="N9" s="5807"/>
      <c r="O9" s="5807"/>
      <c r="P9" s="5807"/>
      <c r="Q9" s="5807"/>
      <c r="R9" s="5807"/>
      <c r="S9" s="5807"/>
      <c r="T9" s="5808"/>
      <c r="U9" s="5807" t="s">
        <v>30</v>
      </c>
      <c r="V9" s="5808"/>
      <c r="W9" s="5765" t="s">
        <v>31</v>
      </c>
      <c r="X9" s="5817" t="s">
        <v>32</v>
      </c>
      <c r="Y9" s="5817" t="s">
        <v>33</v>
      </c>
      <c r="Z9" s="5817" t="s">
        <v>34</v>
      </c>
      <c r="AA9" s="5817" t="s">
        <v>35</v>
      </c>
      <c r="AB9" s="5817" t="s">
        <v>36</v>
      </c>
      <c r="AC9" s="5817" t="s">
        <v>37</v>
      </c>
      <c r="AD9" s="5758" t="s">
        <v>38</v>
      </c>
      <c r="AE9" s="5823" t="s">
        <v>39</v>
      </c>
      <c r="AF9" s="5774"/>
      <c r="AG9" s="5758"/>
      <c r="AH9" s="5754" t="s">
        <v>40</v>
      </c>
    </row>
    <row r="10" spans="1:111" ht="30" customHeight="1" x14ac:dyDescent="0.3">
      <c r="A10" s="5772"/>
      <c r="B10" s="5772"/>
      <c r="C10" s="5756"/>
      <c r="D10" s="1876" t="s">
        <v>41</v>
      </c>
      <c r="E10" s="1877" t="s">
        <v>42</v>
      </c>
      <c r="F10" s="1877" t="s">
        <v>43</v>
      </c>
      <c r="G10" s="1878" t="s">
        <v>44</v>
      </c>
      <c r="H10" s="1879" t="s">
        <v>45</v>
      </c>
      <c r="I10" s="1879" t="s">
        <v>46</v>
      </c>
      <c r="J10" s="1879" t="s">
        <v>47</v>
      </c>
      <c r="K10" s="1879" t="s">
        <v>48</v>
      </c>
      <c r="L10" s="1879" t="s">
        <v>49</v>
      </c>
      <c r="M10" s="1879" t="s">
        <v>50</v>
      </c>
      <c r="N10" s="1879" t="s">
        <v>51</v>
      </c>
      <c r="O10" s="1879" t="s">
        <v>52</v>
      </c>
      <c r="P10" s="1879" t="s">
        <v>53</v>
      </c>
      <c r="Q10" s="1879" t="s">
        <v>54</v>
      </c>
      <c r="R10" s="1879" t="s">
        <v>55</v>
      </c>
      <c r="S10" s="1879" t="s">
        <v>56</v>
      </c>
      <c r="T10" s="1880" t="s">
        <v>57</v>
      </c>
      <c r="U10" s="1881" t="s">
        <v>58</v>
      </c>
      <c r="V10" s="1882" t="s">
        <v>59</v>
      </c>
      <c r="W10" s="5767"/>
      <c r="X10" s="5818"/>
      <c r="Y10" s="5818"/>
      <c r="Z10" s="5818"/>
      <c r="AA10" s="5818"/>
      <c r="AB10" s="5818"/>
      <c r="AC10" s="5818"/>
      <c r="AD10" s="5822"/>
      <c r="AE10" s="1883" t="s">
        <v>60</v>
      </c>
      <c r="AF10" s="1878" t="s">
        <v>61</v>
      </c>
      <c r="AG10" s="1884" t="s">
        <v>62</v>
      </c>
      <c r="AH10" s="5756"/>
    </row>
    <row r="11" spans="1:111" ht="15" customHeight="1" x14ac:dyDescent="0.3">
      <c r="A11" s="5789" t="s">
        <v>63</v>
      </c>
      <c r="B11" s="1885" t="s">
        <v>64</v>
      </c>
      <c r="C11" s="1886">
        <f>SUM(F11:N11)</f>
        <v>0</v>
      </c>
      <c r="D11" s="1887"/>
      <c r="E11" s="1888"/>
      <c r="F11" s="1039"/>
      <c r="G11" s="1039"/>
      <c r="H11" s="1039"/>
      <c r="I11" s="1039"/>
      <c r="J11" s="1039"/>
      <c r="K11" s="1039"/>
      <c r="L11" s="1039"/>
      <c r="M11" s="1039"/>
      <c r="N11" s="1039"/>
      <c r="O11" s="1889"/>
      <c r="P11" s="1890"/>
      <c r="Q11" s="1891"/>
      <c r="R11" s="1891"/>
      <c r="S11" s="1891"/>
      <c r="T11" s="1892"/>
      <c r="U11" s="1893"/>
      <c r="V11" s="1894"/>
      <c r="W11" s="337"/>
      <c r="X11" s="1891"/>
      <c r="Y11" s="1039"/>
      <c r="Z11" s="1039"/>
      <c r="AA11" s="1039"/>
      <c r="AB11" s="1039"/>
      <c r="AC11" s="1039"/>
      <c r="AD11" s="142"/>
      <c r="AE11" s="1895"/>
      <c r="AF11" s="1896"/>
      <c r="AG11" s="29"/>
      <c r="AH11" s="1897"/>
      <c r="AI11" s="1898" t="str">
        <f>$CA11&amp;CB11&amp;CC11&amp;CD11&amp;CE11&amp;CF11&amp;CG11&amp;CH11&amp;CI11&amp;CJ11&amp;CK11&amp;CL11&amp;CM11</f>
        <v/>
      </c>
      <c r="CA11" s="1899" t="str">
        <f t="shared" ref="CA11:CA32" si="0">IF((U11+V11)&lt;&gt;$C11," * La suma de la variable Sexo (Hombres + Mujeres) no puede ser distinto al Total","")</f>
        <v/>
      </c>
      <c r="CB11" s="1899" t="str">
        <f t="shared" ref="CB11:CB22" si="1">IF(AND($C11&lt;&gt;0,W11=""),"* No olvide ingresar la variable "&amp;W$9&amp;""&amp;". Digite CERO si no tiene.  ",IF(W11&gt;$C11,"* La variable Control con pareja, familiar u otro no debe ser mayor al Total. ",""))</f>
        <v/>
      </c>
      <c r="CC11" s="1900"/>
      <c r="CD11" s="1899" t="str">
        <f>IF(AND($C11&lt;&gt;0,Y11=""),"* No olvide ingresar la variable "&amp;Y$9&amp;""&amp;". Digite CERO si no tiene.  ",IF(Y11&gt;$C11,"* La variable Espacios Amigables/ Adolescentes no debe ser mayor al Total. ",""))</f>
        <v/>
      </c>
      <c r="CE11" s="1899" t="str">
        <f t="shared" ref="CE11:CE28" si="2">IF(AND($C11&lt;&gt;0,Z11=""),"* No olvide ingresar la variable "&amp;Z9&amp;""&amp;". Digite CERO si no tiene.  ",IF(Z11&gt;$C11,"* La variable Niños, Niñas, Adolescentes y Jóvenes SENAME no debe ser mayor al Total. ",""))</f>
        <v/>
      </c>
      <c r="CF11" s="1899" t="str">
        <f t="shared" ref="CF11:CF28" si="3">IF(AND($C11&lt;&gt;0,AA11=""),"* No olvide ingresar la variable "&amp;AA9&amp;""&amp;". Digite CERO si no tiene.  ",IF(AA11&gt;$C11,"* La variable Niños, Niñas, Adolescentes y Jóvenes Mejor Niñez no debe ser mayor al Total. ",""))</f>
        <v/>
      </c>
      <c r="CG11" s="1899" t="str">
        <f t="shared" ref="CG11:CG32" si="4">IF(AND($C11&lt;&gt;0,AB11=""),"* No olvide ingresar la variable "&amp;AB$9&amp;""&amp;". Digite CERO si no tiene. ",IF(AB11&gt;$C11,"* La variable de Pueblos Originarios no debe ser mayor al Total. ",""))</f>
        <v/>
      </c>
      <c r="CH11" s="1899" t="str">
        <f t="shared" ref="CH11:CH32" si="5">IF(AND($C11&lt;&gt;0,AC11=""),"* No olvide ingresar la variable "&amp;AC$9&amp;""&amp;". Digite CERO si no tiene.  ",IF(AC11&gt;$C11,"* La variable Migrantes no debe ser mayor al Total. ",""))</f>
        <v/>
      </c>
      <c r="CI11" s="1899" t="str">
        <f t="shared" ref="CI11:CI32" si="6">IF(AND($C11&lt;&gt;0,AD11=""),"* No olvide ingresar la variable "&amp;AD$9&amp;""&amp;". Digite CERO si no tiene.  ",IF(AD11&gt;$C11,"* La variable Personas con discapacidad no debe ser mayor al Total. ",""))</f>
        <v/>
      </c>
      <c r="CJ11" s="1899" t="str">
        <f>IF(AND($V11&lt;&gt;0,AE11=""),"* No olvide ingresar la variable "&amp;AE$10&amp;""&amp;". Digite CERO si no tiene.  ",IF(AE11&gt;$V11,"* La variable Trans masculino no debe ser mayor al Total Mujeres. ",""))</f>
        <v/>
      </c>
      <c r="CK11" s="1899" t="str">
        <f>IF(AND($U11&lt;&gt;0,AF11=""),"* No olvide ingresar la variable "&amp;AF$10&amp;""&amp;". Digite CERO si no tiene.  ",IF(AF11&gt;$U11,"* La variable Trans Femenino no debe ser mayor al Total Hombres ",""))</f>
        <v/>
      </c>
      <c r="CL11" s="1899" t="str">
        <f>IF(AND($C11&lt;&gt;0,AG11=""),"* No olvide ingresar la variable "&amp;AG$10&amp;""&amp;". Digite CERO si no tiene.  ",IF(AG11&gt;$C11,"* La variable No binarie no debe ser mayor al Total. ",""))</f>
        <v/>
      </c>
      <c r="CM11" s="1900"/>
      <c r="CU11" s="1901">
        <f>IF((U11+V11)&lt;&gt;$C11,1,0)</f>
        <v>0</v>
      </c>
      <c r="CV11" s="1901">
        <f t="shared" ref="CV11:CV12" si="7">IF(AND(C11&gt;0,W11=""),1,IF(W11&gt;C11,1,0))</f>
        <v>0</v>
      </c>
      <c r="CW11" s="1902"/>
      <c r="CX11" s="1901">
        <f>IF(AND($C11&lt;&gt;0,Y11=""),1,IF(Y11&gt;$C11,1,0))</f>
        <v>0</v>
      </c>
      <c r="CY11" s="1901">
        <f>IF(AND($C11&lt;&gt;0,Z11=""),1,IF(Z11&gt;C11,1,0))</f>
        <v>0</v>
      </c>
      <c r="CZ11" s="1901">
        <f>IF(AND($C11&lt;&gt;0,AA11=""),1,IF(AA11&gt;C11,1,0))</f>
        <v>0</v>
      </c>
      <c r="DA11" s="1901">
        <f>IF(AND($C11&lt;&gt;0,AB11=""),1,IF(AB11&gt;C11,1,0))</f>
        <v>0</v>
      </c>
      <c r="DB11" s="1901">
        <f>IF(AND($C11&lt;&gt;0,AC11=""),1,IF(AC11&gt;C11,1,0))</f>
        <v>0</v>
      </c>
      <c r="DC11" s="1901">
        <f>IF(AND($C11&lt;&gt;0,AD11=""),1,IF(AD11&gt;$C11,1,0))</f>
        <v>0</v>
      </c>
      <c r="DD11" s="1901">
        <f>IF(AND($V11&lt;&gt;0,AE11=""),1,IF(AE11&gt;$V11,1,0))</f>
        <v>0</v>
      </c>
      <c r="DE11" s="1901">
        <f>IF(AND($U11&lt;&gt;0,AF11=""),1,IF(AF11&gt;$U11,1,0))</f>
        <v>0</v>
      </c>
      <c r="DF11" s="1901">
        <f>IF(AND($C11&lt;&gt;0,AG11=""),1,IF(AG11&gt;$C11,1,0))</f>
        <v>0</v>
      </c>
      <c r="DG11" s="1903"/>
    </row>
    <row r="12" spans="1:111" ht="15" customHeight="1" x14ac:dyDescent="0.3">
      <c r="A12" s="5816"/>
      <c r="B12" s="519" t="s">
        <v>65</v>
      </c>
      <c r="C12" s="1904">
        <f t="shared" ref="C12:C21" si="8">SUM(F12:N12)</f>
        <v>0</v>
      </c>
      <c r="D12" s="1905"/>
      <c r="E12" s="1906"/>
      <c r="F12" s="1907"/>
      <c r="G12" s="1907"/>
      <c r="H12" s="1907"/>
      <c r="I12" s="1907"/>
      <c r="J12" s="1907"/>
      <c r="K12" s="1907"/>
      <c r="L12" s="1907"/>
      <c r="M12" s="1907"/>
      <c r="N12" s="1907"/>
      <c r="O12" s="1908"/>
      <c r="P12" s="1909"/>
      <c r="Q12" s="1909"/>
      <c r="R12" s="1909"/>
      <c r="S12" s="1909"/>
      <c r="T12" s="1910"/>
      <c r="U12" s="1911"/>
      <c r="V12" s="1912"/>
      <c r="W12" s="1913"/>
      <c r="X12" s="1909"/>
      <c r="Y12" s="1907"/>
      <c r="Z12" s="1907"/>
      <c r="AA12" s="1907"/>
      <c r="AB12" s="1907"/>
      <c r="AC12" s="1907"/>
      <c r="AD12" s="877"/>
      <c r="AE12" s="989"/>
      <c r="AF12" s="1914"/>
      <c r="AG12" s="877"/>
      <c r="AH12" s="1915"/>
      <c r="AI12" s="1898" t="str">
        <f t="shared" ref="AI12:AI32" si="9">$CA12&amp;CB12&amp;CC12&amp;CD12&amp;CE12&amp;CF12&amp;CG12&amp;CH12&amp;CI12&amp;CJ12&amp;CK12&amp;CL12&amp;CM12</f>
        <v/>
      </c>
      <c r="CA12" s="1899" t="str">
        <f t="shared" si="0"/>
        <v/>
      </c>
      <c r="CB12" s="1899" t="str">
        <f t="shared" si="1"/>
        <v/>
      </c>
      <c r="CC12" s="1900"/>
      <c r="CD12" s="1899" t="str">
        <f>IF(AND($C12&lt;&gt;0,Y12=""),"* No olvide ingresar la variable "&amp;Y$9&amp;""&amp;". Digite CERO si no tiene.  ",IF(Y12&gt;$C12,"* La variable Espacios Amigables/ Adolescentes no debe ser mayor al Total. ",""))</f>
        <v/>
      </c>
      <c r="CE12" s="1899" t="str">
        <f t="shared" si="2"/>
        <v/>
      </c>
      <c r="CF12" s="1899" t="str">
        <f t="shared" si="3"/>
        <v/>
      </c>
      <c r="CG12" s="1899" t="str">
        <f t="shared" si="4"/>
        <v/>
      </c>
      <c r="CH12" s="1899" t="str">
        <f t="shared" si="5"/>
        <v/>
      </c>
      <c r="CI12" s="1899" t="str">
        <f t="shared" si="6"/>
        <v/>
      </c>
      <c r="CJ12" s="1899" t="str">
        <f t="shared" ref="CJ12:CJ32" si="10">IF(AND($V12&lt;&gt;0,AE12=""),"* No olvide ingresar la variable "&amp;AE$10&amp;""&amp;". Digite CERO si no tiene.  ",IF(AE12&gt;$V12,"* La variable Trans masculino no debe ser mayor al Total Mujeres. ",""))</f>
        <v/>
      </c>
      <c r="CK12" s="1899" t="str">
        <f t="shared" ref="CK12:CK32" si="11">IF(AND($U12&lt;&gt;0,AF12=""),"* No olvide ingresar la variable "&amp;AF$10&amp;""&amp;". Digite CERO si no tiene.  ",IF(AF12&gt;$U12,"* La variable Trans Femenino no debe ser mayor al Total Hombres ",""))</f>
        <v/>
      </c>
      <c r="CL12" s="1899" t="str">
        <f t="shared" ref="CL12:CL32" si="12">IF(AND($C12&lt;&gt;0,AG12=""),"* No olvide ingresar la variable "&amp;AG$10&amp;""&amp;". Digite CERO si no tiene.  ",IF(AG12&gt;$C12,"* La variable No binarie no debe ser mayor al Total. ",""))</f>
        <v/>
      </c>
      <c r="CM12" s="1900"/>
      <c r="CU12" s="1901">
        <f t="shared" ref="CU12:CU32" si="13">IF((U12+V12)&lt;&gt;$C12,1,0)</f>
        <v>0</v>
      </c>
      <c r="CV12" s="1901">
        <f t="shared" si="7"/>
        <v>0</v>
      </c>
      <c r="CW12" s="1902"/>
      <c r="CX12" s="1901">
        <f>IF(AND($C12&lt;&gt;0,Y12=""),1,IF(Y12&gt;$C12,1,0))</f>
        <v>0</v>
      </c>
      <c r="CY12" s="1901">
        <f t="shared" ref="CY12:CY22" si="14">IF(AND($C12&lt;&gt;0,Z12=""),1,IF(Z12&gt;C12,1,0))</f>
        <v>0</v>
      </c>
      <c r="CZ12" s="1901">
        <f t="shared" ref="CZ12:CZ22" si="15">IF(AND($C12&lt;&gt;0,AA12=""),1,IF(AA12&gt;C12,1,0))</f>
        <v>0</v>
      </c>
      <c r="DA12" s="1901">
        <f t="shared" ref="DA12:DA28" si="16">IF(AND($C12&lt;&gt;0,AB12=""),1,IF(AB12&gt;C12,1,0))</f>
        <v>0</v>
      </c>
      <c r="DB12" s="1901">
        <f t="shared" ref="DB12:DB28" si="17">IF(AND($C12&lt;&gt;0,AC12=""),1,IF(AC12&gt;C12,1,0))</f>
        <v>0</v>
      </c>
      <c r="DC12" s="1901">
        <f t="shared" ref="DC12:DC28" si="18">IF(AND($C12&lt;&gt;0,AD12=""),1,IF(AD12&gt;$C12,1,0))</f>
        <v>0</v>
      </c>
      <c r="DD12" s="1901">
        <f t="shared" ref="DD12:DD28" si="19">IF(AND($V12&lt;&gt;0,AE12=""),1,IF(AE12&gt;$V12,1,0))</f>
        <v>0</v>
      </c>
      <c r="DE12" s="1901">
        <f t="shared" ref="DE12" si="20">IF(AND($U12&lt;&gt;0,AF12=""),1,IF(AF12&gt;$U12,1,0))</f>
        <v>0</v>
      </c>
      <c r="DF12" s="1901">
        <f t="shared" ref="DF12:DF22" si="21">IF(AND($C12&lt;&gt;0,AG12=""),1,IF(AG12&gt;$C12,1,0))</f>
        <v>0</v>
      </c>
      <c r="DG12" s="1903"/>
    </row>
    <row r="13" spans="1:111" ht="15" customHeight="1" x14ac:dyDescent="0.3">
      <c r="A13" s="5789" t="s">
        <v>66</v>
      </c>
      <c r="B13" s="1885" t="s">
        <v>64</v>
      </c>
      <c r="C13" s="1916">
        <f t="shared" si="8"/>
        <v>0</v>
      </c>
      <c r="D13" s="334"/>
      <c r="E13" s="1917"/>
      <c r="F13" s="1039"/>
      <c r="G13" s="1039"/>
      <c r="H13" s="1039"/>
      <c r="I13" s="1039"/>
      <c r="J13" s="1039"/>
      <c r="K13" s="1039"/>
      <c r="L13" s="1039"/>
      <c r="M13" s="1039"/>
      <c r="N13" s="1896"/>
      <c r="O13" s="1890"/>
      <c r="P13" s="1891"/>
      <c r="Q13" s="1891"/>
      <c r="R13" s="1891"/>
      <c r="S13" s="1891"/>
      <c r="T13" s="1016"/>
      <c r="U13" s="1917"/>
      <c r="V13" s="1918"/>
      <c r="W13" s="337"/>
      <c r="X13" s="1919"/>
      <c r="Y13" s="1920"/>
      <c r="Z13" s="232"/>
      <c r="AA13" s="232"/>
      <c r="AB13" s="232"/>
      <c r="AC13" s="232"/>
      <c r="AD13" s="29"/>
      <c r="AE13" s="1921"/>
      <c r="AF13" s="1922"/>
      <c r="AG13" s="29"/>
      <c r="AH13" s="1897"/>
      <c r="AI13" s="1898" t="str">
        <f t="shared" si="9"/>
        <v/>
      </c>
      <c r="CA13" s="1899" t="str">
        <f t="shared" si="0"/>
        <v/>
      </c>
      <c r="CB13" s="1899" t="str">
        <f t="shared" si="1"/>
        <v/>
      </c>
      <c r="CC13" s="1900"/>
      <c r="CD13" s="1900"/>
      <c r="CE13" s="1899" t="str">
        <f t="shared" si="2"/>
        <v/>
      </c>
      <c r="CF13" s="1899" t="str">
        <f t="shared" si="3"/>
        <v/>
      </c>
      <c r="CG13" s="1899" t="str">
        <f t="shared" si="4"/>
        <v/>
      </c>
      <c r="CH13" s="1899" t="str">
        <f t="shared" si="5"/>
        <v/>
      </c>
      <c r="CI13" s="1899" t="str">
        <f t="shared" si="6"/>
        <v/>
      </c>
      <c r="CJ13" s="1899" t="str">
        <f t="shared" si="10"/>
        <v/>
      </c>
      <c r="CK13" s="1900"/>
      <c r="CL13" s="1899" t="str">
        <f t="shared" si="12"/>
        <v/>
      </c>
      <c r="CM13" s="1900"/>
      <c r="CU13" s="1901">
        <f t="shared" si="13"/>
        <v>0</v>
      </c>
      <c r="CV13" s="1901">
        <f>IF(AND(C13&gt;0,W13=""),1,IF(W13&gt;C13,1,0))</f>
        <v>0</v>
      </c>
      <c r="CW13" s="1902"/>
      <c r="CX13" s="1902"/>
      <c r="CY13" s="1901">
        <f t="shared" si="14"/>
        <v>0</v>
      </c>
      <c r="CZ13" s="1901">
        <f t="shared" si="15"/>
        <v>0</v>
      </c>
      <c r="DA13" s="1901">
        <f t="shared" si="16"/>
        <v>0</v>
      </c>
      <c r="DB13" s="1901">
        <f t="shared" si="17"/>
        <v>0</v>
      </c>
      <c r="DC13" s="1901">
        <f t="shared" si="18"/>
        <v>0</v>
      </c>
      <c r="DD13" s="1901">
        <f t="shared" si="19"/>
        <v>0</v>
      </c>
      <c r="DE13" s="1902"/>
      <c r="DF13" s="1901">
        <f t="shared" si="21"/>
        <v>0</v>
      </c>
      <c r="DG13" s="1903"/>
    </row>
    <row r="14" spans="1:111" ht="15" customHeight="1" x14ac:dyDescent="0.3">
      <c r="A14" s="5790"/>
      <c r="B14" s="519" t="s">
        <v>65</v>
      </c>
      <c r="C14" s="1923">
        <f t="shared" si="8"/>
        <v>0</v>
      </c>
      <c r="D14" s="1924"/>
      <c r="E14" s="1925"/>
      <c r="F14" s="232"/>
      <c r="G14" s="232"/>
      <c r="H14" s="232"/>
      <c r="I14" s="232"/>
      <c r="J14" s="232"/>
      <c r="K14" s="232"/>
      <c r="L14" s="232"/>
      <c r="M14" s="232"/>
      <c r="N14" s="1914"/>
      <c r="O14" s="1926"/>
      <c r="P14" s="1909"/>
      <c r="Q14" s="1909"/>
      <c r="R14" s="1909"/>
      <c r="S14" s="1909"/>
      <c r="T14" s="1927"/>
      <c r="U14" s="1928"/>
      <c r="V14" s="1912"/>
      <c r="W14" s="1913"/>
      <c r="X14" s="1909"/>
      <c r="Y14" s="1929"/>
      <c r="Z14" s="1907"/>
      <c r="AA14" s="1907"/>
      <c r="AB14" s="1907"/>
      <c r="AC14" s="1907"/>
      <c r="AD14" s="877"/>
      <c r="AE14" s="876"/>
      <c r="AF14" s="1930"/>
      <c r="AG14" s="877"/>
      <c r="AH14" s="1915"/>
      <c r="AI14" s="1898" t="str">
        <f t="shared" si="9"/>
        <v/>
      </c>
      <c r="CA14" s="1899" t="str">
        <f t="shared" si="0"/>
        <v/>
      </c>
      <c r="CB14" s="1899" t="str">
        <f t="shared" si="1"/>
        <v/>
      </c>
      <c r="CC14" s="1900"/>
      <c r="CD14" s="1900"/>
      <c r="CE14" s="1899" t="str">
        <f t="shared" si="2"/>
        <v/>
      </c>
      <c r="CF14" s="1899" t="str">
        <f t="shared" si="3"/>
        <v/>
      </c>
      <c r="CG14" s="1899" t="str">
        <f t="shared" si="4"/>
        <v/>
      </c>
      <c r="CH14" s="1899" t="str">
        <f t="shared" si="5"/>
        <v/>
      </c>
      <c r="CI14" s="1899" t="str">
        <f t="shared" si="6"/>
        <v/>
      </c>
      <c r="CJ14" s="1899" t="str">
        <f t="shared" si="10"/>
        <v/>
      </c>
      <c r="CK14" s="1900"/>
      <c r="CL14" s="1899" t="str">
        <f t="shared" si="12"/>
        <v/>
      </c>
      <c r="CM14" s="1900"/>
      <c r="CU14" s="1901">
        <f t="shared" si="13"/>
        <v>0</v>
      </c>
      <c r="CV14" s="1901">
        <f>IF(AND(C14&gt;0,W14=""),1,IF(W14&gt;SUM(C14),1,0))</f>
        <v>0</v>
      </c>
      <c r="CW14" s="1902"/>
      <c r="CX14" s="1902"/>
      <c r="CY14" s="1901">
        <f t="shared" si="14"/>
        <v>0</v>
      </c>
      <c r="CZ14" s="1901">
        <f t="shared" si="15"/>
        <v>0</v>
      </c>
      <c r="DA14" s="1901">
        <f t="shared" si="16"/>
        <v>0</v>
      </c>
      <c r="DB14" s="1901">
        <f t="shared" si="17"/>
        <v>0</v>
      </c>
      <c r="DC14" s="1901">
        <f t="shared" si="18"/>
        <v>0</v>
      </c>
      <c r="DD14" s="1901">
        <f t="shared" si="19"/>
        <v>0</v>
      </c>
      <c r="DE14" s="1902"/>
      <c r="DF14" s="1901">
        <f t="shared" si="21"/>
        <v>0</v>
      </c>
      <c r="DG14" s="1903"/>
    </row>
    <row r="15" spans="1:111" ht="15" customHeight="1" x14ac:dyDescent="0.3">
      <c r="A15" s="5789" t="s">
        <v>67</v>
      </c>
      <c r="B15" s="1885" t="s">
        <v>64</v>
      </c>
      <c r="C15" s="1886">
        <f t="shared" si="8"/>
        <v>0</v>
      </c>
      <c r="D15" s="1887"/>
      <c r="E15" s="1888"/>
      <c r="F15" s="1896"/>
      <c r="G15" s="1896"/>
      <c r="H15" s="1896"/>
      <c r="I15" s="1896"/>
      <c r="J15" s="1896"/>
      <c r="K15" s="1896"/>
      <c r="L15" s="1896"/>
      <c r="M15" s="1896"/>
      <c r="N15" s="1896"/>
      <c r="O15" s="1890"/>
      <c r="P15" s="1891"/>
      <c r="Q15" s="1891"/>
      <c r="R15" s="1891"/>
      <c r="S15" s="1891"/>
      <c r="T15" s="1931"/>
      <c r="U15" s="1888"/>
      <c r="V15" s="1918"/>
      <c r="W15" s="337"/>
      <c r="X15" s="1891"/>
      <c r="Y15" s="1932"/>
      <c r="Z15" s="232"/>
      <c r="AA15" s="232"/>
      <c r="AB15" s="232"/>
      <c r="AC15" s="232"/>
      <c r="AD15" s="29"/>
      <c r="AE15" s="1921"/>
      <c r="AF15" s="1922"/>
      <c r="AG15" s="29"/>
      <c r="AH15" s="1897"/>
      <c r="AI15" s="1898" t="str">
        <f t="shared" si="9"/>
        <v/>
      </c>
      <c r="CA15" s="1899" t="str">
        <f t="shared" si="0"/>
        <v/>
      </c>
      <c r="CB15" s="1899" t="str">
        <f t="shared" si="1"/>
        <v/>
      </c>
      <c r="CC15" s="1900"/>
      <c r="CD15" s="1900"/>
      <c r="CE15" s="1899" t="str">
        <f t="shared" si="2"/>
        <v/>
      </c>
      <c r="CF15" s="1899" t="str">
        <f t="shared" si="3"/>
        <v/>
      </c>
      <c r="CG15" s="1899" t="str">
        <f t="shared" si="4"/>
        <v/>
      </c>
      <c r="CH15" s="1899" t="str">
        <f t="shared" si="5"/>
        <v/>
      </c>
      <c r="CI15" s="1899" t="str">
        <f t="shared" si="6"/>
        <v/>
      </c>
      <c r="CJ15" s="1899" t="str">
        <f t="shared" si="10"/>
        <v/>
      </c>
      <c r="CK15" s="1900"/>
      <c r="CL15" s="1899" t="str">
        <f t="shared" si="12"/>
        <v/>
      </c>
      <c r="CM15" s="1900"/>
      <c r="CU15" s="1901">
        <f t="shared" si="13"/>
        <v>0</v>
      </c>
      <c r="CV15" s="1901">
        <f t="shared" ref="CV15:CV22" si="22">IF(AND(C15&gt;0,W15=""),1,IF(W15&gt;SUM(C15),1,0))</f>
        <v>0</v>
      </c>
      <c r="CW15" s="1902"/>
      <c r="CX15" s="1902"/>
      <c r="CY15" s="1901">
        <f t="shared" si="14"/>
        <v>0</v>
      </c>
      <c r="CZ15" s="1901">
        <f t="shared" si="15"/>
        <v>0</v>
      </c>
      <c r="DA15" s="1901">
        <f t="shared" si="16"/>
        <v>0</v>
      </c>
      <c r="DB15" s="1901">
        <f t="shared" si="17"/>
        <v>0</v>
      </c>
      <c r="DC15" s="1901">
        <f t="shared" si="18"/>
        <v>0</v>
      </c>
      <c r="DD15" s="1901">
        <f t="shared" si="19"/>
        <v>0</v>
      </c>
      <c r="DE15" s="1902"/>
      <c r="DF15" s="1901">
        <f t="shared" si="21"/>
        <v>0</v>
      </c>
      <c r="DG15" s="1903"/>
    </row>
    <row r="16" spans="1:111" ht="15" customHeight="1" x14ac:dyDescent="0.3">
      <c r="A16" s="5791"/>
      <c r="B16" s="519" t="s">
        <v>65</v>
      </c>
      <c r="C16" s="1904">
        <f t="shared" si="8"/>
        <v>0</v>
      </c>
      <c r="D16" s="1905"/>
      <c r="E16" s="1906"/>
      <c r="F16" s="1914"/>
      <c r="G16" s="1914"/>
      <c r="H16" s="1914"/>
      <c r="I16" s="1914"/>
      <c r="J16" s="1914"/>
      <c r="K16" s="1914"/>
      <c r="L16" s="1914"/>
      <c r="M16" s="1914"/>
      <c r="N16" s="1907"/>
      <c r="O16" s="1908"/>
      <c r="P16" s="1909"/>
      <c r="Q16" s="1909"/>
      <c r="R16" s="1909"/>
      <c r="S16" s="1909"/>
      <c r="T16" s="1910"/>
      <c r="U16" s="1933"/>
      <c r="V16" s="1912"/>
      <c r="W16" s="1913"/>
      <c r="X16" s="1909"/>
      <c r="Y16" s="1929"/>
      <c r="Z16" s="1907"/>
      <c r="AA16" s="1907"/>
      <c r="AB16" s="1907"/>
      <c r="AC16" s="1907"/>
      <c r="AD16" s="877"/>
      <c r="AE16" s="876"/>
      <c r="AF16" s="1930"/>
      <c r="AG16" s="877"/>
      <c r="AH16" s="1915"/>
      <c r="AI16" s="1898" t="str">
        <f t="shared" si="9"/>
        <v/>
      </c>
      <c r="CA16" s="1899" t="str">
        <f t="shared" si="0"/>
        <v/>
      </c>
      <c r="CB16" s="1899" t="str">
        <f t="shared" si="1"/>
        <v/>
      </c>
      <c r="CC16" s="1900"/>
      <c r="CD16" s="1900"/>
      <c r="CE16" s="1899" t="str">
        <f t="shared" si="2"/>
        <v/>
      </c>
      <c r="CF16" s="1899" t="str">
        <f t="shared" si="3"/>
        <v/>
      </c>
      <c r="CG16" s="1899" t="str">
        <f t="shared" si="4"/>
        <v/>
      </c>
      <c r="CH16" s="1899" t="str">
        <f t="shared" si="5"/>
        <v/>
      </c>
      <c r="CI16" s="1899" t="str">
        <f t="shared" si="6"/>
        <v/>
      </c>
      <c r="CJ16" s="1899" t="str">
        <f t="shared" si="10"/>
        <v/>
      </c>
      <c r="CK16" s="1900"/>
      <c r="CL16" s="1899" t="str">
        <f t="shared" si="12"/>
        <v/>
      </c>
      <c r="CM16" s="1900"/>
      <c r="CU16" s="1901">
        <f t="shared" si="13"/>
        <v>0</v>
      </c>
      <c r="CV16" s="1901">
        <f t="shared" si="22"/>
        <v>0</v>
      </c>
      <c r="CW16" s="1902"/>
      <c r="CX16" s="1902"/>
      <c r="CY16" s="1901">
        <f t="shared" si="14"/>
        <v>0</v>
      </c>
      <c r="CZ16" s="1901">
        <f t="shared" si="15"/>
        <v>0</v>
      </c>
      <c r="DA16" s="1901">
        <f t="shared" si="16"/>
        <v>0</v>
      </c>
      <c r="DB16" s="1901">
        <f t="shared" si="17"/>
        <v>0</v>
      </c>
      <c r="DC16" s="1901">
        <f t="shared" si="18"/>
        <v>0</v>
      </c>
      <c r="DD16" s="1901">
        <f t="shared" si="19"/>
        <v>0</v>
      </c>
      <c r="DE16" s="1902"/>
      <c r="DF16" s="1901">
        <f t="shared" si="21"/>
        <v>0</v>
      </c>
      <c r="DG16" s="1903"/>
    </row>
    <row r="17" spans="1:111" ht="15" customHeight="1" x14ac:dyDescent="0.3">
      <c r="A17" s="5789" t="s">
        <v>68</v>
      </c>
      <c r="B17" s="1885" t="s">
        <v>64</v>
      </c>
      <c r="C17" s="1886">
        <f t="shared" si="8"/>
        <v>0</v>
      </c>
      <c r="D17" s="1887"/>
      <c r="E17" s="1888"/>
      <c r="F17" s="1896"/>
      <c r="G17" s="1896"/>
      <c r="H17" s="1896"/>
      <c r="I17" s="1896"/>
      <c r="J17" s="1896"/>
      <c r="K17" s="1896"/>
      <c r="L17" s="1896"/>
      <c r="M17" s="1896"/>
      <c r="N17" s="1896"/>
      <c r="O17" s="1890"/>
      <c r="P17" s="1891"/>
      <c r="Q17" s="1891"/>
      <c r="R17" s="1891"/>
      <c r="S17" s="1891"/>
      <c r="T17" s="1931"/>
      <c r="U17" s="1888"/>
      <c r="V17" s="1894"/>
      <c r="W17" s="337"/>
      <c r="X17" s="1891"/>
      <c r="Y17" s="1932"/>
      <c r="Z17" s="232"/>
      <c r="AA17" s="232"/>
      <c r="AB17" s="232"/>
      <c r="AC17" s="232"/>
      <c r="AD17" s="29"/>
      <c r="AE17" s="1921"/>
      <c r="AF17" s="1922"/>
      <c r="AG17" s="29"/>
      <c r="AH17" s="1897"/>
      <c r="AI17" s="1898" t="str">
        <f t="shared" si="9"/>
        <v/>
      </c>
      <c r="CA17" s="1899" t="str">
        <f t="shared" si="0"/>
        <v/>
      </c>
      <c r="CB17" s="1899" t="str">
        <f t="shared" si="1"/>
        <v/>
      </c>
      <c r="CC17" s="1900"/>
      <c r="CD17" s="1900"/>
      <c r="CE17" s="1899" t="str">
        <f t="shared" si="2"/>
        <v/>
      </c>
      <c r="CF17" s="1899" t="str">
        <f t="shared" si="3"/>
        <v/>
      </c>
      <c r="CG17" s="1899" t="str">
        <f t="shared" si="4"/>
        <v/>
      </c>
      <c r="CH17" s="1899" t="str">
        <f t="shared" si="5"/>
        <v/>
      </c>
      <c r="CI17" s="1899" t="str">
        <f t="shared" si="6"/>
        <v/>
      </c>
      <c r="CJ17" s="1899" t="str">
        <f t="shared" si="10"/>
        <v/>
      </c>
      <c r="CK17" s="1900"/>
      <c r="CL17" s="1899" t="str">
        <f t="shared" si="12"/>
        <v/>
      </c>
      <c r="CM17" s="1900"/>
      <c r="CU17" s="1901">
        <f t="shared" si="13"/>
        <v>0</v>
      </c>
      <c r="CV17" s="1901">
        <f t="shared" si="22"/>
        <v>0</v>
      </c>
      <c r="CW17" s="1902"/>
      <c r="CX17" s="1902"/>
      <c r="CY17" s="1901">
        <f t="shared" si="14"/>
        <v>0</v>
      </c>
      <c r="CZ17" s="1901">
        <f t="shared" si="15"/>
        <v>0</v>
      </c>
      <c r="DA17" s="1901">
        <f t="shared" si="16"/>
        <v>0</v>
      </c>
      <c r="DB17" s="1901">
        <f t="shared" si="17"/>
        <v>0</v>
      </c>
      <c r="DC17" s="1901">
        <f t="shared" si="18"/>
        <v>0</v>
      </c>
      <c r="DD17" s="1901">
        <f t="shared" si="19"/>
        <v>0</v>
      </c>
      <c r="DE17" s="1902"/>
      <c r="DF17" s="1901">
        <f t="shared" si="21"/>
        <v>0</v>
      </c>
      <c r="DG17" s="1903"/>
    </row>
    <row r="18" spans="1:111" ht="15" customHeight="1" x14ac:dyDescent="0.3">
      <c r="A18" s="5791"/>
      <c r="B18" s="519" t="s">
        <v>65</v>
      </c>
      <c r="C18" s="1904">
        <f t="shared" si="8"/>
        <v>0</v>
      </c>
      <c r="D18" s="1905"/>
      <c r="E18" s="1906"/>
      <c r="F18" s="1914"/>
      <c r="G18" s="1914"/>
      <c r="H18" s="1914"/>
      <c r="I18" s="1914"/>
      <c r="J18" s="1914"/>
      <c r="K18" s="1914"/>
      <c r="L18" s="1914"/>
      <c r="M18" s="1914"/>
      <c r="N18" s="1907"/>
      <c r="O18" s="1908"/>
      <c r="P18" s="1909"/>
      <c r="Q18" s="1909"/>
      <c r="R18" s="1909"/>
      <c r="S18" s="1909"/>
      <c r="T18" s="1910"/>
      <c r="U18" s="1906"/>
      <c r="V18" s="1912"/>
      <c r="W18" s="1913"/>
      <c r="X18" s="1909"/>
      <c r="Y18" s="1929"/>
      <c r="Z18" s="1907"/>
      <c r="AA18" s="1907"/>
      <c r="AB18" s="1907"/>
      <c r="AC18" s="1907"/>
      <c r="AD18" s="877"/>
      <c r="AE18" s="876"/>
      <c r="AF18" s="1930"/>
      <c r="AG18" s="877"/>
      <c r="AH18" s="1915"/>
      <c r="AI18" s="1898" t="str">
        <f t="shared" si="9"/>
        <v/>
      </c>
      <c r="AK18" s="166"/>
      <c r="AL18" s="166"/>
      <c r="CA18" s="1899" t="str">
        <f t="shared" si="0"/>
        <v/>
      </c>
      <c r="CB18" s="1899" t="str">
        <f t="shared" si="1"/>
        <v/>
      </c>
      <c r="CC18" s="1900"/>
      <c r="CD18" s="1900"/>
      <c r="CE18" s="1899" t="str">
        <f t="shared" si="2"/>
        <v/>
      </c>
      <c r="CF18" s="1899" t="str">
        <f t="shared" si="3"/>
        <v/>
      </c>
      <c r="CG18" s="1899" t="str">
        <f t="shared" si="4"/>
        <v/>
      </c>
      <c r="CH18" s="1899" t="str">
        <f t="shared" si="5"/>
        <v/>
      </c>
      <c r="CI18" s="1899" t="str">
        <f t="shared" si="6"/>
        <v/>
      </c>
      <c r="CJ18" s="1899" t="str">
        <f t="shared" si="10"/>
        <v/>
      </c>
      <c r="CK18" s="1900"/>
      <c r="CL18" s="1899" t="str">
        <f t="shared" si="12"/>
        <v/>
      </c>
      <c r="CM18" s="1900"/>
      <c r="CU18" s="1901">
        <f t="shared" si="13"/>
        <v>0</v>
      </c>
      <c r="CV18" s="1901">
        <f t="shared" si="22"/>
        <v>0</v>
      </c>
      <c r="CW18" s="1902"/>
      <c r="CX18" s="1902"/>
      <c r="CY18" s="1901">
        <f t="shared" si="14"/>
        <v>0</v>
      </c>
      <c r="CZ18" s="1901">
        <f t="shared" si="15"/>
        <v>0</v>
      </c>
      <c r="DA18" s="1901">
        <f t="shared" si="16"/>
        <v>0</v>
      </c>
      <c r="DB18" s="1901">
        <f t="shared" si="17"/>
        <v>0</v>
      </c>
      <c r="DC18" s="1901">
        <f t="shared" si="18"/>
        <v>0</v>
      </c>
      <c r="DD18" s="1901">
        <f t="shared" si="19"/>
        <v>0</v>
      </c>
      <c r="DE18" s="1902"/>
      <c r="DF18" s="1901">
        <f t="shared" si="21"/>
        <v>0</v>
      </c>
      <c r="DG18" s="1903"/>
    </row>
    <row r="19" spans="1:111" ht="15" customHeight="1" x14ac:dyDescent="0.3">
      <c r="A19" s="5790" t="s">
        <v>69</v>
      </c>
      <c r="B19" s="1885" t="s">
        <v>64</v>
      </c>
      <c r="C19" s="1916">
        <f t="shared" si="8"/>
        <v>0</v>
      </c>
      <c r="D19" s="334"/>
      <c r="E19" s="1917"/>
      <c r="F19" s="1039"/>
      <c r="G19" s="1039"/>
      <c r="H19" s="1039"/>
      <c r="I19" s="1039"/>
      <c r="J19" s="1039"/>
      <c r="K19" s="1039"/>
      <c r="L19" s="1039"/>
      <c r="M19" s="1039"/>
      <c r="N19" s="1039"/>
      <c r="O19" s="1889"/>
      <c r="P19" s="1919"/>
      <c r="Q19" s="1919"/>
      <c r="R19" s="1919"/>
      <c r="S19" s="1919"/>
      <c r="T19" s="1016"/>
      <c r="U19" s="1917"/>
      <c r="V19" s="1918"/>
      <c r="W19" s="337"/>
      <c r="X19" s="1039"/>
      <c r="Y19" s="1920"/>
      <c r="Z19" s="232"/>
      <c r="AA19" s="232"/>
      <c r="AB19" s="232"/>
      <c r="AC19" s="232"/>
      <c r="AD19" s="29"/>
      <c r="AE19" s="1921"/>
      <c r="AF19" s="1922"/>
      <c r="AG19" s="29"/>
      <c r="AH19" s="1897"/>
      <c r="AI19" s="1898" t="str">
        <f t="shared" si="9"/>
        <v/>
      </c>
      <c r="AK19" s="166"/>
      <c r="AL19" s="166"/>
      <c r="CA19" s="1899" t="str">
        <f t="shared" si="0"/>
        <v/>
      </c>
      <c r="CB19" s="1899" t="str">
        <f t="shared" si="1"/>
        <v/>
      </c>
      <c r="CC19" s="1899" t="str">
        <f t="shared" ref="CC19:CC26" si="23">IF(AND($C19&lt;&gt;0,X19=""),"* No olvide ingresar la columna "&amp;X$9&amp;""&amp;" (Digite CERO si no tiene).  ",IF(X19&gt;$C19,"* El Número de Control de diada con presencia del padre no puede superar el Total. ",""))</f>
        <v/>
      </c>
      <c r="CD19" s="1900"/>
      <c r="CE19" s="1899" t="str">
        <f t="shared" si="2"/>
        <v/>
      </c>
      <c r="CF19" s="1899" t="str">
        <f t="shared" si="3"/>
        <v/>
      </c>
      <c r="CG19" s="1899" t="str">
        <f t="shared" si="4"/>
        <v/>
      </c>
      <c r="CH19" s="1899" t="str">
        <f t="shared" si="5"/>
        <v/>
      </c>
      <c r="CI19" s="1899" t="str">
        <f t="shared" si="6"/>
        <v/>
      </c>
      <c r="CJ19" s="1899" t="str">
        <f t="shared" si="10"/>
        <v/>
      </c>
      <c r="CK19" s="1900"/>
      <c r="CL19" s="1899" t="str">
        <f t="shared" si="12"/>
        <v/>
      </c>
      <c r="CM19" s="1900"/>
      <c r="CU19" s="1901">
        <f t="shared" si="13"/>
        <v>0</v>
      </c>
      <c r="CV19" s="1901">
        <f t="shared" si="22"/>
        <v>0</v>
      </c>
      <c r="CW19" s="1901">
        <f>IF(AND(C19&lt;&gt;0,X19=""),1,IF(X19&gt;C19,1,0))</f>
        <v>0</v>
      </c>
      <c r="CX19" s="1902"/>
      <c r="CY19" s="1901">
        <f t="shared" si="14"/>
        <v>0</v>
      </c>
      <c r="CZ19" s="1901">
        <f t="shared" si="15"/>
        <v>0</v>
      </c>
      <c r="DA19" s="1901">
        <f t="shared" si="16"/>
        <v>0</v>
      </c>
      <c r="DB19" s="1901">
        <f t="shared" si="17"/>
        <v>0</v>
      </c>
      <c r="DC19" s="1901">
        <f t="shared" si="18"/>
        <v>0</v>
      </c>
      <c r="DD19" s="1901">
        <f t="shared" si="19"/>
        <v>0</v>
      </c>
      <c r="DE19" s="1902"/>
      <c r="DF19" s="1901">
        <f t="shared" si="21"/>
        <v>0</v>
      </c>
      <c r="DG19" s="1903"/>
    </row>
    <row r="20" spans="1:111" ht="15" customHeight="1" x14ac:dyDescent="0.3">
      <c r="A20" s="5790"/>
      <c r="B20" s="519" t="s">
        <v>65</v>
      </c>
      <c r="C20" s="1923">
        <f t="shared" si="8"/>
        <v>0</v>
      </c>
      <c r="D20" s="1924"/>
      <c r="E20" s="1925"/>
      <c r="F20" s="232"/>
      <c r="G20" s="232"/>
      <c r="H20" s="232"/>
      <c r="I20" s="232"/>
      <c r="J20" s="232"/>
      <c r="K20" s="232"/>
      <c r="L20" s="232"/>
      <c r="M20" s="232"/>
      <c r="N20" s="1907"/>
      <c r="O20" s="1926"/>
      <c r="P20" s="1909"/>
      <c r="Q20" s="1909"/>
      <c r="R20" s="1909"/>
      <c r="S20" s="1909"/>
      <c r="T20" s="1927"/>
      <c r="U20" s="1928"/>
      <c r="V20" s="1912"/>
      <c r="W20" s="1017"/>
      <c r="X20" s="1018"/>
      <c r="Y20" s="1929"/>
      <c r="Z20" s="1907"/>
      <c r="AA20" s="1907"/>
      <c r="AB20" s="1907"/>
      <c r="AC20" s="1907"/>
      <c r="AD20" s="877"/>
      <c r="AE20" s="876"/>
      <c r="AF20" s="1930"/>
      <c r="AG20" s="877"/>
      <c r="AH20" s="1915"/>
      <c r="AI20" s="1898" t="str">
        <f t="shared" si="9"/>
        <v/>
      </c>
      <c r="CA20" s="1899" t="str">
        <f t="shared" si="0"/>
        <v/>
      </c>
      <c r="CB20" s="1899" t="str">
        <f t="shared" si="1"/>
        <v/>
      </c>
      <c r="CC20" s="1899" t="str">
        <f t="shared" si="23"/>
        <v/>
      </c>
      <c r="CD20" s="1900"/>
      <c r="CE20" s="1899" t="str">
        <f t="shared" si="2"/>
        <v/>
      </c>
      <c r="CF20" s="1899" t="str">
        <f t="shared" si="3"/>
        <v/>
      </c>
      <c r="CG20" s="1899" t="str">
        <f t="shared" si="4"/>
        <v/>
      </c>
      <c r="CH20" s="1899" t="str">
        <f t="shared" si="5"/>
        <v/>
      </c>
      <c r="CI20" s="1899" t="str">
        <f t="shared" si="6"/>
        <v/>
      </c>
      <c r="CJ20" s="1899" t="str">
        <f t="shared" si="10"/>
        <v/>
      </c>
      <c r="CK20" s="1900"/>
      <c r="CL20" s="1899" t="str">
        <f t="shared" si="12"/>
        <v/>
      </c>
      <c r="CM20" s="1900"/>
      <c r="CU20" s="1901">
        <f t="shared" si="13"/>
        <v>0</v>
      </c>
      <c r="CV20" s="1901">
        <f t="shared" si="22"/>
        <v>0</v>
      </c>
      <c r="CW20" s="1901">
        <f t="shared" ref="CW20:CW26" si="24">IF(AND(C20&lt;&gt;0,X20=""),1,IF(X20&gt;C20,1,0))</f>
        <v>0</v>
      </c>
      <c r="CX20" s="1902"/>
      <c r="CY20" s="1901">
        <f t="shared" si="14"/>
        <v>0</v>
      </c>
      <c r="CZ20" s="1901">
        <f t="shared" si="15"/>
        <v>0</v>
      </c>
      <c r="DA20" s="1901">
        <f t="shared" si="16"/>
        <v>0</v>
      </c>
      <c r="DB20" s="1901">
        <f t="shared" si="17"/>
        <v>0</v>
      </c>
      <c r="DC20" s="1901">
        <f t="shared" si="18"/>
        <v>0</v>
      </c>
      <c r="DD20" s="1901">
        <f t="shared" si="19"/>
        <v>0</v>
      </c>
      <c r="DE20" s="1902"/>
      <c r="DF20" s="1901">
        <f t="shared" si="21"/>
        <v>0</v>
      </c>
      <c r="DG20" s="1903"/>
    </row>
    <row r="21" spans="1:111" ht="15" customHeight="1" x14ac:dyDescent="0.3">
      <c r="A21" s="5789" t="s">
        <v>70</v>
      </c>
      <c r="B21" s="1885" t="s">
        <v>64</v>
      </c>
      <c r="C21" s="1886">
        <f t="shared" si="8"/>
        <v>0</v>
      </c>
      <c r="D21" s="1887"/>
      <c r="E21" s="1888"/>
      <c r="F21" s="1896"/>
      <c r="G21" s="1896"/>
      <c r="H21" s="1896"/>
      <c r="I21" s="1896"/>
      <c r="J21" s="1896"/>
      <c r="K21" s="1896"/>
      <c r="L21" s="1896"/>
      <c r="M21" s="1896"/>
      <c r="N21" s="1896"/>
      <c r="O21" s="1890"/>
      <c r="P21" s="1891"/>
      <c r="Q21" s="1891"/>
      <c r="R21" s="1891"/>
      <c r="S21" s="1891"/>
      <c r="T21" s="1931"/>
      <c r="U21" s="1888"/>
      <c r="V21" s="1918"/>
      <c r="W21" s="1934"/>
      <c r="X21" s="1935"/>
      <c r="Y21" s="1920"/>
      <c r="Z21" s="232"/>
      <c r="AA21" s="232"/>
      <c r="AB21" s="232"/>
      <c r="AC21" s="232"/>
      <c r="AD21" s="29"/>
      <c r="AE21" s="1921"/>
      <c r="AF21" s="1922"/>
      <c r="AG21" s="29"/>
      <c r="AH21" s="1897"/>
      <c r="AI21" s="1898" t="str">
        <f t="shared" si="9"/>
        <v/>
      </c>
      <c r="CA21" s="1899" t="str">
        <f t="shared" si="0"/>
        <v/>
      </c>
      <c r="CB21" s="1899" t="str">
        <f t="shared" si="1"/>
        <v/>
      </c>
      <c r="CC21" s="1899" t="str">
        <f t="shared" si="23"/>
        <v/>
      </c>
      <c r="CD21" s="1900"/>
      <c r="CE21" s="1899" t="str">
        <f t="shared" si="2"/>
        <v/>
      </c>
      <c r="CF21" s="1899" t="str">
        <f t="shared" si="3"/>
        <v/>
      </c>
      <c r="CG21" s="1899" t="str">
        <f t="shared" si="4"/>
        <v/>
      </c>
      <c r="CH21" s="1899" t="str">
        <f t="shared" si="5"/>
        <v/>
      </c>
      <c r="CI21" s="1899" t="str">
        <f t="shared" si="6"/>
        <v/>
      </c>
      <c r="CJ21" s="1899" t="str">
        <f t="shared" si="10"/>
        <v/>
      </c>
      <c r="CK21" s="1900"/>
      <c r="CL21" s="1899" t="str">
        <f t="shared" si="12"/>
        <v/>
      </c>
      <c r="CM21" s="1900"/>
      <c r="CU21" s="1901">
        <f t="shared" si="13"/>
        <v>0</v>
      </c>
      <c r="CV21" s="1901">
        <f>IF(AND(C21&gt;0,W21=""),1,IF(W21&gt;SUM(C21),1,0))</f>
        <v>0</v>
      </c>
      <c r="CW21" s="1901">
        <f t="shared" si="24"/>
        <v>0</v>
      </c>
      <c r="CX21" s="1902"/>
      <c r="CY21" s="1901">
        <f t="shared" si="14"/>
        <v>0</v>
      </c>
      <c r="CZ21" s="1901">
        <f t="shared" si="15"/>
        <v>0</v>
      </c>
      <c r="DA21" s="1901">
        <f t="shared" si="16"/>
        <v>0</v>
      </c>
      <c r="DB21" s="1901">
        <f t="shared" si="17"/>
        <v>0</v>
      </c>
      <c r="DC21" s="1901">
        <f t="shared" si="18"/>
        <v>0</v>
      </c>
      <c r="DD21" s="1901">
        <f t="shared" si="19"/>
        <v>0</v>
      </c>
      <c r="DE21" s="1902"/>
      <c r="DF21" s="1901">
        <f t="shared" si="21"/>
        <v>0</v>
      </c>
      <c r="DG21" s="1903"/>
    </row>
    <row r="22" spans="1:111" ht="15" customHeight="1" x14ac:dyDescent="0.3">
      <c r="A22" s="5791"/>
      <c r="B22" s="519" t="s">
        <v>65</v>
      </c>
      <c r="C22" s="1904">
        <f>SUM(F22:N22)</f>
        <v>0</v>
      </c>
      <c r="D22" s="1905"/>
      <c r="E22" s="1906"/>
      <c r="F22" s="1914"/>
      <c r="G22" s="1914"/>
      <c r="H22" s="1914"/>
      <c r="I22" s="1914"/>
      <c r="J22" s="1914"/>
      <c r="K22" s="1914"/>
      <c r="L22" s="1914"/>
      <c r="M22" s="1914"/>
      <c r="N22" s="1914"/>
      <c r="O22" s="1926"/>
      <c r="P22" s="1909"/>
      <c r="Q22" s="1909"/>
      <c r="R22" s="1909"/>
      <c r="S22" s="1909"/>
      <c r="T22" s="1910"/>
      <c r="U22" s="1933"/>
      <c r="V22" s="1912"/>
      <c r="W22" s="1913"/>
      <c r="X22" s="1907"/>
      <c r="Y22" s="1929"/>
      <c r="Z22" s="1907"/>
      <c r="AA22" s="1907"/>
      <c r="AB22" s="1907"/>
      <c r="AC22" s="1907"/>
      <c r="AD22" s="877"/>
      <c r="AE22" s="876"/>
      <c r="AF22" s="1930"/>
      <c r="AG22" s="877"/>
      <c r="AH22" s="1915"/>
      <c r="AI22" s="1898" t="str">
        <f t="shared" si="9"/>
        <v/>
      </c>
      <c r="CA22" s="1899" t="str">
        <f t="shared" si="0"/>
        <v/>
      </c>
      <c r="CB22" s="1899" t="str">
        <f t="shared" si="1"/>
        <v/>
      </c>
      <c r="CC22" s="1899" t="str">
        <f t="shared" si="23"/>
        <v/>
      </c>
      <c r="CD22" s="1900"/>
      <c r="CE22" s="1899" t="str">
        <f t="shared" si="2"/>
        <v/>
      </c>
      <c r="CF22" s="1899" t="str">
        <f t="shared" si="3"/>
        <v/>
      </c>
      <c r="CG22" s="1899" t="str">
        <f t="shared" si="4"/>
        <v/>
      </c>
      <c r="CH22" s="1899" t="str">
        <f t="shared" si="5"/>
        <v/>
      </c>
      <c r="CI22" s="1899" t="str">
        <f t="shared" si="6"/>
        <v/>
      </c>
      <c r="CJ22" s="1899" t="str">
        <f t="shared" si="10"/>
        <v/>
      </c>
      <c r="CK22" s="1900"/>
      <c r="CL22" s="1899" t="str">
        <f>IF(AND($C22&lt;&gt;0,AG22=""),"* No olvide ingresar la variable "&amp;AG$10&amp;""&amp;". Digite CERO si no tiene.  ",IF(AG22&gt;$C22,"* La variable No binarie no debe ser mayor al Total. ",""))</f>
        <v/>
      </c>
      <c r="CM22" s="1900"/>
      <c r="CU22" s="1901">
        <f t="shared" si="13"/>
        <v>0</v>
      </c>
      <c r="CV22" s="1901">
        <f t="shared" si="22"/>
        <v>0</v>
      </c>
      <c r="CW22" s="1901">
        <f t="shared" si="24"/>
        <v>0</v>
      </c>
      <c r="CX22" s="1902"/>
      <c r="CY22" s="1901">
        <f t="shared" si="14"/>
        <v>0</v>
      </c>
      <c r="CZ22" s="1901">
        <f t="shared" si="15"/>
        <v>0</v>
      </c>
      <c r="DA22" s="1901">
        <f t="shared" si="16"/>
        <v>0</v>
      </c>
      <c r="DB22" s="1901">
        <f t="shared" si="17"/>
        <v>0</v>
      </c>
      <c r="DC22" s="1901">
        <f t="shared" si="18"/>
        <v>0</v>
      </c>
      <c r="DD22" s="1901">
        <f t="shared" si="19"/>
        <v>0</v>
      </c>
      <c r="DE22" s="1902"/>
      <c r="DF22" s="1901">
        <f t="shared" si="21"/>
        <v>0</v>
      </c>
      <c r="DG22" s="1903"/>
    </row>
    <row r="23" spans="1:111" ht="15" customHeight="1" x14ac:dyDescent="0.3">
      <c r="A23" s="5790" t="s">
        <v>71</v>
      </c>
      <c r="B23" s="1885" t="s">
        <v>64</v>
      </c>
      <c r="C23" s="1916">
        <f>SUM(D23)</f>
        <v>0</v>
      </c>
      <c r="D23" s="1936"/>
      <c r="E23" s="1888"/>
      <c r="F23" s="1891"/>
      <c r="G23" s="1891"/>
      <c r="H23" s="1891"/>
      <c r="I23" s="1891"/>
      <c r="J23" s="1891"/>
      <c r="K23" s="1891"/>
      <c r="L23" s="1891"/>
      <c r="M23" s="1891"/>
      <c r="N23" s="1891"/>
      <c r="O23" s="1891"/>
      <c r="P23" s="1891"/>
      <c r="Q23" s="1891"/>
      <c r="R23" s="1891"/>
      <c r="S23" s="1891"/>
      <c r="T23" s="1931"/>
      <c r="U23" s="1893"/>
      <c r="V23" s="1918"/>
      <c r="W23" s="1937"/>
      <c r="X23" s="232"/>
      <c r="Y23" s="1920"/>
      <c r="Z23" s="232"/>
      <c r="AA23" s="232"/>
      <c r="AB23" s="232"/>
      <c r="AC23" s="232"/>
      <c r="AD23" s="29"/>
      <c r="AE23" s="1938"/>
      <c r="AF23" s="1922"/>
      <c r="AG23" s="1939"/>
      <c r="AH23" s="1897"/>
      <c r="AI23" s="1898" t="str">
        <f t="shared" si="9"/>
        <v/>
      </c>
      <c r="CA23" s="1899" t="str">
        <f t="shared" si="0"/>
        <v/>
      </c>
      <c r="CB23" s="1900"/>
      <c r="CC23" s="1899" t="str">
        <f t="shared" si="23"/>
        <v/>
      </c>
      <c r="CD23" s="1900"/>
      <c r="CE23" s="1899" t="str">
        <f t="shared" si="2"/>
        <v/>
      </c>
      <c r="CF23" s="1899" t="str">
        <f t="shared" si="3"/>
        <v/>
      </c>
      <c r="CG23" s="1899" t="str">
        <f t="shared" si="4"/>
        <v/>
      </c>
      <c r="CH23" s="1899" t="str">
        <f t="shared" si="5"/>
        <v/>
      </c>
      <c r="CI23" s="1899" t="str">
        <f t="shared" si="6"/>
        <v/>
      </c>
      <c r="CJ23" s="1900"/>
      <c r="CK23" s="1900"/>
      <c r="CL23" s="1900"/>
      <c r="CM23" s="1900"/>
      <c r="CU23" s="1901">
        <f t="shared" si="13"/>
        <v>0</v>
      </c>
      <c r="CV23" s="1902"/>
      <c r="CW23" s="1901">
        <f t="shared" si="24"/>
        <v>0</v>
      </c>
      <c r="CX23" s="1902"/>
      <c r="CY23" s="1901">
        <f t="shared" ref="CY23:CY28" si="25">IF(AND($C23&lt;&gt;0,Z23=""),1,IF(Z23&gt;C23,1,0))</f>
        <v>0</v>
      </c>
      <c r="CZ23" s="1901">
        <f t="shared" ref="CZ23:CZ28" si="26">IF(AND($C23&lt;&gt;0,AA23=""),1,IF(AA23&gt;C23,1,0))</f>
        <v>0</v>
      </c>
      <c r="DA23" s="1901">
        <f t="shared" si="16"/>
        <v>0</v>
      </c>
      <c r="DB23" s="1901">
        <f t="shared" si="17"/>
        <v>0</v>
      </c>
      <c r="DC23" s="1901">
        <f t="shared" si="18"/>
        <v>0</v>
      </c>
      <c r="DD23" s="1902"/>
      <c r="DE23" s="1902"/>
      <c r="DF23" s="1902"/>
      <c r="DG23" s="1903"/>
    </row>
    <row r="24" spans="1:111" ht="15" customHeight="1" x14ac:dyDescent="0.3">
      <c r="A24" s="5790"/>
      <c r="B24" s="519" t="s">
        <v>65</v>
      </c>
      <c r="C24" s="1916">
        <f>SUM(D24)</f>
        <v>0</v>
      </c>
      <c r="D24" s="1940"/>
      <c r="E24" s="1906"/>
      <c r="F24" s="1909"/>
      <c r="G24" s="1909"/>
      <c r="H24" s="1909"/>
      <c r="I24" s="1909"/>
      <c r="J24" s="1909"/>
      <c r="K24" s="1909"/>
      <c r="L24" s="1909"/>
      <c r="M24" s="1909"/>
      <c r="N24" s="1909"/>
      <c r="O24" s="1909"/>
      <c r="P24" s="1909"/>
      <c r="Q24" s="1909"/>
      <c r="R24" s="1909"/>
      <c r="S24" s="1909"/>
      <c r="T24" s="1910"/>
      <c r="U24" s="1911"/>
      <c r="V24" s="1912"/>
      <c r="W24" s="1941"/>
      <c r="X24" s="1907"/>
      <c r="Y24" s="1929"/>
      <c r="Z24" s="1907"/>
      <c r="AA24" s="1907"/>
      <c r="AB24" s="1907"/>
      <c r="AC24" s="1907"/>
      <c r="AD24" s="877"/>
      <c r="AE24" s="1942"/>
      <c r="AF24" s="1929"/>
      <c r="AG24" s="1943"/>
      <c r="AH24" s="1915"/>
      <c r="AI24" s="1898" t="str">
        <f t="shared" si="9"/>
        <v/>
      </c>
      <c r="CA24" s="1899" t="str">
        <f t="shared" si="0"/>
        <v/>
      </c>
      <c r="CB24" s="1900"/>
      <c r="CC24" s="1899" t="str">
        <f t="shared" si="23"/>
        <v/>
      </c>
      <c r="CD24" s="1900"/>
      <c r="CE24" s="1899" t="str">
        <f t="shared" si="2"/>
        <v/>
      </c>
      <c r="CF24" s="1899" t="str">
        <f t="shared" si="3"/>
        <v/>
      </c>
      <c r="CG24" s="1899" t="str">
        <f t="shared" si="4"/>
        <v/>
      </c>
      <c r="CH24" s="1899" t="str">
        <f t="shared" si="5"/>
        <v/>
      </c>
      <c r="CI24" s="1899" t="str">
        <f t="shared" si="6"/>
        <v/>
      </c>
      <c r="CJ24" s="1900"/>
      <c r="CK24" s="1900"/>
      <c r="CL24" s="1900"/>
      <c r="CM24" s="1900"/>
      <c r="CU24" s="1901">
        <f t="shared" si="13"/>
        <v>0</v>
      </c>
      <c r="CV24" s="1902"/>
      <c r="CW24" s="1901">
        <f t="shared" si="24"/>
        <v>0</v>
      </c>
      <c r="CX24" s="1902"/>
      <c r="CY24" s="1901">
        <f t="shared" si="25"/>
        <v>0</v>
      </c>
      <c r="CZ24" s="1901">
        <f t="shared" si="26"/>
        <v>0</v>
      </c>
      <c r="DA24" s="1901">
        <f t="shared" si="16"/>
        <v>0</v>
      </c>
      <c r="DB24" s="1901">
        <f t="shared" si="17"/>
        <v>0</v>
      </c>
      <c r="DC24" s="1901">
        <f t="shared" si="18"/>
        <v>0</v>
      </c>
      <c r="DD24" s="1902"/>
      <c r="DE24" s="1902"/>
      <c r="DF24" s="1902"/>
      <c r="DG24" s="1903"/>
    </row>
    <row r="25" spans="1:111" ht="15" customHeight="1" x14ac:dyDescent="0.3">
      <c r="A25" s="5789" t="s">
        <v>72</v>
      </c>
      <c r="B25" s="1885" t="s">
        <v>64</v>
      </c>
      <c r="C25" s="1886">
        <f>SUM(D25)</f>
        <v>0</v>
      </c>
      <c r="D25" s="327"/>
      <c r="E25" s="1917"/>
      <c r="F25" s="1919"/>
      <c r="G25" s="1919"/>
      <c r="H25" s="1919"/>
      <c r="I25" s="1919"/>
      <c r="J25" s="1919"/>
      <c r="K25" s="1919"/>
      <c r="L25" s="1919"/>
      <c r="M25" s="1919"/>
      <c r="N25" s="1919"/>
      <c r="O25" s="1919"/>
      <c r="P25" s="1891"/>
      <c r="Q25" s="1891"/>
      <c r="R25" s="1891"/>
      <c r="S25" s="1891"/>
      <c r="T25" s="1931"/>
      <c r="U25" s="1893"/>
      <c r="V25" s="1918"/>
      <c r="W25" s="1937"/>
      <c r="X25" s="232"/>
      <c r="Y25" s="1920"/>
      <c r="Z25" s="232"/>
      <c r="AA25" s="232"/>
      <c r="AB25" s="232"/>
      <c r="AC25" s="232"/>
      <c r="AD25" s="29"/>
      <c r="AE25" s="1938"/>
      <c r="AF25" s="1920"/>
      <c r="AG25" s="1939"/>
      <c r="AH25" s="1897"/>
      <c r="AI25" s="1898" t="str">
        <f t="shared" si="9"/>
        <v/>
      </c>
      <c r="CA25" s="1899" t="str">
        <f t="shared" si="0"/>
        <v/>
      </c>
      <c r="CB25" s="1900"/>
      <c r="CC25" s="1899" t="str">
        <f t="shared" si="23"/>
        <v/>
      </c>
      <c r="CD25" s="1900"/>
      <c r="CE25" s="1899" t="str">
        <f t="shared" si="2"/>
        <v/>
      </c>
      <c r="CF25" s="1899" t="str">
        <f t="shared" si="3"/>
        <v/>
      </c>
      <c r="CG25" s="1899" t="str">
        <f t="shared" si="4"/>
        <v/>
      </c>
      <c r="CH25" s="1899" t="str">
        <f t="shared" si="5"/>
        <v/>
      </c>
      <c r="CI25" s="1899" t="str">
        <f t="shared" si="6"/>
        <v/>
      </c>
      <c r="CJ25" s="1900"/>
      <c r="CK25" s="1900"/>
      <c r="CL25" s="1900"/>
      <c r="CM25" s="1900"/>
      <c r="CU25" s="1901">
        <f t="shared" si="13"/>
        <v>0</v>
      </c>
      <c r="CV25" s="1902"/>
      <c r="CW25" s="1901">
        <f t="shared" si="24"/>
        <v>0</v>
      </c>
      <c r="CX25" s="1902"/>
      <c r="CY25" s="1901">
        <f t="shared" si="25"/>
        <v>0</v>
      </c>
      <c r="CZ25" s="1901">
        <f t="shared" si="26"/>
        <v>0</v>
      </c>
      <c r="DA25" s="1901">
        <f t="shared" si="16"/>
        <v>0</v>
      </c>
      <c r="DB25" s="1901">
        <f t="shared" si="17"/>
        <v>0</v>
      </c>
      <c r="DC25" s="1901">
        <f t="shared" si="18"/>
        <v>0</v>
      </c>
      <c r="DD25" s="1902"/>
      <c r="DE25" s="1902"/>
      <c r="DF25" s="1902"/>
      <c r="DG25" s="1903"/>
    </row>
    <row r="26" spans="1:111" ht="15" customHeight="1" x14ac:dyDescent="0.3">
      <c r="A26" s="5791"/>
      <c r="B26" s="519" t="s">
        <v>65</v>
      </c>
      <c r="C26" s="1904">
        <f>SUM(D26)</f>
        <v>0</v>
      </c>
      <c r="D26" s="1921"/>
      <c r="E26" s="1906"/>
      <c r="F26" s="1909"/>
      <c r="G26" s="1909"/>
      <c r="H26" s="1909"/>
      <c r="I26" s="1909"/>
      <c r="J26" s="1909"/>
      <c r="K26" s="1909"/>
      <c r="L26" s="1909"/>
      <c r="M26" s="1909"/>
      <c r="N26" s="1909"/>
      <c r="O26" s="1909"/>
      <c r="P26" s="1909"/>
      <c r="Q26" s="1909"/>
      <c r="R26" s="1909"/>
      <c r="S26" s="1909"/>
      <c r="T26" s="1910"/>
      <c r="U26" s="1911"/>
      <c r="V26" s="1912"/>
      <c r="W26" s="1941"/>
      <c r="X26" s="1907"/>
      <c r="Y26" s="1929"/>
      <c r="Z26" s="1907"/>
      <c r="AA26" s="1907"/>
      <c r="AB26" s="1907"/>
      <c r="AC26" s="1907"/>
      <c r="AD26" s="877"/>
      <c r="AE26" s="1942"/>
      <c r="AF26" s="1929"/>
      <c r="AG26" s="1943"/>
      <c r="AH26" s="1915"/>
      <c r="AI26" s="1898" t="str">
        <f t="shared" si="9"/>
        <v/>
      </c>
      <c r="CA26" s="1899" t="str">
        <f t="shared" si="0"/>
        <v/>
      </c>
      <c r="CB26" s="1900"/>
      <c r="CC26" s="1899" t="str">
        <f t="shared" si="23"/>
        <v/>
      </c>
      <c r="CD26" s="1900"/>
      <c r="CE26" s="1899" t="str">
        <f t="shared" si="2"/>
        <v/>
      </c>
      <c r="CF26" s="1899" t="str">
        <f t="shared" si="3"/>
        <v/>
      </c>
      <c r="CG26" s="1899" t="str">
        <f t="shared" si="4"/>
        <v/>
      </c>
      <c r="CH26" s="1899" t="str">
        <f t="shared" si="5"/>
        <v/>
      </c>
      <c r="CI26" s="1899" t="str">
        <f t="shared" si="6"/>
        <v/>
      </c>
      <c r="CJ26" s="1900"/>
      <c r="CK26" s="1900"/>
      <c r="CL26" s="1900"/>
      <c r="CM26" s="1900"/>
      <c r="CU26" s="1901">
        <f t="shared" si="13"/>
        <v>0</v>
      </c>
      <c r="CV26" s="1902"/>
      <c r="CW26" s="1901">
        <f t="shared" si="24"/>
        <v>0</v>
      </c>
      <c r="CX26" s="1902"/>
      <c r="CY26" s="1901">
        <f t="shared" si="25"/>
        <v>0</v>
      </c>
      <c r="CZ26" s="1901">
        <f t="shared" si="26"/>
        <v>0</v>
      </c>
      <c r="DA26" s="1901">
        <f t="shared" si="16"/>
        <v>0</v>
      </c>
      <c r="DB26" s="1901">
        <f t="shared" si="17"/>
        <v>0</v>
      </c>
      <c r="DC26" s="1901">
        <f t="shared" si="18"/>
        <v>0</v>
      </c>
      <c r="DD26" s="1902"/>
      <c r="DE26" s="1902"/>
      <c r="DF26" s="1902"/>
      <c r="DG26" s="1903"/>
    </row>
    <row r="27" spans="1:111" ht="15" customHeight="1" x14ac:dyDescent="0.3">
      <c r="A27" s="5820" t="s">
        <v>73</v>
      </c>
      <c r="B27" s="1885" t="s">
        <v>64</v>
      </c>
      <c r="C27" s="1885">
        <f>SUM(F27:T27)</f>
        <v>0</v>
      </c>
      <c r="D27" s="1887"/>
      <c r="E27" s="1888"/>
      <c r="F27" s="1896"/>
      <c r="G27" s="1896"/>
      <c r="H27" s="1896"/>
      <c r="I27" s="1896"/>
      <c r="J27" s="1896"/>
      <c r="K27" s="1896"/>
      <c r="L27" s="1896"/>
      <c r="M27" s="1896"/>
      <c r="N27" s="1896"/>
      <c r="O27" s="1896"/>
      <c r="P27" s="1896"/>
      <c r="Q27" s="1896"/>
      <c r="R27" s="1896"/>
      <c r="S27" s="1896"/>
      <c r="T27" s="1944"/>
      <c r="U27" s="1917"/>
      <c r="V27" s="1918"/>
      <c r="W27" s="1937"/>
      <c r="X27" s="1919"/>
      <c r="Y27" s="232"/>
      <c r="Z27" s="232"/>
      <c r="AA27" s="232"/>
      <c r="AB27" s="232"/>
      <c r="AC27" s="232"/>
      <c r="AD27" s="29"/>
      <c r="AE27" s="1921"/>
      <c r="AF27" s="1922"/>
      <c r="AG27" s="29"/>
      <c r="AH27" s="1897"/>
      <c r="AI27" s="1898" t="str">
        <f t="shared" si="9"/>
        <v/>
      </c>
      <c r="CA27" s="1899" t="str">
        <f t="shared" si="0"/>
        <v/>
      </c>
      <c r="CB27" s="1900"/>
      <c r="CC27" s="1900"/>
      <c r="CD27" s="1899" t="str">
        <f t="shared" ref="CD27:CD28" si="27">IF(AND($C27&lt;&gt;0,Y27=""),"* No olvide ingresar la variable "&amp;Y$9&amp;""&amp;". Digite CERO si no tiene.  ",IF(Y27&gt;$C27,"* La variable Espacios Amigables/ Adolescentes no debe ser mayor al Total. ",""))</f>
        <v/>
      </c>
      <c r="CE27" s="1899" t="str">
        <f t="shared" si="2"/>
        <v/>
      </c>
      <c r="CF27" s="1899" t="str">
        <f t="shared" si="3"/>
        <v/>
      </c>
      <c r="CG27" s="1899" t="str">
        <f t="shared" si="4"/>
        <v/>
      </c>
      <c r="CH27" s="1899" t="str">
        <f t="shared" si="5"/>
        <v/>
      </c>
      <c r="CI27" s="1899" t="str">
        <f t="shared" si="6"/>
        <v/>
      </c>
      <c r="CJ27" s="1899" t="str">
        <f>IF(AND($V27&lt;&gt;0,AE27=""),"* No olvide ingresar la variable "&amp;AE$10&amp;""&amp;". Digite CERO si no tiene.  ",IF(AE27&gt;$V27,"* La variable Trans masculino no debe ser mayor al Total Mujeres. ",""))</f>
        <v/>
      </c>
      <c r="CK27" s="1900"/>
      <c r="CL27" s="1899" t="str">
        <f>IF(AND($C27&lt;&gt;0,AG27=""),"* No olvide ingresar la variable "&amp;AG$10&amp;""&amp;". Digite CERO si no tiene.  ",IF(AG27&gt;$C27,"* La variable No binarie no debe ser mayor al Total. ",""))</f>
        <v/>
      </c>
      <c r="CM27" s="1900"/>
      <c r="CU27" s="1901">
        <f t="shared" si="13"/>
        <v>0</v>
      </c>
      <c r="CV27" s="1902"/>
      <c r="CW27" s="1902"/>
      <c r="CX27" s="1901">
        <f t="shared" ref="CX27:CX28" si="28">IF(AND($C27&lt;&gt;0,Y27=""),1,IF(Y27&gt;$C27,1,0))</f>
        <v>0</v>
      </c>
      <c r="CY27" s="1901">
        <f t="shared" si="25"/>
        <v>0</v>
      </c>
      <c r="CZ27" s="1901">
        <f t="shared" si="26"/>
        <v>0</v>
      </c>
      <c r="DA27" s="1901">
        <f t="shared" si="16"/>
        <v>0</v>
      </c>
      <c r="DB27" s="1901">
        <f t="shared" si="17"/>
        <v>0</v>
      </c>
      <c r="DC27" s="1901">
        <f t="shared" si="18"/>
        <v>0</v>
      </c>
      <c r="DD27" s="1901">
        <f>IF(AND($V27&lt;&gt;0,AE27=""),1,IF(AE27&gt;$V27,1,0))</f>
        <v>0</v>
      </c>
      <c r="DE27" s="1902"/>
      <c r="DF27" s="1901">
        <f>IF(AND($C27&lt;&gt;0,AG27=""),1,IF(AG27&gt;$C27,1,0))</f>
        <v>0</v>
      </c>
      <c r="DG27" s="1903"/>
    </row>
    <row r="28" spans="1:111" ht="15" customHeight="1" x14ac:dyDescent="0.3">
      <c r="A28" s="5820"/>
      <c r="B28" s="519" t="s">
        <v>65</v>
      </c>
      <c r="C28" s="193">
        <f>SUM(F28:T28)</f>
        <v>0</v>
      </c>
      <c r="D28" s="1905"/>
      <c r="E28" s="1906"/>
      <c r="F28" s="232"/>
      <c r="G28" s="232"/>
      <c r="H28" s="232"/>
      <c r="I28" s="232"/>
      <c r="J28" s="232"/>
      <c r="K28" s="232"/>
      <c r="L28" s="232"/>
      <c r="M28" s="232"/>
      <c r="N28" s="1907"/>
      <c r="O28" s="1914"/>
      <c r="P28" s="1914"/>
      <c r="Q28" s="232"/>
      <c r="R28" s="232"/>
      <c r="S28" s="232"/>
      <c r="T28" s="1945"/>
      <c r="U28" s="1928"/>
      <c r="V28" s="1912"/>
      <c r="W28" s="1941"/>
      <c r="X28" s="1909"/>
      <c r="Y28" s="1907"/>
      <c r="Z28" s="1907"/>
      <c r="AA28" s="1907"/>
      <c r="AB28" s="1907"/>
      <c r="AC28" s="1907"/>
      <c r="AD28" s="877"/>
      <c r="AE28" s="876"/>
      <c r="AF28" s="1930"/>
      <c r="AG28" s="877"/>
      <c r="AH28" s="1915"/>
      <c r="AI28" s="1898" t="str">
        <f t="shared" si="9"/>
        <v/>
      </c>
      <c r="CA28" s="1899" t="str">
        <f t="shared" si="0"/>
        <v/>
      </c>
      <c r="CB28" s="1900"/>
      <c r="CC28" s="1900"/>
      <c r="CD28" s="1899" t="str">
        <f t="shared" si="27"/>
        <v/>
      </c>
      <c r="CE28" s="1899" t="str">
        <f t="shared" si="2"/>
        <v/>
      </c>
      <c r="CF28" s="1899" t="str">
        <f t="shared" si="3"/>
        <v/>
      </c>
      <c r="CG28" s="1899" t="str">
        <f t="shared" si="4"/>
        <v/>
      </c>
      <c r="CH28" s="1899" t="str">
        <f t="shared" si="5"/>
        <v/>
      </c>
      <c r="CI28" s="1899" t="str">
        <f t="shared" si="6"/>
        <v/>
      </c>
      <c r="CJ28" s="1899" t="str">
        <f>IF(AND($V28&lt;&gt;0,AE28=""),"* No olvide ingresar la variable "&amp;AE$10&amp;""&amp;". Digite CERO si no tiene.  ",IF(AE28&gt;$V28,"* La variable Trans masculino no debe ser mayor al Total Mujeres. ",""))</f>
        <v/>
      </c>
      <c r="CK28" s="1900"/>
      <c r="CL28" s="1899" t="str">
        <f>IF(AND($C28&lt;&gt;0,AG28=""),"* No olvide ingresar la variable "&amp;AG$10&amp;""&amp;". Digite CERO si no tiene.  ",IF(AG28&gt;$C28,"* La variable No binarie no debe ser mayor al Total. ",""))</f>
        <v/>
      </c>
      <c r="CM28" s="1900"/>
      <c r="CU28" s="1901">
        <f t="shared" si="13"/>
        <v>0</v>
      </c>
      <c r="CV28" s="1902"/>
      <c r="CW28" s="1902"/>
      <c r="CX28" s="1901">
        <f t="shared" si="28"/>
        <v>0</v>
      </c>
      <c r="CY28" s="1901">
        <f t="shared" si="25"/>
        <v>0</v>
      </c>
      <c r="CZ28" s="1901">
        <f t="shared" si="26"/>
        <v>0</v>
      </c>
      <c r="DA28" s="1901">
        <f t="shared" si="16"/>
        <v>0</v>
      </c>
      <c r="DB28" s="1901">
        <f t="shared" si="17"/>
        <v>0</v>
      </c>
      <c r="DC28" s="1901">
        <f t="shared" si="18"/>
        <v>0</v>
      </c>
      <c r="DD28" s="1901">
        <f t="shared" si="19"/>
        <v>0</v>
      </c>
      <c r="DE28" s="1902"/>
      <c r="DF28" s="1901">
        <f>IF(AND($C28&lt;&gt;0,AG28=""),1,IF(AG28&gt;$C28,1,0))</f>
        <v>0</v>
      </c>
      <c r="DG28" s="1903"/>
    </row>
    <row r="29" spans="1:111" ht="15" customHeight="1" x14ac:dyDescent="0.3">
      <c r="A29" s="5789" t="s">
        <v>74</v>
      </c>
      <c r="B29" s="1885" t="s">
        <v>64</v>
      </c>
      <c r="C29" s="1946">
        <f>SUM(L29:P29)</f>
        <v>0</v>
      </c>
      <c r="D29" s="1947"/>
      <c r="E29" s="1948"/>
      <c r="F29" s="1891"/>
      <c r="G29" s="1891"/>
      <c r="H29" s="1891"/>
      <c r="I29" s="1891"/>
      <c r="J29" s="1891"/>
      <c r="K29" s="1891"/>
      <c r="L29" s="1896"/>
      <c r="M29" s="1896"/>
      <c r="N29" s="1896"/>
      <c r="O29" s="1896"/>
      <c r="P29" s="1896"/>
      <c r="Q29" s="1891"/>
      <c r="R29" s="1891"/>
      <c r="S29" s="1891"/>
      <c r="T29" s="1931"/>
      <c r="U29" s="1888"/>
      <c r="V29" s="1918"/>
      <c r="W29" s="1937"/>
      <c r="X29" s="1919"/>
      <c r="Y29" s="1920"/>
      <c r="Z29" s="1920"/>
      <c r="AA29" s="1920"/>
      <c r="AB29" s="232"/>
      <c r="AC29" s="232"/>
      <c r="AD29" s="29"/>
      <c r="AE29" s="1921"/>
      <c r="AF29" s="1922"/>
      <c r="AG29" s="29"/>
      <c r="AH29" s="1897"/>
      <c r="AI29" s="1898" t="str">
        <f t="shared" si="9"/>
        <v/>
      </c>
      <c r="CA29" s="1899" t="str">
        <f t="shared" si="0"/>
        <v/>
      </c>
      <c r="CB29" s="1900"/>
      <c r="CC29" s="1900"/>
      <c r="CD29" s="1900"/>
      <c r="CE29" s="1900"/>
      <c r="CF29" s="1900"/>
      <c r="CG29" s="1899" t="str">
        <f t="shared" si="4"/>
        <v/>
      </c>
      <c r="CH29" s="1899" t="str">
        <f t="shared" si="5"/>
        <v/>
      </c>
      <c r="CI29" s="1899" t="str">
        <f t="shared" si="6"/>
        <v/>
      </c>
      <c r="CJ29" s="1899" t="str">
        <f t="shared" si="10"/>
        <v/>
      </c>
      <c r="CK29" s="1900"/>
      <c r="CL29" s="1899" t="str">
        <f t="shared" si="12"/>
        <v/>
      </c>
      <c r="CM29" s="1900"/>
      <c r="CU29" s="1901">
        <f t="shared" si="13"/>
        <v>0</v>
      </c>
      <c r="CV29" s="1902"/>
      <c r="CW29" s="1902"/>
      <c r="CX29" s="1902"/>
      <c r="CY29" s="1902"/>
      <c r="CZ29" s="1902"/>
      <c r="DA29" s="1901">
        <f t="shared" ref="DA29:DA32" si="29">IF(AND($C29&lt;&gt;0,AB29=""),1,IF(AB29&gt;C29,1,0))</f>
        <v>0</v>
      </c>
      <c r="DB29" s="1901">
        <f t="shared" ref="DB29:DB32" si="30">IF(AND($C29&lt;&gt;0,AC29=""),1,IF(AC29&gt;C29,1,0))</f>
        <v>0</v>
      </c>
      <c r="DC29" s="1901">
        <f t="shared" ref="DC29:DC32" si="31">IF(AND($C29&lt;&gt;0,AD29=""),1,IF(AD29&gt;$C29,1,0))</f>
        <v>0</v>
      </c>
      <c r="DD29" s="1901">
        <f t="shared" ref="DD29:DD32" si="32">IF(AND($V29&lt;&gt;0,AE29=""),1,IF(AE29&gt;$V29,1,0))</f>
        <v>0</v>
      </c>
      <c r="DE29" s="1902"/>
      <c r="DF29" s="1901">
        <f t="shared" ref="DF29:DF32" si="33">IF(AND($C29&lt;&gt;0,AG29=""),1,IF(AG29&gt;$C29,1,0))</f>
        <v>0</v>
      </c>
      <c r="DG29" s="1903"/>
    </row>
    <row r="30" spans="1:111" ht="15" customHeight="1" x14ac:dyDescent="0.3">
      <c r="A30" s="5791"/>
      <c r="B30" s="519" t="s">
        <v>65</v>
      </c>
      <c r="C30" s="1949">
        <f>SUM(L30:P30)</f>
        <v>0</v>
      </c>
      <c r="D30" s="1905"/>
      <c r="E30" s="1906"/>
      <c r="F30" s="1950"/>
      <c r="G30" s="1950"/>
      <c r="H30" s="1950"/>
      <c r="I30" s="1950"/>
      <c r="J30" s="1950"/>
      <c r="K30" s="1950"/>
      <c r="L30" s="1914"/>
      <c r="M30" s="1907"/>
      <c r="N30" s="1907"/>
      <c r="O30" s="1914"/>
      <c r="P30" s="1914"/>
      <c r="Q30" s="1950"/>
      <c r="R30" s="1950"/>
      <c r="S30" s="1950"/>
      <c r="T30" s="1951"/>
      <c r="U30" s="1906"/>
      <c r="V30" s="1912"/>
      <c r="W30" s="1941"/>
      <c r="X30" s="1909"/>
      <c r="Y30" s="1929"/>
      <c r="Z30" s="1929"/>
      <c r="AA30" s="1929"/>
      <c r="AB30" s="1907"/>
      <c r="AC30" s="1907"/>
      <c r="AD30" s="877"/>
      <c r="AE30" s="876"/>
      <c r="AF30" s="1930"/>
      <c r="AG30" s="877"/>
      <c r="AH30" s="1915"/>
      <c r="AI30" s="1898" t="str">
        <f t="shared" si="9"/>
        <v/>
      </c>
      <c r="CA30" s="1899" t="str">
        <f t="shared" si="0"/>
        <v/>
      </c>
      <c r="CB30" s="1900"/>
      <c r="CC30" s="1900"/>
      <c r="CD30" s="1900"/>
      <c r="CE30" s="1900"/>
      <c r="CF30" s="1900"/>
      <c r="CG30" s="1899" t="str">
        <f t="shared" si="4"/>
        <v/>
      </c>
      <c r="CH30" s="1899" t="str">
        <f t="shared" si="5"/>
        <v/>
      </c>
      <c r="CI30" s="1899" t="str">
        <f t="shared" si="6"/>
        <v/>
      </c>
      <c r="CJ30" s="1899" t="str">
        <f>IF(AND($V30&lt;&gt;0,AE30=""),"* No olvide ingresar la variable "&amp;AE$10&amp;""&amp;". Digite CERO si no tiene.  ",IF(AE30&gt;$V30,"* La variable Trans masculino no debe ser mayor al Total Mujeres. ",""))</f>
        <v/>
      </c>
      <c r="CK30" s="1900"/>
      <c r="CL30" s="1899" t="str">
        <f>IF(AND($C30&lt;&gt;0,AG30=""),"* No olvide ingresar la variable "&amp;AG$10&amp;""&amp;". Digite CERO si no tiene.  ",IF(AG30&gt;$C30,"* La variable No binarie no debe ser mayor al Total. ",""))</f>
        <v/>
      </c>
      <c r="CM30" s="1900"/>
      <c r="CU30" s="1901">
        <f t="shared" si="13"/>
        <v>0</v>
      </c>
      <c r="CV30" s="1902"/>
      <c r="CW30" s="1902"/>
      <c r="CX30" s="1902"/>
      <c r="CY30" s="1902"/>
      <c r="CZ30" s="1902"/>
      <c r="DA30" s="1901">
        <f t="shared" si="29"/>
        <v>0</v>
      </c>
      <c r="DB30" s="1901">
        <f t="shared" si="30"/>
        <v>0</v>
      </c>
      <c r="DC30" s="1901">
        <f t="shared" si="31"/>
        <v>0</v>
      </c>
      <c r="DD30" s="1901">
        <f t="shared" si="32"/>
        <v>0</v>
      </c>
      <c r="DE30" s="1902"/>
      <c r="DF30" s="1901">
        <f t="shared" si="33"/>
        <v>0</v>
      </c>
      <c r="DG30" s="1903"/>
    </row>
    <row r="31" spans="1:111" ht="15" customHeight="1" x14ac:dyDescent="0.3">
      <c r="A31" s="5790" t="s">
        <v>75</v>
      </c>
      <c r="B31" s="1885" t="s">
        <v>64</v>
      </c>
      <c r="C31" s="1885">
        <f>SUM(F31:T31)</f>
        <v>0</v>
      </c>
      <c r="D31" s="1887"/>
      <c r="E31" s="1888"/>
      <c r="F31" s="1039"/>
      <c r="G31" s="1039"/>
      <c r="H31" s="1039"/>
      <c r="I31" s="1039"/>
      <c r="J31" s="1039"/>
      <c r="K31" s="1039"/>
      <c r="L31" s="1039"/>
      <c r="M31" s="1896"/>
      <c r="N31" s="1896"/>
      <c r="O31" s="1896"/>
      <c r="P31" s="1896"/>
      <c r="Q31" s="1039"/>
      <c r="R31" s="1039"/>
      <c r="S31" s="1039"/>
      <c r="T31" s="1944"/>
      <c r="U31" s="44"/>
      <c r="V31" s="1918"/>
      <c r="W31" s="1934"/>
      <c r="X31" s="1919"/>
      <c r="Y31" s="232"/>
      <c r="Z31" s="232"/>
      <c r="AA31" s="232"/>
      <c r="AB31" s="232"/>
      <c r="AC31" s="232"/>
      <c r="AD31" s="29"/>
      <c r="AE31" s="1921"/>
      <c r="AF31" s="232"/>
      <c r="AG31" s="29"/>
      <c r="AH31" s="1952"/>
      <c r="AI31" s="1898" t="str">
        <f t="shared" si="9"/>
        <v/>
      </c>
      <c r="CA31" s="1899" t="str">
        <f t="shared" si="0"/>
        <v/>
      </c>
      <c r="CB31" s="1899" t="str">
        <f>IF(AND($C31&lt;&gt;0,W31=""),"* No olvide ingresar la variable "&amp;W$9&amp;""&amp;". Digite CERO si no tiene. ",IF(W31&gt;$C31,"* La variable Control con pareja, familiar u otro no debe ser mayor al Total. ",""))</f>
        <v/>
      </c>
      <c r="CC31" s="1900"/>
      <c r="CD31" s="1899" t="str">
        <f>IF(AND($C31&lt;&gt;0,Y31=""),"* No olvide ingresar la variable "&amp;Y$9&amp;""&amp;". Digite CERO si no tiene.  ",IF(Y31&gt;$C31,"* La variable Espacios Amigables/ Adolescentes no debe ser mayor al Total. ",""))</f>
        <v/>
      </c>
      <c r="CE31" s="1899" t="str">
        <f>IF(AND($C31&lt;&gt;0,Z31=""),"* No olvide ingresar la variable "&amp;Z29&amp;""&amp;". Digite CERO si no tiene.  ",IF(Z31&gt;$C31,"* La variable Niños, Niñas, Adolescentes y Jóvenes SENAME no debe ser mayor al Total. ",""))</f>
        <v/>
      </c>
      <c r="CF31" s="1899" t="str">
        <f>IF(AND($C31&lt;&gt;0,AA31=""),"* No olvide ingresar la variable "&amp;AA29&amp;""&amp;". Digite CERO si no tiene.  ",IF(AA31&gt;$C31,"* La variable Niños, Niñas, Adolescentes y Jóvenes Mejor Niñez no debe ser mayor al Total. ",""))</f>
        <v/>
      </c>
      <c r="CG31" s="1899" t="str">
        <f t="shared" si="4"/>
        <v/>
      </c>
      <c r="CH31" s="1899" t="str">
        <f t="shared" si="5"/>
        <v/>
      </c>
      <c r="CI31" s="1899" t="str">
        <f t="shared" si="6"/>
        <v/>
      </c>
      <c r="CJ31" s="1899" t="str">
        <f t="shared" si="10"/>
        <v/>
      </c>
      <c r="CK31" s="1899" t="str">
        <f t="shared" si="11"/>
        <v/>
      </c>
      <c r="CL31" s="1899" t="str">
        <f t="shared" si="12"/>
        <v/>
      </c>
      <c r="CM31" s="1899" t="str">
        <f>IF(AND($C31&lt;&gt;0,AH31=""),"* No olvide ingresar la variable "&amp;AH$9&amp;""&amp;". Digite CERO si no tiene.  ",IF(AH31&gt;$C31,"* La variable Adolescente acude a control MAC con pareja no debe ser mayor al Total. ",""))</f>
        <v/>
      </c>
      <c r="CU31" s="1901">
        <f t="shared" si="13"/>
        <v>0</v>
      </c>
      <c r="CV31" s="1901">
        <f t="shared" ref="CV31:CV32" si="34">IF(AND(C31&gt;0,W31=""),1,IF(W31&gt;SUM(C31),1,0))</f>
        <v>0</v>
      </c>
      <c r="CW31" s="1902"/>
      <c r="CX31" s="1901">
        <f t="shared" ref="CX31:CX32" si="35">IF(AND($C31&lt;&gt;0,Y31=""),1,IF(Y31&gt;$C31,1,0))</f>
        <v>0</v>
      </c>
      <c r="CY31" s="1901">
        <f t="shared" ref="CY31:CY32" si="36">IF(AND($C31&lt;&gt;0,Z31=""),1,IF(Z31&gt;C31,1,0))</f>
        <v>0</v>
      </c>
      <c r="CZ31" s="1901">
        <f t="shared" ref="CZ31:CZ32" si="37">IF(AND($C31&lt;&gt;0,AA31=""),1,IF(AA31&gt;C31,1,0))</f>
        <v>0</v>
      </c>
      <c r="DA31" s="1901">
        <f t="shared" si="29"/>
        <v>0</v>
      </c>
      <c r="DB31" s="1901">
        <f t="shared" si="30"/>
        <v>0</v>
      </c>
      <c r="DC31" s="1901">
        <f t="shared" si="31"/>
        <v>0</v>
      </c>
      <c r="DD31" s="1901">
        <f t="shared" si="32"/>
        <v>0</v>
      </c>
      <c r="DE31" s="1901">
        <f t="shared" ref="DE31:DE32" si="38">IF(AND($U31&lt;&gt;0,AF31=""),1,IF(AF31&gt;$U31,1,0))</f>
        <v>0</v>
      </c>
      <c r="DF31" s="1901">
        <f>IF(AND($C31&lt;&gt;0,AG31=""),1,IF(AG31&gt;$C31,1,0))</f>
        <v>0</v>
      </c>
      <c r="DG31" s="1901">
        <f>IF(AND($C31&lt;&gt;0,AH31=""),1,IF(AH31&gt;$C31,1,0))</f>
        <v>0</v>
      </c>
    </row>
    <row r="32" spans="1:111" ht="15" customHeight="1" x14ac:dyDescent="0.3">
      <c r="A32" s="5791"/>
      <c r="B32" s="519" t="s">
        <v>65</v>
      </c>
      <c r="C32" s="519">
        <f>SUM(F32:T32)</f>
        <v>0</v>
      </c>
      <c r="D32" s="1905"/>
      <c r="E32" s="1906"/>
      <c r="F32" s="1907"/>
      <c r="G32" s="1907"/>
      <c r="H32" s="1907"/>
      <c r="I32" s="1907"/>
      <c r="J32" s="1907"/>
      <c r="K32" s="1907"/>
      <c r="L32" s="1907"/>
      <c r="M32" s="1907"/>
      <c r="N32" s="1914"/>
      <c r="O32" s="1914"/>
      <c r="P32" s="1914"/>
      <c r="Q32" s="1907"/>
      <c r="R32" s="1907"/>
      <c r="S32" s="1907"/>
      <c r="T32" s="1953"/>
      <c r="U32" s="1911"/>
      <c r="V32" s="1912"/>
      <c r="W32" s="1913"/>
      <c r="X32" s="1909"/>
      <c r="Y32" s="1907"/>
      <c r="Z32" s="1907"/>
      <c r="AA32" s="1907"/>
      <c r="AB32" s="1907"/>
      <c r="AC32" s="1907"/>
      <c r="AD32" s="877"/>
      <c r="AE32" s="876"/>
      <c r="AF32" s="1907"/>
      <c r="AG32" s="877"/>
      <c r="AH32" s="1954"/>
      <c r="AI32" s="1898" t="str">
        <f t="shared" si="9"/>
        <v/>
      </c>
      <c r="CA32" s="1899" t="str">
        <f t="shared" si="0"/>
        <v/>
      </c>
      <c r="CB32" s="1899" t="str">
        <f>IF(AND($C32&lt;&gt;0,W32=""),"* No olvide ingresar la variable "&amp;W$9&amp;""&amp;". Digite CERO si no tiene.  ",IF(W32&gt;$C32,"* La variable Control con pareja, familiar u otro no debe ser mayor al Total. ",""))</f>
        <v/>
      </c>
      <c r="CC32" s="1900"/>
      <c r="CD32" s="1899" t="str">
        <f>IF(AND($C32&lt;&gt;0,Y32=""),"* No olvide ingresar la variable "&amp;Y$9&amp;""&amp;". Digite CERO si no tiene.  ",IF(Y32&gt;$C32,"* La variable Espacios Amigables/ Adolescentes no debe ser mayor al Total. ",""))</f>
        <v/>
      </c>
      <c r="CE32" s="1899" t="str">
        <f>IF(AND($C32&lt;&gt;0,Z32=""),"* No olvide ingresar la variable "&amp;Z30&amp;""&amp;". Digite CERO si no tiene.  ",IF(Z32&gt;$C32,"* La variable Niños, Niñas, Adolescentes y Jóvenes SENAME no debe ser mayor al Total. ",""))</f>
        <v/>
      </c>
      <c r="CF32" s="1899" t="str">
        <f>IF(AND($C32&lt;&gt;0,AA32=""),"* No olvide ingresar la variable "&amp;AA30&amp;""&amp;". Digite CERO si no tiene.  ",IF(AA32&gt;$C32,"* La variable Niños, Niñas, Adolescentes y Jóvenes Mejor Niñez no debe ser mayor al Total. ",""))</f>
        <v/>
      </c>
      <c r="CG32" s="1899" t="str">
        <f t="shared" si="4"/>
        <v/>
      </c>
      <c r="CH32" s="1899" t="str">
        <f t="shared" si="5"/>
        <v/>
      </c>
      <c r="CI32" s="1899" t="str">
        <f t="shared" si="6"/>
        <v/>
      </c>
      <c r="CJ32" s="1899" t="str">
        <f t="shared" si="10"/>
        <v/>
      </c>
      <c r="CK32" s="1899" t="str">
        <f t="shared" si="11"/>
        <v/>
      </c>
      <c r="CL32" s="1899" t="str">
        <f t="shared" si="12"/>
        <v/>
      </c>
      <c r="CM32" s="1899" t="str">
        <f>IF(AND($C32&lt;&gt;0,AH32=""),"* No olvide ingresar la variable "&amp;AH$9&amp;""&amp;". Digite CERO si no tiene.  ",IF(AH32&gt;$C32,"* La variable Adolescente acude a control MAC con pareja no debe ser mayor al Total. ",""))</f>
        <v/>
      </c>
      <c r="CU32" s="1901">
        <f t="shared" si="13"/>
        <v>0</v>
      </c>
      <c r="CV32" s="1901">
        <f t="shared" si="34"/>
        <v>0</v>
      </c>
      <c r="CW32" s="1902"/>
      <c r="CX32" s="1901">
        <f t="shared" si="35"/>
        <v>0</v>
      </c>
      <c r="CY32" s="1901">
        <f t="shared" si="36"/>
        <v>0</v>
      </c>
      <c r="CZ32" s="1901">
        <f t="shared" si="37"/>
        <v>0</v>
      </c>
      <c r="DA32" s="1901">
        <f t="shared" si="29"/>
        <v>0</v>
      </c>
      <c r="DB32" s="1901">
        <f t="shared" si="30"/>
        <v>0</v>
      </c>
      <c r="DC32" s="1901">
        <f t="shared" si="31"/>
        <v>0</v>
      </c>
      <c r="DD32" s="1901">
        <f t="shared" si="32"/>
        <v>0</v>
      </c>
      <c r="DE32" s="1901">
        <f t="shared" si="38"/>
        <v>0</v>
      </c>
      <c r="DF32" s="1901">
        <f t="shared" si="33"/>
        <v>0</v>
      </c>
      <c r="DG32" s="1901">
        <f t="shared" ref="DG32" si="39">IF(AND($C32&lt;&gt;0,AH32=""),1,IF(AH32&gt;$C32,1,0))</f>
        <v>0</v>
      </c>
    </row>
    <row r="33" spans="1:105" ht="18" customHeight="1" x14ac:dyDescent="0.3">
      <c r="A33" s="5745" t="s">
        <v>76</v>
      </c>
      <c r="B33" s="5745"/>
      <c r="C33" s="5745"/>
      <c r="D33" s="5745"/>
      <c r="E33" s="5745"/>
      <c r="F33" s="5745"/>
      <c r="G33" s="5745"/>
      <c r="H33" s="5745"/>
      <c r="I33" s="5745"/>
      <c r="J33" s="5745"/>
      <c r="K33" s="5745"/>
      <c r="L33" s="5745"/>
      <c r="M33" s="5745"/>
      <c r="N33" s="5745"/>
      <c r="O33" s="5745"/>
      <c r="P33" s="5745"/>
      <c r="Q33" s="5745"/>
      <c r="R33" s="5745"/>
      <c r="S33" s="5745"/>
      <c r="T33" s="5745"/>
      <c r="U33" s="5745"/>
      <c r="V33" s="5745"/>
      <c r="W33" s="5745"/>
      <c r="X33" s="5745"/>
      <c r="Y33" s="5745"/>
      <c r="Z33" s="5745"/>
      <c r="AA33" s="5745"/>
      <c r="AB33" s="5745"/>
      <c r="AC33" s="5745"/>
      <c r="AD33" s="5745"/>
      <c r="AE33" s="5745"/>
      <c r="AF33" s="5745"/>
      <c r="AG33" s="5745"/>
      <c r="AH33" s="5745"/>
      <c r="AI33" s="1955"/>
      <c r="AJ33" s="1955"/>
      <c r="AK33" s="1955"/>
      <c r="AL33" s="1955"/>
      <c r="AM33" s="1955"/>
      <c r="AN33" s="1955"/>
    </row>
    <row r="34" spans="1:105" ht="26.4" customHeight="1" x14ac:dyDescent="0.3">
      <c r="A34" s="5770" t="s">
        <v>26</v>
      </c>
      <c r="B34" s="5770" t="s">
        <v>27</v>
      </c>
      <c r="C34" s="5802" t="s">
        <v>77</v>
      </c>
      <c r="D34" s="5809"/>
      <c r="E34" s="5762"/>
      <c r="F34" s="5800" t="s">
        <v>29</v>
      </c>
      <c r="G34" s="5807"/>
      <c r="H34" s="5807"/>
      <c r="I34" s="5807"/>
      <c r="J34" s="5807"/>
      <c r="K34" s="5807"/>
      <c r="L34" s="5807"/>
      <c r="M34" s="5807"/>
      <c r="N34" s="5807"/>
      <c r="O34" s="5807"/>
      <c r="P34" s="5807"/>
      <c r="Q34" s="5807"/>
      <c r="R34" s="5807"/>
      <c r="S34" s="5807"/>
      <c r="T34" s="5807"/>
      <c r="U34" s="5807"/>
      <c r="V34" s="5807"/>
      <c r="W34" s="5807"/>
      <c r="X34" s="5807"/>
      <c r="Y34" s="5807"/>
      <c r="Z34" s="5807"/>
      <c r="AA34" s="5807"/>
      <c r="AB34" s="5807"/>
      <c r="AC34" s="5807"/>
      <c r="AD34" s="5807"/>
      <c r="AE34" s="5807"/>
      <c r="AF34" s="5807"/>
      <c r="AG34" s="5807"/>
      <c r="AH34" s="5808"/>
      <c r="AI34" s="5810" t="s">
        <v>78</v>
      </c>
      <c r="AJ34" s="5811"/>
      <c r="AK34" s="5812" t="s">
        <v>34</v>
      </c>
      <c r="AL34" s="5814" t="s">
        <v>35</v>
      </c>
      <c r="AM34" s="5814" t="s">
        <v>36</v>
      </c>
      <c r="AN34" s="5804" t="s">
        <v>37</v>
      </c>
    </row>
    <row r="35" spans="1:105" ht="20.399999999999999" x14ac:dyDescent="0.3">
      <c r="A35" s="5772"/>
      <c r="B35" s="5772"/>
      <c r="C35" s="1795" t="s">
        <v>79</v>
      </c>
      <c r="D35" s="1956" t="s">
        <v>58</v>
      </c>
      <c r="E35" s="1884" t="s">
        <v>59</v>
      </c>
      <c r="F35" s="1957" t="s">
        <v>80</v>
      </c>
      <c r="G35" s="1878" t="s">
        <v>81</v>
      </c>
      <c r="H35" s="1878" t="s">
        <v>82</v>
      </c>
      <c r="I35" s="1878" t="s">
        <v>83</v>
      </c>
      <c r="J35" s="1958" t="s">
        <v>84</v>
      </c>
      <c r="K35" s="1878" t="s">
        <v>85</v>
      </c>
      <c r="L35" s="1878" t="s">
        <v>86</v>
      </c>
      <c r="M35" s="1878" t="s">
        <v>87</v>
      </c>
      <c r="N35" s="1878" t="s">
        <v>88</v>
      </c>
      <c r="O35" s="1878" t="s">
        <v>89</v>
      </c>
      <c r="P35" s="1878" t="s">
        <v>90</v>
      </c>
      <c r="Q35" s="1878" t="s">
        <v>91</v>
      </c>
      <c r="R35" s="1878" t="s">
        <v>92</v>
      </c>
      <c r="S35" s="1878" t="s">
        <v>93</v>
      </c>
      <c r="T35" s="1879" t="s">
        <v>94</v>
      </c>
      <c r="U35" s="1879" t="s">
        <v>44</v>
      </c>
      <c r="V35" s="1879" t="s">
        <v>45</v>
      </c>
      <c r="W35" s="1879" t="s">
        <v>46</v>
      </c>
      <c r="X35" s="1879" t="s">
        <v>47</v>
      </c>
      <c r="Y35" s="1879" t="s">
        <v>48</v>
      </c>
      <c r="Z35" s="1879" t="s">
        <v>49</v>
      </c>
      <c r="AA35" s="1879" t="s">
        <v>50</v>
      </c>
      <c r="AB35" s="1879" t="s">
        <v>51</v>
      </c>
      <c r="AC35" s="1879" t="s">
        <v>52</v>
      </c>
      <c r="AD35" s="1879" t="s">
        <v>53</v>
      </c>
      <c r="AE35" s="1879" t="s">
        <v>54</v>
      </c>
      <c r="AF35" s="1879" t="s">
        <v>55</v>
      </c>
      <c r="AG35" s="1879" t="s">
        <v>56</v>
      </c>
      <c r="AH35" s="1880" t="s">
        <v>57</v>
      </c>
      <c r="AI35" s="1959" t="s">
        <v>95</v>
      </c>
      <c r="AJ35" s="1960" t="s">
        <v>96</v>
      </c>
      <c r="AK35" s="5813"/>
      <c r="AL35" s="5815"/>
      <c r="AM35" s="5815"/>
      <c r="AN35" s="5805"/>
    </row>
    <row r="36" spans="1:105" ht="15" customHeight="1" x14ac:dyDescent="0.3">
      <c r="A36" s="5789" t="s">
        <v>97</v>
      </c>
      <c r="B36" s="1885" t="s">
        <v>64</v>
      </c>
      <c r="C36" s="1885">
        <f>SUM(D36:E36)</f>
        <v>0</v>
      </c>
      <c r="D36" s="1962"/>
      <c r="E36" s="1963"/>
      <c r="F36" s="1964"/>
      <c r="G36" s="1896"/>
      <c r="H36" s="1896"/>
      <c r="I36" s="1896"/>
      <c r="J36" s="1965"/>
      <c r="K36" s="1965"/>
      <c r="L36" s="1896"/>
      <c r="M36" s="1896"/>
      <c r="N36" s="1966"/>
      <c r="O36" s="1966"/>
      <c r="P36" s="1967"/>
      <c r="Q36" s="1896"/>
      <c r="R36" s="1896"/>
      <c r="S36" s="1896"/>
      <c r="T36" s="1965"/>
      <c r="U36" s="1965"/>
      <c r="V36" s="1896"/>
      <c r="W36" s="1896"/>
      <c r="X36" s="1965"/>
      <c r="Y36" s="1965"/>
      <c r="Z36" s="1967"/>
      <c r="AA36" s="1896"/>
      <c r="AB36" s="1896"/>
      <c r="AC36" s="1896"/>
      <c r="AD36" s="1965"/>
      <c r="AE36" s="1965"/>
      <c r="AF36" s="1896"/>
      <c r="AG36" s="1896"/>
      <c r="AH36" s="1968"/>
      <c r="AI36" s="1964"/>
      <c r="AJ36" s="1969"/>
      <c r="AK36" s="1964"/>
      <c r="AL36" s="1896"/>
      <c r="AM36" s="1896"/>
      <c r="AN36" s="1969"/>
      <c r="AO36" s="1898" t="str">
        <f>CA36&amp;CB36&amp;CC36&amp;CD36&amp;CE36&amp;CF36&amp;CG36</f>
        <v/>
      </c>
      <c r="CA36" s="1899" t="str">
        <f>IF((D36+E36)&lt;&gt;$C36," * La suma de la variable Sexo (Hombres + Mujeres) no puede ser distinto al Total","")</f>
        <v/>
      </c>
      <c r="CB36" s="1899" t="str">
        <f>IF(AND(SUM(F36:M36)&gt;0,AI36="")," * No olvide digitar la variable "&amp;AI$34&amp;""&amp;" de menor de 1 año. Digite CERO si no tiene. ",IF(AI36&gt;SUM(F36:M36),"* La variable Control con Presencia del padre de menor de 1 año no debe ser mayor al Total de Controles de menores de 1 año. ",""))</f>
        <v/>
      </c>
      <c r="CC36" s="1899" t="str">
        <f>IF(AND(SUM(N36:P36)&gt;0,AJ36="")," * No olvide digitar la variable "&amp;AI$34&amp;""&amp;" de 1 año a 3 años 11 meses 29 días. Digite CERO si no tiene. ",IF(AJ36&gt;SUM(N36:P36),"* La variable Control con Presencia del padre de 1 año a 3 años 11 meses 29 días no debe ser mayor al Total de Controles de 12 a 47 meses. ",""))</f>
        <v/>
      </c>
      <c r="CD36" s="1899" t="str">
        <f>IF(AND($C36&lt;&gt;0,AK36=""),"* No olvide ingresar la variable "&amp;AK$34&amp;""&amp;". Digite CERO si no tiene.  ",IF(AK36&gt;$C36,"* La variable Niños, Niñas, Adolescentes y Jóvenes SENAME no debe ser mayor al Total Ambos Sexos. ",""))</f>
        <v/>
      </c>
      <c r="CE36" s="1899" t="str">
        <f>IF(AND($C36&lt;&gt;0,AL36=""),"* No olvide ingresar la variable "&amp;AL$34&amp;""&amp;". Digite CERO si no tiene.  ",IF(AL36&gt;$C36,"* La variable de Niños, Niñas, Adolescentes y Jóvenes Mejor Niñez no debe ser mayor al Total Ambos Sexos. ",""))</f>
        <v/>
      </c>
      <c r="CF36" s="1899" t="str">
        <f>IF(AND($C36&lt;&gt;0,AM36=""),"* No olvide ingresar la variable "&amp;AM$34&amp;""&amp;". Digite CERO si no tiene.  ",IF(AM36&gt;$C36,"* La variable Pueblos Originarios no debe ser mayor al Total Ambos Sexos. ",""))</f>
        <v/>
      </c>
      <c r="CG36" s="1899" t="str">
        <f>IF(AND($C36&lt;&gt;0,AN36=""),"* No olvide ingresar la variable "&amp;AN$34&amp;""&amp;". Digite CERO si no tiene.  ",IF(AN36&gt;$C36,"* La variable Migrantes no debe ser mayor al Total Ambos Sexos. ",""))</f>
        <v/>
      </c>
      <c r="CH36" s="1970"/>
      <c r="CI36" s="1971"/>
      <c r="CU36" s="1901">
        <f>IF(C36&lt;&gt;SUM(D36:E36),1,0)</f>
        <v>0</v>
      </c>
      <c r="CV36" s="1901">
        <f>IF(AND(SUM(F36:M36)&gt;0,AI36=""),1,IF(AI36&gt;SUM(F36:M36),1,0))</f>
        <v>0</v>
      </c>
      <c r="CW36" s="1901">
        <f>IF(AND(SUM(N36:P36)&gt;0,AJ36=""),1,IF(AJ36&gt;SUM(N36:P36),1,0))</f>
        <v>0</v>
      </c>
      <c r="CX36" s="1901">
        <f t="shared" ref="CX36:DA39" si="40">IF(AND($C36&lt;&gt;0,AK36=""),1,IF(AK36&gt;$C36,1,0))</f>
        <v>0</v>
      </c>
      <c r="CY36" s="1901">
        <f t="shared" si="40"/>
        <v>0</v>
      </c>
      <c r="CZ36" s="1901">
        <f t="shared" si="40"/>
        <v>0</v>
      </c>
      <c r="DA36" s="1901">
        <f t="shared" si="40"/>
        <v>0</v>
      </c>
    </row>
    <row r="37" spans="1:105" ht="15" customHeight="1" x14ac:dyDescent="0.3">
      <c r="A37" s="5790"/>
      <c r="B37" s="358" t="s">
        <v>98</v>
      </c>
      <c r="C37" s="358">
        <f t="shared" ref="C37:C38" si="41">SUM(D37:E37)</f>
        <v>0</v>
      </c>
      <c r="D37" s="1962"/>
      <c r="E37" s="1963"/>
      <c r="F37" s="329"/>
      <c r="G37" s="1972"/>
      <c r="H37" s="1972"/>
      <c r="I37" s="1973"/>
      <c r="J37" s="1972"/>
      <c r="K37" s="1972"/>
      <c r="L37" s="1973"/>
      <c r="M37" s="1972"/>
      <c r="N37" s="1972"/>
      <c r="O37" s="1973"/>
      <c r="P37" s="1972"/>
      <c r="Q37" s="1972"/>
      <c r="R37" s="1973"/>
      <c r="S37" s="1972"/>
      <c r="T37" s="1972"/>
      <c r="U37" s="1973"/>
      <c r="V37" s="1972"/>
      <c r="W37" s="1972"/>
      <c r="X37" s="1973"/>
      <c r="Y37" s="1972"/>
      <c r="Z37" s="1972"/>
      <c r="AA37" s="1973"/>
      <c r="AB37" s="1972"/>
      <c r="AC37" s="1972"/>
      <c r="AD37" s="1973"/>
      <c r="AE37" s="1972"/>
      <c r="AF37" s="1972"/>
      <c r="AG37" s="1973"/>
      <c r="AH37" s="1974"/>
      <c r="AI37" s="329"/>
      <c r="AJ37" s="1975"/>
      <c r="AK37" s="1976"/>
      <c r="AL37" s="1972"/>
      <c r="AM37" s="1972"/>
      <c r="AN37" s="1975"/>
      <c r="AO37" s="1898" t="str">
        <f t="shared" ref="AO37:AO39" si="42">CA37&amp;CB37&amp;CC37&amp;CD37&amp;CE37&amp;CF37&amp;CG37</f>
        <v/>
      </c>
      <c r="CA37" s="1899" t="str">
        <f t="shared" ref="CA37:CA38" si="43">IF((D37+E37)&lt;&gt;$C37," * La suma de la variable Sexo (Hombres + Mujeres) no puede ser distinto al Total","")</f>
        <v/>
      </c>
      <c r="CB37" s="1899" t="str">
        <f>IF(AND(SUM(F37:M37)&gt;0,AI37="")," * No olvide digitar la variable "&amp;AI$34&amp;""&amp;" de menor de 1 año. Digite CERO si no tiene. ",IF(AI37&gt;SUM(F37:M37),"* La variable Control con Presencia del padre de menor de 1 año no debe ser mayor al Total de Controles de menores de 1 año. ",""))</f>
        <v/>
      </c>
      <c r="CC37" s="1899" t="str">
        <f>IF(AND(SUM(N37:P37)&gt;0,AJ37="")," * No olvide digitar la variable "&amp;AI$34&amp;""&amp;" de 1 año a 3 años 11 meses 29 días. Digite CERO si no tiene. ",IF(AJ37&gt;SUM(N37:P37),"* La variable Control con Presencia del padre de 1 año a 3 años 11 meses 29 días no debe ser mayor al Total de Controles de 12 a 47 meses. ",""))</f>
        <v/>
      </c>
      <c r="CD37" s="1899" t="str">
        <f t="shared" ref="CD37:CD39" si="44">IF(AND($C37&lt;&gt;0,AK37=""),"* No olvide ingresar la variable "&amp;AK$34&amp;""&amp;". Digite CERO si no tiene.  ",IF(AK37&gt;$C37,"* La variable Niños, Niñas, Adolescentes y Jóvenes SENAME no debe ser mayor al Total Ambos Sexos. ",""))</f>
        <v/>
      </c>
      <c r="CE37" s="1899" t="str">
        <f t="shared" ref="CE37:CE39" si="45">IF(AND($C37&lt;&gt;0,AL37=""),"* No olvide ingresar la variable "&amp;AL$34&amp;""&amp;". Digite CERO si no tiene.  ",IF(AL37&gt;$C37,"* La variable de Niños, Niñas, Adolescentes y Jóvenes Mejor Niñez no debe ser mayor al Total Ambos Sexos. ",""))</f>
        <v/>
      </c>
      <c r="CF37" s="1899" t="str">
        <f t="shared" ref="CF37:CF39" si="46">IF(AND($C37&lt;&gt;0,AM37=""),"* No olvide ingresar la variable "&amp;AM$34&amp;""&amp;". Digite CERO si no tiene.  ",IF(AM37&gt;$C37,"* La variable Pueblos Originarios no debe ser mayor al Total Ambos Sexos. ",""))</f>
        <v/>
      </c>
      <c r="CG37" s="1899" t="str">
        <f t="shared" ref="CG37:CG39" si="47">IF(AND($C37&lt;&gt;0,AN37=""),"* No olvide ingresar la variable "&amp;AN$34&amp;""&amp;". Digite CERO si no tiene.  ",IF(AN37&gt;$C37,"* La variable Migrantes no debe ser mayor al Total Ambos Sexos. ",""))</f>
        <v/>
      </c>
      <c r="CH37" s="1971"/>
      <c r="CU37" s="1901">
        <f t="shared" ref="CU37:CU38" si="48">IF(C37&lt;&gt;SUM(D37:E37),1,0)</f>
        <v>0</v>
      </c>
      <c r="CV37" s="1901">
        <f>IF(AND(SUM(F37:M37)&gt;0,AI37=""),1,IF(AI37&gt;SUM(F37:M37),1,0))</f>
        <v>0</v>
      </c>
      <c r="CW37" s="1901">
        <f>IF(AND(SUM(N37:P37)&gt;0,AJ37=""),1,IF(AJ37&gt;SUM(N37:P37),1,0))</f>
        <v>0</v>
      </c>
      <c r="CX37" s="1901">
        <f t="shared" si="40"/>
        <v>0</v>
      </c>
      <c r="CY37" s="1901">
        <f t="shared" si="40"/>
        <v>0</v>
      </c>
      <c r="CZ37" s="1901">
        <f t="shared" si="40"/>
        <v>0</v>
      </c>
      <c r="DA37" s="1901">
        <f t="shared" si="40"/>
        <v>0</v>
      </c>
    </row>
    <row r="38" spans="1:105" ht="15" customHeight="1" x14ac:dyDescent="0.3">
      <c r="A38" s="5790"/>
      <c r="B38" s="358" t="s">
        <v>65</v>
      </c>
      <c r="C38" s="193">
        <f t="shared" si="41"/>
        <v>0</v>
      </c>
      <c r="D38" s="1962"/>
      <c r="E38" s="1963"/>
      <c r="F38" s="329"/>
      <c r="G38" s="1977"/>
      <c r="H38" s="1977"/>
      <c r="I38" s="1977"/>
      <c r="J38" s="1977"/>
      <c r="K38" s="1977"/>
      <c r="L38" s="1977"/>
      <c r="M38" s="1977"/>
      <c r="N38" s="1977"/>
      <c r="O38" s="1977"/>
      <c r="P38" s="1977"/>
      <c r="Q38" s="1977"/>
      <c r="R38" s="1977"/>
      <c r="S38" s="1977"/>
      <c r="T38" s="1973"/>
      <c r="U38" s="1973"/>
      <c r="V38" s="1973"/>
      <c r="W38" s="1973"/>
      <c r="X38" s="1973"/>
      <c r="Y38" s="1973"/>
      <c r="Z38" s="1973"/>
      <c r="AA38" s="1973"/>
      <c r="AB38" s="1973"/>
      <c r="AC38" s="1973"/>
      <c r="AD38" s="1973"/>
      <c r="AE38" s="1973"/>
      <c r="AF38" s="1973"/>
      <c r="AG38" s="1973"/>
      <c r="AH38" s="332"/>
      <c r="AI38" s="329"/>
      <c r="AJ38" s="1978"/>
      <c r="AK38" s="1976"/>
      <c r="AL38" s="1972"/>
      <c r="AM38" s="1972"/>
      <c r="AN38" s="1975"/>
      <c r="AO38" s="1898" t="str">
        <f t="shared" si="42"/>
        <v/>
      </c>
      <c r="CA38" s="1899" t="str">
        <f t="shared" si="43"/>
        <v/>
      </c>
      <c r="CB38" s="1899" t="str">
        <f>IF(AND(SUM(F38:M38)&gt;0,AI38="")," * No olvide digitar la variable "&amp;AI$34&amp;""&amp;" de menor de 1 año. Digite CERO si no tiene. ",IF(AI38&gt;SUM(F38:M38),"* La variable Control con Presencia del padre de menor de 1 año no debe ser mayor al Total de Controles de menores de 1 año. ",""))</f>
        <v/>
      </c>
      <c r="CC38" s="1979"/>
      <c r="CD38" s="1899" t="str">
        <f t="shared" si="44"/>
        <v/>
      </c>
      <c r="CE38" s="1899" t="str">
        <f t="shared" si="45"/>
        <v/>
      </c>
      <c r="CF38" s="1899" t="str">
        <f t="shared" si="46"/>
        <v/>
      </c>
      <c r="CG38" s="1899" t="str">
        <f t="shared" si="47"/>
        <v/>
      </c>
      <c r="CH38" s="1971"/>
      <c r="CU38" s="1901">
        <f t="shared" si="48"/>
        <v>0</v>
      </c>
      <c r="CV38" s="1901">
        <f>IF(AND(SUM(F38)&gt;0,AI38=""),1,IF(AI38&gt;SUM(F38),1,0))</f>
        <v>0</v>
      </c>
      <c r="CW38" s="1903"/>
      <c r="CX38" s="1901">
        <f t="shared" si="40"/>
        <v>0</v>
      </c>
      <c r="CY38" s="1901">
        <f t="shared" si="40"/>
        <v>0</v>
      </c>
      <c r="CZ38" s="1901">
        <f t="shared" si="40"/>
        <v>0</v>
      </c>
      <c r="DA38" s="1901">
        <f t="shared" si="40"/>
        <v>0</v>
      </c>
    </row>
    <row r="39" spans="1:105" ht="15" customHeight="1" x14ac:dyDescent="0.3">
      <c r="A39" s="5791"/>
      <c r="B39" s="529" t="s">
        <v>99</v>
      </c>
      <c r="C39" s="519">
        <f>SUM(D39:E39)</f>
        <v>0</v>
      </c>
      <c r="D39" s="1980"/>
      <c r="E39" s="1981"/>
      <c r="F39" s="1982"/>
      <c r="G39" s="1933"/>
      <c r="H39" s="1933"/>
      <c r="I39" s="1933"/>
      <c r="J39" s="1933"/>
      <c r="K39" s="1950"/>
      <c r="L39" s="1950"/>
      <c r="M39" s="1950"/>
      <c r="N39" s="1983"/>
      <c r="O39" s="1907"/>
      <c r="P39" s="1983"/>
      <c r="Q39" s="1983"/>
      <c r="R39" s="1907"/>
      <c r="S39" s="1983"/>
      <c r="T39" s="1950"/>
      <c r="U39" s="1950"/>
      <c r="V39" s="1950"/>
      <c r="W39" s="1950"/>
      <c r="X39" s="1950"/>
      <c r="Y39" s="1950"/>
      <c r="Z39" s="1950"/>
      <c r="AA39" s="1950"/>
      <c r="AB39" s="1950"/>
      <c r="AC39" s="1950"/>
      <c r="AD39" s="1950"/>
      <c r="AE39" s="1950"/>
      <c r="AF39" s="1950"/>
      <c r="AG39" s="1984"/>
      <c r="AH39" s="1951"/>
      <c r="AI39" s="1985"/>
      <c r="AJ39" s="1986"/>
      <c r="AK39" s="1987"/>
      <c r="AL39" s="1983"/>
      <c r="AM39" s="1983"/>
      <c r="AN39" s="1986"/>
      <c r="AO39" s="1898" t="str">
        <f t="shared" si="42"/>
        <v/>
      </c>
      <c r="CA39" s="1899" t="str">
        <f>IF((D39+E39)&lt;&gt;$C39," * La suma de la variable Sexo (Hombres + Mujeres) no puede ser distinto al Total","")</f>
        <v/>
      </c>
      <c r="CB39" s="1979"/>
      <c r="CC39" s="1899" t="str">
        <f>IF(AND(SUM(N39:P39)&gt;0,AJ39="")," * No olvide digitar la variable "&amp;AI$34&amp;""&amp;" de 1 año a 3 años 11 meses 29 días. Digite CERO si no tiene. ",IF(AJ39&gt;SUM(N39:P39),"* La variable Control con Presencia del padre de 1 año a 3 años 11 meses 29 días no debe ser mayor al Total de Controles de 12 a 47 meses. ",""))</f>
        <v/>
      </c>
      <c r="CD39" s="1899" t="str">
        <f t="shared" si="44"/>
        <v/>
      </c>
      <c r="CE39" s="1899" t="str">
        <f t="shared" si="45"/>
        <v/>
      </c>
      <c r="CF39" s="1899" t="str">
        <f t="shared" si="46"/>
        <v/>
      </c>
      <c r="CG39" s="1899" t="str">
        <f t="shared" si="47"/>
        <v/>
      </c>
      <c r="CH39" s="1971"/>
      <c r="CU39" s="1901">
        <f>IF(C39&lt;&gt;SUM(D39:E39),1,0)</f>
        <v>0</v>
      </c>
      <c r="CV39" s="1903"/>
      <c r="CW39" s="1901">
        <f>IF(AND(SUM(N39:P39)&gt;0,AJ39=""),1,IF(AJ39&gt;SUM(N39:P39),1,0))</f>
        <v>0</v>
      </c>
      <c r="CX39" s="1901">
        <f t="shared" si="40"/>
        <v>0</v>
      </c>
      <c r="CY39" s="1901">
        <f t="shared" si="40"/>
        <v>0</v>
      </c>
      <c r="CZ39" s="1901">
        <f t="shared" si="40"/>
        <v>0</v>
      </c>
      <c r="DA39" s="1901">
        <f t="shared" si="40"/>
        <v>0</v>
      </c>
    </row>
    <row r="40" spans="1:105" ht="18" customHeight="1" x14ac:dyDescent="0.3">
      <c r="A40" s="5746" t="s">
        <v>100</v>
      </c>
      <c r="B40" s="5746"/>
      <c r="C40" s="5746"/>
      <c r="D40" s="5746"/>
      <c r="E40" s="5746"/>
      <c r="F40" s="5746"/>
      <c r="G40" s="5746"/>
      <c r="H40" s="5746"/>
      <c r="I40" s="5746"/>
      <c r="J40" s="5746"/>
      <c r="K40" s="5746"/>
      <c r="L40" s="5746"/>
      <c r="M40" s="5746"/>
      <c r="N40" s="5746"/>
      <c r="O40" s="5746"/>
      <c r="P40" s="5746"/>
      <c r="Q40" s="5746"/>
      <c r="R40" s="5746"/>
      <c r="S40" s="5746"/>
      <c r="T40" s="5746"/>
      <c r="U40" s="5746"/>
      <c r="V40" s="5746"/>
      <c r="W40" s="5746"/>
      <c r="X40" s="5746"/>
      <c r="Y40" s="5746"/>
      <c r="Z40" s="5746"/>
      <c r="AA40" s="5746"/>
      <c r="AB40" s="5746"/>
      <c r="AC40" s="5746"/>
      <c r="AD40" s="5746"/>
      <c r="AE40" s="5746"/>
      <c r="AF40" s="5746"/>
      <c r="AG40" s="5746"/>
      <c r="AH40" s="5746"/>
      <c r="AI40" s="5746"/>
      <c r="AJ40" s="5746"/>
      <c r="AK40" s="5746"/>
      <c r="AL40" s="5746"/>
      <c r="AM40" s="5747"/>
      <c r="AN40" s="1988"/>
      <c r="AO40" s="1989"/>
    </row>
    <row r="41" spans="1:105" ht="15" customHeight="1" x14ac:dyDescent="0.3">
      <c r="A41" s="5770" t="s">
        <v>26</v>
      </c>
      <c r="B41" s="5770" t="s">
        <v>27</v>
      </c>
      <c r="C41" s="5806" t="s">
        <v>77</v>
      </c>
      <c r="D41" s="5774"/>
      <c r="E41" s="5758"/>
      <c r="F41" s="5800" t="s">
        <v>101</v>
      </c>
      <c r="G41" s="5807"/>
      <c r="H41" s="5807"/>
      <c r="I41" s="5807"/>
      <c r="J41" s="5807"/>
      <c r="K41" s="5807"/>
      <c r="L41" s="5807"/>
      <c r="M41" s="5807"/>
      <c r="N41" s="5807"/>
      <c r="O41" s="5807"/>
      <c r="P41" s="5807"/>
      <c r="Q41" s="5807"/>
      <c r="R41" s="5807"/>
      <c r="S41" s="5807"/>
      <c r="T41" s="5807"/>
      <c r="U41" s="5807"/>
      <c r="V41" s="5807"/>
      <c r="W41" s="5807"/>
      <c r="X41" s="5807"/>
      <c r="Y41" s="5807"/>
      <c r="Z41" s="5807"/>
      <c r="AA41" s="5807"/>
      <c r="AB41" s="5807"/>
      <c r="AC41" s="5807"/>
      <c r="AD41" s="5807"/>
      <c r="AE41" s="5807"/>
      <c r="AF41" s="5807"/>
      <c r="AG41" s="5807"/>
      <c r="AH41" s="5807"/>
      <c r="AI41" s="5807"/>
      <c r="AJ41" s="5807"/>
      <c r="AK41" s="5807"/>
      <c r="AL41" s="5807"/>
      <c r="AM41" s="5808"/>
      <c r="AN41" s="5765" t="s">
        <v>36</v>
      </c>
      <c r="AO41" s="5797" t="s">
        <v>37</v>
      </c>
      <c r="AP41" s="5754" t="s">
        <v>102</v>
      </c>
    </row>
    <row r="42" spans="1:105" ht="15" customHeight="1" x14ac:dyDescent="0.3">
      <c r="A42" s="5771"/>
      <c r="B42" s="5771"/>
      <c r="C42" s="5776"/>
      <c r="D42" s="5777"/>
      <c r="E42" s="5759"/>
      <c r="F42" s="5800" t="s">
        <v>103</v>
      </c>
      <c r="G42" s="5801"/>
      <c r="H42" s="5800" t="s">
        <v>42</v>
      </c>
      <c r="I42" s="5801"/>
      <c r="J42" s="5800" t="s">
        <v>43</v>
      </c>
      <c r="K42" s="5801"/>
      <c r="L42" s="5800" t="s">
        <v>44</v>
      </c>
      <c r="M42" s="5801"/>
      <c r="N42" s="5802" t="s">
        <v>45</v>
      </c>
      <c r="O42" s="5762"/>
      <c r="P42" s="5802" t="s">
        <v>46</v>
      </c>
      <c r="Q42" s="5762"/>
      <c r="R42" s="5802" t="s">
        <v>47</v>
      </c>
      <c r="S42" s="5762"/>
      <c r="T42" s="5802" t="s">
        <v>48</v>
      </c>
      <c r="U42" s="5762"/>
      <c r="V42" s="5802" t="s">
        <v>49</v>
      </c>
      <c r="W42" s="5762"/>
      <c r="X42" s="5802" t="s">
        <v>50</v>
      </c>
      <c r="Y42" s="5762"/>
      <c r="Z42" s="5802" t="s">
        <v>51</v>
      </c>
      <c r="AA42" s="5762"/>
      <c r="AB42" s="5802" t="s">
        <v>52</v>
      </c>
      <c r="AC42" s="5762"/>
      <c r="AD42" s="5802" t="s">
        <v>53</v>
      </c>
      <c r="AE42" s="5762"/>
      <c r="AF42" s="5802" t="s">
        <v>54</v>
      </c>
      <c r="AG42" s="5762"/>
      <c r="AH42" s="5802" t="s">
        <v>55</v>
      </c>
      <c r="AI42" s="5762"/>
      <c r="AJ42" s="5802" t="s">
        <v>56</v>
      </c>
      <c r="AK42" s="5762"/>
      <c r="AL42" s="5802" t="s">
        <v>57</v>
      </c>
      <c r="AM42" s="5803"/>
      <c r="AN42" s="5766"/>
      <c r="AO42" s="5798"/>
      <c r="AP42" s="5755"/>
    </row>
    <row r="43" spans="1:105" ht="15" customHeight="1" x14ac:dyDescent="0.3">
      <c r="A43" s="5772"/>
      <c r="B43" s="5772"/>
      <c r="C43" s="1956" t="s">
        <v>79</v>
      </c>
      <c r="D43" s="1874" t="s">
        <v>58</v>
      </c>
      <c r="E43" s="1990" t="s">
        <v>59</v>
      </c>
      <c r="F43" s="1991" t="s">
        <v>58</v>
      </c>
      <c r="G43" s="1884" t="s">
        <v>59</v>
      </c>
      <c r="H43" s="1991" t="s">
        <v>58</v>
      </c>
      <c r="I43" s="1884" t="s">
        <v>59</v>
      </c>
      <c r="J43" s="1991" t="s">
        <v>58</v>
      </c>
      <c r="K43" s="1884" t="s">
        <v>59</v>
      </c>
      <c r="L43" s="1991" t="s">
        <v>58</v>
      </c>
      <c r="M43" s="1884" t="s">
        <v>59</v>
      </c>
      <c r="N43" s="1991" t="s">
        <v>58</v>
      </c>
      <c r="O43" s="1884" t="s">
        <v>59</v>
      </c>
      <c r="P43" s="1991" t="s">
        <v>58</v>
      </c>
      <c r="Q43" s="1884" t="s">
        <v>59</v>
      </c>
      <c r="R43" s="1991" t="s">
        <v>58</v>
      </c>
      <c r="S43" s="1884" t="s">
        <v>59</v>
      </c>
      <c r="T43" s="1991" t="s">
        <v>58</v>
      </c>
      <c r="U43" s="1884" t="s">
        <v>59</v>
      </c>
      <c r="V43" s="1991" t="s">
        <v>58</v>
      </c>
      <c r="W43" s="1884" t="s">
        <v>59</v>
      </c>
      <c r="X43" s="1991" t="s">
        <v>58</v>
      </c>
      <c r="Y43" s="1884" t="s">
        <v>59</v>
      </c>
      <c r="Z43" s="1991" t="s">
        <v>58</v>
      </c>
      <c r="AA43" s="1884" t="s">
        <v>59</v>
      </c>
      <c r="AB43" s="1991" t="s">
        <v>58</v>
      </c>
      <c r="AC43" s="1884" t="s">
        <v>59</v>
      </c>
      <c r="AD43" s="1991" t="s">
        <v>58</v>
      </c>
      <c r="AE43" s="1884" t="s">
        <v>59</v>
      </c>
      <c r="AF43" s="1991" t="s">
        <v>58</v>
      </c>
      <c r="AG43" s="1884" t="s">
        <v>59</v>
      </c>
      <c r="AH43" s="1991" t="s">
        <v>58</v>
      </c>
      <c r="AI43" s="1884" t="s">
        <v>59</v>
      </c>
      <c r="AJ43" s="1991" t="s">
        <v>58</v>
      </c>
      <c r="AK43" s="1884" t="s">
        <v>59</v>
      </c>
      <c r="AL43" s="1991" t="s">
        <v>58</v>
      </c>
      <c r="AM43" s="1875" t="s">
        <v>59</v>
      </c>
      <c r="AN43" s="5767"/>
      <c r="AO43" s="5799"/>
      <c r="AP43" s="5756"/>
    </row>
    <row r="44" spans="1:105" ht="15" customHeight="1" x14ac:dyDescent="0.3">
      <c r="A44" s="5789" t="s">
        <v>104</v>
      </c>
      <c r="B44" s="1885" t="s">
        <v>64</v>
      </c>
      <c r="C44" s="1992">
        <f>SUM(D44:E44)</f>
        <v>0</v>
      </c>
      <c r="D44" s="1993">
        <f>SUM(L44+N44+P44+R44+T44+V44+X44+Z44+AB44+AD44+AF44+AH44+AJ44+AL44)</f>
        <v>0</v>
      </c>
      <c r="E44" s="1994">
        <f>SUM(M44+O44+Q44+S44+U44+W44+Y44+AA44+AC44+AE44+AG44+AI44+AK44+AM44)</f>
        <v>0</v>
      </c>
      <c r="F44" s="1887"/>
      <c r="G44" s="1995"/>
      <c r="H44" s="1887"/>
      <c r="I44" s="1995"/>
      <c r="J44" s="1887"/>
      <c r="K44" s="1995"/>
      <c r="L44" s="1936"/>
      <c r="M44" s="1996"/>
      <c r="N44" s="1936"/>
      <c r="O44" s="1996"/>
      <c r="P44" s="1936"/>
      <c r="Q44" s="1996"/>
      <c r="R44" s="1936"/>
      <c r="S44" s="1996"/>
      <c r="T44" s="1936"/>
      <c r="U44" s="1996"/>
      <c r="V44" s="1936"/>
      <c r="W44" s="1996"/>
      <c r="X44" s="1936"/>
      <c r="Y44" s="1996"/>
      <c r="Z44" s="1936"/>
      <c r="AA44" s="1996"/>
      <c r="AB44" s="1936"/>
      <c r="AC44" s="1996"/>
      <c r="AD44" s="1936"/>
      <c r="AE44" s="1996"/>
      <c r="AF44" s="1936"/>
      <c r="AG44" s="1996"/>
      <c r="AH44" s="1936"/>
      <c r="AI44" s="1996"/>
      <c r="AJ44" s="1936"/>
      <c r="AK44" s="1996"/>
      <c r="AL44" s="1936"/>
      <c r="AM44" s="1944"/>
      <c r="AN44" s="1997"/>
      <c r="AO44" s="1996"/>
      <c r="AP44" s="1969"/>
      <c r="AQ44" s="1898" t="str">
        <f>CA44&amp;CB44&amp;CC44</f>
        <v/>
      </c>
      <c r="BU44" s="1970"/>
      <c r="BV44" s="1970"/>
      <c r="BW44" s="1970"/>
      <c r="BX44" s="1970"/>
      <c r="BY44" s="1970"/>
      <c r="BZ44" s="1970"/>
      <c r="CA44" s="1899" t="str">
        <f>IF(AND($C44&lt;&gt;0,AN44=""),"* No olvide ingresar la variable "&amp;AN$41&amp;""&amp;". Digite CERO si no tiene. ",IF(AN44&gt;$C44,"* La variable Pueblos Originarios no debe ser mayor al Total Ambos Sexos. ",""))</f>
        <v/>
      </c>
      <c r="CB44" s="1899" t="str">
        <f>IF(AND($C44&lt;&gt;0,AO44=""),"* No olvide ingresar la variable "&amp;AO$41&amp;""&amp;" (Digite CERO si no tiene). ",IF(AO44&gt;$C44,"* La variable Migrantes no debe ser mayor al Total Ambos Sexos. ",""))</f>
        <v/>
      </c>
      <c r="CC44" s="1899" t="str">
        <f>IF(AND($C44&lt;&gt;0,AP44=""),"* No olvide ingresar la variable "&amp;AP$41&amp;""&amp;" (Digite CERO si no tiene). ",IF(AP44&gt;$C44,"* La variable Extensión Horaria (PRAPS) no debe ser mayor al Total Ambos Sexos. ",""))</f>
        <v/>
      </c>
      <c r="CD44" s="1970"/>
      <c r="CU44" s="1901">
        <f>IF(AND($C44&lt;&gt;0,AN44=""),1,IF(AN44&gt;$C44,1,0))</f>
        <v>0</v>
      </c>
      <c r="CV44" s="1901">
        <f>IF(AND($C44&lt;&gt;0,AO44=""),1,IF(AO44&gt;$C44,1,0))</f>
        <v>0</v>
      </c>
      <c r="CW44" s="1901">
        <f>IF(AND($C44&lt;&gt;0,AP44=""),1,IF(AP44&gt;$C44,1,0))</f>
        <v>0</v>
      </c>
    </row>
    <row r="45" spans="1:105" ht="15" customHeight="1" x14ac:dyDescent="0.3">
      <c r="A45" s="5790"/>
      <c r="B45" s="358" t="s">
        <v>98</v>
      </c>
      <c r="C45" s="1998">
        <f t="shared" ref="C45:C66" si="49">SUM(D45:E45)</f>
        <v>0</v>
      </c>
      <c r="D45" s="1999">
        <f t="shared" ref="D45:E47" si="50">SUM(L45+N45+P45+R45+T45+V45+X45+Z45+AB45+AD45+AF45+AH45+AJ45+AL45)</f>
        <v>0</v>
      </c>
      <c r="E45" s="2000">
        <f t="shared" si="50"/>
        <v>0</v>
      </c>
      <c r="F45" s="2001"/>
      <c r="G45" s="2002"/>
      <c r="H45" s="1977"/>
      <c r="I45" s="2002"/>
      <c r="J45" s="1977"/>
      <c r="K45" s="2002"/>
      <c r="L45" s="329"/>
      <c r="M45" s="2003"/>
      <c r="N45" s="329"/>
      <c r="O45" s="2003"/>
      <c r="P45" s="329"/>
      <c r="Q45" s="2003"/>
      <c r="R45" s="329"/>
      <c r="S45" s="2003"/>
      <c r="T45" s="329"/>
      <c r="U45" s="2003"/>
      <c r="V45" s="329"/>
      <c r="W45" s="2003"/>
      <c r="X45" s="329"/>
      <c r="Y45" s="2003"/>
      <c r="Z45" s="329"/>
      <c r="AA45" s="2003"/>
      <c r="AB45" s="329"/>
      <c r="AC45" s="2003"/>
      <c r="AD45" s="329"/>
      <c r="AE45" s="2003"/>
      <c r="AF45" s="329"/>
      <c r="AG45" s="2003"/>
      <c r="AH45" s="329"/>
      <c r="AI45" s="2003"/>
      <c r="AJ45" s="329"/>
      <c r="AK45" s="2003"/>
      <c r="AL45" s="329"/>
      <c r="AM45" s="332"/>
      <c r="AN45" s="2004"/>
      <c r="AO45" s="2003"/>
      <c r="AP45" s="330"/>
      <c r="AQ45" s="1898" t="str">
        <f t="shared" ref="AQ45:AQ66" si="51">CA45&amp;CB45&amp;CC45</f>
        <v/>
      </c>
      <c r="BU45" s="1970"/>
      <c r="BV45" s="1970"/>
      <c r="BW45" s="1970"/>
      <c r="BX45" s="1970"/>
      <c r="BY45" s="1970"/>
      <c r="BZ45" s="1970"/>
      <c r="CA45" s="1899" t="str">
        <f t="shared" ref="CA45:CA66" si="52">IF(AND($C45&lt;&gt;0,AN45=""),"* No olvide ingresar la variable "&amp;AN$41&amp;""&amp;". Digite CERO si no tiene. ",IF(AN45&gt;$C45,"* La variable Pueblos Originarios no debe ser mayor al Total Ambos Sexos. ",""))</f>
        <v/>
      </c>
      <c r="CB45" s="1899" t="str">
        <f t="shared" ref="CB45:CB66" si="53">IF(AND($C45&lt;&gt;0,AO45=""),"* No olvide ingresar la variable "&amp;AO$41&amp;""&amp;" (Digite CERO si no tiene). ",IF(AO45&gt;$C45,"* La variable Migrantes no debe ser mayor al Total Ambos Sexos. ",""))</f>
        <v/>
      </c>
      <c r="CC45" s="1899" t="str">
        <f t="shared" ref="CC45:CC47" si="54">IF(AND($C45&lt;&gt;0,AP45=""),"* No olvide ingresar la variable "&amp;AP$41&amp;""&amp;" (Digite CERO si no tiene). ",IF(AP45&gt;$C45,"* La variable Extensión Horaria (PRAPS) no debe ser mayor al Total Ambos Sexos. ",""))</f>
        <v/>
      </c>
      <c r="CD45" s="1970"/>
      <c r="CU45" s="1901">
        <f t="shared" ref="CU45:CU66" si="55">IF(AND($C45&lt;&gt;0,AN45=""),1,IF(AN45&gt;$C45,1,0))</f>
        <v>0</v>
      </c>
      <c r="CV45" s="1901">
        <f t="shared" ref="CV45:CV66" si="56">IF(AND($C45&lt;&gt;0,AO45=""),1,IF(AO45&gt;$C45,1,0))</f>
        <v>0</v>
      </c>
      <c r="CW45" s="1901">
        <f t="shared" ref="CW45:CW46" si="57">IF(AND($C45&lt;&gt;0,AP45=""),1,IF(AP45&gt;$C45,1,0))</f>
        <v>0</v>
      </c>
    </row>
    <row r="46" spans="1:105" ht="13.5" customHeight="1" x14ac:dyDescent="0.3">
      <c r="A46" s="5790"/>
      <c r="B46" s="358" t="s">
        <v>105</v>
      </c>
      <c r="C46" s="1998">
        <f t="shared" si="49"/>
        <v>0</v>
      </c>
      <c r="D46" s="1999">
        <f t="shared" si="50"/>
        <v>0</v>
      </c>
      <c r="E46" s="2000">
        <f t="shared" si="50"/>
        <v>0</v>
      </c>
      <c r="F46" s="334"/>
      <c r="G46" s="1012"/>
      <c r="H46" s="1919"/>
      <c r="I46" s="1012"/>
      <c r="J46" s="1919"/>
      <c r="K46" s="1012"/>
      <c r="L46" s="329"/>
      <c r="M46" s="2003"/>
      <c r="N46" s="329"/>
      <c r="O46" s="2003"/>
      <c r="P46" s="329"/>
      <c r="Q46" s="2003"/>
      <c r="R46" s="329"/>
      <c r="S46" s="2003"/>
      <c r="T46" s="329"/>
      <c r="U46" s="2003"/>
      <c r="V46" s="329"/>
      <c r="W46" s="2003"/>
      <c r="X46" s="329"/>
      <c r="Y46" s="2003"/>
      <c r="Z46" s="329"/>
      <c r="AA46" s="2003"/>
      <c r="AB46" s="329"/>
      <c r="AC46" s="2003"/>
      <c r="AD46" s="329"/>
      <c r="AE46" s="2003"/>
      <c r="AF46" s="329"/>
      <c r="AG46" s="2003"/>
      <c r="AH46" s="329"/>
      <c r="AI46" s="2003"/>
      <c r="AJ46" s="329"/>
      <c r="AK46" s="2003"/>
      <c r="AL46" s="329"/>
      <c r="AM46" s="332"/>
      <c r="AN46" s="2004"/>
      <c r="AO46" s="2003"/>
      <c r="AP46" s="330"/>
      <c r="AQ46" s="1898" t="str">
        <f t="shared" si="51"/>
        <v/>
      </c>
      <c r="BU46" s="1970"/>
      <c r="BV46" s="1970"/>
      <c r="BW46" s="1970"/>
      <c r="BX46" s="1970"/>
      <c r="BY46" s="1970"/>
      <c r="BZ46" s="1970"/>
      <c r="CA46" s="1899" t="str">
        <f t="shared" si="52"/>
        <v/>
      </c>
      <c r="CB46" s="1899" t="str">
        <f t="shared" si="53"/>
        <v/>
      </c>
      <c r="CC46" s="1899" t="str">
        <f t="shared" si="54"/>
        <v/>
      </c>
      <c r="CD46" s="1970"/>
      <c r="CU46" s="1901">
        <f t="shared" si="55"/>
        <v>0</v>
      </c>
      <c r="CV46" s="1901">
        <f t="shared" si="56"/>
        <v>0</v>
      </c>
      <c r="CW46" s="1901">
        <f t="shared" si="57"/>
        <v>0</v>
      </c>
    </row>
    <row r="47" spans="1:105" ht="13.5" customHeight="1" x14ac:dyDescent="0.3">
      <c r="A47" s="5791"/>
      <c r="B47" s="529" t="s">
        <v>99</v>
      </c>
      <c r="C47" s="2005">
        <f t="shared" si="49"/>
        <v>0</v>
      </c>
      <c r="D47" s="2006">
        <f t="shared" si="50"/>
        <v>0</v>
      </c>
      <c r="E47" s="2007">
        <f t="shared" si="50"/>
        <v>0</v>
      </c>
      <c r="F47" s="334"/>
      <c r="G47" s="2008"/>
      <c r="H47" s="334"/>
      <c r="I47" s="2008"/>
      <c r="J47" s="334"/>
      <c r="K47" s="2008"/>
      <c r="L47" s="876"/>
      <c r="M47" s="2009"/>
      <c r="N47" s="876"/>
      <c r="O47" s="2009"/>
      <c r="P47" s="876"/>
      <c r="Q47" s="2009"/>
      <c r="R47" s="876"/>
      <c r="S47" s="2009"/>
      <c r="T47" s="876"/>
      <c r="U47" s="2009"/>
      <c r="V47" s="876"/>
      <c r="W47" s="2009"/>
      <c r="X47" s="876"/>
      <c r="Y47" s="2009"/>
      <c r="Z47" s="876"/>
      <c r="AA47" s="2009"/>
      <c r="AB47" s="876"/>
      <c r="AC47" s="2009"/>
      <c r="AD47" s="876"/>
      <c r="AE47" s="2009"/>
      <c r="AF47" s="876"/>
      <c r="AG47" s="2009"/>
      <c r="AH47" s="876"/>
      <c r="AI47" s="2009"/>
      <c r="AJ47" s="876"/>
      <c r="AK47" s="2009"/>
      <c r="AL47" s="876"/>
      <c r="AM47" s="1953"/>
      <c r="AN47" s="1913"/>
      <c r="AO47" s="2009"/>
      <c r="AP47" s="877"/>
      <c r="AQ47" s="1898" t="str">
        <f t="shared" si="51"/>
        <v/>
      </c>
      <c r="BU47" s="1970"/>
      <c r="BV47" s="1970"/>
      <c r="BW47" s="1970"/>
      <c r="BX47" s="1970"/>
      <c r="BY47" s="1970"/>
      <c r="BZ47" s="1970"/>
      <c r="CA47" s="1899" t="str">
        <f t="shared" si="52"/>
        <v/>
      </c>
      <c r="CB47" s="1899" t="str">
        <f t="shared" si="53"/>
        <v/>
      </c>
      <c r="CC47" s="1899" t="str">
        <f t="shared" si="54"/>
        <v/>
      </c>
      <c r="CD47" s="1970"/>
      <c r="CU47" s="1901">
        <f t="shared" si="55"/>
        <v>0</v>
      </c>
      <c r="CV47" s="1901">
        <f t="shared" si="56"/>
        <v>0</v>
      </c>
      <c r="CW47" s="1901">
        <f>IF(AND($C47&lt;&gt;0,AP47=""),1,IF(AP47&gt;$C47,1,0))</f>
        <v>0</v>
      </c>
    </row>
    <row r="48" spans="1:105" ht="13.5" customHeight="1" x14ac:dyDescent="0.3">
      <c r="A48" s="5790" t="s">
        <v>106</v>
      </c>
      <c r="B48" s="1885" t="s">
        <v>64</v>
      </c>
      <c r="C48" s="1992">
        <f t="shared" si="49"/>
        <v>0</v>
      </c>
      <c r="D48" s="1993">
        <f t="shared" ref="D48:E53" si="58">SUM(AF48+AH48+AJ48+AL48)</f>
        <v>0</v>
      </c>
      <c r="E48" s="1994">
        <f t="shared" si="58"/>
        <v>0</v>
      </c>
      <c r="F48" s="1887"/>
      <c r="G48" s="2010"/>
      <c r="H48" s="1887"/>
      <c r="I48" s="2010"/>
      <c r="J48" s="1887"/>
      <c r="K48" s="1995"/>
      <c r="L48" s="1887"/>
      <c r="M48" s="1995"/>
      <c r="N48" s="1887"/>
      <c r="O48" s="1995"/>
      <c r="P48" s="1887"/>
      <c r="Q48" s="1995"/>
      <c r="R48" s="1887"/>
      <c r="S48" s="1995"/>
      <c r="T48" s="1887"/>
      <c r="U48" s="1995"/>
      <c r="V48" s="1887"/>
      <c r="W48" s="1995"/>
      <c r="X48" s="1887"/>
      <c r="Y48" s="1995"/>
      <c r="Z48" s="1887"/>
      <c r="AA48" s="1995"/>
      <c r="AB48" s="1887"/>
      <c r="AC48" s="1995"/>
      <c r="AD48" s="1887"/>
      <c r="AE48" s="1995"/>
      <c r="AF48" s="1936"/>
      <c r="AG48" s="1996"/>
      <c r="AH48" s="1936"/>
      <c r="AI48" s="1996"/>
      <c r="AJ48" s="1936"/>
      <c r="AK48" s="1996"/>
      <c r="AL48" s="1936"/>
      <c r="AM48" s="1944"/>
      <c r="AN48" s="1997"/>
      <c r="AO48" s="1996"/>
      <c r="AP48" s="2011"/>
      <c r="AQ48" s="1898" t="str">
        <f t="shared" si="51"/>
        <v/>
      </c>
      <c r="BU48" s="1970"/>
      <c r="BV48" s="1970"/>
      <c r="BW48" s="1970"/>
      <c r="BX48" s="1970"/>
      <c r="BY48" s="1970"/>
      <c r="BZ48" s="1970"/>
      <c r="CA48" s="1899" t="str">
        <f t="shared" si="52"/>
        <v/>
      </c>
      <c r="CB48" s="1899" t="str">
        <f t="shared" si="53"/>
        <v/>
      </c>
      <c r="CC48" s="1979"/>
      <c r="CD48" s="1970"/>
      <c r="CU48" s="1901">
        <f t="shared" si="55"/>
        <v>0</v>
      </c>
      <c r="CV48" s="1901">
        <f t="shared" si="56"/>
        <v>0</v>
      </c>
    </row>
    <row r="49" spans="1:100" ht="13.5" customHeight="1" x14ac:dyDescent="0.3">
      <c r="A49" s="5790"/>
      <c r="B49" s="358" t="s">
        <v>98</v>
      </c>
      <c r="C49" s="2012">
        <f t="shared" si="49"/>
        <v>0</v>
      </c>
      <c r="D49" s="2013">
        <f t="shared" si="58"/>
        <v>0</v>
      </c>
      <c r="E49" s="2014">
        <f t="shared" si="58"/>
        <v>0</v>
      </c>
      <c r="F49" s="2015"/>
      <c r="G49" s="2016"/>
      <c r="H49" s="2015"/>
      <c r="I49" s="2016"/>
      <c r="J49" s="2015"/>
      <c r="K49" s="32"/>
      <c r="L49" s="2015"/>
      <c r="M49" s="32"/>
      <c r="N49" s="2015"/>
      <c r="O49" s="32"/>
      <c r="P49" s="2015"/>
      <c r="Q49" s="32"/>
      <c r="R49" s="2015"/>
      <c r="S49" s="32"/>
      <c r="T49" s="2015"/>
      <c r="U49" s="32"/>
      <c r="V49" s="2015"/>
      <c r="W49" s="32"/>
      <c r="X49" s="2015"/>
      <c r="Y49" s="32"/>
      <c r="Z49" s="2015"/>
      <c r="AA49" s="32"/>
      <c r="AB49" s="2015"/>
      <c r="AC49" s="32"/>
      <c r="AD49" s="2015"/>
      <c r="AE49" s="32"/>
      <c r="AF49" s="1921"/>
      <c r="AG49" s="30"/>
      <c r="AH49" s="1921"/>
      <c r="AI49" s="30"/>
      <c r="AJ49" s="1921"/>
      <c r="AK49" s="30"/>
      <c r="AL49" s="1921"/>
      <c r="AM49" s="1945"/>
      <c r="AN49" s="2017"/>
      <c r="AO49" s="30"/>
      <c r="AP49" s="2018"/>
      <c r="AQ49" s="1898" t="str">
        <f t="shared" si="51"/>
        <v/>
      </c>
      <c r="BU49" s="1970"/>
      <c r="BV49" s="1970"/>
      <c r="BW49" s="1970"/>
      <c r="BX49" s="1970"/>
      <c r="BY49" s="1970"/>
      <c r="BZ49" s="1970"/>
      <c r="CA49" s="1899" t="str">
        <f t="shared" si="52"/>
        <v/>
      </c>
      <c r="CB49" s="1899" t="str">
        <f t="shared" si="53"/>
        <v/>
      </c>
      <c r="CC49" s="1979"/>
      <c r="CD49" s="1970"/>
      <c r="CU49" s="1901">
        <f t="shared" si="55"/>
        <v>0</v>
      </c>
      <c r="CV49" s="1901">
        <f t="shared" si="56"/>
        <v>0</v>
      </c>
    </row>
    <row r="50" spans="1:100" ht="21.6" x14ac:dyDescent="0.3">
      <c r="A50" s="5791"/>
      <c r="B50" s="2019" t="s">
        <v>107</v>
      </c>
      <c r="C50" s="2005">
        <f t="shared" si="49"/>
        <v>0</v>
      </c>
      <c r="D50" s="2006">
        <f t="shared" si="58"/>
        <v>0</v>
      </c>
      <c r="E50" s="2007">
        <f t="shared" si="58"/>
        <v>0</v>
      </c>
      <c r="F50" s="1905"/>
      <c r="G50" s="2020"/>
      <c r="H50" s="1905"/>
      <c r="I50" s="2020"/>
      <c r="J50" s="1905"/>
      <c r="K50" s="2021"/>
      <c r="L50" s="1905"/>
      <c r="M50" s="2021"/>
      <c r="N50" s="1905"/>
      <c r="O50" s="2021"/>
      <c r="P50" s="1905"/>
      <c r="Q50" s="2021"/>
      <c r="R50" s="1905"/>
      <c r="S50" s="2021"/>
      <c r="T50" s="1905"/>
      <c r="U50" s="2021"/>
      <c r="V50" s="1905"/>
      <c r="W50" s="2021"/>
      <c r="X50" s="1905"/>
      <c r="Y50" s="2021"/>
      <c r="Z50" s="1905"/>
      <c r="AA50" s="2021"/>
      <c r="AB50" s="1905"/>
      <c r="AC50" s="2021"/>
      <c r="AD50" s="1905"/>
      <c r="AE50" s="2021"/>
      <c r="AF50" s="876"/>
      <c r="AG50" s="2009"/>
      <c r="AH50" s="876"/>
      <c r="AI50" s="2009"/>
      <c r="AJ50" s="876"/>
      <c r="AK50" s="2009"/>
      <c r="AL50" s="876"/>
      <c r="AM50" s="1953"/>
      <c r="AN50" s="1913"/>
      <c r="AO50" s="2009"/>
      <c r="AP50" s="2022"/>
      <c r="AQ50" s="1898" t="str">
        <f t="shared" si="51"/>
        <v/>
      </c>
      <c r="BU50" s="1970"/>
      <c r="BV50" s="1970"/>
      <c r="BW50" s="1970"/>
      <c r="BX50" s="1970"/>
      <c r="BY50" s="1970"/>
      <c r="BZ50" s="1970"/>
      <c r="CA50" s="1899" t="str">
        <f t="shared" si="52"/>
        <v/>
      </c>
      <c r="CB50" s="1899" t="str">
        <f t="shared" si="53"/>
        <v/>
      </c>
      <c r="CC50" s="1979"/>
      <c r="CD50" s="1970"/>
      <c r="CU50" s="1901">
        <f t="shared" si="55"/>
        <v>0</v>
      </c>
      <c r="CV50" s="1901">
        <f t="shared" si="56"/>
        <v>0</v>
      </c>
    </row>
    <row r="51" spans="1:100" ht="13.5" customHeight="1" x14ac:dyDescent="0.3">
      <c r="A51" s="5792" t="s">
        <v>108</v>
      </c>
      <c r="B51" s="1885" t="s">
        <v>64</v>
      </c>
      <c r="C51" s="2023">
        <f t="shared" si="49"/>
        <v>0</v>
      </c>
      <c r="D51" s="2024">
        <f t="shared" si="58"/>
        <v>0</v>
      </c>
      <c r="E51" s="2025">
        <f t="shared" si="58"/>
        <v>0</v>
      </c>
      <c r="F51" s="1887"/>
      <c r="G51" s="2010"/>
      <c r="H51" s="1887"/>
      <c r="I51" s="2010"/>
      <c r="J51" s="1887"/>
      <c r="K51" s="1995"/>
      <c r="L51" s="1887"/>
      <c r="M51" s="1995"/>
      <c r="N51" s="1887"/>
      <c r="O51" s="1995"/>
      <c r="P51" s="1887"/>
      <c r="Q51" s="1995"/>
      <c r="R51" s="1887"/>
      <c r="S51" s="1995"/>
      <c r="T51" s="1887"/>
      <c r="U51" s="1995"/>
      <c r="V51" s="1887"/>
      <c r="W51" s="1995"/>
      <c r="X51" s="1887"/>
      <c r="Y51" s="1995"/>
      <c r="Z51" s="1887"/>
      <c r="AA51" s="1995"/>
      <c r="AB51" s="1887"/>
      <c r="AC51" s="1995"/>
      <c r="AD51" s="1887"/>
      <c r="AE51" s="1995"/>
      <c r="AF51" s="1936"/>
      <c r="AG51" s="1996"/>
      <c r="AH51" s="1936"/>
      <c r="AI51" s="1996"/>
      <c r="AJ51" s="1936"/>
      <c r="AK51" s="1996"/>
      <c r="AL51" s="1936"/>
      <c r="AM51" s="1944"/>
      <c r="AN51" s="1997"/>
      <c r="AO51" s="1996"/>
      <c r="AP51" s="2011"/>
      <c r="AQ51" s="1898" t="str">
        <f t="shared" si="51"/>
        <v/>
      </c>
      <c r="BU51" s="1970"/>
      <c r="BV51" s="1970"/>
      <c r="BW51" s="1970"/>
      <c r="BX51" s="1970"/>
      <c r="BY51" s="1970"/>
      <c r="BZ51" s="1970"/>
      <c r="CA51" s="1899" t="str">
        <f t="shared" si="52"/>
        <v/>
      </c>
      <c r="CB51" s="1899" t="str">
        <f t="shared" si="53"/>
        <v/>
      </c>
      <c r="CC51" s="1979"/>
      <c r="CD51" s="1970"/>
      <c r="CU51" s="1901">
        <f t="shared" si="55"/>
        <v>0</v>
      </c>
      <c r="CV51" s="1901">
        <f t="shared" si="56"/>
        <v>0</v>
      </c>
    </row>
    <row r="52" spans="1:100" ht="15" customHeight="1" x14ac:dyDescent="0.3">
      <c r="A52" s="5790"/>
      <c r="B52" s="358" t="s">
        <v>98</v>
      </c>
      <c r="C52" s="2012">
        <f t="shared" si="49"/>
        <v>0</v>
      </c>
      <c r="D52" s="2013">
        <f t="shared" si="58"/>
        <v>0</v>
      </c>
      <c r="E52" s="2014">
        <f t="shared" si="58"/>
        <v>0</v>
      </c>
      <c r="F52" s="2015"/>
      <c r="G52" s="2016"/>
      <c r="H52" s="2015"/>
      <c r="I52" s="2016"/>
      <c r="J52" s="2015"/>
      <c r="K52" s="32"/>
      <c r="L52" s="2015"/>
      <c r="M52" s="32"/>
      <c r="N52" s="2015"/>
      <c r="O52" s="32"/>
      <c r="P52" s="2015"/>
      <c r="Q52" s="32"/>
      <c r="R52" s="2015"/>
      <c r="S52" s="32"/>
      <c r="T52" s="2015"/>
      <c r="U52" s="32"/>
      <c r="V52" s="2015"/>
      <c r="W52" s="32"/>
      <c r="X52" s="2015"/>
      <c r="Y52" s="32"/>
      <c r="Z52" s="2015"/>
      <c r="AA52" s="32"/>
      <c r="AB52" s="2015"/>
      <c r="AC52" s="32"/>
      <c r="AD52" s="2015"/>
      <c r="AE52" s="32"/>
      <c r="AF52" s="1921"/>
      <c r="AG52" s="30"/>
      <c r="AH52" s="1921"/>
      <c r="AI52" s="30"/>
      <c r="AJ52" s="1921"/>
      <c r="AK52" s="30"/>
      <c r="AL52" s="1921"/>
      <c r="AM52" s="1945"/>
      <c r="AN52" s="2017"/>
      <c r="AO52" s="30"/>
      <c r="AP52" s="2018"/>
      <c r="AQ52" s="1898" t="str">
        <f t="shared" si="51"/>
        <v/>
      </c>
      <c r="BU52" s="1970"/>
      <c r="BV52" s="1970"/>
      <c r="BW52" s="1970"/>
      <c r="BX52" s="1970"/>
      <c r="BY52" s="1970"/>
      <c r="BZ52" s="1970"/>
      <c r="CA52" s="1899" t="str">
        <f t="shared" si="52"/>
        <v/>
      </c>
      <c r="CB52" s="1899" t="str">
        <f t="shared" si="53"/>
        <v/>
      </c>
      <c r="CC52" s="1979"/>
      <c r="CD52" s="1970"/>
      <c r="CU52" s="1901">
        <f t="shared" si="55"/>
        <v>0</v>
      </c>
      <c r="CV52" s="1901">
        <f t="shared" si="56"/>
        <v>0</v>
      </c>
    </row>
    <row r="53" spans="1:100" ht="24.6" customHeight="1" x14ac:dyDescent="0.3">
      <c r="A53" s="5791"/>
      <c r="B53" s="2019" t="s">
        <v>107</v>
      </c>
      <c r="C53" s="2026">
        <f t="shared" si="49"/>
        <v>0</v>
      </c>
      <c r="D53" s="2027">
        <f t="shared" si="58"/>
        <v>0</v>
      </c>
      <c r="E53" s="2028">
        <f t="shared" si="58"/>
        <v>0</v>
      </c>
      <c r="F53" s="1905"/>
      <c r="G53" s="2020"/>
      <c r="H53" s="1905"/>
      <c r="I53" s="2020"/>
      <c r="J53" s="1905"/>
      <c r="K53" s="2021"/>
      <c r="L53" s="1905"/>
      <c r="M53" s="2021"/>
      <c r="N53" s="1905"/>
      <c r="O53" s="2021"/>
      <c r="P53" s="1905"/>
      <c r="Q53" s="2021"/>
      <c r="R53" s="1905"/>
      <c r="S53" s="2021"/>
      <c r="T53" s="1905"/>
      <c r="U53" s="2021"/>
      <c r="V53" s="1905"/>
      <c r="W53" s="2021"/>
      <c r="X53" s="1905"/>
      <c r="Y53" s="2021"/>
      <c r="Z53" s="1905"/>
      <c r="AA53" s="2021"/>
      <c r="AB53" s="1905"/>
      <c r="AC53" s="2021"/>
      <c r="AD53" s="1905"/>
      <c r="AE53" s="2021"/>
      <c r="AF53" s="876"/>
      <c r="AG53" s="2009"/>
      <c r="AH53" s="876"/>
      <c r="AI53" s="2009"/>
      <c r="AJ53" s="876"/>
      <c r="AK53" s="2009"/>
      <c r="AL53" s="876"/>
      <c r="AM53" s="1953"/>
      <c r="AN53" s="1913"/>
      <c r="AO53" s="2009"/>
      <c r="AP53" s="2022"/>
      <c r="AQ53" s="1898" t="str">
        <f t="shared" si="51"/>
        <v/>
      </c>
      <c r="BU53" s="1970"/>
      <c r="BV53" s="1970"/>
      <c r="BW53" s="1970"/>
      <c r="BX53" s="1970"/>
      <c r="BY53" s="1970"/>
      <c r="BZ53" s="1970"/>
      <c r="CA53" s="1899" t="str">
        <f t="shared" si="52"/>
        <v/>
      </c>
      <c r="CB53" s="1899" t="str">
        <f t="shared" si="53"/>
        <v/>
      </c>
      <c r="CC53" s="1979"/>
      <c r="CD53" s="1970"/>
      <c r="CU53" s="1901">
        <f t="shared" si="55"/>
        <v>0</v>
      </c>
      <c r="CV53" s="1901">
        <f t="shared" si="56"/>
        <v>0</v>
      </c>
    </row>
    <row r="54" spans="1:100" ht="15" customHeight="1" x14ac:dyDescent="0.3">
      <c r="A54" s="5793" t="s">
        <v>109</v>
      </c>
      <c r="B54" s="1885" t="s">
        <v>64</v>
      </c>
      <c r="C54" s="2029">
        <f t="shared" si="49"/>
        <v>0</v>
      </c>
      <c r="D54" s="2030">
        <f t="shared" ref="D54:D62" si="59">SUM(F54+H54+J54+L54+N54+P54+R54+T54+V54+X54+Z54+AB54+AD54+AF54+AH54+AJ54+AL54)</f>
        <v>0</v>
      </c>
      <c r="E54" s="2031">
        <f t="shared" ref="E54:E62" si="60">SUM(G54+I54+K54+M54+O54+Q54+S54+U54+W54+Y54+AA54+AC54+AE54+AG54+AI54+AK54+AM54)</f>
        <v>0</v>
      </c>
      <c r="F54" s="1936"/>
      <c r="G54" s="1996"/>
      <c r="H54" s="1936"/>
      <c r="I54" s="1996"/>
      <c r="J54" s="1936"/>
      <c r="K54" s="1996"/>
      <c r="L54" s="1936"/>
      <c r="M54" s="1996"/>
      <c r="N54" s="1936"/>
      <c r="O54" s="1996"/>
      <c r="P54" s="1936"/>
      <c r="Q54" s="1996"/>
      <c r="R54" s="1936"/>
      <c r="S54" s="1996"/>
      <c r="T54" s="1936"/>
      <c r="U54" s="1996"/>
      <c r="V54" s="1936"/>
      <c r="W54" s="1996"/>
      <c r="X54" s="1936"/>
      <c r="Y54" s="1996"/>
      <c r="Z54" s="1936"/>
      <c r="AA54" s="1996"/>
      <c r="AB54" s="1936"/>
      <c r="AC54" s="1996"/>
      <c r="AD54" s="1936"/>
      <c r="AE54" s="1996"/>
      <c r="AF54" s="1936"/>
      <c r="AG54" s="1996"/>
      <c r="AH54" s="1936"/>
      <c r="AI54" s="1996"/>
      <c r="AJ54" s="1936"/>
      <c r="AK54" s="1996"/>
      <c r="AL54" s="1936"/>
      <c r="AM54" s="1944"/>
      <c r="AN54" s="1997"/>
      <c r="AO54" s="1996"/>
      <c r="AP54" s="2011"/>
      <c r="AQ54" s="1898" t="str">
        <f t="shared" si="51"/>
        <v/>
      </c>
      <c r="BU54" s="1970"/>
      <c r="BV54" s="1970"/>
      <c r="BW54" s="1970"/>
      <c r="BX54" s="1970"/>
      <c r="BY54" s="1970"/>
      <c r="BZ54" s="1970"/>
      <c r="CA54" s="1899" t="str">
        <f t="shared" si="52"/>
        <v/>
      </c>
      <c r="CB54" s="1899" t="str">
        <f t="shared" si="53"/>
        <v/>
      </c>
      <c r="CC54" s="1979"/>
      <c r="CD54" s="1970"/>
      <c r="CU54" s="1901">
        <f t="shared" si="55"/>
        <v>0</v>
      </c>
      <c r="CV54" s="1901">
        <f t="shared" si="56"/>
        <v>0</v>
      </c>
    </row>
    <row r="55" spans="1:100" ht="15" customHeight="1" x14ac:dyDescent="0.3">
      <c r="A55" s="5790"/>
      <c r="B55" s="358" t="s">
        <v>98</v>
      </c>
      <c r="C55" s="2032">
        <f t="shared" si="49"/>
        <v>0</v>
      </c>
      <c r="D55" s="2033">
        <f t="shared" si="59"/>
        <v>0</v>
      </c>
      <c r="E55" s="2034">
        <f t="shared" si="60"/>
        <v>0</v>
      </c>
      <c r="F55" s="329"/>
      <c r="G55" s="2003"/>
      <c r="H55" s="329"/>
      <c r="I55" s="2003"/>
      <c r="J55" s="329"/>
      <c r="K55" s="2003"/>
      <c r="L55" s="329"/>
      <c r="M55" s="2003"/>
      <c r="N55" s="329"/>
      <c r="O55" s="2003"/>
      <c r="P55" s="329"/>
      <c r="Q55" s="2003"/>
      <c r="R55" s="329"/>
      <c r="S55" s="2003"/>
      <c r="T55" s="329"/>
      <c r="U55" s="2003"/>
      <c r="V55" s="329"/>
      <c r="W55" s="2003"/>
      <c r="X55" s="329"/>
      <c r="Y55" s="2003"/>
      <c r="Z55" s="329"/>
      <c r="AA55" s="2003"/>
      <c r="AB55" s="329"/>
      <c r="AC55" s="2003"/>
      <c r="AD55" s="329"/>
      <c r="AE55" s="2003"/>
      <c r="AF55" s="329"/>
      <c r="AG55" s="2003"/>
      <c r="AH55" s="329"/>
      <c r="AI55" s="2003"/>
      <c r="AJ55" s="329"/>
      <c r="AK55" s="2003"/>
      <c r="AL55" s="329"/>
      <c r="AM55" s="332"/>
      <c r="AN55" s="2004"/>
      <c r="AO55" s="2003"/>
      <c r="AP55" s="2035"/>
      <c r="AQ55" s="1898" t="str">
        <f t="shared" si="51"/>
        <v/>
      </c>
      <c r="BU55" s="1970"/>
      <c r="BV55" s="1970"/>
      <c r="BW55" s="1970"/>
      <c r="BX55" s="1970"/>
      <c r="BY55" s="1970"/>
      <c r="BZ55" s="1970"/>
      <c r="CA55" s="1899" t="str">
        <f t="shared" si="52"/>
        <v/>
      </c>
      <c r="CB55" s="1899" t="str">
        <f t="shared" si="53"/>
        <v/>
      </c>
      <c r="CC55" s="1979"/>
      <c r="CD55" s="1970"/>
      <c r="CU55" s="1901">
        <f t="shared" si="55"/>
        <v>0</v>
      </c>
      <c r="CV55" s="1901">
        <f t="shared" si="56"/>
        <v>0</v>
      </c>
    </row>
    <row r="56" spans="1:100" ht="15" customHeight="1" x14ac:dyDescent="0.3">
      <c r="A56" s="5791"/>
      <c r="B56" s="358" t="s">
        <v>65</v>
      </c>
      <c r="C56" s="2036">
        <f t="shared" si="49"/>
        <v>0</v>
      </c>
      <c r="D56" s="2037">
        <f t="shared" si="59"/>
        <v>0</v>
      </c>
      <c r="E56" s="2038">
        <f t="shared" si="60"/>
        <v>0</v>
      </c>
      <c r="F56" s="876"/>
      <c r="G56" s="2009"/>
      <c r="H56" s="876"/>
      <c r="I56" s="2009"/>
      <c r="J56" s="876"/>
      <c r="K56" s="2009"/>
      <c r="L56" s="876"/>
      <c r="M56" s="2009"/>
      <c r="N56" s="876"/>
      <c r="O56" s="2009"/>
      <c r="P56" s="876"/>
      <c r="Q56" s="2009"/>
      <c r="R56" s="876"/>
      <c r="S56" s="2009"/>
      <c r="T56" s="876"/>
      <c r="U56" s="2009"/>
      <c r="V56" s="876"/>
      <c r="W56" s="2009"/>
      <c r="X56" s="876"/>
      <c r="Y56" s="2009"/>
      <c r="Z56" s="876"/>
      <c r="AA56" s="2009"/>
      <c r="AB56" s="876"/>
      <c r="AC56" s="2009"/>
      <c r="AD56" s="876"/>
      <c r="AE56" s="2009"/>
      <c r="AF56" s="876"/>
      <c r="AG56" s="2009"/>
      <c r="AH56" s="876"/>
      <c r="AI56" s="2009"/>
      <c r="AJ56" s="876"/>
      <c r="AK56" s="2009"/>
      <c r="AL56" s="876"/>
      <c r="AM56" s="1953"/>
      <c r="AN56" s="1913"/>
      <c r="AO56" s="2009"/>
      <c r="AP56" s="2022"/>
      <c r="AQ56" s="1898" t="str">
        <f t="shared" si="51"/>
        <v/>
      </c>
      <c r="BU56" s="1970"/>
      <c r="BV56" s="1970"/>
      <c r="BW56" s="1970"/>
      <c r="BX56" s="1970"/>
      <c r="BY56" s="1970"/>
      <c r="BZ56" s="1970"/>
      <c r="CA56" s="1899" t="str">
        <f t="shared" si="52"/>
        <v/>
      </c>
      <c r="CB56" s="1899" t="str">
        <f t="shared" si="53"/>
        <v/>
      </c>
      <c r="CC56" s="1979"/>
      <c r="CD56" s="1970"/>
      <c r="CU56" s="1901">
        <f t="shared" si="55"/>
        <v>0</v>
      </c>
      <c r="CV56" s="1901">
        <f t="shared" si="56"/>
        <v>0</v>
      </c>
    </row>
    <row r="57" spans="1:100" ht="15" customHeight="1" x14ac:dyDescent="0.3">
      <c r="A57" s="5794" t="s">
        <v>110</v>
      </c>
      <c r="B57" s="1885" t="s">
        <v>64</v>
      </c>
      <c r="C57" s="2039">
        <f t="shared" si="49"/>
        <v>0</v>
      </c>
      <c r="D57" s="2040">
        <f t="shared" si="59"/>
        <v>0</v>
      </c>
      <c r="E57" s="2041">
        <f t="shared" si="60"/>
        <v>0</v>
      </c>
      <c r="F57" s="1936"/>
      <c r="G57" s="1996"/>
      <c r="H57" s="1936"/>
      <c r="I57" s="1996"/>
      <c r="J57" s="1936"/>
      <c r="K57" s="1996"/>
      <c r="L57" s="1936"/>
      <c r="M57" s="1996"/>
      <c r="N57" s="1936"/>
      <c r="O57" s="1996"/>
      <c r="P57" s="1936"/>
      <c r="Q57" s="1996"/>
      <c r="R57" s="1936"/>
      <c r="S57" s="1996"/>
      <c r="T57" s="1936"/>
      <c r="U57" s="1996"/>
      <c r="V57" s="1936"/>
      <c r="W57" s="1996"/>
      <c r="X57" s="1936"/>
      <c r="Y57" s="1996"/>
      <c r="Z57" s="1936"/>
      <c r="AA57" s="1996"/>
      <c r="AB57" s="1936"/>
      <c r="AC57" s="1996"/>
      <c r="AD57" s="1936"/>
      <c r="AE57" s="1996"/>
      <c r="AF57" s="1936"/>
      <c r="AG57" s="1996"/>
      <c r="AH57" s="1936"/>
      <c r="AI57" s="1996"/>
      <c r="AJ57" s="1936"/>
      <c r="AK57" s="1996"/>
      <c r="AL57" s="1936"/>
      <c r="AM57" s="1944"/>
      <c r="AN57" s="1997"/>
      <c r="AO57" s="1996"/>
      <c r="AP57" s="2011"/>
      <c r="AQ57" s="1898" t="str">
        <f t="shared" si="51"/>
        <v/>
      </c>
      <c r="BU57" s="1970"/>
      <c r="BV57" s="1970"/>
      <c r="BW57" s="1970"/>
      <c r="BX57" s="1970"/>
      <c r="BY57" s="1970"/>
      <c r="BZ57" s="1970"/>
      <c r="CA57" s="1899" t="str">
        <f t="shared" si="52"/>
        <v/>
      </c>
      <c r="CB57" s="1899" t="str">
        <f t="shared" si="53"/>
        <v/>
      </c>
      <c r="CC57" s="1979"/>
      <c r="CD57" s="1970"/>
      <c r="CU57" s="1901">
        <f t="shared" si="55"/>
        <v>0</v>
      </c>
      <c r="CV57" s="1901">
        <f t="shared" si="56"/>
        <v>0</v>
      </c>
    </row>
    <row r="58" spans="1:100" ht="15" customHeight="1" x14ac:dyDescent="0.3">
      <c r="A58" s="5790"/>
      <c r="B58" s="358" t="s">
        <v>98</v>
      </c>
      <c r="C58" s="2042">
        <f t="shared" si="49"/>
        <v>0</v>
      </c>
      <c r="D58" s="2043">
        <f t="shared" si="59"/>
        <v>0</v>
      </c>
      <c r="E58" s="2044">
        <f t="shared" si="60"/>
        <v>0</v>
      </c>
      <c r="F58" s="329"/>
      <c r="G58" s="2003"/>
      <c r="H58" s="329"/>
      <c r="I58" s="2003"/>
      <c r="J58" s="329"/>
      <c r="K58" s="2003"/>
      <c r="L58" s="329"/>
      <c r="M58" s="2003"/>
      <c r="N58" s="329"/>
      <c r="O58" s="2003"/>
      <c r="P58" s="329"/>
      <c r="Q58" s="2003"/>
      <c r="R58" s="329"/>
      <c r="S58" s="2003"/>
      <c r="T58" s="329"/>
      <c r="U58" s="2003"/>
      <c r="V58" s="329"/>
      <c r="W58" s="2003"/>
      <c r="X58" s="329"/>
      <c r="Y58" s="2003"/>
      <c r="Z58" s="329"/>
      <c r="AA58" s="2003"/>
      <c r="AB58" s="329"/>
      <c r="AC58" s="2003"/>
      <c r="AD58" s="329"/>
      <c r="AE58" s="2003"/>
      <c r="AF58" s="329"/>
      <c r="AG58" s="2003"/>
      <c r="AH58" s="329"/>
      <c r="AI58" s="2003"/>
      <c r="AJ58" s="329"/>
      <c r="AK58" s="2003"/>
      <c r="AL58" s="329"/>
      <c r="AM58" s="332"/>
      <c r="AN58" s="2004"/>
      <c r="AO58" s="2003"/>
      <c r="AP58" s="2035"/>
      <c r="AQ58" s="1898" t="str">
        <f t="shared" si="51"/>
        <v/>
      </c>
      <c r="BU58" s="1970"/>
      <c r="BV58" s="1970"/>
      <c r="BW58" s="1970"/>
      <c r="BX58" s="1970"/>
      <c r="BY58" s="1970"/>
      <c r="BZ58" s="1970"/>
      <c r="CA58" s="1899" t="str">
        <f t="shared" si="52"/>
        <v/>
      </c>
      <c r="CB58" s="1899" t="str">
        <f t="shared" si="53"/>
        <v/>
      </c>
      <c r="CC58" s="1979"/>
      <c r="CD58" s="1970"/>
      <c r="CU58" s="1901">
        <f t="shared" si="55"/>
        <v>0</v>
      </c>
      <c r="CV58" s="1901">
        <f t="shared" si="56"/>
        <v>0</v>
      </c>
    </row>
    <row r="59" spans="1:100" ht="15" customHeight="1" x14ac:dyDescent="0.3">
      <c r="A59" s="5790"/>
      <c r="B59" s="358" t="s">
        <v>65</v>
      </c>
      <c r="C59" s="2042">
        <f t="shared" si="49"/>
        <v>0</v>
      </c>
      <c r="D59" s="2043">
        <f t="shared" si="59"/>
        <v>0</v>
      </c>
      <c r="E59" s="2044">
        <f t="shared" si="60"/>
        <v>0</v>
      </c>
      <c r="F59" s="329"/>
      <c r="G59" s="2003"/>
      <c r="H59" s="329"/>
      <c r="I59" s="2003"/>
      <c r="J59" s="329"/>
      <c r="K59" s="2003"/>
      <c r="L59" s="329"/>
      <c r="M59" s="2003"/>
      <c r="N59" s="329"/>
      <c r="O59" s="2003"/>
      <c r="P59" s="329"/>
      <c r="Q59" s="2003"/>
      <c r="R59" s="329"/>
      <c r="S59" s="2003"/>
      <c r="T59" s="329"/>
      <c r="U59" s="2003"/>
      <c r="V59" s="329"/>
      <c r="W59" s="2003"/>
      <c r="X59" s="329"/>
      <c r="Y59" s="2003"/>
      <c r="Z59" s="329"/>
      <c r="AA59" s="2003"/>
      <c r="AB59" s="329"/>
      <c r="AC59" s="2003"/>
      <c r="AD59" s="329"/>
      <c r="AE59" s="2003"/>
      <c r="AF59" s="329"/>
      <c r="AG59" s="2003"/>
      <c r="AH59" s="329"/>
      <c r="AI59" s="2003"/>
      <c r="AJ59" s="329"/>
      <c r="AK59" s="2003"/>
      <c r="AL59" s="329"/>
      <c r="AM59" s="332"/>
      <c r="AN59" s="2004"/>
      <c r="AO59" s="2003"/>
      <c r="AP59" s="2035"/>
      <c r="AQ59" s="1898" t="str">
        <f t="shared" si="51"/>
        <v/>
      </c>
      <c r="BU59" s="1970"/>
      <c r="BV59" s="1970"/>
      <c r="BW59" s="1970"/>
      <c r="BX59" s="1970"/>
      <c r="BY59" s="1970"/>
      <c r="BZ59" s="1970"/>
      <c r="CA59" s="1899" t="str">
        <f t="shared" si="52"/>
        <v/>
      </c>
      <c r="CB59" s="1899" t="str">
        <f t="shared" si="53"/>
        <v/>
      </c>
      <c r="CC59" s="1979"/>
      <c r="CD59" s="1970"/>
      <c r="CU59" s="1901">
        <f t="shared" si="55"/>
        <v>0</v>
      </c>
      <c r="CV59" s="1901">
        <f t="shared" si="56"/>
        <v>0</v>
      </c>
    </row>
    <row r="60" spans="1:100" ht="15" customHeight="1" x14ac:dyDescent="0.3">
      <c r="A60" s="5790"/>
      <c r="B60" s="358" t="s">
        <v>105</v>
      </c>
      <c r="C60" s="2042">
        <f t="shared" si="49"/>
        <v>0</v>
      </c>
      <c r="D60" s="2043">
        <f t="shared" si="59"/>
        <v>0</v>
      </c>
      <c r="E60" s="2044">
        <f t="shared" si="60"/>
        <v>0</v>
      </c>
      <c r="F60" s="329"/>
      <c r="G60" s="2003"/>
      <c r="H60" s="329"/>
      <c r="I60" s="2003"/>
      <c r="J60" s="329"/>
      <c r="K60" s="2003"/>
      <c r="L60" s="329"/>
      <c r="M60" s="2003"/>
      <c r="N60" s="329"/>
      <c r="O60" s="2003"/>
      <c r="P60" s="329"/>
      <c r="Q60" s="2003"/>
      <c r="R60" s="329"/>
      <c r="S60" s="2003"/>
      <c r="T60" s="329"/>
      <c r="U60" s="2003"/>
      <c r="V60" s="329"/>
      <c r="W60" s="2003"/>
      <c r="X60" s="329"/>
      <c r="Y60" s="2003"/>
      <c r="Z60" s="329"/>
      <c r="AA60" s="2003"/>
      <c r="AB60" s="329"/>
      <c r="AC60" s="2003"/>
      <c r="AD60" s="329"/>
      <c r="AE60" s="2003"/>
      <c r="AF60" s="329"/>
      <c r="AG60" s="2003"/>
      <c r="AH60" s="329"/>
      <c r="AI60" s="2003"/>
      <c r="AJ60" s="329"/>
      <c r="AK60" s="2003"/>
      <c r="AL60" s="329"/>
      <c r="AM60" s="332"/>
      <c r="AN60" s="2004"/>
      <c r="AO60" s="2003"/>
      <c r="AP60" s="2035"/>
      <c r="AQ60" s="1898" t="str">
        <f t="shared" si="51"/>
        <v/>
      </c>
      <c r="BU60" s="1970"/>
      <c r="BV60" s="1970"/>
      <c r="BW60" s="1970"/>
      <c r="BX60" s="1970"/>
      <c r="BY60" s="1970"/>
      <c r="BZ60" s="1970"/>
      <c r="CA60" s="1899" t="str">
        <f t="shared" si="52"/>
        <v/>
      </c>
      <c r="CB60" s="1899" t="str">
        <f t="shared" si="53"/>
        <v/>
      </c>
      <c r="CC60" s="1979"/>
      <c r="CD60" s="1970"/>
      <c r="CU60" s="1901">
        <f t="shared" si="55"/>
        <v>0</v>
      </c>
      <c r="CV60" s="1901">
        <f t="shared" si="56"/>
        <v>0</v>
      </c>
    </row>
    <row r="61" spans="1:100" ht="15" customHeight="1" x14ac:dyDescent="0.3">
      <c r="A61" s="5790"/>
      <c r="B61" s="358" t="s">
        <v>99</v>
      </c>
      <c r="C61" s="2045">
        <f t="shared" si="49"/>
        <v>0</v>
      </c>
      <c r="D61" s="2046">
        <f t="shared" si="59"/>
        <v>0</v>
      </c>
      <c r="E61" s="2047">
        <f t="shared" si="60"/>
        <v>0</v>
      </c>
      <c r="F61" s="329"/>
      <c r="G61" s="2003"/>
      <c r="H61" s="329"/>
      <c r="I61" s="2003"/>
      <c r="J61" s="329"/>
      <c r="K61" s="2003"/>
      <c r="L61" s="329"/>
      <c r="M61" s="2003"/>
      <c r="N61" s="329"/>
      <c r="O61" s="2003"/>
      <c r="P61" s="329"/>
      <c r="Q61" s="2003"/>
      <c r="R61" s="329"/>
      <c r="S61" s="2003"/>
      <c r="T61" s="329"/>
      <c r="U61" s="2003"/>
      <c r="V61" s="329"/>
      <c r="W61" s="2003"/>
      <c r="X61" s="329"/>
      <c r="Y61" s="2003"/>
      <c r="Z61" s="329"/>
      <c r="AA61" s="2003"/>
      <c r="AB61" s="329"/>
      <c r="AC61" s="2003"/>
      <c r="AD61" s="329"/>
      <c r="AE61" s="2003"/>
      <c r="AF61" s="329"/>
      <c r="AG61" s="2003"/>
      <c r="AH61" s="329"/>
      <c r="AI61" s="2003"/>
      <c r="AJ61" s="329"/>
      <c r="AK61" s="2003"/>
      <c r="AL61" s="329"/>
      <c r="AM61" s="332"/>
      <c r="AN61" s="2004"/>
      <c r="AO61" s="2003"/>
      <c r="AP61" s="2035"/>
      <c r="AQ61" s="1898" t="str">
        <f t="shared" si="51"/>
        <v/>
      </c>
      <c r="BU61" s="1970"/>
      <c r="BV61" s="1970"/>
      <c r="BW61" s="1970"/>
      <c r="BX61" s="1970"/>
      <c r="BY61" s="1970"/>
      <c r="BZ61" s="1970"/>
      <c r="CA61" s="1899" t="str">
        <f t="shared" si="52"/>
        <v/>
      </c>
      <c r="CB61" s="1899" t="str">
        <f t="shared" si="53"/>
        <v/>
      </c>
      <c r="CC61" s="1979"/>
      <c r="CD61" s="1970"/>
      <c r="CU61" s="1901">
        <f t="shared" si="55"/>
        <v>0</v>
      </c>
      <c r="CV61" s="1901">
        <f t="shared" si="56"/>
        <v>0</v>
      </c>
    </row>
    <row r="62" spans="1:100" ht="24" customHeight="1" x14ac:dyDescent="0.3">
      <c r="A62" s="5791"/>
      <c r="B62" s="2019" t="s">
        <v>107</v>
      </c>
      <c r="C62" s="2012">
        <f t="shared" si="49"/>
        <v>0</v>
      </c>
      <c r="D62" s="2013">
        <f t="shared" si="59"/>
        <v>0</v>
      </c>
      <c r="E62" s="2048">
        <f t="shared" si="60"/>
        <v>0</v>
      </c>
      <c r="F62" s="876"/>
      <c r="G62" s="2009"/>
      <c r="H62" s="876"/>
      <c r="I62" s="2009"/>
      <c r="J62" s="876"/>
      <c r="K62" s="2009"/>
      <c r="L62" s="876"/>
      <c r="M62" s="2009"/>
      <c r="N62" s="876"/>
      <c r="O62" s="877"/>
      <c r="P62" s="876"/>
      <c r="Q62" s="877"/>
      <c r="R62" s="876"/>
      <c r="S62" s="2009"/>
      <c r="T62" s="876"/>
      <c r="U62" s="2009"/>
      <c r="V62" s="876"/>
      <c r="W62" s="2009"/>
      <c r="X62" s="876"/>
      <c r="Y62" s="2009"/>
      <c r="Z62" s="876"/>
      <c r="AA62" s="2009"/>
      <c r="AB62" s="876"/>
      <c r="AC62" s="2009"/>
      <c r="AD62" s="876"/>
      <c r="AE62" s="2009"/>
      <c r="AF62" s="876"/>
      <c r="AG62" s="2009"/>
      <c r="AH62" s="876"/>
      <c r="AI62" s="2009"/>
      <c r="AJ62" s="876"/>
      <c r="AK62" s="2009"/>
      <c r="AL62" s="2049"/>
      <c r="AM62" s="1953"/>
      <c r="AN62" s="1913"/>
      <c r="AO62" s="2009"/>
      <c r="AP62" s="2022"/>
      <c r="AQ62" s="1898" t="str">
        <f t="shared" si="51"/>
        <v/>
      </c>
      <c r="BU62" s="1970"/>
      <c r="BV62" s="1970"/>
      <c r="BW62" s="1970"/>
      <c r="BX62" s="1970"/>
      <c r="BY62" s="1970"/>
      <c r="BZ62" s="1970"/>
      <c r="CA62" s="1899" t="str">
        <f t="shared" si="52"/>
        <v/>
      </c>
      <c r="CB62" s="1899" t="str">
        <f t="shared" si="53"/>
        <v/>
      </c>
      <c r="CC62" s="1979"/>
      <c r="CD62" s="1970"/>
      <c r="CU62" s="1901">
        <f t="shared" si="55"/>
        <v>0</v>
      </c>
      <c r="CV62" s="1901">
        <f t="shared" si="56"/>
        <v>0</v>
      </c>
    </row>
    <row r="63" spans="1:100" ht="15" customHeight="1" x14ac:dyDescent="0.3">
      <c r="A63" s="5795" t="s">
        <v>111</v>
      </c>
      <c r="B63" s="1885" t="s">
        <v>64</v>
      </c>
      <c r="C63" s="2050">
        <f t="shared" si="49"/>
        <v>0</v>
      </c>
      <c r="D63" s="2051">
        <f t="shared" ref="D63:E66" si="61">SUM(F63+H63+J63+L63)</f>
        <v>0</v>
      </c>
      <c r="E63" s="2052">
        <f t="shared" si="61"/>
        <v>0</v>
      </c>
      <c r="F63" s="1936"/>
      <c r="G63" s="1996"/>
      <c r="H63" s="1936"/>
      <c r="I63" s="1996"/>
      <c r="J63" s="1936"/>
      <c r="K63" s="1996"/>
      <c r="L63" s="1936"/>
      <c r="M63" s="1996"/>
      <c r="N63" s="1887"/>
      <c r="O63" s="2010"/>
      <c r="P63" s="1887"/>
      <c r="Q63" s="2010"/>
      <c r="R63" s="1887"/>
      <c r="S63" s="1995"/>
      <c r="T63" s="1887"/>
      <c r="U63" s="1995"/>
      <c r="V63" s="1887"/>
      <c r="W63" s="1995"/>
      <c r="X63" s="1887"/>
      <c r="Y63" s="1995"/>
      <c r="Z63" s="1887"/>
      <c r="AA63" s="1995"/>
      <c r="AB63" s="1887"/>
      <c r="AC63" s="1995"/>
      <c r="AD63" s="1887"/>
      <c r="AE63" s="1995"/>
      <c r="AF63" s="1887"/>
      <c r="AG63" s="1995"/>
      <c r="AH63" s="1887"/>
      <c r="AI63" s="1995"/>
      <c r="AJ63" s="1887"/>
      <c r="AK63" s="1995"/>
      <c r="AL63" s="2053"/>
      <c r="AM63" s="1931"/>
      <c r="AN63" s="1997"/>
      <c r="AO63" s="1996"/>
      <c r="AP63" s="2011"/>
      <c r="AQ63" s="1898" t="str">
        <f t="shared" si="51"/>
        <v/>
      </c>
      <c r="BU63" s="1970"/>
      <c r="BV63" s="1970"/>
      <c r="BW63" s="1970"/>
      <c r="BX63" s="1970"/>
      <c r="BY63" s="1970"/>
      <c r="BZ63" s="1970"/>
      <c r="CA63" s="1899" t="str">
        <f t="shared" si="52"/>
        <v/>
      </c>
      <c r="CB63" s="1899" t="str">
        <f t="shared" si="53"/>
        <v/>
      </c>
      <c r="CC63" s="1979"/>
      <c r="CD63" s="1970"/>
      <c r="CU63" s="1901">
        <f t="shared" si="55"/>
        <v>0</v>
      </c>
      <c r="CV63" s="1901">
        <f t="shared" si="56"/>
        <v>0</v>
      </c>
    </row>
    <row r="64" spans="1:100" ht="15" customHeight="1" x14ac:dyDescent="0.3">
      <c r="A64" s="5790"/>
      <c r="B64" s="358" t="s">
        <v>98</v>
      </c>
      <c r="C64" s="2042">
        <f t="shared" si="49"/>
        <v>0</v>
      </c>
      <c r="D64" s="2043">
        <f t="shared" si="61"/>
        <v>0</v>
      </c>
      <c r="E64" s="2044">
        <f t="shared" si="61"/>
        <v>0</v>
      </c>
      <c r="F64" s="329"/>
      <c r="G64" s="2003"/>
      <c r="H64" s="329"/>
      <c r="I64" s="2003"/>
      <c r="J64" s="329"/>
      <c r="K64" s="2003"/>
      <c r="L64" s="329"/>
      <c r="M64" s="2003"/>
      <c r="N64" s="2001"/>
      <c r="O64" s="1978"/>
      <c r="P64" s="2001"/>
      <c r="Q64" s="1978"/>
      <c r="R64" s="2001"/>
      <c r="S64" s="2002"/>
      <c r="T64" s="2001"/>
      <c r="U64" s="2002"/>
      <c r="V64" s="2001"/>
      <c r="W64" s="2002"/>
      <c r="X64" s="2001"/>
      <c r="Y64" s="2002"/>
      <c r="Z64" s="2001"/>
      <c r="AA64" s="2002"/>
      <c r="AB64" s="2001"/>
      <c r="AC64" s="2002"/>
      <c r="AD64" s="2001"/>
      <c r="AE64" s="2002"/>
      <c r="AF64" s="2001"/>
      <c r="AG64" s="2002"/>
      <c r="AH64" s="2001"/>
      <c r="AI64" s="2002"/>
      <c r="AJ64" s="2001"/>
      <c r="AK64" s="2002"/>
      <c r="AL64" s="2054"/>
      <c r="AM64" s="2055"/>
      <c r="AN64" s="2004"/>
      <c r="AO64" s="2003"/>
      <c r="AP64" s="2035"/>
      <c r="AQ64" s="1898" t="str">
        <f t="shared" si="51"/>
        <v/>
      </c>
      <c r="BU64" s="1970"/>
      <c r="BV64" s="1970"/>
      <c r="BW64" s="1970"/>
      <c r="BX64" s="1970"/>
      <c r="BY64" s="1970"/>
      <c r="BZ64" s="1970"/>
      <c r="CA64" s="1899" t="str">
        <f t="shared" si="52"/>
        <v/>
      </c>
      <c r="CB64" s="1899" t="str">
        <f t="shared" si="53"/>
        <v/>
      </c>
      <c r="CC64" s="1979"/>
      <c r="CD64" s="1970"/>
      <c r="CU64" s="1901">
        <f t="shared" si="55"/>
        <v>0</v>
      </c>
      <c r="CV64" s="1901">
        <f t="shared" si="56"/>
        <v>0</v>
      </c>
    </row>
    <row r="65" spans="1:102" ht="15" customHeight="1" x14ac:dyDescent="0.3">
      <c r="A65" s="5790"/>
      <c r="B65" s="358" t="s">
        <v>65</v>
      </c>
      <c r="C65" s="2042">
        <f t="shared" si="49"/>
        <v>0</v>
      </c>
      <c r="D65" s="2043">
        <f t="shared" si="61"/>
        <v>0</v>
      </c>
      <c r="E65" s="2044">
        <f t="shared" si="61"/>
        <v>0</v>
      </c>
      <c r="F65" s="329"/>
      <c r="G65" s="2003"/>
      <c r="H65" s="329"/>
      <c r="I65" s="2003"/>
      <c r="J65" s="329"/>
      <c r="K65" s="2003"/>
      <c r="L65" s="329"/>
      <c r="M65" s="2003"/>
      <c r="N65" s="2001"/>
      <c r="O65" s="1978"/>
      <c r="P65" s="2001"/>
      <c r="Q65" s="1978"/>
      <c r="R65" s="2001"/>
      <c r="S65" s="2002"/>
      <c r="T65" s="2001"/>
      <c r="U65" s="2002"/>
      <c r="V65" s="2001"/>
      <c r="W65" s="2002"/>
      <c r="X65" s="2001"/>
      <c r="Y65" s="2002"/>
      <c r="Z65" s="2001"/>
      <c r="AA65" s="2002"/>
      <c r="AB65" s="2001"/>
      <c r="AC65" s="2002"/>
      <c r="AD65" s="2001"/>
      <c r="AE65" s="2002"/>
      <c r="AF65" s="2001"/>
      <c r="AG65" s="2002"/>
      <c r="AH65" s="2001"/>
      <c r="AI65" s="2002"/>
      <c r="AJ65" s="2001"/>
      <c r="AK65" s="2002"/>
      <c r="AL65" s="2054"/>
      <c r="AM65" s="2055"/>
      <c r="AN65" s="2004"/>
      <c r="AO65" s="2003"/>
      <c r="AP65" s="2035"/>
      <c r="AQ65" s="1898" t="str">
        <f t="shared" si="51"/>
        <v/>
      </c>
      <c r="BU65" s="1970"/>
      <c r="BV65" s="1970"/>
      <c r="BW65" s="1970"/>
      <c r="BX65" s="1970"/>
      <c r="BY65" s="1970"/>
      <c r="BZ65" s="1970"/>
      <c r="CA65" s="1899" t="str">
        <f t="shared" si="52"/>
        <v/>
      </c>
      <c r="CB65" s="1899" t="str">
        <f t="shared" si="53"/>
        <v/>
      </c>
      <c r="CC65" s="1979"/>
      <c r="CD65" s="1970"/>
      <c r="CU65" s="1901">
        <f t="shared" si="55"/>
        <v>0</v>
      </c>
      <c r="CV65" s="1901">
        <f t="shared" si="56"/>
        <v>0</v>
      </c>
    </row>
    <row r="66" spans="1:102" ht="15" customHeight="1" x14ac:dyDescent="0.3">
      <c r="A66" s="5791"/>
      <c r="B66" s="519" t="s">
        <v>105</v>
      </c>
      <c r="C66" s="2056">
        <f t="shared" si="49"/>
        <v>0</v>
      </c>
      <c r="D66" s="2057">
        <f t="shared" si="61"/>
        <v>0</v>
      </c>
      <c r="E66" s="2058">
        <f t="shared" si="61"/>
        <v>0</v>
      </c>
      <c r="F66" s="876"/>
      <c r="G66" s="2009"/>
      <c r="H66" s="876"/>
      <c r="I66" s="2009"/>
      <c r="J66" s="876"/>
      <c r="K66" s="2009"/>
      <c r="L66" s="876"/>
      <c r="M66" s="2009"/>
      <c r="N66" s="1905"/>
      <c r="O66" s="2020"/>
      <c r="P66" s="1905"/>
      <c r="Q66" s="2020"/>
      <c r="R66" s="1905"/>
      <c r="S66" s="2021"/>
      <c r="T66" s="1905"/>
      <c r="U66" s="2021"/>
      <c r="V66" s="1905"/>
      <c r="W66" s="2021"/>
      <c r="X66" s="1905"/>
      <c r="Y66" s="2021"/>
      <c r="Z66" s="1905"/>
      <c r="AA66" s="2021"/>
      <c r="AB66" s="1905"/>
      <c r="AC66" s="2021"/>
      <c r="AD66" s="1905"/>
      <c r="AE66" s="2021"/>
      <c r="AF66" s="1905"/>
      <c r="AG66" s="2021"/>
      <c r="AH66" s="1905"/>
      <c r="AI66" s="2021"/>
      <c r="AJ66" s="1905"/>
      <c r="AK66" s="2021"/>
      <c r="AL66" s="2059"/>
      <c r="AM66" s="1910"/>
      <c r="AN66" s="1913"/>
      <c r="AO66" s="2009"/>
      <c r="AP66" s="2022"/>
      <c r="AQ66" s="1898" t="str">
        <f t="shared" si="51"/>
        <v/>
      </c>
      <c r="BU66" s="1970"/>
      <c r="BV66" s="1970"/>
      <c r="BW66" s="1970"/>
      <c r="BX66" s="1970"/>
      <c r="BY66" s="1970"/>
      <c r="BZ66" s="1970"/>
      <c r="CA66" s="1899" t="str">
        <f t="shared" si="52"/>
        <v/>
      </c>
      <c r="CB66" s="1899" t="str">
        <f t="shared" si="53"/>
        <v/>
      </c>
      <c r="CC66" s="1979"/>
      <c r="CD66" s="1970"/>
      <c r="CU66" s="1901">
        <f t="shared" si="55"/>
        <v>0</v>
      </c>
      <c r="CV66" s="1901">
        <f t="shared" si="56"/>
        <v>0</v>
      </c>
    </row>
    <row r="67" spans="1:102" ht="18" customHeight="1" x14ac:dyDescent="0.3">
      <c r="A67" s="5748" t="s">
        <v>112</v>
      </c>
      <c r="B67" s="5748"/>
      <c r="C67" s="5748"/>
      <c r="D67" s="5748"/>
      <c r="E67" s="5748"/>
      <c r="F67" s="5748"/>
      <c r="G67" s="5748"/>
      <c r="H67" s="5748"/>
      <c r="I67" s="5748"/>
      <c r="J67" s="5748"/>
      <c r="K67" s="5748"/>
      <c r="L67" s="5748"/>
      <c r="M67" s="1872"/>
      <c r="N67" s="1872"/>
    </row>
    <row r="68" spans="1:102" ht="19.95" customHeight="1" x14ac:dyDescent="0.3">
      <c r="A68" s="5773" t="s">
        <v>113</v>
      </c>
      <c r="B68" s="5775"/>
      <c r="C68" s="5741" t="s">
        <v>94</v>
      </c>
      <c r="D68" s="5778"/>
      <c r="E68" s="5757"/>
      <c r="F68" s="5778" t="s">
        <v>44</v>
      </c>
      <c r="G68" s="5778"/>
      <c r="H68" s="5779"/>
      <c r="I68" s="5787" t="s">
        <v>36</v>
      </c>
      <c r="J68" s="5786" t="s">
        <v>37</v>
      </c>
      <c r="K68" s="5775" t="s">
        <v>34</v>
      </c>
      <c r="L68" s="5786" t="s">
        <v>35</v>
      </c>
    </row>
    <row r="69" spans="1:102" ht="24" customHeight="1" x14ac:dyDescent="0.3">
      <c r="A69" s="5796"/>
      <c r="B69" s="5760"/>
      <c r="C69" s="2063" t="s">
        <v>79</v>
      </c>
      <c r="D69" s="2064" t="s">
        <v>58</v>
      </c>
      <c r="E69" s="2061" t="s">
        <v>59</v>
      </c>
      <c r="F69" s="2060" t="s">
        <v>79</v>
      </c>
      <c r="G69" s="2065" t="s">
        <v>58</v>
      </c>
      <c r="H69" s="2066" t="s">
        <v>59</v>
      </c>
      <c r="I69" s="5788"/>
      <c r="J69" s="5756"/>
      <c r="K69" s="5760"/>
      <c r="L69" s="5756"/>
    </row>
    <row r="70" spans="1:102" ht="15" customHeight="1" x14ac:dyDescent="0.3">
      <c r="A70" s="5781" t="s">
        <v>114</v>
      </c>
      <c r="B70" s="5781"/>
      <c r="C70" s="1885">
        <f>SUM(D70:E70)</f>
        <v>0</v>
      </c>
      <c r="D70" s="2068"/>
      <c r="E70" s="330"/>
      <c r="F70" s="146">
        <f>SUM(G70:H70)</f>
        <v>0</v>
      </c>
      <c r="G70" s="44"/>
      <c r="H70" s="332"/>
      <c r="I70" s="2069"/>
      <c r="J70" s="2070"/>
      <c r="K70" s="330"/>
      <c r="L70" s="2071"/>
      <c r="M70" s="1898" t="str">
        <f>$CA70&amp;CB70&amp;CC70&amp;CD70</f>
        <v/>
      </c>
      <c r="AR70" s="1970"/>
      <c r="AS70" s="1970"/>
      <c r="AT70" s="1970"/>
      <c r="AU70" s="1970"/>
      <c r="AV70" s="1970"/>
      <c r="AW70" s="1970"/>
      <c r="AX70" s="1970"/>
      <c r="AY70" s="1970"/>
      <c r="AZ70" s="1970"/>
      <c r="BA70" s="1970"/>
      <c r="BB70" s="1970"/>
      <c r="BC70" s="1970"/>
      <c r="BD70" s="1970"/>
      <c r="BE70" s="1970"/>
      <c r="BF70" s="1970"/>
      <c r="BG70" s="1970"/>
      <c r="BH70" s="1970"/>
      <c r="BI70" s="1970"/>
      <c r="BJ70" s="1970"/>
      <c r="BK70" s="1970"/>
      <c r="BL70" s="1970"/>
      <c r="BM70" s="1970"/>
      <c r="BN70" s="1970"/>
      <c r="BO70" s="1970"/>
      <c r="BP70" s="1970"/>
      <c r="BQ70" s="1970"/>
      <c r="BR70" s="1970"/>
      <c r="BS70" s="1970"/>
      <c r="BT70" s="1970"/>
      <c r="BU70" s="1970"/>
      <c r="BV70" s="1970"/>
      <c r="BW70" s="1970"/>
      <c r="BX70" s="1970"/>
      <c r="BY70" s="1970"/>
      <c r="BZ70" s="1970"/>
      <c r="CA70" s="1899" t="str">
        <f>IF(AND(($C70+F70)&lt;&gt;0,$I70=""),"* No olvide ingresar la variable "&amp;$I$68&amp;""&amp;". Digite CERO si no tiene. ",IF(I70&gt;($C70+$F70),"* La variable de Pueblos Originarios no debe ser mayor a la suma de los grupos etarios de Ambos Sexos. ",""))</f>
        <v/>
      </c>
      <c r="CB70" s="1899" t="str">
        <f>IF(AND(($C70+F70)&lt;&gt;0,$J70=""),"* No olvide ingresar la variable "&amp;$J$68&amp;""&amp;". Digite CERO si no tiene. ",IF(J70&gt;($C70+$F70),"* La variable Migrantes no debe ser mayor a la suma de los grupos etarios de Ambos Sexos. ",""))</f>
        <v/>
      </c>
      <c r="CC70" s="1899" t="str">
        <f>IF(AND(($C70+F70)&lt;&gt;0,$K70=""),"* No olvide ingresar la variable "&amp;$K$68&amp;""&amp;". Digite CERO si no tiene. ",IF(K70&gt;($C70+$F70),"* La variable "&amp;$K$68&amp;" no debe ser mayor a la suma de los grupos etarios de Ambos Sexos. ",""))</f>
        <v/>
      </c>
      <c r="CD70" s="1899" t="str">
        <f>IF(AND(($C70+F70)&lt;&gt;0,$L70=""),"* No olvide ingresar la variable "&amp;$L$68&amp;""&amp;". Digite CERO si no tiene. ",IF(L70&gt;($C70+$F70),"* El Número de "&amp;$L$68&amp;" no debe ser mayor a la suma de los grupos etarios de Ambos Sexos. ",""))</f>
        <v/>
      </c>
      <c r="CE70" s="1971"/>
      <c r="CF70" s="1971"/>
      <c r="CI70" s="1971"/>
      <c r="CU70" s="1901">
        <f>IF(AND(($C70+F70)&lt;&gt;0,$I70=""),1,IF(I70&gt;($C70+$F70),1,0))</f>
        <v>0</v>
      </c>
      <c r="CV70" s="1901">
        <f>IF(AND(($C70+F70)&lt;&gt;0,$J70=""),1,IF(J70&gt;($C70+$F70),1,0))</f>
        <v>0</v>
      </c>
      <c r="CW70" s="1901">
        <f>IF(AND(($C70+F70)&lt;&gt;0,$K70=""),1,IF(K70&gt;($C70+$F70),1,0))</f>
        <v>0</v>
      </c>
      <c r="CX70" s="1901">
        <f>IF(AND(($C70+F70)&lt;&gt;0,$L70=""),1,IF(L70&gt;($C70+$F70),1,0))</f>
        <v>0</v>
      </c>
    </row>
    <row r="71" spans="1:102" ht="15" customHeight="1" x14ac:dyDescent="0.3">
      <c r="A71" s="5782" t="s">
        <v>115</v>
      </c>
      <c r="B71" s="5782"/>
      <c r="C71" s="358">
        <f>SUM(D71:E71)</f>
        <v>0</v>
      </c>
      <c r="D71" s="2068"/>
      <c r="E71" s="330"/>
      <c r="F71" s="480">
        <f>SUM(G71:H71)</f>
        <v>0</v>
      </c>
      <c r="G71" s="2068"/>
      <c r="H71" s="332"/>
      <c r="I71" s="2069"/>
      <c r="J71" s="2070"/>
      <c r="K71" s="330"/>
      <c r="L71" s="2071"/>
      <c r="M71" s="1898" t="str">
        <f t="shared" ref="M71:M73" si="62">$CA71&amp;CB71&amp;CC71&amp;CD71</f>
        <v/>
      </c>
      <c r="AR71" s="1970"/>
      <c r="AS71" s="1970"/>
      <c r="AT71" s="1970"/>
      <c r="AU71" s="1970"/>
      <c r="AV71" s="1970"/>
      <c r="AW71" s="1970"/>
      <c r="AX71" s="1970"/>
      <c r="AY71" s="1970"/>
      <c r="AZ71" s="1970"/>
      <c r="BA71" s="1970"/>
      <c r="BB71" s="1970"/>
      <c r="BC71" s="1970"/>
      <c r="BD71" s="1970"/>
      <c r="BE71" s="1970"/>
      <c r="BF71" s="1970"/>
      <c r="BG71" s="1970"/>
      <c r="BH71" s="1970"/>
      <c r="BI71" s="1970"/>
      <c r="BJ71" s="1970"/>
      <c r="BK71" s="1970"/>
      <c r="BL71" s="1970"/>
      <c r="BM71" s="1970"/>
      <c r="BN71" s="1970"/>
      <c r="BO71" s="1970"/>
      <c r="BP71" s="1970"/>
      <c r="BQ71" s="1970"/>
      <c r="BR71" s="1970"/>
      <c r="BS71" s="1970"/>
      <c r="BT71" s="1970"/>
      <c r="BU71" s="1970"/>
      <c r="BV71" s="1970"/>
      <c r="BW71" s="1970"/>
      <c r="BX71" s="1970"/>
      <c r="BY71" s="1970"/>
      <c r="BZ71" s="1970"/>
      <c r="CA71" s="1899" t="str">
        <f t="shared" ref="CA71:CA73" si="63">IF(AND(($C71+F71)&lt;&gt;0,$I71=""),"* No olvide ingresar la variable "&amp;$I$68&amp;""&amp;". Digite CERO si no tiene. ",IF(I71&gt;($C71+$F71),"* La variable de Pueblos Originarios no debe ser mayor a la suma de los grupos etarios de Ambos Sexos. ",""))</f>
        <v/>
      </c>
      <c r="CB71" s="1899" t="str">
        <f t="shared" ref="CB71:CB73" si="64">IF(AND(($C71+F71)&lt;&gt;0,$J71=""),"* No olvide ingresar la variable "&amp;$J$68&amp;""&amp;". Digite CERO si no tiene. ",IF(J71&gt;($C71+$F71),"* La variable Migrantes no debe ser mayor a la suma de los grupos etarios de Ambos Sexos. ",""))</f>
        <v/>
      </c>
      <c r="CC71" s="1899" t="str">
        <f t="shared" ref="CC71:CC73" si="65">IF(AND(($C71+F71)&lt;&gt;0,$K71=""),"* No olvide ingresar la variable "&amp;$K$68&amp;""&amp;". Digite CERO si no tiene. ",IF(K71&gt;($C71+$F71),"* La variable "&amp;$K$68&amp;" no debe ser mayor a la suma de los grupos etarios de Ambos Sexos. ",""))</f>
        <v/>
      </c>
      <c r="CD71" s="1899" t="str">
        <f t="shared" ref="CD71:CD73" si="66">IF(AND(($C71+F71)&lt;&gt;0,$L71=""),"* No olvide ingresar la variable "&amp;$L$68&amp;""&amp;". Digite CERO si no tiene. ",IF(L71&gt;($C71+$F71),"* El Número de "&amp;$L$68&amp;" no debe ser mayor a la suma de los grupos etarios de Ambos Sexos. ",""))</f>
        <v/>
      </c>
      <c r="CE71" s="1971"/>
      <c r="CF71" s="1971"/>
      <c r="CI71" s="1971"/>
      <c r="CU71" s="1901">
        <f>IF(AND(($C71+F71)&lt;&gt;0,$I71=""),1,IF(I71&gt;($C71+$F71),1,0))</f>
        <v>0</v>
      </c>
      <c r="CV71" s="1901">
        <f>IF(AND(($C71+F71)&lt;&gt;0,$J71=""),1,IF(J71&gt;($C71+$F71),1,0))</f>
        <v>0</v>
      </c>
      <c r="CW71" s="1901">
        <f>IF(AND(($C71+F71)&lt;&gt;0,$K71=""),1,IF(K71&gt;($C71+$F71),1,0))</f>
        <v>0</v>
      </c>
      <c r="CX71" s="1901">
        <f>IF(AND(($C71+F71)&lt;&gt;0,$L71=""),1,IF(L71&gt;($C71+$F71),1,0))</f>
        <v>0</v>
      </c>
    </row>
    <row r="72" spans="1:102" ht="15" customHeight="1" x14ac:dyDescent="0.3">
      <c r="A72" s="5782" t="s">
        <v>116</v>
      </c>
      <c r="B72" s="5782"/>
      <c r="C72" s="358">
        <f>SUM(D72:E72)</f>
        <v>0</v>
      </c>
      <c r="D72" s="2068"/>
      <c r="E72" s="330"/>
      <c r="F72" s="480">
        <f>SUM(G72:H72)</f>
        <v>0</v>
      </c>
      <c r="G72" s="2068"/>
      <c r="H72" s="332"/>
      <c r="I72" s="2069"/>
      <c r="J72" s="2070"/>
      <c r="K72" s="330"/>
      <c r="L72" s="2071"/>
      <c r="M72" s="1898" t="str">
        <f t="shared" si="62"/>
        <v/>
      </c>
      <c r="AR72" s="1970"/>
      <c r="AS72" s="1970"/>
      <c r="AT72" s="1970"/>
      <c r="AU72" s="1970"/>
      <c r="AV72" s="1970"/>
      <c r="AW72" s="1970"/>
      <c r="AX72" s="1970"/>
      <c r="AY72" s="1970"/>
      <c r="AZ72" s="1970"/>
      <c r="BA72" s="1970"/>
      <c r="BB72" s="1970"/>
      <c r="BC72" s="1970"/>
      <c r="BD72" s="1970"/>
      <c r="BE72" s="1970"/>
      <c r="BF72" s="1970"/>
      <c r="BG72" s="1970"/>
      <c r="BH72" s="1970"/>
      <c r="BI72" s="1970"/>
      <c r="BJ72" s="1970"/>
      <c r="BK72" s="1970"/>
      <c r="BL72" s="1970"/>
      <c r="BM72" s="1970"/>
      <c r="BN72" s="1970"/>
      <c r="BO72" s="1970"/>
      <c r="BP72" s="1970"/>
      <c r="BQ72" s="1970"/>
      <c r="BR72" s="1970"/>
      <c r="BS72" s="1970"/>
      <c r="BT72" s="1970"/>
      <c r="BU72" s="1970"/>
      <c r="BV72" s="1970"/>
      <c r="BW72" s="1970"/>
      <c r="BX72" s="1970"/>
      <c r="BY72" s="1970"/>
      <c r="BZ72" s="1970"/>
      <c r="CA72" s="1899" t="str">
        <f>IF(AND(($C72+F72)&lt;&gt;0,$I72=""),"* No olvide ingresar la variable "&amp;$I$68&amp;""&amp;". Digite CERO si no tiene. ",IF(I72&gt;($C72+$F72),"* La variable de Pueblos Originarios no debe ser mayor a la suma de los grupos etarios de Ambos Sexos. ",""))</f>
        <v/>
      </c>
      <c r="CB72" s="1899" t="str">
        <f t="shared" si="64"/>
        <v/>
      </c>
      <c r="CC72" s="1899" t="str">
        <f t="shared" si="65"/>
        <v/>
      </c>
      <c r="CD72" s="1899" t="str">
        <f t="shared" si="66"/>
        <v/>
      </c>
      <c r="CE72" s="1971"/>
      <c r="CF72" s="1971"/>
      <c r="CI72" s="1971"/>
      <c r="CU72" s="1901">
        <f>IF(AND(($C72+F72)&lt;&gt;0,$I72=""),1,IF(I72&gt;($C72+$F72),1,0))</f>
        <v>0</v>
      </c>
      <c r="CV72" s="1901">
        <f>IF(AND(($C72+F72)&lt;&gt;0,$J72=""),1,IF(J72&gt;($C72+$F72),1,0))</f>
        <v>0</v>
      </c>
      <c r="CW72" s="1901">
        <f>IF(AND(($C72+F72)&lt;&gt;0,$K72=""),1,IF(K72&gt;($C72+$F72),1,0))</f>
        <v>0</v>
      </c>
      <c r="CX72" s="1901">
        <f>IF(AND(($C72+F72)&lt;&gt;0,$L72=""),1,IF(L72&gt;($C72+$F72),1,0))</f>
        <v>0</v>
      </c>
    </row>
    <row r="73" spans="1:102" ht="15" customHeight="1" x14ac:dyDescent="0.3">
      <c r="A73" s="5783" t="s">
        <v>117</v>
      </c>
      <c r="B73" s="5783"/>
      <c r="C73" s="193">
        <f>SUM(D73:E73)</f>
        <v>0</v>
      </c>
      <c r="D73" s="2068"/>
      <c r="E73" s="330"/>
      <c r="F73" s="485">
        <f>SUM(G73:H73)</f>
        <v>0</v>
      </c>
      <c r="G73" s="2068"/>
      <c r="H73" s="332"/>
      <c r="I73" s="2069"/>
      <c r="J73" s="2070"/>
      <c r="K73" s="330"/>
      <c r="L73" s="2071"/>
      <c r="M73" s="1898" t="str">
        <f t="shared" si="62"/>
        <v/>
      </c>
      <c r="AR73" s="1970"/>
      <c r="AS73" s="1970"/>
      <c r="AT73" s="1970"/>
      <c r="AU73" s="1970"/>
      <c r="AV73" s="1970"/>
      <c r="AW73" s="1970"/>
      <c r="AX73" s="1970"/>
      <c r="AY73" s="1970"/>
      <c r="AZ73" s="1970"/>
      <c r="BA73" s="1970"/>
      <c r="BB73" s="1970"/>
      <c r="BC73" s="1970"/>
      <c r="BD73" s="1970"/>
      <c r="BE73" s="1970"/>
      <c r="BF73" s="1970"/>
      <c r="BG73" s="1970"/>
      <c r="BH73" s="1970"/>
      <c r="BI73" s="1970"/>
      <c r="BJ73" s="1970"/>
      <c r="BK73" s="1970"/>
      <c r="BL73" s="1970"/>
      <c r="BM73" s="1970"/>
      <c r="BN73" s="1970"/>
      <c r="BO73" s="1970"/>
      <c r="BP73" s="1970"/>
      <c r="BQ73" s="1970"/>
      <c r="BR73" s="1970"/>
      <c r="BS73" s="1970"/>
      <c r="BT73" s="1970"/>
      <c r="BU73" s="1970"/>
      <c r="BV73" s="1970"/>
      <c r="BW73" s="1970"/>
      <c r="BX73" s="1970"/>
      <c r="BY73" s="1970"/>
      <c r="BZ73" s="1970"/>
      <c r="CA73" s="1899" t="str">
        <f t="shared" si="63"/>
        <v/>
      </c>
      <c r="CB73" s="1899" t="str">
        <f t="shared" si="64"/>
        <v/>
      </c>
      <c r="CC73" s="1899" t="str">
        <f t="shared" si="65"/>
        <v/>
      </c>
      <c r="CD73" s="1899" t="str">
        <f t="shared" si="66"/>
        <v/>
      </c>
      <c r="CE73" s="1971"/>
      <c r="CF73" s="1971"/>
      <c r="CI73" s="1971"/>
      <c r="CU73" s="1901">
        <f>IF(AND(($C73+F73)&lt;&gt;0,$I73=""),1,IF(I73&gt;($C73+$F73),1,0))</f>
        <v>0</v>
      </c>
      <c r="CV73" s="1901">
        <f>IF(AND(($C73+F73)&lt;&gt;0,$J73=""),1,IF(J73&gt;($C73+$F73),1,0))</f>
        <v>0</v>
      </c>
      <c r="CW73" s="1901">
        <f>IF(AND(($C73+F73)&lt;&gt;0,$K73=""),1,IF(K73&gt;($C73+$F73),1,0))</f>
        <v>0</v>
      </c>
      <c r="CX73" s="1901">
        <f>IF(AND(($C73+F73)&lt;&gt;0,$L73=""),1,IF(L73&gt;($C73+$F73),1,0))</f>
        <v>0</v>
      </c>
    </row>
    <row r="74" spans="1:102" ht="15" customHeight="1" x14ac:dyDescent="0.3">
      <c r="A74" s="5784" t="s">
        <v>77</v>
      </c>
      <c r="B74" s="5784"/>
      <c r="C74" s="2072">
        <f t="shared" ref="C74:L74" si="67">SUM(C70:C73)</f>
        <v>0</v>
      </c>
      <c r="D74" s="2073">
        <f t="shared" si="67"/>
        <v>0</v>
      </c>
      <c r="E74" s="2074">
        <f t="shared" si="67"/>
        <v>0</v>
      </c>
      <c r="F74" s="2074">
        <f t="shared" si="67"/>
        <v>0</v>
      </c>
      <c r="G74" s="2073">
        <f t="shared" si="67"/>
        <v>0</v>
      </c>
      <c r="H74" s="2075">
        <f t="shared" si="67"/>
        <v>0</v>
      </c>
      <c r="I74" s="2076">
        <f t="shared" si="67"/>
        <v>0</v>
      </c>
      <c r="J74" s="2072">
        <f t="shared" si="67"/>
        <v>0</v>
      </c>
      <c r="K74" s="2074">
        <f t="shared" si="67"/>
        <v>0</v>
      </c>
      <c r="L74" s="2072">
        <f t="shared" si="67"/>
        <v>0</v>
      </c>
    </row>
    <row r="75" spans="1:102" ht="18" customHeight="1" x14ac:dyDescent="0.3">
      <c r="A75" s="5749" t="s">
        <v>118</v>
      </c>
      <c r="B75" s="5749"/>
      <c r="C75" s="5749"/>
      <c r="D75" s="5749"/>
      <c r="E75" s="5749"/>
      <c r="F75" s="5749"/>
      <c r="G75" s="5749"/>
      <c r="H75" s="5749"/>
      <c r="I75" s="5749"/>
      <c r="J75" s="5749"/>
      <c r="K75" s="5749"/>
      <c r="L75" s="5749"/>
      <c r="M75" s="5749"/>
    </row>
    <row r="76" spans="1:102" ht="18" customHeight="1" x14ac:dyDescent="0.3">
      <c r="A76" s="5725" t="s">
        <v>119</v>
      </c>
      <c r="B76" s="5725" t="s">
        <v>77</v>
      </c>
      <c r="C76" s="5725" t="s">
        <v>30</v>
      </c>
      <c r="D76" s="5769"/>
      <c r="E76" s="5768" t="s">
        <v>120</v>
      </c>
      <c r="F76" s="5725"/>
      <c r="G76" s="5757" t="s">
        <v>121</v>
      </c>
      <c r="H76" s="5725"/>
      <c r="I76" s="5769"/>
      <c r="J76" s="5785" t="s">
        <v>36</v>
      </c>
      <c r="K76" s="5780" t="s">
        <v>37</v>
      </c>
      <c r="L76" s="5780" t="s">
        <v>34</v>
      </c>
      <c r="M76" s="5757" t="s">
        <v>35</v>
      </c>
    </row>
    <row r="77" spans="1:102" ht="45" customHeight="1" x14ac:dyDescent="0.3">
      <c r="A77" s="5725"/>
      <c r="B77" s="5725"/>
      <c r="C77" s="2065" t="s">
        <v>58</v>
      </c>
      <c r="D77" s="2062" t="s">
        <v>59</v>
      </c>
      <c r="E77" s="2077" t="s">
        <v>122</v>
      </c>
      <c r="F77" s="2061" t="s">
        <v>123</v>
      </c>
      <c r="G77" s="2065" t="s">
        <v>124</v>
      </c>
      <c r="H77" s="2078" t="s">
        <v>125</v>
      </c>
      <c r="I77" s="2062" t="s">
        <v>126</v>
      </c>
      <c r="J77" s="5785"/>
      <c r="K77" s="5780"/>
      <c r="L77" s="5780"/>
      <c r="M77" s="5757"/>
    </row>
    <row r="78" spans="1:102" ht="15" customHeight="1" x14ac:dyDescent="0.3">
      <c r="A78" s="1885" t="s">
        <v>127</v>
      </c>
      <c r="B78" s="1886">
        <f>SUM(C78:D78)</f>
        <v>0</v>
      </c>
      <c r="C78" s="1893"/>
      <c r="D78" s="1944"/>
      <c r="E78" s="1997"/>
      <c r="F78" s="1996"/>
      <c r="G78" s="2079"/>
      <c r="H78" s="1893"/>
      <c r="I78" s="1944"/>
      <c r="J78" s="1997"/>
      <c r="K78" s="1893"/>
      <c r="L78" s="1896"/>
      <c r="M78" s="1996"/>
      <c r="N78" s="1898" t="str">
        <f>CA78&amp;CB78&amp;CC78&amp;CD78</f>
        <v/>
      </c>
      <c r="AS78" s="1970"/>
      <c r="AT78" s="1970"/>
      <c r="AU78" s="1970"/>
      <c r="AV78" s="1970"/>
      <c r="AW78" s="1970"/>
      <c r="AX78" s="1970"/>
      <c r="AY78" s="1970"/>
      <c r="AZ78" s="1970"/>
      <c r="BA78" s="1970"/>
      <c r="BB78" s="1970"/>
      <c r="BC78" s="1970"/>
      <c r="BD78" s="1970"/>
      <c r="BE78" s="1970"/>
      <c r="BF78" s="1970"/>
      <c r="BG78" s="1970"/>
      <c r="BH78" s="1970"/>
      <c r="BI78" s="1970"/>
      <c r="BJ78" s="1970"/>
      <c r="BK78" s="1970"/>
      <c r="BL78" s="1970"/>
      <c r="BM78" s="1970"/>
      <c r="BN78" s="1970"/>
      <c r="BO78" s="1970"/>
      <c r="BP78" s="1970"/>
      <c r="BQ78" s="1970"/>
      <c r="BR78" s="1970"/>
      <c r="BS78" s="1970"/>
      <c r="BT78" s="1970"/>
      <c r="BU78" s="1970"/>
      <c r="BV78" s="1970"/>
      <c r="BW78" s="1970"/>
      <c r="BX78" s="1970"/>
      <c r="BY78" s="1970"/>
      <c r="BZ78" s="1970"/>
      <c r="CA78" s="1899" t="str">
        <f>IF(AND($B78&lt;&gt;0,J78=""),"* No olvide ingresar la variable "&amp;J$76&amp;""&amp;". Digite CERO si no tiene. ",IF(J78&gt;$B78,"* La variable Pueblos Originarios no debe ser mayor al Total. ",""))</f>
        <v/>
      </c>
      <c r="CB78" s="1899" t="str">
        <f>IF(AND($B78&lt;&gt;0,K78=""),"* No olvide ingresar la variable "&amp;K$76&amp;""&amp;". Digite CERO si no tiene. ",IF(K78&gt;$B78,"* La variable Migrantes no debe ser mayor al Total. ",""))</f>
        <v/>
      </c>
      <c r="CC78" s="1899" t="str">
        <f>IF(AND($B78&lt;&gt;0,L78=""),"* No olvide ingresar la variable "&amp;L$76&amp;""&amp;". Digite CERO si no tiene.  ",IF(L78&gt;$B78,"* La variable Niños, Niñas, Adolescentes y Jóvenes SENAME no debe ser mayor al Total. ",""))</f>
        <v/>
      </c>
      <c r="CD78" s="1899" t="str">
        <f>IF(AND($B78&lt;&gt;0,M78=""),"* No olvide ingresar la variable "&amp;M$76&amp;""&amp;". Digite CERO si no tiene.  ",IF(M78&gt;$B78,"* La variable Niños, Niñas, Adolescentes y Jóvenes Mejor Niñez no debe ser mayor al Total. ",""))</f>
        <v/>
      </c>
      <c r="CF78" s="1971"/>
      <c r="CG78" s="1971"/>
      <c r="CH78" s="1971"/>
      <c r="CI78" s="1971"/>
      <c r="CU78" s="1901">
        <f t="shared" ref="CU78:CX82" si="68">IF(AND($B78&lt;&gt;0,J78=""),1,IF(J78&gt;$B78,1,0))</f>
        <v>0</v>
      </c>
      <c r="CV78" s="1901">
        <f t="shared" si="68"/>
        <v>0</v>
      </c>
      <c r="CW78" s="1901">
        <f t="shared" si="68"/>
        <v>0</v>
      </c>
      <c r="CX78" s="1901">
        <f t="shared" si="68"/>
        <v>0</v>
      </c>
    </row>
    <row r="79" spans="1:102" ht="15" customHeight="1" x14ac:dyDescent="0.3">
      <c r="A79" s="358" t="s">
        <v>128</v>
      </c>
      <c r="B79" s="498">
        <f>SUM(C79:D79)</f>
        <v>0</v>
      </c>
      <c r="C79" s="2068"/>
      <c r="D79" s="332"/>
      <c r="E79" s="2004"/>
      <c r="F79" s="2003"/>
      <c r="G79" s="2080"/>
      <c r="H79" s="1973"/>
      <c r="I79" s="332"/>
      <c r="J79" s="2004"/>
      <c r="K79" s="2068"/>
      <c r="L79" s="1973"/>
      <c r="M79" s="2003"/>
      <c r="N79" s="1898" t="str">
        <f t="shared" ref="N79:N82" si="69">CA79&amp;CB79&amp;CC79&amp;CD79</f>
        <v/>
      </c>
      <c r="AS79" s="1970"/>
      <c r="AT79" s="1970"/>
      <c r="AU79" s="1970"/>
      <c r="AV79" s="1970"/>
      <c r="AW79" s="1970"/>
      <c r="AX79" s="1970"/>
      <c r="AY79" s="1970"/>
      <c r="AZ79" s="1970"/>
      <c r="BA79" s="1970"/>
      <c r="BB79" s="1970"/>
      <c r="BC79" s="1970"/>
      <c r="BD79" s="1970"/>
      <c r="BE79" s="1970"/>
      <c r="BF79" s="1970"/>
      <c r="BG79" s="1970"/>
      <c r="BH79" s="1970"/>
      <c r="BI79" s="1970"/>
      <c r="BJ79" s="1970"/>
      <c r="BK79" s="1970"/>
      <c r="BL79" s="1970"/>
      <c r="BM79" s="1970"/>
      <c r="BN79" s="1970"/>
      <c r="BO79" s="1970"/>
      <c r="BP79" s="1970"/>
      <c r="BQ79" s="1970"/>
      <c r="BR79" s="1970"/>
      <c r="BS79" s="1970"/>
      <c r="BT79" s="1970"/>
      <c r="BU79" s="1970"/>
      <c r="BV79" s="1970"/>
      <c r="BW79" s="1970"/>
      <c r="BX79" s="1970"/>
      <c r="BY79" s="1970"/>
      <c r="BZ79" s="1970"/>
      <c r="CA79" s="1899" t="str">
        <f>IF(AND($B79&lt;&gt;0,J79=""),"* No olvide ingresar la variable "&amp;J$76&amp;""&amp;". Digite CERO si no tiene. ",IF(J79&gt;$B79,"* La variable Pueblos Originarios no debe ser mayor al Total. ",""))</f>
        <v/>
      </c>
      <c r="CB79" s="1899" t="str">
        <f>IF(AND($B79&lt;&gt;0,K79=""),"* No olvide ingresar la variable "&amp;K$76&amp;""&amp;". Digite CERO si no tiene. ",IF(K79&gt;$B79,"* La variable Migrantes no debe ser mayor al Total. ",""))</f>
        <v/>
      </c>
      <c r="CC79" s="1899" t="str">
        <f>IF(AND($B79&lt;&gt;0,L79=""),"* No olvide ingresar la variable "&amp;L$76&amp;""&amp;". Digite CERO si no tiene.  ",IF(L79&gt;$B79,"* La variable Niños, Niñas, Adolescentes y Jóvenes SENAME no debe ser mayor al Total. ",""))</f>
        <v/>
      </c>
      <c r="CD79" s="1899" t="str">
        <f>IF(AND($B79&lt;&gt;0,M79=""),"* No olvide ingresar la variable "&amp;M$76&amp;""&amp;". Digite CERO si no tiene.  ",IF(M79&gt;$B79,"* La variable Niños, Niñas, Adolescentes y Jóvenes Mejor Niñez no debe ser mayor al Total. ",""))</f>
        <v/>
      </c>
      <c r="CF79" s="1971"/>
      <c r="CG79" s="1971"/>
      <c r="CH79" s="1971"/>
      <c r="CI79" s="1971"/>
      <c r="CU79" s="1901">
        <f t="shared" si="68"/>
        <v>0</v>
      </c>
      <c r="CV79" s="1901">
        <f t="shared" si="68"/>
        <v>0</v>
      </c>
      <c r="CW79" s="1901">
        <f t="shared" si="68"/>
        <v>0</v>
      </c>
      <c r="CX79" s="1901">
        <f t="shared" si="68"/>
        <v>0</v>
      </c>
    </row>
    <row r="80" spans="1:102" ht="15" customHeight="1" x14ac:dyDescent="0.3">
      <c r="A80" s="358" t="s">
        <v>129</v>
      </c>
      <c r="B80" s="498">
        <f>SUM(C80:D80)</f>
        <v>0</v>
      </c>
      <c r="C80" s="2068"/>
      <c r="D80" s="332"/>
      <c r="E80" s="2004"/>
      <c r="F80" s="2003"/>
      <c r="G80" s="2081"/>
      <c r="H80" s="1973"/>
      <c r="I80" s="332"/>
      <c r="J80" s="2004"/>
      <c r="K80" s="2068"/>
      <c r="L80" s="1973"/>
      <c r="M80" s="2003"/>
      <c r="N80" s="1898" t="str">
        <f t="shared" si="69"/>
        <v/>
      </c>
      <c r="AS80" s="1970"/>
      <c r="AT80" s="1970"/>
      <c r="AU80" s="1970"/>
      <c r="AV80" s="1970"/>
      <c r="AW80" s="1970"/>
      <c r="AX80" s="1970"/>
      <c r="AY80" s="1970"/>
      <c r="AZ80" s="1970"/>
      <c r="BA80" s="1970"/>
      <c r="BB80" s="1970"/>
      <c r="BC80" s="1970"/>
      <c r="BD80" s="1970"/>
      <c r="BE80" s="1970"/>
      <c r="BF80" s="1970"/>
      <c r="BG80" s="1970"/>
      <c r="BH80" s="1970"/>
      <c r="BI80" s="1970"/>
      <c r="BJ80" s="1970"/>
      <c r="BK80" s="1970"/>
      <c r="BL80" s="1970"/>
      <c r="BM80" s="1970"/>
      <c r="BN80" s="1970"/>
      <c r="BO80" s="1970"/>
      <c r="BP80" s="1970"/>
      <c r="BQ80" s="1970"/>
      <c r="BR80" s="1970"/>
      <c r="BS80" s="1970"/>
      <c r="BT80" s="1970"/>
      <c r="BU80" s="1970"/>
      <c r="BV80" s="1970"/>
      <c r="BW80" s="1970"/>
      <c r="BX80" s="1970"/>
      <c r="BY80" s="1970"/>
      <c r="BZ80" s="1970"/>
      <c r="CA80" s="1899" t="str">
        <f>IF(AND($B80&lt;&gt;0,J80=""),"* No olvide ingresar la variable "&amp;J$76&amp;""&amp;". Digite CERO si no tiene. ",IF(J80&gt;$B80,"* La variable Pueblos Originarios no debe ser mayor al Total. ",""))</f>
        <v/>
      </c>
      <c r="CB80" s="1899" t="str">
        <f>IF(AND($B80&lt;&gt;0,K80=""),"* No olvide ingresar la variable "&amp;K$76&amp;""&amp;". Digite CERO si no tiene. ",IF(K80&gt;$B80,"* La variable Migrantes no debe ser mayor al Total. ",""))</f>
        <v/>
      </c>
      <c r="CC80" s="1899" t="str">
        <f>IF(AND($B80&lt;&gt;0,L80=""),"* No olvide ingresar la variable "&amp;L$76&amp;""&amp;". Digite CERO si no tiene.  ",IF(L80&gt;$B80,"* La variable Niños, Niñas, Adolescentes y Jóvenes SENAME no debe ser mayor al Total. ",""))</f>
        <v/>
      </c>
      <c r="CD80" s="1899" t="str">
        <f>IF(AND($B80&lt;&gt;0,M80=""),"* No olvide ingresar la variable "&amp;M$76&amp;""&amp;". Digite CERO si no tiene.  ",IF(M80&gt;$B80,"* La variable Niños, Niñas, Adolescentes y Jóvenes Mejor Niñez no debe ser mayor al Total. ",""))</f>
        <v/>
      </c>
      <c r="CF80" s="1971"/>
      <c r="CG80" s="1971"/>
      <c r="CH80" s="1971"/>
      <c r="CI80" s="1971"/>
      <c r="CU80" s="1901">
        <f t="shared" si="68"/>
        <v>0</v>
      </c>
      <c r="CV80" s="1901">
        <f t="shared" si="68"/>
        <v>0</v>
      </c>
      <c r="CW80" s="1901">
        <f t="shared" si="68"/>
        <v>0</v>
      </c>
      <c r="CX80" s="1901">
        <f t="shared" si="68"/>
        <v>0</v>
      </c>
    </row>
    <row r="81" spans="1:102" ht="15" customHeight="1" x14ac:dyDescent="0.3">
      <c r="A81" s="358" t="s">
        <v>130</v>
      </c>
      <c r="B81" s="498">
        <f>SUM(C81:D81)</f>
        <v>0</v>
      </c>
      <c r="C81" s="2068"/>
      <c r="D81" s="332"/>
      <c r="E81" s="2004"/>
      <c r="F81" s="2003"/>
      <c r="G81" s="2081"/>
      <c r="H81" s="1973"/>
      <c r="I81" s="332"/>
      <c r="J81" s="2004"/>
      <c r="K81" s="2068"/>
      <c r="L81" s="1973"/>
      <c r="M81" s="2003"/>
      <c r="N81" s="1898" t="str">
        <f t="shared" si="69"/>
        <v/>
      </c>
      <c r="AS81" s="1970"/>
      <c r="AT81" s="1970"/>
      <c r="AU81" s="1970"/>
      <c r="AV81" s="1970"/>
      <c r="AW81" s="1970"/>
      <c r="AX81" s="1970"/>
      <c r="AY81" s="1970"/>
      <c r="AZ81" s="1970"/>
      <c r="BA81" s="1970"/>
      <c r="BB81" s="1970"/>
      <c r="BC81" s="1970"/>
      <c r="BD81" s="1970"/>
      <c r="BE81" s="1970"/>
      <c r="BF81" s="1970"/>
      <c r="BG81" s="1970"/>
      <c r="BH81" s="1970"/>
      <c r="BI81" s="1970"/>
      <c r="BJ81" s="1970"/>
      <c r="BK81" s="1970"/>
      <c r="BL81" s="1970"/>
      <c r="BM81" s="1970"/>
      <c r="BN81" s="1970"/>
      <c r="BO81" s="1970"/>
      <c r="BP81" s="1970"/>
      <c r="BQ81" s="1970"/>
      <c r="BR81" s="1970"/>
      <c r="BS81" s="1970"/>
      <c r="BT81" s="1970"/>
      <c r="BU81" s="1970"/>
      <c r="BV81" s="1970"/>
      <c r="BW81" s="1970"/>
      <c r="BX81" s="1970"/>
      <c r="BY81" s="1970"/>
      <c r="BZ81" s="1970"/>
      <c r="CA81" s="1899" t="str">
        <f>IF(AND($B81&lt;&gt;0,J81=""),"* No olvide ingresar la variable "&amp;J$76&amp;""&amp;". Digite CERO si no tiene. ",IF(J81&gt;$B81,"* La variable Pueblos Originarios no debe ser mayor al Total. ",""))</f>
        <v/>
      </c>
      <c r="CB81" s="1899" t="str">
        <f>IF(AND($B81&lt;&gt;0,K81=""),"* No olvide ingresar la variable "&amp;K$76&amp;""&amp;". Digite CERO si no tiene. ",IF(K81&gt;$B81,"* La variable Migrantes no debe ser mayor al Total. ",""))</f>
        <v/>
      </c>
      <c r="CC81" s="1899" t="str">
        <f>IF(AND($B81&lt;&gt;0,L81=""),"* No olvide ingresar la variable "&amp;L$76&amp;""&amp;". Digite CERO si no tiene.  ",IF(L81&gt;$B81,"* La variable Niños, Niñas, Adolescentes y Jóvenes SENAME no debe ser mayor al Total. ",""))</f>
        <v/>
      </c>
      <c r="CD81" s="1899" t="str">
        <f>IF(AND($B81&lt;&gt;0,M81=""),"* No olvide ingresar la variable "&amp;M$76&amp;""&amp;". Digite CERO si no tiene.  ",IF(M81&gt;$B81,"* La variable Niños, Niñas, Adolescentes y Jóvenes Mejor Niñez no debe ser mayor al Total. ",""))</f>
        <v/>
      </c>
      <c r="CF81" s="1971"/>
      <c r="CG81" s="1971"/>
      <c r="CH81" s="1971"/>
      <c r="CI81" s="1971"/>
      <c r="CU81" s="1901">
        <f t="shared" si="68"/>
        <v>0</v>
      </c>
      <c r="CV81" s="1901">
        <f t="shared" si="68"/>
        <v>0</v>
      </c>
      <c r="CW81" s="1901">
        <f t="shared" si="68"/>
        <v>0</v>
      </c>
      <c r="CX81" s="1901">
        <f t="shared" si="68"/>
        <v>0</v>
      </c>
    </row>
    <row r="82" spans="1:102" ht="15" customHeight="1" x14ac:dyDescent="0.3">
      <c r="A82" s="358" t="s">
        <v>131</v>
      </c>
      <c r="B82" s="498">
        <f>SUM(C82:D82)</f>
        <v>0</v>
      </c>
      <c r="C82" s="2068"/>
      <c r="D82" s="332"/>
      <c r="E82" s="2004"/>
      <c r="F82" s="2003"/>
      <c r="G82" s="2081"/>
      <c r="H82" s="1973"/>
      <c r="I82" s="332"/>
      <c r="J82" s="2004"/>
      <c r="K82" s="2068"/>
      <c r="L82" s="1973"/>
      <c r="M82" s="2003"/>
      <c r="N82" s="1898" t="str">
        <f t="shared" si="69"/>
        <v/>
      </c>
      <c r="AS82" s="1970"/>
      <c r="AT82" s="1970"/>
      <c r="AU82" s="1970"/>
      <c r="AV82" s="1970"/>
      <c r="AW82" s="1970"/>
      <c r="AX82" s="1970"/>
      <c r="AY82" s="1970"/>
      <c r="AZ82" s="1970"/>
      <c r="BA82" s="1970"/>
      <c r="BB82" s="1970"/>
      <c r="BC82" s="1970"/>
      <c r="BD82" s="1970"/>
      <c r="BE82" s="1970"/>
      <c r="BF82" s="1970"/>
      <c r="BG82" s="1970"/>
      <c r="BH82" s="1970"/>
      <c r="BI82" s="1970"/>
      <c r="BJ82" s="1970"/>
      <c r="BK82" s="1970"/>
      <c r="BL82" s="1970"/>
      <c r="BM82" s="1970"/>
      <c r="BN82" s="1970"/>
      <c r="BO82" s="1970"/>
      <c r="BP82" s="1970"/>
      <c r="BQ82" s="1970"/>
      <c r="BR82" s="1970"/>
      <c r="BS82" s="1970"/>
      <c r="BT82" s="1970"/>
      <c r="BU82" s="1970"/>
      <c r="BV82" s="1970"/>
      <c r="BW82" s="1970"/>
      <c r="BX82" s="1970"/>
      <c r="BY82" s="1970"/>
      <c r="BZ82" s="1970"/>
      <c r="CA82" s="1899" t="str">
        <f>IF(AND($B82&lt;&gt;0,J82=""),"* No olvide ingresar la variable "&amp;J$76&amp;""&amp;". Digite CERO si no tiene. ",IF(J82&gt;$B82,"* La variable Pueblos Originarios no debe ser mayor al Total. ",""))</f>
        <v/>
      </c>
      <c r="CB82" s="1899" t="str">
        <f>IF(AND($B82&lt;&gt;0,K82=""),"* No olvide ingresar la variable "&amp;K$76&amp;""&amp;". Digite CERO si no tiene. ",IF(K82&gt;$B82,"* La variable Migrantes no debe ser mayor al Total. ",""))</f>
        <v/>
      </c>
      <c r="CC82" s="1899" t="str">
        <f>IF(AND($B82&lt;&gt;0,L82=""),"* No olvide ingresar la variable "&amp;L$76&amp;""&amp;". Digite CERO si no tiene.  ",IF(L82&gt;$B82,"* La variable Niños, Niñas, Adolescentes y Jóvenes SENAME no debe ser mayor al Total. ",""))</f>
        <v/>
      </c>
      <c r="CD82" s="1899" t="str">
        <f>IF(AND($B82&lt;&gt;0,M82=""),"* No olvide ingresar la variable "&amp;M$76&amp;""&amp;". Digite CERO si no tiene.  ",IF(M82&gt;$B82,"* La variable Niños, Niñas, Adolescentes y Jóvenes Mejor Niñez no debe ser mayor al Total. ",""))</f>
        <v/>
      </c>
      <c r="CF82" s="1971"/>
      <c r="CG82" s="1971"/>
      <c r="CH82" s="1971"/>
      <c r="CI82" s="1971"/>
      <c r="CU82" s="1901">
        <f t="shared" si="68"/>
        <v>0</v>
      </c>
      <c r="CV82" s="1901">
        <f t="shared" si="68"/>
        <v>0</v>
      </c>
      <c r="CW82" s="1901">
        <f t="shared" si="68"/>
        <v>0</v>
      </c>
      <c r="CX82" s="1901">
        <f t="shared" si="68"/>
        <v>0</v>
      </c>
    </row>
    <row r="83" spans="1:102" ht="15" customHeight="1" x14ac:dyDescent="0.3">
      <c r="A83" s="2082" t="s">
        <v>132</v>
      </c>
      <c r="B83" s="2070"/>
      <c r="C83" s="2083"/>
      <c r="D83" s="2084"/>
      <c r="E83" s="2085"/>
      <c r="F83" s="2086"/>
      <c r="G83" s="2087"/>
      <c r="H83" s="1914"/>
      <c r="I83" s="326"/>
      <c r="J83" s="2085"/>
      <c r="K83" s="2088"/>
      <c r="L83" s="1926"/>
      <c r="M83" s="2086"/>
      <c r="N83" s="1898"/>
      <c r="AS83" s="1970"/>
      <c r="AT83" s="1970"/>
      <c r="AU83" s="1970"/>
      <c r="AV83" s="1970"/>
      <c r="AW83" s="1970"/>
      <c r="AX83" s="1970"/>
      <c r="AY83" s="1970"/>
      <c r="AZ83" s="1970"/>
      <c r="BA83" s="1970"/>
      <c r="BB83" s="1970"/>
      <c r="BC83" s="1970"/>
      <c r="BD83" s="1970"/>
      <c r="BE83" s="1970"/>
      <c r="BF83" s="1970"/>
      <c r="BG83" s="1970"/>
      <c r="BH83" s="1970"/>
      <c r="BI83" s="1970"/>
      <c r="BJ83" s="1970"/>
      <c r="BK83" s="1970"/>
      <c r="BL83" s="1970"/>
      <c r="BM83" s="1970"/>
      <c r="BN83" s="1970"/>
      <c r="BO83" s="1970"/>
      <c r="BP83" s="1970"/>
      <c r="BQ83" s="1970"/>
      <c r="BR83" s="1970"/>
      <c r="BS83" s="1970"/>
      <c r="BT83" s="1970"/>
      <c r="BU83" s="1970"/>
      <c r="BV83" s="1970"/>
      <c r="BW83" s="1970"/>
      <c r="BX83" s="1970"/>
      <c r="BY83" s="1970"/>
      <c r="BZ83" s="1970"/>
      <c r="CA83" s="1970"/>
      <c r="CB83" s="1970"/>
      <c r="CC83" s="1970"/>
      <c r="CD83" s="1970"/>
      <c r="CE83" s="1970"/>
      <c r="CF83" s="1971"/>
      <c r="CG83" s="1971"/>
      <c r="CH83" s="1971"/>
      <c r="CI83" s="1971"/>
    </row>
    <row r="84" spans="1:102" ht="18" customHeight="1" x14ac:dyDescent="0.3">
      <c r="A84" s="5749" t="s">
        <v>133</v>
      </c>
      <c r="B84" s="5749"/>
      <c r="C84" s="5749"/>
      <c r="D84" s="5749"/>
      <c r="E84" s="5749"/>
      <c r="F84" s="5749"/>
      <c r="G84" s="5749"/>
      <c r="H84" s="5749"/>
      <c r="I84" s="5749"/>
      <c r="J84" s="5749"/>
      <c r="K84" s="5749"/>
      <c r="L84" s="5749"/>
      <c r="M84" s="5749"/>
      <c r="N84" s="5749"/>
      <c r="O84" s="5749"/>
      <c r="P84" s="5749"/>
      <c r="Q84" s="5749"/>
      <c r="R84" s="5749"/>
      <c r="S84" s="5749"/>
      <c r="T84" s="5749"/>
      <c r="U84" s="5749"/>
      <c r="V84" s="5749"/>
      <c r="W84" s="5749"/>
      <c r="X84" s="5749"/>
      <c r="Y84" s="5749"/>
      <c r="Z84" s="5749"/>
      <c r="AA84" s="5749"/>
      <c r="AB84" s="5749"/>
      <c r="AC84" s="5749"/>
      <c r="AD84" s="5749"/>
      <c r="AE84" s="5749"/>
      <c r="AF84" s="5749"/>
      <c r="AG84" s="1872"/>
      <c r="AH84" s="1872"/>
    </row>
    <row r="85" spans="1:102" ht="15" customHeight="1" x14ac:dyDescent="0.3">
      <c r="A85" s="5770" t="s">
        <v>26</v>
      </c>
      <c r="B85" s="5773" t="s">
        <v>77</v>
      </c>
      <c r="C85" s="5774"/>
      <c r="D85" s="5775"/>
      <c r="E85" s="5741" t="s">
        <v>101</v>
      </c>
      <c r="F85" s="5778"/>
      <c r="G85" s="5778"/>
      <c r="H85" s="5778"/>
      <c r="I85" s="5778"/>
      <c r="J85" s="5778"/>
      <c r="K85" s="5778"/>
      <c r="L85" s="5778"/>
      <c r="M85" s="5778"/>
      <c r="N85" s="5778"/>
      <c r="O85" s="5778"/>
      <c r="P85" s="5778"/>
      <c r="Q85" s="5778"/>
      <c r="R85" s="5778"/>
      <c r="S85" s="5778"/>
      <c r="T85" s="5778"/>
      <c r="U85" s="5778"/>
      <c r="V85" s="5778"/>
      <c r="W85" s="5778"/>
      <c r="X85" s="5778"/>
      <c r="Y85" s="5778"/>
      <c r="Z85" s="5778"/>
      <c r="AA85" s="5778"/>
      <c r="AB85" s="5778"/>
      <c r="AC85" s="5778"/>
      <c r="AD85" s="5778"/>
      <c r="AE85" s="5778"/>
      <c r="AF85" s="5779"/>
      <c r="AG85" s="5765" t="s">
        <v>37</v>
      </c>
      <c r="AH85" s="5758" t="s">
        <v>36</v>
      </c>
    </row>
    <row r="86" spans="1:102" ht="15" customHeight="1" x14ac:dyDescent="0.3">
      <c r="A86" s="5771"/>
      <c r="B86" s="5776"/>
      <c r="C86" s="5777"/>
      <c r="D86" s="5759"/>
      <c r="E86" s="5741" t="s">
        <v>44</v>
      </c>
      <c r="F86" s="5757"/>
      <c r="G86" s="5761" t="s">
        <v>45</v>
      </c>
      <c r="H86" s="5762"/>
      <c r="I86" s="5761" t="s">
        <v>46</v>
      </c>
      <c r="J86" s="5762"/>
      <c r="K86" s="5763" t="s">
        <v>47</v>
      </c>
      <c r="L86" s="5762"/>
      <c r="M86" s="5761" t="s">
        <v>48</v>
      </c>
      <c r="N86" s="5762"/>
      <c r="O86" s="5761" t="s">
        <v>49</v>
      </c>
      <c r="P86" s="5762"/>
      <c r="Q86" s="5761" t="s">
        <v>50</v>
      </c>
      <c r="R86" s="5762"/>
      <c r="S86" s="5761" t="s">
        <v>51</v>
      </c>
      <c r="T86" s="5762"/>
      <c r="U86" s="5761" t="s">
        <v>52</v>
      </c>
      <c r="V86" s="5762"/>
      <c r="W86" s="5761" t="s">
        <v>53</v>
      </c>
      <c r="X86" s="5761"/>
      <c r="Y86" s="5763" t="s">
        <v>54</v>
      </c>
      <c r="Z86" s="5762"/>
      <c r="AA86" s="5763" t="s">
        <v>55</v>
      </c>
      <c r="AB86" s="5762"/>
      <c r="AC86" s="5763" t="s">
        <v>56</v>
      </c>
      <c r="AD86" s="5762"/>
      <c r="AE86" s="5761" t="s">
        <v>57</v>
      </c>
      <c r="AF86" s="5764"/>
      <c r="AG86" s="5766"/>
      <c r="AH86" s="5759"/>
    </row>
    <row r="87" spans="1:102" ht="15" customHeight="1" x14ac:dyDescent="0.3">
      <c r="A87" s="5772"/>
      <c r="B87" s="2089" t="s">
        <v>79</v>
      </c>
      <c r="C87" s="2064" t="s">
        <v>58</v>
      </c>
      <c r="D87" s="2061" t="s">
        <v>59</v>
      </c>
      <c r="E87" s="2065" t="s">
        <v>58</v>
      </c>
      <c r="F87" s="2061" t="s">
        <v>59</v>
      </c>
      <c r="G87" s="2064" t="s">
        <v>58</v>
      </c>
      <c r="H87" s="2061" t="s">
        <v>59</v>
      </c>
      <c r="I87" s="2064" t="s">
        <v>58</v>
      </c>
      <c r="J87" s="2061" t="s">
        <v>59</v>
      </c>
      <c r="K87" s="2065" t="s">
        <v>58</v>
      </c>
      <c r="L87" s="2061" t="s">
        <v>59</v>
      </c>
      <c r="M87" s="2064" t="s">
        <v>58</v>
      </c>
      <c r="N87" s="2061" t="s">
        <v>59</v>
      </c>
      <c r="O87" s="2064" t="s">
        <v>58</v>
      </c>
      <c r="P87" s="2061" t="s">
        <v>59</v>
      </c>
      <c r="Q87" s="2064" t="s">
        <v>58</v>
      </c>
      <c r="R87" s="2061" t="s">
        <v>59</v>
      </c>
      <c r="S87" s="2064" t="s">
        <v>58</v>
      </c>
      <c r="T87" s="2061" t="s">
        <v>59</v>
      </c>
      <c r="U87" s="2064" t="s">
        <v>58</v>
      </c>
      <c r="V87" s="2061" t="s">
        <v>59</v>
      </c>
      <c r="W87" s="2064" t="s">
        <v>58</v>
      </c>
      <c r="X87" s="2060" t="s">
        <v>59</v>
      </c>
      <c r="Y87" s="2065" t="s">
        <v>58</v>
      </c>
      <c r="Z87" s="2061" t="s">
        <v>59</v>
      </c>
      <c r="AA87" s="2065" t="s">
        <v>58</v>
      </c>
      <c r="AB87" s="2061" t="s">
        <v>59</v>
      </c>
      <c r="AC87" s="2065" t="s">
        <v>58</v>
      </c>
      <c r="AD87" s="2061" t="s">
        <v>59</v>
      </c>
      <c r="AE87" s="2064" t="s">
        <v>58</v>
      </c>
      <c r="AF87" s="2062" t="s">
        <v>59</v>
      </c>
      <c r="AG87" s="5767"/>
      <c r="AH87" s="5760"/>
    </row>
    <row r="88" spans="1:102" ht="15" customHeight="1" x14ac:dyDescent="0.3">
      <c r="A88" s="358" t="s">
        <v>134</v>
      </c>
      <c r="B88" s="2090">
        <f t="shared" ref="B88:B93" si="70">SUM(C88:D88)</f>
        <v>0</v>
      </c>
      <c r="C88" s="2091">
        <f t="shared" ref="C88:C93" si="71">SUM(E88+G88+I88+K88+M88+O88+Q88+S88+U88+W88+Y88+AA88+AC88+AE88)</f>
        <v>0</v>
      </c>
      <c r="D88" s="2092">
        <f t="shared" ref="D88:D93" si="72">SUM(+F88+H88+J88+L88+N88+P88+R88+T88+V88+X88+Z88+AB88+AD88+AF88)</f>
        <v>0</v>
      </c>
      <c r="E88" s="329"/>
      <c r="F88" s="2003"/>
      <c r="G88" s="2068"/>
      <c r="H88" s="2003"/>
      <c r="I88" s="2093"/>
      <c r="J88" s="2094"/>
      <c r="K88" s="2095"/>
      <c r="L88" s="2094"/>
      <c r="M88" s="2093"/>
      <c r="N88" s="2094"/>
      <c r="O88" s="2093"/>
      <c r="P88" s="2094"/>
      <c r="Q88" s="2093"/>
      <c r="R88" s="2094"/>
      <c r="S88" s="2093"/>
      <c r="T88" s="2094"/>
      <c r="U88" s="2093"/>
      <c r="V88" s="2094"/>
      <c r="W88" s="2093"/>
      <c r="X88" s="2096"/>
      <c r="Y88" s="2095"/>
      <c r="Z88" s="2094"/>
      <c r="AA88" s="2095"/>
      <c r="AB88" s="2094"/>
      <c r="AC88" s="2095"/>
      <c r="AD88" s="2094"/>
      <c r="AE88" s="2093"/>
      <c r="AF88" s="2097"/>
      <c r="AG88" s="1997"/>
      <c r="AH88" s="1969"/>
      <c r="AI88" s="1898" t="str">
        <f>$CA88&amp;CB88</f>
        <v/>
      </c>
      <c r="BN88" s="1970"/>
      <c r="BO88" s="1970"/>
      <c r="BP88" s="1970"/>
      <c r="BQ88" s="1970"/>
      <c r="BR88" s="1970"/>
      <c r="BS88" s="1970"/>
      <c r="BT88" s="1970"/>
      <c r="BU88" s="1970"/>
      <c r="BV88" s="1970"/>
      <c r="BW88" s="1970"/>
      <c r="BX88" s="1970"/>
      <c r="BY88" s="1970"/>
      <c r="BZ88" s="1970"/>
      <c r="CA88" s="1899" t="str">
        <f>IF(AND($B88&lt;&gt;0,AG88=""),"* No olvide ingresar la variable "&amp;AG$85&amp;""&amp;". Digite CERO si no tiene. ",IF(AG88&gt;$B88,"* La variable Migrantes no debe ser mayor al Total Ambos Sexos. ",""))</f>
        <v/>
      </c>
      <c r="CB88" s="1899" t="str">
        <f>IF(AND($B88&lt;&gt;0,AH88=""),"* No olvide ingresar la variable "&amp;AH$85&amp;""&amp;". Digite CERO si no tiene. ",IF(AH88&gt;$B88,"* La variable Pueblos Originarios no debe ser mayor al Total Ambos Sexos. ",""))</f>
        <v/>
      </c>
      <c r="CC88" s="1970"/>
      <c r="CD88" s="1970"/>
      <c r="CE88" s="1971"/>
      <c r="CF88" s="1971"/>
      <c r="CG88" s="1971"/>
      <c r="CH88" s="1971"/>
      <c r="CI88" s="1971"/>
      <c r="CU88" s="1901">
        <f t="shared" ref="CU88:CV93" si="73">IF(AND($B88&lt;&gt;0,AG88=""),1,IF(AG88&gt;$B88,1,0))</f>
        <v>0</v>
      </c>
      <c r="CV88" s="1901">
        <f t="shared" si="73"/>
        <v>0</v>
      </c>
    </row>
    <row r="89" spans="1:102" ht="15" customHeight="1" x14ac:dyDescent="0.3">
      <c r="A89" s="358" t="s">
        <v>135</v>
      </c>
      <c r="B89" s="2090">
        <f t="shared" si="70"/>
        <v>0</v>
      </c>
      <c r="C89" s="2091">
        <f t="shared" si="71"/>
        <v>0</v>
      </c>
      <c r="D89" s="2092">
        <f t="shared" si="72"/>
        <v>0</v>
      </c>
      <c r="E89" s="329"/>
      <c r="F89" s="2003"/>
      <c r="G89" s="2068"/>
      <c r="H89" s="2003"/>
      <c r="I89" s="2093"/>
      <c r="J89" s="2094"/>
      <c r="K89" s="2095"/>
      <c r="L89" s="2094"/>
      <c r="M89" s="2093"/>
      <c r="N89" s="2094"/>
      <c r="O89" s="2093"/>
      <c r="P89" s="2094"/>
      <c r="Q89" s="2093"/>
      <c r="R89" s="2094"/>
      <c r="S89" s="2093"/>
      <c r="T89" s="2094"/>
      <c r="U89" s="2093"/>
      <c r="V89" s="2094"/>
      <c r="W89" s="2093"/>
      <c r="X89" s="2096"/>
      <c r="Y89" s="2095"/>
      <c r="Z89" s="2094"/>
      <c r="AA89" s="2095"/>
      <c r="AB89" s="2094"/>
      <c r="AC89" s="2095"/>
      <c r="AD89" s="2094"/>
      <c r="AE89" s="2093"/>
      <c r="AF89" s="2097"/>
      <c r="AG89" s="2004"/>
      <c r="AH89" s="330"/>
      <c r="AI89" s="1898" t="str">
        <f t="shared" ref="AI89:AI93" si="74">$CA89&amp;CB89</f>
        <v/>
      </c>
      <c r="BN89" s="1970"/>
      <c r="BO89" s="1970"/>
      <c r="BP89" s="1970"/>
      <c r="BQ89" s="1970"/>
      <c r="BR89" s="1970"/>
      <c r="BS89" s="1970"/>
      <c r="BT89" s="1970"/>
      <c r="BU89" s="1970"/>
      <c r="BV89" s="1970"/>
      <c r="BW89" s="1970"/>
      <c r="BX89" s="1970"/>
      <c r="BY89" s="1970"/>
      <c r="BZ89" s="1970"/>
      <c r="CA89" s="1899" t="str">
        <f t="shared" ref="CA89:CA93" si="75">IF(AND($B89&lt;&gt;0,AG89=""),"* No olvide ingresar la variable "&amp;AG$85&amp;""&amp;". Digite CERO si no tiene. ",IF(AG89&gt;$B89,"* La variable Migrantes no debe ser mayor al Total Ambos Sexos. ",""))</f>
        <v/>
      </c>
      <c r="CB89" s="1899" t="str">
        <f t="shared" ref="CB89:CB93" si="76">IF(AND($B89&lt;&gt;0,AH89=""),"* No olvide ingresar la variable "&amp;AH$85&amp;""&amp;". Digite CERO si no tiene. ",IF(AH89&gt;$B89,"* La variable Pueblos Originarios no debe ser mayor al Total Ambos Sexos. ",""))</f>
        <v/>
      </c>
      <c r="CC89" s="1970"/>
      <c r="CD89" s="1970"/>
      <c r="CE89" s="1971"/>
      <c r="CF89" s="1971"/>
      <c r="CG89" s="1971"/>
      <c r="CH89" s="1971"/>
      <c r="CI89" s="1971"/>
      <c r="CU89" s="1901">
        <f t="shared" si="73"/>
        <v>0</v>
      </c>
      <c r="CV89" s="1901">
        <f t="shared" si="73"/>
        <v>0</v>
      </c>
    </row>
    <row r="90" spans="1:102" ht="15" customHeight="1" x14ac:dyDescent="0.3">
      <c r="A90" s="2098" t="s">
        <v>136</v>
      </c>
      <c r="B90" s="2099">
        <f t="shared" si="70"/>
        <v>0</v>
      </c>
      <c r="C90" s="2100">
        <f t="shared" si="71"/>
        <v>0</v>
      </c>
      <c r="D90" s="2048">
        <f t="shared" si="72"/>
        <v>0</v>
      </c>
      <c r="E90" s="1940"/>
      <c r="F90" s="325"/>
      <c r="G90" s="2087"/>
      <c r="H90" s="325"/>
      <c r="I90" s="2101"/>
      <c r="J90" s="2102"/>
      <c r="K90" s="2103"/>
      <c r="L90" s="2102"/>
      <c r="M90" s="2101"/>
      <c r="N90" s="2102"/>
      <c r="O90" s="2101"/>
      <c r="P90" s="2102"/>
      <c r="Q90" s="2101"/>
      <c r="R90" s="2102"/>
      <c r="S90" s="2101"/>
      <c r="T90" s="2102"/>
      <c r="U90" s="2101"/>
      <c r="V90" s="2102"/>
      <c r="W90" s="2101"/>
      <c r="X90" s="2104"/>
      <c r="Y90" s="2103"/>
      <c r="Z90" s="2102"/>
      <c r="AA90" s="2103"/>
      <c r="AB90" s="2102"/>
      <c r="AC90" s="2103"/>
      <c r="AD90" s="2102"/>
      <c r="AE90" s="2101"/>
      <c r="AF90" s="2105"/>
      <c r="AG90" s="1913"/>
      <c r="AH90" s="877"/>
      <c r="AI90" s="1898" t="str">
        <f t="shared" si="74"/>
        <v/>
      </c>
      <c r="BN90" s="1970"/>
      <c r="BO90" s="1970"/>
      <c r="BP90" s="1970"/>
      <c r="BQ90" s="1970"/>
      <c r="BR90" s="1970"/>
      <c r="BS90" s="1970"/>
      <c r="BT90" s="1970"/>
      <c r="BU90" s="1970"/>
      <c r="BV90" s="1970"/>
      <c r="BW90" s="1970"/>
      <c r="BX90" s="1970"/>
      <c r="BY90" s="1970"/>
      <c r="BZ90" s="1970"/>
      <c r="CA90" s="1899" t="str">
        <f t="shared" si="75"/>
        <v/>
      </c>
      <c r="CB90" s="1899" t="str">
        <f t="shared" si="76"/>
        <v/>
      </c>
      <c r="CC90" s="1970"/>
      <c r="CD90" s="1970"/>
      <c r="CE90" s="1971"/>
      <c r="CF90" s="1971"/>
      <c r="CG90" s="1971"/>
      <c r="CH90" s="1971"/>
      <c r="CI90" s="1971"/>
      <c r="CU90" s="1901">
        <f t="shared" si="73"/>
        <v>0</v>
      </c>
      <c r="CV90" s="1901">
        <f t="shared" si="73"/>
        <v>0</v>
      </c>
    </row>
    <row r="91" spans="1:102" ht="15" customHeight="1" x14ac:dyDescent="0.3">
      <c r="A91" s="358" t="s">
        <v>137</v>
      </c>
      <c r="B91" s="2106">
        <f t="shared" si="70"/>
        <v>0</v>
      </c>
      <c r="C91" s="2107">
        <f t="shared" si="71"/>
        <v>0</v>
      </c>
      <c r="D91" s="2108">
        <f t="shared" si="72"/>
        <v>0</v>
      </c>
      <c r="E91" s="329"/>
      <c r="F91" s="2003"/>
      <c r="G91" s="2068"/>
      <c r="H91" s="2003"/>
      <c r="I91" s="2093"/>
      <c r="J91" s="2094"/>
      <c r="K91" s="2095"/>
      <c r="L91" s="2094"/>
      <c r="M91" s="2093"/>
      <c r="N91" s="2094"/>
      <c r="O91" s="2093"/>
      <c r="P91" s="2094"/>
      <c r="Q91" s="2093"/>
      <c r="R91" s="2094"/>
      <c r="S91" s="2093"/>
      <c r="T91" s="2094"/>
      <c r="U91" s="2093"/>
      <c r="V91" s="2094"/>
      <c r="W91" s="2093"/>
      <c r="X91" s="2096"/>
      <c r="Y91" s="2095"/>
      <c r="Z91" s="2094"/>
      <c r="AA91" s="2095"/>
      <c r="AB91" s="2094"/>
      <c r="AC91" s="2095"/>
      <c r="AD91" s="2094"/>
      <c r="AE91" s="2093"/>
      <c r="AF91" s="2097"/>
      <c r="AG91" s="2004"/>
      <c r="AH91" s="330"/>
      <c r="AI91" s="1898" t="str">
        <f t="shared" si="74"/>
        <v/>
      </c>
      <c r="BN91" s="1970"/>
      <c r="BO91" s="1970"/>
      <c r="BP91" s="1970"/>
      <c r="BQ91" s="1970"/>
      <c r="BR91" s="1970"/>
      <c r="BS91" s="1970"/>
      <c r="BT91" s="1970"/>
      <c r="BU91" s="1970"/>
      <c r="BV91" s="1970"/>
      <c r="BW91" s="1970"/>
      <c r="BX91" s="1970"/>
      <c r="BY91" s="1970"/>
      <c r="BZ91" s="1970"/>
      <c r="CA91" s="1899" t="str">
        <f t="shared" si="75"/>
        <v/>
      </c>
      <c r="CB91" s="1899" t="str">
        <f t="shared" si="76"/>
        <v/>
      </c>
      <c r="CC91" s="1970"/>
      <c r="CD91" s="1970"/>
      <c r="CE91" s="1971"/>
      <c r="CF91" s="1971"/>
      <c r="CG91" s="1971"/>
      <c r="CH91" s="1971"/>
      <c r="CI91" s="1971"/>
      <c r="CU91" s="1901">
        <f t="shared" si="73"/>
        <v>0</v>
      </c>
      <c r="CV91" s="1901">
        <f t="shared" si="73"/>
        <v>0</v>
      </c>
    </row>
    <row r="92" spans="1:102" ht="15" customHeight="1" x14ac:dyDescent="0.3">
      <c r="A92" s="358" t="s">
        <v>138</v>
      </c>
      <c r="B92" s="2090">
        <f t="shared" si="70"/>
        <v>0</v>
      </c>
      <c r="C92" s="2091">
        <f t="shared" si="71"/>
        <v>0</v>
      </c>
      <c r="D92" s="2092">
        <f t="shared" si="72"/>
        <v>0</v>
      </c>
      <c r="E92" s="329"/>
      <c r="F92" s="2003"/>
      <c r="G92" s="2068"/>
      <c r="H92" s="2003"/>
      <c r="I92" s="2093"/>
      <c r="J92" s="2094"/>
      <c r="K92" s="2095"/>
      <c r="L92" s="2094"/>
      <c r="M92" s="2093"/>
      <c r="N92" s="2094"/>
      <c r="O92" s="2093"/>
      <c r="P92" s="2094"/>
      <c r="Q92" s="2093"/>
      <c r="R92" s="2094"/>
      <c r="S92" s="2093"/>
      <c r="T92" s="2094"/>
      <c r="U92" s="2093"/>
      <c r="V92" s="2094"/>
      <c r="W92" s="2093"/>
      <c r="X92" s="2096"/>
      <c r="Y92" s="2095"/>
      <c r="Z92" s="2094"/>
      <c r="AA92" s="2095"/>
      <c r="AB92" s="2094"/>
      <c r="AC92" s="2095"/>
      <c r="AD92" s="2094"/>
      <c r="AE92" s="2093"/>
      <c r="AF92" s="2097"/>
      <c r="AG92" s="2004"/>
      <c r="AH92" s="330"/>
      <c r="AI92" s="1898" t="str">
        <f t="shared" si="74"/>
        <v/>
      </c>
      <c r="BN92" s="1970"/>
      <c r="BO92" s="1970"/>
      <c r="BP92" s="1970"/>
      <c r="BQ92" s="1970"/>
      <c r="BR92" s="1970"/>
      <c r="BS92" s="1970"/>
      <c r="BT92" s="1970"/>
      <c r="BU92" s="1970"/>
      <c r="BV92" s="1970"/>
      <c r="BW92" s="1970"/>
      <c r="BX92" s="1970"/>
      <c r="BY92" s="1970"/>
      <c r="BZ92" s="1970"/>
      <c r="CA92" s="1899" t="str">
        <f t="shared" si="75"/>
        <v/>
      </c>
      <c r="CB92" s="1899" t="str">
        <f t="shared" si="76"/>
        <v/>
      </c>
      <c r="CC92" s="1970"/>
      <c r="CD92" s="1970"/>
      <c r="CE92" s="1971"/>
      <c r="CF92" s="1971"/>
      <c r="CG92" s="1971"/>
      <c r="CH92" s="1971"/>
      <c r="CI92" s="1971"/>
      <c r="CU92" s="1901">
        <f t="shared" si="73"/>
        <v>0</v>
      </c>
      <c r="CV92" s="1901">
        <f t="shared" si="73"/>
        <v>0</v>
      </c>
    </row>
    <row r="93" spans="1:102" ht="15" customHeight="1" x14ac:dyDescent="0.3">
      <c r="A93" s="2098" t="s">
        <v>139</v>
      </c>
      <c r="B93" s="2099">
        <f t="shared" si="70"/>
        <v>0</v>
      </c>
      <c r="C93" s="2100">
        <f t="shared" si="71"/>
        <v>0</v>
      </c>
      <c r="D93" s="2048">
        <f t="shared" si="72"/>
        <v>0</v>
      </c>
      <c r="E93" s="1940"/>
      <c r="F93" s="325"/>
      <c r="G93" s="2087"/>
      <c r="H93" s="325"/>
      <c r="I93" s="2101"/>
      <c r="J93" s="2102"/>
      <c r="K93" s="2103"/>
      <c r="L93" s="2102"/>
      <c r="M93" s="2101"/>
      <c r="N93" s="2102"/>
      <c r="O93" s="2101"/>
      <c r="P93" s="2102"/>
      <c r="Q93" s="2101"/>
      <c r="R93" s="2102"/>
      <c r="S93" s="2101"/>
      <c r="T93" s="2102"/>
      <c r="U93" s="2101"/>
      <c r="V93" s="2102"/>
      <c r="W93" s="2101"/>
      <c r="X93" s="2104"/>
      <c r="Y93" s="2103"/>
      <c r="Z93" s="2102"/>
      <c r="AA93" s="2103"/>
      <c r="AB93" s="2102"/>
      <c r="AC93" s="2103"/>
      <c r="AD93" s="2102"/>
      <c r="AE93" s="2101"/>
      <c r="AF93" s="2105"/>
      <c r="AG93" s="2109"/>
      <c r="AH93" s="2110"/>
      <c r="AI93" s="1898" t="str">
        <f t="shared" si="74"/>
        <v/>
      </c>
      <c r="BN93" s="1970"/>
      <c r="BO93" s="1970"/>
      <c r="BP93" s="1970"/>
      <c r="BQ93" s="1970"/>
      <c r="BR93" s="1970"/>
      <c r="BS93" s="1970"/>
      <c r="BT93" s="1970"/>
      <c r="BU93" s="1970"/>
      <c r="BV93" s="1970"/>
      <c r="BW93" s="1970"/>
      <c r="BX93" s="1970"/>
      <c r="BY93" s="1970"/>
      <c r="BZ93" s="1970"/>
      <c r="CA93" s="1899" t="str">
        <f t="shared" si="75"/>
        <v/>
      </c>
      <c r="CB93" s="1899" t="str">
        <f t="shared" si="76"/>
        <v/>
      </c>
      <c r="CC93" s="1970"/>
      <c r="CD93" s="1970"/>
      <c r="CE93" s="1971"/>
      <c r="CF93" s="1971"/>
      <c r="CG93" s="1971"/>
      <c r="CH93" s="1971"/>
      <c r="CI93" s="1971"/>
      <c r="CU93" s="1901">
        <f t="shared" si="73"/>
        <v>0</v>
      </c>
      <c r="CV93" s="1901">
        <f t="shared" si="73"/>
        <v>0</v>
      </c>
    </row>
    <row r="94" spans="1:102" ht="23.25" customHeight="1" x14ac:dyDescent="0.3">
      <c r="A94" s="5722" t="s">
        <v>140</v>
      </c>
      <c r="B94" s="5722"/>
      <c r="C94" s="5722"/>
      <c r="D94" s="5722"/>
      <c r="E94" s="5722"/>
      <c r="F94" s="5722"/>
      <c r="G94" s="5722"/>
      <c r="H94" s="5722"/>
      <c r="I94" s="5722"/>
      <c r="J94" s="5722"/>
      <c r="K94" s="5722"/>
      <c r="L94" s="5722"/>
      <c r="M94" s="5722"/>
      <c r="N94" s="5722"/>
    </row>
    <row r="95" spans="1:102" ht="15" customHeight="1" x14ac:dyDescent="0.3">
      <c r="A95" s="5724" t="s">
        <v>141</v>
      </c>
      <c r="B95" s="5729" t="s">
        <v>142</v>
      </c>
      <c r="C95" s="5730"/>
      <c r="D95" s="5730"/>
      <c r="E95" s="5730"/>
      <c r="F95" s="5730"/>
      <c r="G95" s="5730"/>
      <c r="H95" s="5730"/>
      <c r="I95" s="5730"/>
      <c r="J95" s="5730"/>
      <c r="K95" s="5730"/>
      <c r="L95" s="5750" t="s">
        <v>143</v>
      </c>
    </row>
    <row r="96" spans="1:102" ht="15" customHeight="1" x14ac:dyDescent="0.3">
      <c r="A96" s="5725"/>
      <c r="B96" s="5726" t="s">
        <v>77</v>
      </c>
      <c r="C96" s="5738" t="s">
        <v>144</v>
      </c>
      <c r="D96" s="5724" t="s">
        <v>145</v>
      </c>
      <c r="E96" s="5724"/>
      <c r="F96" s="5729" t="s">
        <v>146</v>
      </c>
      <c r="G96" s="5730"/>
      <c r="H96" s="5730"/>
      <c r="I96" s="5730"/>
      <c r="J96" s="5730"/>
      <c r="K96" s="5730"/>
      <c r="L96" s="5751"/>
    </row>
    <row r="97" spans="1:99" ht="23.25" customHeight="1" x14ac:dyDescent="0.3">
      <c r="A97" s="5725"/>
      <c r="B97" s="5728"/>
      <c r="C97" s="5739"/>
      <c r="D97" s="2112" t="s">
        <v>147</v>
      </c>
      <c r="E97" s="2113" t="s">
        <v>148</v>
      </c>
      <c r="F97" s="2114" t="s">
        <v>149</v>
      </c>
      <c r="G97" s="2115" t="s">
        <v>150</v>
      </c>
      <c r="H97" s="2115" t="s">
        <v>151</v>
      </c>
      <c r="I97" s="2115" t="s">
        <v>152</v>
      </c>
      <c r="J97" s="2115" t="s">
        <v>153</v>
      </c>
      <c r="K97" s="2111" t="s">
        <v>154</v>
      </c>
      <c r="L97" s="5752"/>
    </row>
    <row r="98" spans="1:99" x14ac:dyDescent="0.3">
      <c r="A98" s="2116" t="s">
        <v>155</v>
      </c>
      <c r="B98" s="2117">
        <f t="shared" ref="B98:B111" si="77">SUM(C98:K98)</f>
        <v>0</v>
      </c>
      <c r="C98" s="2118"/>
      <c r="D98" s="2119"/>
      <c r="E98" s="2120"/>
      <c r="F98" s="2119"/>
      <c r="G98" s="2121"/>
      <c r="H98" s="2121"/>
      <c r="I98" s="2121"/>
      <c r="J98" s="2121"/>
      <c r="K98" s="2122"/>
      <c r="L98" s="2120"/>
      <c r="M98" s="1898" t="str">
        <f>$CA98</f>
        <v/>
      </c>
      <c r="CA98" s="1899" t="str">
        <f>IF(AND($B98&lt;&gt;0,L98=""),"* No olvide ingresar la variable "&amp;L$95&amp;""&amp;". Digite CERO si no tiene. ",IF(L98&gt;$B98,"* La variable Total PAP informados en trans masculino no debe ser mayor al Total. ",""))</f>
        <v/>
      </c>
      <c r="CU98" s="1901">
        <f>IF(AND($B98&lt;&gt;0,L98=""),1,IF(L98&gt;$B98,1,0))</f>
        <v>0</v>
      </c>
    </row>
    <row r="99" spans="1:99" x14ac:dyDescent="0.3">
      <c r="A99" s="2123" t="s">
        <v>156</v>
      </c>
      <c r="B99" s="2124">
        <f t="shared" si="77"/>
        <v>0</v>
      </c>
      <c r="C99" s="2125"/>
      <c r="D99" s="2126"/>
      <c r="E99" s="2127"/>
      <c r="F99" s="2126"/>
      <c r="G99" s="2128"/>
      <c r="H99" s="2128"/>
      <c r="I99" s="2128"/>
      <c r="J99" s="2128"/>
      <c r="K99" s="2129"/>
      <c r="L99" s="2127"/>
      <c r="M99" s="1898" t="str">
        <f t="shared" ref="M99:M110" si="78">$CA99</f>
        <v/>
      </c>
      <c r="CA99" s="1899" t="str">
        <f t="shared" ref="CA99:CA109" si="79">IF(AND($B99&lt;&gt;0,L99=""),"* No olvide ingresar la variable "&amp;L$95&amp;""&amp;". Digite CERO si no tiene. ",IF(L99&gt;$B99,"* La variable Total PAP informados en trans masculino no debe ser mayor al Total. ",""))</f>
        <v/>
      </c>
      <c r="CU99" s="1901">
        <f t="shared" ref="CU99:CU110" si="80">IF(AND($B99&lt;&gt;0,L99=""),1,IF(L99&gt;$B99,1,0))</f>
        <v>0</v>
      </c>
    </row>
    <row r="100" spans="1:99" x14ac:dyDescent="0.3">
      <c r="A100" s="2123" t="s">
        <v>157</v>
      </c>
      <c r="B100" s="2117">
        <f t="shared" si="77"/>
        <v>0</v>
      </c>
      <c r="C100" s="2125"/>
      <c r="D100" s="2126"/>
      <c r="E100" s="2127"/>
      <c r="F100" s="2126"/>
      <c r="G100" s="2128"/>
      <c r="H100" s="2128"/>
      <c r="I100" s="2128"/>
      <c r="J100" s="2128"/>
      <c r="K100" s="2129"/>
      <c r="L100" s="2127"/>
      <c r="M100" s="1898" t="str">
        <f t="shared" si="78"/>
        <v/>
      </c>
      <c r="CA100" s="1899" t="str">
        <f t="shared" si="79"/>
        <v/>
      </c>
      <c r="CU100" s="1901">
        <f t="shared" si="80"/>
        <v>0</v>
      </c>
    </row>
    <row r="101" spans="1:99" x14ac:dyDescent="0.3">
      <c r="A101" s="2123" t="s">
        <v>158</v>
      </c>
      <c r="B101" s="2124">
        <f t="shared" si="77"/>
        <v>0</v>
      </c>
      <c r="C101" s="2125"/>
      <c r="D101" s="2126"/>
      <c r="E101" s="2127"/>
      <c r="F101" s="2126"/>
      <c r="G101" s="2128"/>
      <c r="H101" s="2128"/>
      <c r="I101" s="2128"/>
      <c r="J101" s="2128"/>
      <c r="K101" s="2129"/>
      <c r="L101" s="2127"/>
      <c r="M101" s="1898" t="str">
        <f t="shared" si="78"/>
        <v/>
      </c>
      <c r="CA101" s="1899" t="str">
        <f t="shared" si="79"/>
        <v/>
      </c>
      <c r="CU101" s="1901">
        <f t="shared" si="80"/>
        <v>0</v>
      </c>
    </row>
    <row r="102" spans="1:99" x14ac:dyDescent="0.3">
      <c r="A102" s="2123" t="s">
        <v>159</v>
      </c>
      <c r="B102" s="2124">
        <f t="shared" si="77"/>
        <v>0</v>
      </c>
      <c r="C102" s="2125"/>
      <c r="D102" s="2126"/>
      <c r="E102" s="2127"/>
      <c r="F102" s="2126"/>
      <c r="G102" s="2128"/>
      <c r="H102" s="2128"/>
      <c r="I102" s="2128"/>
      <c r="J102" s="2128"/>
      <c r="K102" s="2129"/>
      <c r="L102" s="2127"/>
      <c r="M102" s="1898" t="str">
        <f t="shared" si="78"/>
        <v/>
      </c>
      <c r="CA102" s="1899" t="str">
        <f t="shared" si="79"/>
        <v/>
      </c>
      <c r="CU102" s="1901">
        <f t="shared" si="80"/>
        <v>0</v>
      </c>
    </row>
    <row r="103" spans="1:99" x14ac:dyDescent="0.3">
      <c r="A103" s="2123" t="s">
        <v>160</v>
      </c>
      <c r="B103" s="2124">
        <f t="shared" si="77"/>
        <v>0</v>
      </c>
      <c r="C103" s="2125"/>
      <c r="D103" s="2126"/>
      <c r="E103" s="2127"/>
      <c r="F103" s="2126"/>
      <c r="G103" s="2128"/>
      <c r="H103" s="2128"/>
      <c r="I103" s="2128"/>
      <c r="J103" s="2128"/>
      <c r="K103" s="2129"/>
      <c r="L103" s="2127"/>
      <c r="M103" s="1898" t="str">
        <f t="shared" si="78"/>
        <v/>
      </c>
      <c r="CA103" s="1899" t="str">
        <f t="shared" si="79"/>
        <v/>
      </c>
      <c r="CU103" s="1901">
        <f t="shared" si="80"/>
        <v>0</v>
      </c>
    </row>
    <row r="104" spans="1:99" x14ac:dyDescent="0.3">
      <c r="A104" s="2123" t="s">
        <v>161</v>
      </c>
      <c r="B104" s="2124">
        <f t="shared" si="77"/>
        <v>0</v>
      </c>
      <c r="C104" s="2125"/>
      <c r="D104" s="2126"/>
      <c r="E104" s="2127"/>
      <c r="F104" s="2126"/>
      <c r="G104" s="2128"/>
      <c r="H104" s="2128"/>
      <c r="I104" s="2128"/>
      <c r="J104" s="2128"/>
      <c r="K104" s="2129"/>
      <c r="L104" s="2127"/>
      <c r="M104" s="1898" t="str">
        <f t="shared" si="78"/>
        <v/>
      </c>
      <c r="CA104" s="1899" t="str">
        <f t="shared" si="79"/>
        <v/>
      </c>
      <c r="CU104" s="1901">
        <f t="shared" si="80"/>
        <v>0</v>
      </c>
    </row>
    <row r="105" spans="1:99" x14ac:dyDescent="0.3">
      <c r="A105" s="2123" t="s">
        <v>162</v>
      </c>
      <c r="B105" s="2124">
        <f t="shared" si="77"/>
        <v>0</v>
      </c>
      <c r="C105" s="2125"/>
      <c r="D105" s="2126"/>
      <c r="E105" s="2127"/>
      <c r="F105" s="2126"/>
      <c r="G105" s="2128"/>
      <c r="H105" s="2128"/>
      <c r="I105" s="2128"/>
      <c r="J105" s="2128"/>
      <c r="K105" s="2129"/>
      <c r="L105" s="2127"/>
      <c r="M105" s="1898" t="str">
        <f t="shared" si="78"/>
        <v/>
      </c>
      <c r="CA105" s="1899" t="str">
        <f t="shared" si="79"/>
        <v/>
      </c>
      <c r="CU105" s="1901">
        <f t="shared" si="80"/>
        <v>0</v>
      </c>
    </row>
    <row r="106" spans="1:99" x14ac:dyDescent="0.3">
      <c r="A106" s="2123" t="s">
        <v>163</v>
      </c>
      <c r="B106" s="2124">
        <f t="shared" si="77"/>
        <v>0</v>
      </c>
      <c r="C106" s="2125"/>
      <c r="D106" s="2126"/>
      <c r="E106" s="2127"/>
      <c r="F106" s="2126"/>
      <c r="G106" s="2128"/>
      <c r="H106" s="2128"/>
      <c r="I106" s="2128"/>
      <c r="J106" s="2128"/>
      <c r="K106" s="2129"/>
      <c r="L106" s="2127"/>
      <c r="M106" s="1898" t="str">
        <f t="shared" si="78"/>
        <v/>
      </c>
      <c r="CA106" s="1899" t="str">
        <f t="shared" si="79"/>
        <v/>
      </c>
      <c r="CU106" s="1901">
        <f t="shared" si="80"/>
        <v>0</v>
      </c>
    </row>
    <row r="107" spans="1:99" x14ac:dyDescent="0.3">
      <c r="A107" s="2123" t="s">
        <v>164</v>
      </c>
      <c r="B107" s="2124">
        <f t="shared" si="77"/>
        <v>0</v>
      </c>
      <c r="C107" s="2125"/>
      <c r="D107" s="2126"/>
      <c r="E107" s="2127"/>
      <c r="F107" s="2126"/>
      <c r="G107" s="2128"/>
      <c r="H107" s="2128"/>
      <c r="I107" s="2128"/>
      <c r="J107" s="2128"/>
      <c r="K107" s="2129"/>
      <c r="L107" s="2127"/>
      <c r="M107" s="1898" t="str">
        <f t="shared" si="78"/>
        <v/>
      </c>
      <c r="CA107" s="1899" t="str">
        <f t="shared" si="79"/>
        <v/>
      </c>
      <c r="CU107" s="1901">
        <f t="shared" si="80"/>
        <v>0</v>
      </c>
    </row>
    <row r="108" spans="1:99" x14ac:dyDescent="0.3">
      <c r="A108" s="2123" t="s">
        <v>165</v>
      </c>
      <c r="B108" s="2124">
        <f t="shared" si="77"/>
        <v>0</v>
      </c>
      <c r="C108" s="2125"/>
      <c r="D108" s="2126"/>
      <c r="E108" s="2127"/>
      <c r="F108" s="2126"/>
      <c r="G108" s="2128"/>
      <c r="H108" s="2128"/>
      <c r="I108" s="2128"/>
      <c r="J108" s="2128"/>
      <c r="K108" s="2129"/>
      <c r="L108" s="2127"/>
      <c r="M108" s="1898" t="str">
        <f t="shared" si="78"/>
        <v/>
      </c>
      <c r="CA108" s="1899" t="str">
        <f t="shared" si="79"/>
        <v/>
      </c>
      <c r="CU108" s="1901">
        <f t="shared" si="80"/>
        <v>0</v>
      </c>
    </row>
    <row r="109" spans="1:99" x14ac:dyDescent="0.3">
      <c r="A109" s="2123" t="s">
        <v>166</v>
      </c>
      <c r="B109" s="2124">
        <f t="shared" si="77"/>
        <v>0</v>
      </c>
      <c r="C109" s="2125"/>
      <c r="D109" s="2126"/>
      <c r="E109" s="2127"/>
      <c r="F109" s="2126"/>
      <c r="G109" s="2128"/>
      <c r="H109" s="2128"/>
      <c r="I109" s="2128"/>
      <c r="J109" s="2128"/>
      <c r="K109" s="2129"/>
      <c r="L109" s="2127"/>
      <c r="M109" s="1898" t="str">
        <f t="shared" si="78"/>
        <v/>
      </c>
      <c r="CA109" s="1899" t="str">
        <f t="shared" si="79"/>
        <v/>
      </c>
      <c r="CU109" s="1901">
        <f t="shared" si="80"/>
        <v>0</v>
      </c>
    </row>
    <row r="110" spans="1:99" x14ac:dyDescent="0.3">
      <c r="A110" s="2130" t="s">
        <v>57</v>
      </c>
      <c r="B110" s="2131">
        <f t="shared" si="77"/>
        <v>0</v>
      </c>
      <c r="C110" s="2132"/>
      <c r="D110" s="2133"/>
      <c r="E110" s="2134"/>
      <c r="F110" s="2133"/>
      <c r="G110" s="2135"/>
      <c r="H110" s="2135"/>
      <c r="I110" s="2135"/>
      <c r="J110" s="2135"/>
      <c r="K110" s="2136"/>
      <c r="L110" s="2134"/>
      <c r="M110" s="1898" t="str">
        <f t="shared" si="78"/>
        <v/>
      </c>
      <c r="CA110" s="1899" t="str">
        <f>IF(AND($B110&lt;&gt;0,L110=""),"* No olvide ingresar la variable "&amp;L$95&amp;""&amp;". Digite CERO si no tiene. ",IF(L110&gt;$B110,"* La variable Total PAP informados en trans masculino no debe ser mayor al Total. ",""))</f>
        <v/>
      </c>
      <c r="CU110" s="1901">
        <f t="shared" si="80"/>
        <v>0</v>
      </c>
    </row>
    <row r="111" spans="1:99" x14ac:dyDescent="0.3">
      <c r="A111" s="2137" t="s">
        <v>77</v>
      </c>
      <c r="B111" s="2138">
        <f t="shared" si="77"/>
        <v>0</v>
      </c>
      <c r="C111" s="2138">
        <f t="shared" ref="C111:L111" si="81">SUM(C98:C110)</f>
        <v>0</v>
      </c>
      <c r="D111" s="2139">
        <f t="shared" si="81"/>
        <v>0</v>
      </c>
      <c r="E111" s="2140">
        <f t="shared" si="81"/>
        <v>0</v>
      </c>
      <c r="F111" s="2139">
        <f t="shared" si="81"/>
        <v>0</v>
      </c>
      <c r="G111" s="2141">
        <f t="shared" si="81"/>
        <v>0</v>
      </c>
      <c r="H111" s="2141">
        <f t="shared" si="81"/>
        <v>0</v>
      </c>
      <c r="I111" s="2141">
        <f t="shared" si="81"/>
        <v>0</v>
      </c>
      <c r="J111" s="2141">
        <f t="shared" si="81"/>
        <v>0</v>
      </c>
      <c r="K111" s="2142">
        <f t="shared" si="81"/>
        <v>0</v>
      </c>
      <c r="L111" s="2140">
        <f t="shared" si="81"/>
        <v>0</v>
      </c>
    </row>
    <row r="112" spans="1:99" ht="18" customHeight="1" x14ac:dyDescent="0.3">
      <c r="A112" s="2143" t="s">
        <v>167</v>
      </c>
      <c r="B112" s="2144"/>
      <c r="C112" s="2144"/>
      <c r="D112" s="2144"/>
      <c r="E112" s="2144"/>
      <c r="F112" s="2144"/>
      <c r="G112" s="2144"/>
      <c r="H112" s="2144"/>
      <c r="I112" s="2144"/>
      <c r="J112" s="2144"/>
      <c r="K112" s="2144"/>
      <c r="L112" s="2145"/>
    </row>
    <row r="113" spans="1:99" ht="30.75" customHeight="1" x14ac:dyDescent="0.3">
      <c r="A113" s="5723" t="s">
        <v>168</v>
      </c>
      <c r="B113" s="5723"/>
      <c r="C113" s="5723"/>
      <c r="D113" s="5723"/>
      <c r="E113" s="5723"/>
      <c r="F113" s="5723"/>
      <c r="G113" s="5723"/>
      <c r="H113" s="5723"/>
      <c r="I113" s="5723"/>
      <c r="J113" s="5723"/>
      <c r="K113" s="5723"/>
      <c r="L113" s="5723"/>
      <c r="M113" s="2146"/>
      <c r="N113" s="2146"/>
    </row>
    <row r="114" spans="1:99" ht="15" customHeight="1" x14ac:dyDescent="0.3">
      <c r="A114" s="5724" t="s">
        <v>141</v>
      </c>
      <c r="B114" s="5729" t="s">
        <v>169</v>
      </c>
      <c r="C114" s="5730"/>
      <c r="D114" s="5730"/>
      <c r="E114" s="5730"/>
      <c r="F114" s="5730"/>
      <c r="G114" s="5730"/>
      <c r="H114" s="5730"/>
      <c r="I114" s="5730"/>
      <c r="J114" s="5730"/>
      <c r="K114" s="5730"/>
      <c r="L114" s="5750" t="s">
        <v>143</v>
      </c>
    </row>
    <row r="115" spans="1:99" ht="15" customHeight="1" x14ac:dyDescent="0.3">
      <c r="A115" s="5725"/>
      <c r="B115" s="5726" t="s">
        <v>77</v>
      </c>
      <c r="C115" s="5738" t="s">
        <v>144</v>
      </c>
      <c r="D115" s="5724" t="s">
        <v>145</v>
      </c>
      <c r="E115" s="5724"/>
      <c r="F115" s="5729" t="s">
        <v>146</v>
      </c>
      <c r="G115" s="5730"/>
      <c r="H115" s="5730"/>
      <c r="I115" s="5730"/>
      <c r="J115" s="5730"/>
      <c r="K115" s="5730"/>
      <c r="L115" s="5751"/>
    </row>
    <row r="116" spans="1:99" ht="27" customHeight="1" x14ac:dyDescent="0.3">
      <c r="A116" s="5725"/>
      <c r="B116" s="5728"/>
      <c r="C116" s="5739"/>
      <c r="D116" s="2112" t="s">
        <v>147</v>
      </c>
      <c r="E116" s="2113" t="s">
        <v>148</v>
      </c>
      <c r="F116" s="2114" t="s">
        <v>149</v>
      </c>
      <c r="G116" s="2115" t="s">
        <v>150</v>
      </c>
      <c r="H116" s="2115" t="s">
        <v>151</v>
      </c>
      <c r="I116" s="2115" t="s">
        <v>152</v>
      </c>
      <c r="J116" s="2115" t="s">
        <v>153</v>
      </c>
      <c r="K116" s="2111" t="s">
        <v>154</v>
      </c>
      <c r="L116" s="5752"/>
    </row>
    <row r="117" spans="1:99" x14ac:dyDescent="0.3">
      <c r="A117" s="2116" t="s">
        <v>155</v>
      </c>
      <c r="B117" s="2117">
        <f t="shared" ref="B117:B130" si="82">SUM(C117:K117)</f>
        <v>0</v>
      </c>
      <c r="C117" s="2127"/>
      <c r="D117" s="2126"/>
      <c r="E117" s="2127"/>
      <c r="F117" s="2126"/>
      <c r="G117" s="2128"/>
      <c r="H117" s="2128"/>
      <c r="I117" s="2128"/>
      <c r="J117" s="2128"/>
      <c r="K117" s="2129"/>
      <c r="L117" s="2147"/>
      <c r="M117" s="1898" t="str">
        <f t="shared" ref="M117:M129" si="83">$CA117</f>
        <v/>
      </c>
      <c r="CA117" s="1899" t="str">
        <f>IF(AND($B117&lt;&gt;0,L117=""),"* No olvide ingresar la variable "&amp;L$114&amp;""&amp;". Digite CERO si no tiene. ",IF(L117&gt;$B117,"* La variable Total PAP informados en trans masculino no debe ser mayor al Total. ",""))</f>
        <v/>
      </c>
      <c r="CU117" s="1901">
        <f>IF(AND($B117&lt;&gt;0,L117=""),1,IF(L117&gt;$B117,1,0))</f>
        <v>0</v>
      </c>
    </row>
    <row r="118" spans="1:99" x14ac:dyDescent="0.3">
      <c r="A118" s="2123" t="s">
        <v>156</v>
      </c>
      <c r="B118" s="2117">
        <f t="shared" si="82"/>
        <v>0</v>
      </c>
      <c r="C118" s="2127"/>
      <c r="D118" s="2126"/>
      <c r="E118" s="2127"/>
      <c r="F118" s="2126"/>
      <c r="G118" s="2128"/>
      <c r="H118" s="2128"/>
      <c r="I118" s="2128"/>
      <c r="J118" s="2128"/>
      <c r="K118" s="2129"/>
      <c r="L118" s="2127"/>
      <c r="M118" s="1898" t="str">
        <f t="shared" si="83"/>
        <v/>
      </c>
      <c r="CA118" s="1899" t="str">
        <f t="shared" ref="CA118:CA129" si="84">IF(AND($B118&lt;&gt;0,L118=""),"* No olvide ingresar la variable "&amp;L$114&amp;""&amp;". Digite CERO si no tiene. ",IF(L118&gt;$B118,"* La variable Total PAP informados en trans masculino no debe ser mayor al Total. ",""))</f>
        <v/>
      </c>
      <c r="CU118" s="1901">
        <f t="shared" ref="CU118:CU129" si="85">IF(AND($B118&lt;&gt;0,L118=""),1,IF(L118&gt;$B118,1,0))</f>
        <v>0</v>
      </c>
    </row>
    <row r="119" spans="1:99" x14ac:dyDescent="0.3">
      <c r="A119" s="2123" t="s">
        <v>157</v>
      </c>
      <c r="B119" s="2117">
        <f t="shared" si="82"/>
        <v>0</v>
      </c>
      <c r="C119" s="2127"/>
      <c r="D119" s="2126"/>
      <c r="E119" s="2127"/>
      <c r="F119" s="2126"/>
      <c r="G119" s="2128"/>
      <c r="H119" s="2128"/>
      <c r="I119" s="2128"/>
      <c r="J119" s="2128"/>
      <c r="K119" s="2129"/>
      <c r="L119" s="2127"/>
      <c r="M119" s="1898" t="str">
        <f t="shared" si="83"/>
        <v/>
      </c>
      <c r="CA119" s="1899" t="str">
        <f t="shared" si="84"/>
        <v/>
      </c>
      <c r="CU119" s="1901">
        <f t="shared" si="85"/>
        <v>0</v>
      </c>
    </row>
    <row r="120" spans="1:99" x14ac:dyDescent="0.3">
      <c r="A120" s="2123" t="s">
        <v>158</v>
      </c>
      <c r="B120" s="2117">
        <f t="shared" si="82"/>
        <v>0</v>
      </c>
      <c r="C120" s="2127"/>
      <c r="D120" s="2126"/>
      <c r="E120" s="2127"/>
      <c r="F120" s="2126"/>
      <c r="G120" s="2128"/>
      <c r="H120" s="2128"/>
      <c r="I120" s="2128"/>
      <c r="J120" s="2128"/>
      <c r="K120" s="2129"/>
      <c r="L120" s="2127"/>
      <c r="M120" s="1898" t="str">
        <f t="shared" si="83"/>
        <v/>
      </c>
      <c r="CA120" s="1899" t="str">
        <f t="shared" si="84"/>
        <v/>
      </c>
      <c r="CU120" s="1901">
        <f t="shared" si="85"/>
        <v>0</v>
      </c>
    </row>
    <row r="121" spans="1:99" x14ac:dyDescent="0.3">
      <c r="A121" s="2123" t="s">
        <v>159</v>
      </c>
      <c r="B121" s="2117">
        <f>SUM(C121:K121)</f>
        <v>0</v>
      </c>
      <c r="C121" s="2127"/>
      <c r="D121" s="2126"/>
      <c r="E121" s="2127"/>
      <c r="F121" s="2126"/>
      <c r="G121" s="2128"/>
      <c r="H121" s="2128"/>
      <c r="I121" s="2128"/>
      <c r="J121" s="2128"/>
      <c r="K121" s="2129"/>
      <c r="L121" s="2127"/>
      <c r="M121" s="1898" t="str">
        <f t="shared" si="83"/>
        <v/>
      </c>
      <c r="CA121" s="1899" t="str">
        <f t="shared" si="84"/>
        <v/>
      </c>
      <c r="CU121" s="1901">
        <f t="shared" si="85"/>
        <v>0</v>
      </c>
    </row>
    <row r="122" spans="1:99" x14ac:dyDescent="0.3">
      <c r="A122" s="2123" t="s">
        <v>160</v>
      </c>
      <c r="B122" s="2117">
        <f t="shared" si="82"/>
        <v>0</v>
      </c>
      <c r="C122" s="2127"/>
      <c r="D122" s="2126"/>
      <c r="E122" s="2127"/>
      <c r="F122" s="2126"/>
      <c r="G122" s="2128"/>
      <c r="H122" s="2128"/>
      <c r="I122" s="2128"/>
      <c r="J122" s="2128"/>
      <c r="K122" s="2129"/>
      <c r="L122" s="2127"/>
      <c r="M122" s="1898" t="str">
        <f t="shared" si="83"/>
        <v/>
      </c>
      <c r="CA122" s="1899" t="str">
        <f t="shared" si="84"/>
        <v/>
      </c>
      <c r="CU122" s="1901">
        <f t="shared" si="85"/>
        <v>0</v>
      </c>
    </row>
    <row r="123" spans="1:99" x14ac:dyDescent="0.3">
      <c r="A123" s="2123" t="s">
        <v>161</v>
      </c>
      <c r="B123" s="2117">
        <f t="shared" si="82"/>
        <v>0</v>
      </c>
      <c r="C123" s="2127"/>
      <c r="D123" s="2126"/>
      <c r="E123" s="2127"/>
      <c r="F123" s="2126"/>
      <c r="G123" s="2128"/>
      <c r="H123" s="2128"/>
      <c r="I123" s="2128"/>
      <c r="J123" s="2128"/>
      <c r="K123" s="2129"/>
      <c r="L123" s="2127"/>
      <c r="M123" s="1898" t="str">
        <f t="shared" si="83"/>
        <v/>
      </c>
      <c r="CA123" s="1899" t="str">
        <f t="shared" si="84"/>
        <v/>
      </c>
      <c r="CU123" s="1901">
        <f t="shared" si="85"/>
        <v>0</v>
      </c>
    </row>
    <row r="124" spans="1:99" x14ac:dyDescent="0.3">
      <c r="A124" s="2123" t="s">
        <v>162</v>
      </c>
      <c r="B124" s="2117">
        <f t="shared" si="82"/>
        <v>0</v>
      </c>
      <c r="C124" s="2127"/>
      <c r="D124" s="2126"/>
      <c r="E124" s="2127"/>
      <c r="F124" s="2126"/>
      <c r="G124" s="2128"/>
      <c r="H124" s="2128"/>
      <c r="I124" s="2128"/>
      <c r="J124" s="2128"/>
      <c r="K124" s="2129"/>
      <c r="L124" s="2127"/>
      <c r="M124" s="1898" t="str">
        <f t="shared" si="83"/>
        <v/>
      </c>
      <c r="CA124" s="1899" t="str">
        <f t="shared" si="84"/>
        <v/>
      </c>
      <c r="CU124" s="1901">
        <f t="shared" si="85"/>
        <v>0</v>
      </c>
    </row>
    <row r="125" spans="1:99" x14ac:dyDescent="0.3">
      <c r="A125" s="2123" t="s">
        <v>163</v>
      </c>
      <c r="B125" s="2117">
        <f t="shared" si="82"/>
        <v>0</v>
      </c>
      <c r="C125" s="2127"/>
      <c r="D125" s="2126"/>
      <c r="E125" s="2127"/>
      <c r="F125" s="2126"/>
      <c r="G125" s="2128"/>
      <c r="H125" s="2128"/>
      <c r="I125" s="2128"/>
      <c r="J125" s="2128"/>
      <c r="K125" s="2129"/>
      <c r="L125" s="2127"/>
      <c r="M125" s="1898" t="str">
        <f t="shared" si="83"/>
        <v/>
      </c>
      <c r="CA125" s="1899" t="str">
        <f t="shared" si="84"/>
        <v/>
      </c>
      <c r="CU125" s="1901">
        <f t="shared" si="85"/>
        <v>0</v>
      </c>
    </row>
    <row r="126" spans="1:99" x14ac:dyDescent="0.3">
      <c r="A126" s="2123" t="s">
        <v>164</v>
      </c>
      <c r="B126" s="2117">
        <f t="shared" si="82"/>
        <v>0</v>
      </c>
      <c r="C126" s="2127"/>
      <c r="D126" s="2126"/>
      <c r="E126" s="2127"/>
      <c r="F126" s="2126"/>
      <c r="G126" s="2128"/>
      <c r="H126" s="2128"/>
      <c r="I126" s="2128"/>
      <c r="J126" s="2128"/>
      <c r="K126" s="2129"/>
      <c r="L126" s="2127"/>
      <c r="M126" s="1898" t="str">
        <f t="shared" si="83"/>
        <v/>
      </c>
      <c r="CA126" s="1899" t="str">
        <f t="shared" si="84"/>
        <v/>
      </c>
      <c r="CU126" s="1901">
        <f t="shared" si="85"/>
        <v>0</v>
      </c>
    </row>
    <row r="127" spans="1:99" x14ac:dyDescent="0.3">
      <c r="A127" s="2123" t="s">
        <v>165</v>
      </c>
      <c r="B127" s="2117">
        <f t="shared" si="82"/>
        <v>0</v>
      </c>
      <c r="C127" s="2127"/>
      <c r="D127" s="2126"/>
      <c r="E127" s="2127"/>
      <c r="F127" s="2126"/>
      <c r="G127" s="2128"/>
      <c r="H127" s="2128"/>
      <c r="I127" s="2128"/>
      <c r="J127" s="2128"/>
      <c r="K127" s="2129"/>
      <c r="L127" s="2127"/>
      <c r="M127" s="1898" t="str">
        <f t="shared" si="83"/>
        <v/>
      </c>
      <c r="CA127" s="1899" t="str">
        <f t="shared" si="84"/>
        <v/>
      </c>
      <c r="CU127" s="1901">
        <f t="shared" si="85"/>
        <v>0</v>
      </c>
    </row>
    <row r="128" spans="1:99" x14ac:dyDescent="0.3">
      <c r="A128" s="2123" t="s">
        <v>166</v>
      </c>
      <c r="B128" s="2117">
        <f t="shared" si="82"/>
        <v>0</v>
      </c>
      <c r="C128" s="2127"/>
      <c r="D128" s="2126"/>
      <c r="E128" s="2127"/>
      <c r="F128" s="2126"/>
      <c r="G128" s="2128"/>
      <c r="H128" s="2128"/>
      <c r="I128" s="2128"/>
      <c r="J128" s="2128"/>
      <c r="K128" s="2129"/>
      <c r="L128" s="2127"/>
      <c r="M128" s="1898" t="str">
        <f t="shared" si="83"/>
        <v/>
      </c>
      <c r="CA128" s="1899" t="str">
        <f t="shared" si="84"/>
        <v/>
      </c>
      <c r="CU128" s="1901">
        <f t="shared" si="85"/>
        <v>0</v>
      </c>
    </row>
    <row r="129" spans="1:99" x14ac:dyDescent="0.3">
      <c r="A129" s="2130" t="s">
        <v>57</v>
      </c>
      <c r="B129" s="2131">
        <f t="shared" si="82"/>
        <v>0</v>
      </c>
      <c r="C129" s="2134"/>
      <c r="D129" s="2133"/>
      <c r="E129" s="2134"/>
      <c r="F129" s="2133"/>
      <c r="G129" s="2135"/>
      <c r="H129" s="2135"/>
      <c r="I129" s="2135"/>
      <c r="J129" s="2135"/>
      <c r="K129" s="2136"/>
      <c r="L129" s="2134"/>
      <c r="M129" s="1898" t="str">
        <f t="shared" si="83"/>
        <v/>
      </c>
      <c r="CA129" s="1899" t="str">
        <f t="shared" si="84"/>
        <v/>
      </c>
      <c r="CU129" s="1901">
        <f t="shared" si="85"/>
        <v>0</v>
      </c>
    </row>
    <row r="130" spans="1:99" x14ac:dyDescent="0.3">
      <c r="A130" s="2137" t="s">
        <v>77</v>
      </c>
      <c r="B130" s="2138">
        <f t="shared" si="82"/>
        <v>0</v>
      </c>
      <c r="C130" s="2138">
        <f t="shared" ref="C130:L130" si="86">SUM(C117:C129)</f>
        <v>0</v>
      </c>
      <c r="D130" s="2139">
        <f t="shared" si="86"/>
        <v>0</v>
      </c>
      <c r="E130" s="2140">
        <f t="shared" si="86"/>
        <v>0</v>
      </c>
      <c r="F130" s="2139">
        <f t="shared" si="86"/>
        <v>0</v>
      </c>
      <c r="G130" s="2141">
        <f t="shared" si="86"/>
        <v>0</v>
      </c>
      <c r="H130" s="2141">
        <f t="shared" si="86"/>
        <v>0</v>
      </c>
      <c r="I130" s="2141">
        <f t="shared" si="86"/>
        <v>0</v>
      </c>
      <c r="J130" s="2141">
        <f t="shared" si="86"/>
        <v>0</v>
      </c>
      <c r="K130" s="2142">
        <f t="shared" si="86"/>
        <v>0</v>
      </c>
      <c r="L130" s="2140">
        <f t="shared" si="86"/>
        <v>0</v>
      </c>
    </row>
    <row r="131" spans="1:99" ht="18" customHeight="1" x14ac:dyDescent="0.3">
      <c r="A131" s="2143" t="s">
        <v>167</v>
      </c>
      <c r="B131" s="2148"/>
      <c r="C131" s="2148"/>
      <c r="D131" s="2144"/>
      <c r="E131" s="2144"/>
      <c r="F131" s="2144"/>
      <c r="G131" s="2144"/>
      <c r="H131" s="2144"/>
      <c r="I131" s="2144"/>
      <c r="J131" s="2144"/>
      <c r="K131" s="2144"/>
      <c r="L131" s="92"/>
    </row>
    <row r="132" spans="1:99" ht="18" customHeight="1" x14ac:dyDescent="0.3">
      <c r="A132" s="5753" t="s">
        <v>170</v>
      </c>
      <c r="B132" s="5753"/>
      <c r="C132" s="5753"/>
      <c r="D132" s="5753"/>
      <c r="E132" s="5753"/>
      <c r="F132" s="5753"/>
      <c r="G132" s="5753"/>
      <c r="H132" s="5753"/>
      <c r="I132" s="5753"/>
      <c r="J132" s="5753"/>
      <c r="K132" s="5753"/>
      <c r="L132" s="2149"/>
    </row>
    <row r="133" spans="1:99" ht="15" customHeight="1" x14ac:dyDescent="0.3">
      <c r="A133" s="5724" t="s">
        <v>141</v>
      </c>
      <c r="B133" s="5729" t="s">
        <v>169</v>
      </c>
      <c r="C133" s="5730"/>
      <c r="D133" s="5730"/>
      <c r="E133" s="5730"/>
      <c r="F133" s="5730"/>
      <c r="G133" s="5730"/>
      <c r="H133" s="5730"/>
      <c r="I133" s="5730"/>
      <c r="J133" s="5730"/>
      <c r="K133" s="5730"/>
      <c r="L133" s="5750" t="s">
        <v>143</v>
      </c>
    </row>
    <row r="134" spans="1:99" ht="15" customHeight="1" x14ac:dyDescent="0.3">
      <c r="A134" s="5725"/>
      <c r="B134" s="5726" t="s">
        <v>77</v>
      </c>
      <c r="C134" s="5738" t="s">
        <v>144</v>
      </c>
      <c r="D134" s="5724" t="s">
        <v>145</v>
      </c>
      <c r="E134" s="5724"/>
      <c r="F134" s="5729" t="s">
        <v>146</v>
      </c>
      <c r="G134" s="5730"/>
      <c r="H134" s="5730"/>
      <c r="I134" s="5730"/>
      <c r="J134" s="5730"/>
      <c r="K134" s="5730"/>
      <c r="L134" s="5751"/>
    </row>
    <row r="135" spans="1:99" ht="20.399999999999999" x14ac:dyDescent="0.3">
      <c r="A135" s="5725"/>
      <c r="B135" s="5728"/>
      <c r="C135" s="5739"/>
      <c r="D135" s="2112" t="s">
        <v>147</v>
      </c>
      <c r="E135" s="2113" t="s">
        <v>148</v>
      </c>
      <c r="F135" s="2114" t="s">
        <v>149</v>
      </c>
      <c r="G135" s="2115" t="s">
        <v>150</v>
      </c>
      <c r="H135" s="2115" t="s">
        <v>151</v>
      </c>
      <c r="I135" s="2115" t="s">
        <v>152</v>
      </c>
      <c r="J135" s="2115" t="s">
        <v>153</v>
      </c>
      <c r="K135" s="2111" t="s">
        <v>154</v>
      </c>
      <c r="L135" s="5752"/>
    </row>
    <row r="136" spans="1:99" x14ac:dyDescent="0.3">
      <c r="A136" s="2116" t="s">
        <v>155</v>
      </c>
      <c r="B136" s="2117">
        <f t="shared" ref="B136:B148" si="87">SUM(C136:K136)</f>
        <v>0</v>
      </c>
      <c r="C136" s="2127"/>
      <c r="D136" s="2126"/>
      <c r="E136" s="2127"/>
      <c r="F136" s="2126"/>
      <c r="G136" s="2128"/>
      <c r="H136" s="2128"/>
      <c r="I136" s="2128"/>
      <c r="J136" s="2128"/>
      <c r="K136" s="2129"/>
      <c r="L136" s="2147"/>
      <c r="M136" s="1898" t="str">
        <f t="shared" ref="M136:M147" si="88">$CA136</f>
        <v/>
      </c>
      <c r="CA136" s="1899" t="str">
        <f>IF(AND($B136&lt;&gt;0,L136=""),"* No olvide ingresar la variable "&amp;L$133&amp;""&amp;". Digite CERO si no tiene. ",IF(L136&gt;$B136,"* La variable Total PAP informados en trans masculino no debe ser mayor al Total. ",""))</f>
        <v/>
      </c>
      <c r="CU136" s="1901">
        <f>IF(AND($B136&lt;&gt;0,L136=""),1,IF(L136&gt;$B136,1,0))</f>
        <v>0</v>
      </c>
    </row>
    <row r="137" spans="1:99" x14ac:dyDescent="0.3">
      <c r="A137" s="2123" t="s">
        <v>156</v>
      </c>
      <c r="B137" s="2117">
        <f t="shared" si="87"/>
        <v>0</v>
      </c>
      <c r="C137" s="2127"/>
      <c r="D137" s="2126"/>
      <c r="E137" s="2127"/>
      <c r="F137" s="2126"/>
      <c r="G137" s="2128"/>
      <c r="H137" s="2128"/>
      <c r="I137" s="2128"/>
      <c r="J137" s="2128"/>
      <c r="K137" s="2129"/>
      <c r="L137" s="2127"/>
      <c r="M137" s="1898" t="str">
        <f t="shared" si="88"/>
        <v/>
      </c>
      <c r="CA137" s="1899" t="str">
        <f t="shared" ref="CA137:CA148" si="89">IF(AND($B137&lt;&gt;0,L137=""),"* No olvide ingresar la variable "&amp;L$133&amp;""&amp;". Digite CERO si no tiene. ",IF(L137&gt;$B137,"* La variable Total PAP informados en trans masculino no debe ser mayor al Total. ",""))</f>
        <v/>
      </c>
      <c r="CU137" s="1901">
        <f t="shared" ref="CU137:CU148" si="90">IF(AND($B137&lt;&gt;0,L137=""),1,IF(L137&gt;$B137,1,0))</f>
        <v>0</v>
      </c>
    </row>
    <row r="138" spans="1:99" x14ac:dyDescent="0.3">
      <c r="A138" s="2123" t="s">
        <v>157</v>
      </c>
      <c r="B138" s="2117">
        <f t="shared" si="87"/>
        <v>0</v>
      </c>
      <c r="C138" s="2127"/>
      <c r="D138" s="2126"/>
      <c r="E138" s="2127"/>
      <c r="F138" s="2126"/>
      <c r="G138" s="2128"/>
      <c r="H138" s="2128"/>
      <c r="I138" s="2128"/>
      <c r="J138" s="2128"/>
      <c r="K138" s="2129"/>
      <c r="L138" s="2127"/>
      <c r="M138" s="1898" t="str">
        <f t="shared" si="88"/>
        <v/>
      </c>
      <c r="CA138" s="1899" t="str">
        <f t="shared" si="89"/>
        <v/>
      </c>
      <c r="CU138" s="1901">
        <f t="shared" si="90"/>
        <v>0</v>
      </c>
    </row>
    <row r="139" spans="1:99" x14ac:dyDescent="0.3">
      <c r="A139" s="2123" t="s">
        <v>158</v>
      </c>
      <c r="B139" s="2117">
        <f t="shared" si="87"/>
        <v>0</v>
      </c>
      <c r="C139" s="2127"/>
      <c r="D139" s="2126"/>
      <c r="E139" s="2127"/>
      <c r="F139" s="2126"/>
      <c r="G139" s="2128"/>
      <c r="H139" s="2128"/>
      <c r="I139" s="2128"/>
      <c r="J139" s="2128"/>
      <c r="K139" s="2129"/>
      <c r="L139" s="2127"/>
      <c r="M139" s="1898" t="str">
        <f t="shared" si="88"/>
        <v/>
      </c>
      <c r="CA139" s="1899" t="str">
        <f t="shared" si="89"/>
        <v/>
      </c>
      <c r="CU139" s="1901">
        <f t="shared" si="90"/>
        <v>0</v>
      </c>
    </row>
    <row r="140" spans="1:99" x14ac:dyDescent="0.3">
      <c r="A140" s="2123" t="s">
        <v>159</v>
      </c>
      <c r="B140" s="2117">
        <f t="shared" si="87"/>
        <v>0</v>
      </c>
      <c r="C140" s="2127"/>
      <c r="D140" s="2126"/>
      <c r="E140" s="2127"/>
      <c r="F140" s="2126"/>
      <c r="G140" s="2128"/>
      <c r="H140" s="2128"/>
      <c r="I140" s="2128"/>
      <c r="J140" s="2128"/>
      <c r="K140" s="2129"/>
      <c r="L140" s="2127"/>
      <c r="M140" s="1898" t="str">
        <f t="shared" si="88"/>
        <v/>
      </c>
      <c r="CA140" s="1899" t="str">
        <f t="shared" si="89"/>
        <v/>
      </c>
      <c r="CU140" s="1901">
        <f t="shared" si="90"/>
        <v>0</v>
      </c>
    </row>
    <row r="141" spans="1:99" x14ac:dyDescent="0.3">
      <c r="A141" s="2123" t="s">
        <v>160</v>
      </c>
      <c r="B141" s="2117">
        <f t="shared" si="87"/>
        <v>0</v>
      </c>
      <c r="C141" s="2127"/>
      <c r="D141" s="2126"/>
      <c r="E141" s="2127"/>
      <c r="F141" s="2126"/>
      <c r="G141" s="2128"/>
      <c r="H141" s="2128"/>
      <c r="I141" s="2128"/>
      <c r="J141" s="2128"/>
      <c r="K141" s="2129"/>
      <c r="L141" s="2127"/>
      <c r="M141" s="1898" t="str">
        <f t="shared" si="88"/>
        <v/>
      </c>
      <c r="CA141" s="1899" t="str">
        <f t="shared" si="89"/>
        <v/>
      </c>
      <c r="CU141" s="1901">
        <f t="shared" si="90"/>
        <v>0</v>
      </c>
    </row>
    <row r="142" spans="1:99" x14ac:dyDescent="0.3">
      <c r="A142" s="2123" t="s">
        <v>161</v>
      </c>
      <c r="B142" s="2117">
        <f t="shared" si="87"/>
        <v>0</v>
      </c>
      <c r="C142" s="2127"/>
      <c r="D142" s="2126"/>
      <c r="E142" s="2127"/>
      <c r="F142" s="2126"/>
      <c r="G142" s="2128"/>
      <c r="H142" s="2128"/>
      <c r="I142" s="2128"/>
      <c r="J142" s="2128"/>
      <c r="K142" s="2129"/>
      <c r="L142" s="2127"/>
      <c r="M142" s="1898" t="str">
        <f t="shared" si="88"/>
        <v/>
      </c>
      <c r="CA142" s="1899" t="str">
        <f t="shared" si="89"/>
        <v/>
      </c>
      <c r="CU142" s="1901">
        <f t="shared" si="90"/>
        <v>0</v>
      </c>
    </row>
    <row r="143" spans="1:99" x14ac:dyDescent="0.3">
      <c r="A143" s="2123" t="s">
        <v>162</v>
      </c>
      <c r="B143" s="2117">
        <f t="shared" si="87"/>
        <v>0</v>
      </c>
      <c r="C143" s="2127"/>
      <c r="D143" s="2126"/>
      <c r="E143" s="2127"/>
      <c r="F143" s="2126"/>
      <c r="G143" s="2128"/>
      <c r="H143" s="2128"/>
      <c r="I143" s="2128"/>
      <c r="J143" s="2128"/>
      <c r="K143" s="2129"/>
      <c r="L143" s="2127"/>
      <c r="M143" s="1898" t="str">
        <f t="shared" si="88"/>
        <v/>
      </c>
      <c r="CA143" s="1899" t="str">
        <f t="shared" si="89"/>
        <v/>
      </c>
      <c r="CU143" s="1901">
        <f t="shared" si="90"/>
        <v>0</v>
      </c>
    </row>
    <row r="144" spans="1:99" x14ac:dyDescent="0.3">
      <c r="A144" s="2123" t="s">
        <v>163</v>
      </c>
      <c r="B144" s="2117">
        <f t="shared" si="87"/>
        <v>0</v>
      </c>
      <c r="C144" s="2127"/>
      <c r="D144" s="2126"/>
      <c r="E144" s="2127"/>
      <c r="F144" s="2126"/>
      <c r="G144" s="2128"/>
      <c r="H144" s="2128"/>
      <c r="I144" s="2128"/>
      <c r="J144" s="2128"/>
      <c r="K144" s="2129"/>
      <c r="L144" s="2127"/>
      <c r="M144" s="1898" t="str">
        <f t="shared" si="88"/>
        <v/>
      </c>
      <c r="CA144" s="1899" t="str">
        <f t="shared" si="89"/>
        <v/>
      </c>
      <c r="CU144" s="1901">
        <f t="shared" si="90"/>
        <v>0</v>
      </c>
    </row>
    <row r="145" spans="1:99" x14ac:dyDescent="0.3">
      <c r="A145" s="2123" t="s">
        <v>164</v>
      </c>
      <c r="B145" s="2117">
        <f t="shared" si="87"/>
        <v>0</v>
      </c>
      <c r="C145" s="2127"/>
      <c r="D145" s="2126"/>
      <c r="E145" s="2127"/>
      <c r="F145" s="2126"/>
      <c r="G145" s="2128"/>
      <c r="H145" s="2128"/>
      <c r="I145" s="2128"/>
      <c r="J145" s="2128"/>
      <c r="K145" s="2129"/>
      <c r="L145" s="2127"/>
      <c r="M145" s="1898" t="str">
        <f t="shared" si="88"/>
        <v/>
      </c>
      <c r="CA145" s="1899" t="str">
        <f t="shared" si="89"/>
        <v/>
      </c>
      <c r="CU145" s="1901">
        <f t="shared" si="90"/>
        <v>0</v>
      </c>
    </row>
    <row r="146" spans="1:99" x14ac:dyDescent="0.3">
      <c r="A146" s="2123" t="s">
        <v>165</v>
      </c>
      <c r="B146" s="2117">
        <f t="shared" si="87"/>
        <v>0</v>
      </c>
      <c r="C146" s="2127"/>
      <c r="D146" s="2126"/>
      <c r="E146" s="2127"/>
      <c r="F146" s="2126"/>
      <c r="G146" s="2128"/>
      <c r="H146" s="2128"/>
      <c r="I146" s="2128"/>
      <c r="J146" s="2128"/>
      <c r="K146" s="2129"/>
      <c r="L146" s="2127"/>
      <c r="M146" s="1898" t="str">
        <f t="shared" si="88"/>
        <v/>
      </c>
      <c r="CA146" s="1899" t="str">
        <f t="shared" si="89"/>
        <v/>
      </c>
      <c r="CU146" s="1901">
        <f t="shared" si="90"/>
        <v>0</v>
      </c>
    </row>
    <row r="147" spans="1:99" x14ac:dyDescent="0.3">
      <c r="A147" s="2123" t="s">
        <v>166</v>
      </c>
      <c r="B147" s="2117">
        <f t="shared" si="87"/>
        <v>0</v>
      </c>
      <c r="C147" s="2127"/>
      <c r="D147" s="2126"/>
      <c r="E147" s="2127"/>
      <c r="F147" s="2126"/>
      <c r="G147" s="2128"/>
      <c r="H147" s="2128"/>
      <c r="I147" s="2128"/>
      <c r="J147" s="2128"/>
      <c r="K147" s="2129"/>
      <c r="L147" s="2127"/>
      <c r="M147" s="1898" t="str">
        <f t="shared" si="88"/>
        <v/>
      </c>
      <c r="CA147" s="1899" t="str">
        <f t="shared" si="89"/>
        <v/>
      </c>
      <c r="CU147" s="1901">
        <f t="shared" si="90"/>
        <v>0</v>
      </c>
    </row>
    <row r="148" spans="1:99" x14ac:dyDescent="0.3">
      <c r="A148" s="2130" t="s">
        <v>57</v>
      </c>
      <c r="B148" s="2131">
        <f t="shared" si="87"/>
        <v>0</v>
      </c>
      <c r="C148" s="2134"/>
      <c r="D148" s="2133"/>
      <c r="E148" s="2134"/>
      <c r="F148" s="2133"/>
      <c r="G148" s="2135"/>
      <c r="H148" s="2135"/>
      <c r="I148" s="2135"/>
      <c r="J148" s="2135"/>
      <c r="K148" s="2136"/>
      <c r="L148" s="2134"/>
      <c r="M148" s="1898" t="str">
        <f>$CA148</f>
        <v/>
      </c>
      <c r="CA148" s="1899" t="str">
        <f t="shared" si="89"/>
        <v/>
      </c>
      <c r="CU148" s="1901">
        <f t="shared" si="90"/>
        <v>0</v>
      </c>
    </row>
    <row r="149" spans="1:99" x14ac:dyDescent="0.3">
      <c r="A149" s="2137" t="s">
        <v>77</v>
      </c>
      <c r="B149" s="2138">
        <f>SUM(C149:K149)</f>
        <v>0</v>
      </c>
      <c r="C149" s="2138">
        <f t="shared" ref="C149:L149" si="91">SUM(C136:C148)</f>
        <v>0</v>
      </c>
      <c r="D149" s="2139">
        <f t="shared" si="91"/>
        <v>0</v>
      </c>
      <c r="E149" s="2140">
        <f t="shared" si="91"/>
        <v>0</v>
      </c>
      <c r="F149" s="2139">
        <f t="shared" si="91"/>
        <v>0</v>
      </c>
      <c r="G149" s="2141">
        <f t="shared" si="91"/>
        <v>0</v>
      </c>
      <c r="H149" s="2141">
        <f t="shared" si="91"/>
        <v>0</v>
      </c>
      <c r="I149" s="2141">
        <f t="shared" si="91"/>
        <v>0</v>
      </c>
      <c r="J149" s="2141">
        <f t="shared" si="91"/>
        <v>0</v>
      </c>
      <c r="K149" s="2142">
        <f t="shared" si="91"/>
        <v>0</v>
      </c>
      <c r="L149" s="2140">
        <f t="shared" si="91"/>
        <v>0</v>
      </c>
    </row>
    <row r="150" spans="1:99" x14ac:dyDescent="0.3">
      <c r="A150" s="2148" t="s">
        <v>171</v>
      </c>
      <c r="B150" s="2148"/>
      <c r="C150" s="2148"/>
      <c r="D150" s="2144"/>
      <c r="E150" s="2144"/>
      <c r="F150" s="2144"/>
      <c r="G150" s="2144"/>
      <c r="H150" s="2144"/>
      <c r="I150" s="2144"/>
      <c r="J150" s="2144"/>
      <c r="K150" s="2144"/>
      <c r="L150" s="92"/>
    </row>
    <row r="151" spans="1:99" ht="27" customHeight="1" x14ac:dyDescent="0.3">
      <c r="A151" s="5723" t="s">
        <v>172</v>
      </c>
      <c r="B151" s="5723"/>
      <c r="C151" s="5723"/>
      <c r="D151" s="5723"/>
      <c r="E151" s="5723"/>
      <c r="F151" s="5723"/>
      <c r="G151" s="5723"/>
      <c r="H151" s="5723"/>
      <c r="I151" s="5723"/>
      <c r="J151" s="5723"/>
      <c r="K151" s="5723"/>
      <c r="L151" s="5723"/>
      <c r="M151" s="5723"/>
      <c r="N151" s="2146"/>
    </row>
    <row r="152" spans="1:99" ht="18" customHeight="1" x14ac:dyDescent="0.3">
      <c r="A152" s="5724" t="s">
        <v>173</v>
      </c>
      <c r="B152" s="5726" t="s">
        <v>174</v>
      </c>
      <c r="C152" s="5730" t="s">
        <v>175</v>
      </c>
      <c r="D152" s="5730"/>
      <c r="E152" s="5730"/>
      <c r="F152" s="5730"/>
      <c r="G152" s="5732" t="s">
        <v>176</v>
      </c>
      <c r="H152" s="5742" t="s">
        <v>177</v>
      </c>
      <c r="I152" s="5729" t="s">
        <v>178</v>
      </c>
      <c r="J152" s="5730"/>
      <c r="K152" s="5730"/>
      <c r="L152" s="5731"/>
      <c r="M152" s="5735" t="s">
        <v>179</v>
      </c>
    </row>
    <row r="153" spans="1:99" ht="18" customHeight="1" x14ac:dyDescent="0.3">
      <c r="A153" s="5725"/>
      <c r="B153" s="5727"/>
      <c r="C153" s="5738" t="s">
        <v>180</v>
      </c>
      <c r="D153" s="5729" t="s">
        <v>146</v>
      </c>
      <c r="E153" s="5730"/>
      <c r="F153" s="5730"/>
      <c r="G153" s="5733"/>
      <c r="H153" s="5743"/>
      <c r="I153" s="5726" t="s">
        <v>180</v>
      </c>
      <c r="J153" s="5729" t="s">
        <v>146</v>
      </c>
      <c r="K153" s="5730"/>
      <c r="L153" s="5731"/>
      <c r="M153" s="5736"/>
    </row>
    <row r="154" spans="1:99" ht="18" customHeight="1" x14ac:dyDescent="0.3">
      <c r="A154" s="5725"/>
      <c r="B154" s="5728"/>
      <c r="C154" s="5739"/>
      <c r="D154" s="2114" t="s">
        <v>181</v>
      </c>
      <c r="E154" s="2115" t="s">
        <v>182</v>
      </c>
      <c r="F154" s="2111" t="s">
        <v>183</v>
      </c>
      <c r="G154" s="5734"/>
      <c r="H154" s="5744"/>
      <c r="I154" s="5728"/>
      <c r="J154" s="2114" t="s">
        <v>181</v>
      </c>
      <c r="K154" s="2115" t="s">
        <v>182</v>
      </c>
      <c r="L154" s="2150" t="s">
        <v>183</v>
      </c>
      <c r="M154" s="5737"/>
    </row>
    <row r="155" spans="1:99" x14ac:dyDescent="0.3">
      <c r="A155" s="2123" t="s">
        <v>157</v>
      </c>
      <c r="B155" s="2151"/>
      <c r="C155" s="2151"/>
      <c r="D155" s="2152"/>
      <c r="E155" s="2153"/>
      <c r="F155" s="2154"/>
      <c r="G155" s="2155"/>
      <c r="H155" s="2151"/>
      <c r="I155" s="2151"/>
      <c r="J155" s="2152"/>
      <c r="K155" s="2153"/>
      <c r="L155" s="2154"/>
      <c r="M155" s="2151"/>
      <c r="N155" s="1898" t="str">
        <f>$CA155</f>
        <v/>
      </c>
      <c r="CA155" s="1899" t="str">
        <f>IF(AND($B155&lt;&gt;0,M155=""),"* No olvide ingresar la variable "&amp;M$152&amp;""&amp;". Digite CERO si no tiene. ",IF(M155&gt;$B155,"* La variable Total PAP informados en trans masculino no debe ser mayor al Total. ",""))</f>
        <v/>
      </c>
      <c r="CU155" s="1901">
        <f>IF(AND($B155&lt;&gt;0,M155=""),1,IF(M155&gt;$B155,1,0))</f>
        <v>0</v>
      </c>
    </row>
    <row r="156" spans="1:99" x14ac:dyDescent="0.3">
      <c r="A156" s="2123" t="s">
        <v>158</v>
      </c>
      <c r="B156" s="2151"/>
      <c r="C156" s="2151"/>
      <c r="D156" s="2152"/>
      <c r="E156" s="2153"/>
      <c r="F156" s="2154"/>
      <c r="G156" s="2155"/>
      <c r="H156" s="2151"/>
      <c r="I156" s="2151"/>
      <c r="J156" s="2152"/>
      <c r="K156" s="2153"/>
      <c r="L156" s="2154"/>
      <c r="M156" s="2151"/>
      <c r="N156" s="1898" t="str">
        <f t="shared" ref="N156:N165" si="92">$CA156</f>
        <v/>
      </c>
      <c r="CA156" s="1899" t="str">
        <f t="shared" ref="CA156:CA165" si="93">IF(AND($B156&lt;&gt;0,M156=""),"* No olvide ingresar la variable "&amp;M$152&amp;""&amp;". Digite CERO si no tiene. ",IF(M156&gt;$B156,"* La variable Total PAP informados en trans masculino no debe ser mayor al Total. ",""))</f>
        <v/>
      </c>
      <c r="CU156" s="1901">
        <f t="shared" ref="CU156:CU165" si="94">IF(AND($B156&lt;&gt;0,M156=""),1,IF(M156&gt;$B156,1,0))</f>
        <v>0</v>
      </c>
    </row>
    <row r="157" spans="1:99" x14ac:dyDescent="0.3">
      <c r="A157" s="2123" t="s">
        <v>159</v>
      </c>
      <c r="B157" s="2151"/>
      <c r="C157" s="2151"/>
      <c r="D157" s="2152"/>
      <c r="E157" s="2153"/>
      <c r="F157" s="2154"/>
      <c r="G157" s="2155"/>
      <c r="H157" s="2151"/>
      <c r="I157" s="2151"/>
      <c r="J157" s="2152"/>
      <c r="K157" s="2153"/>
      <c r="L157" s="2154"/>
      <c r="M157" s="2151"/>
      <c r="N157" s="1898" t="str">
        <f t="shared" si="92"/>
        <v/>
      </c>
      <c r="CA157" s="1899" t="str">
        <f t="shared" si="93"/>
        <v/>
      </c>
      <c r="CU157" s="1901">
        <f t="shared" si="94"/>
        <v>0</v>
      </c>
    </row>
    <row r="158" spans="1:99" x14ac:dyDescent="0.3">
      <c r="A158" s="2123" t="s">
        <v>160</v>
      </c>
      <c r="B158" s="2151"/>
      <c r="C158" s="2151"/>
      <c r="D158" s="2152"/>
      <c r="E158" s="2153"/>
      <c r="F158" s="2154"/>
      <c r="G158" s="2155"/>
      <c r="H158" s="2151"/>
      <c r="I158" s="2151"/>
      <c r="J158" s="2152"/>
      <c r="K158" s="2153"/>
      <c r="L158" s="2154"/>
      <c r="M158" s="2151"/>
      <c r="N158" s="1898" t="str">
        <f t="shared" si="92"/>
        <v/>
      </c>
      <c r="CA158" s="1899" t="str">
        <f t="shared" si="93"/>
        <v/>
      </c>
      <c r="CU158" s="1901">
        <f t="shared" si="94"/>
        <v>0</v>
      </c>
    </row>
    <row r="159" spans="1:99" x14ac:dyDescent="0.3">
      <c r="A159" s="2123" t="s">
        <v>161</v>
      </c>
      <c r="B159" s="2151"/>
      <c r="C159" s="2151"/>
      <c r="D159" s="2152"/>
      <c r="E159" s="2153"/>
      <c r="F159" s="2154"/>
      <c r="G159" s="2155"/>
      <c r="H159" s="2151"/>
      <c r="I159" s="2151"/>
      <c r="J159" s="2152"/>
      <c r="K159" s="2153"/>
      <c r="L159" s="2154"/>
      <c r="M159" s="2151"/>
      <c r="N159" s="1898" t="str">
        <f t="shared" si="92"/>
        <v/>
      </c>
      <c r="CA159" s="1899" t="str">
        <f t="shared" si="93"/>
        <v/>
      </c>
      <c r="CU159" s="1901">
        <f t="shared" si="94"/>
        <v>0</v>
      </c>
    </row>
    <row r="160" spans="1:99" x14ac:dyDescent="0.3">
      <c r="A160" s="2123" t="s">
        <v>162</v>
      </c>
      <c r="B160" s="2151"/>
      <c r="C160" s="2151"/>
      <c r="D160" s="2152"/>
      <c r="E160" s="2153"/>
      <c r="F160" s="2154"/>
      <c r="G160" s="2155"/>
      <c r="H160" s="2151"/>
      <c r="I160" s="2151"/>
      <c r="J160" s="2152"/>
      <c r="K160" s="2153"/>
      <c r="L160" s="2154"/>
      <c r="M160" s="2151"/>
      <c r="N160" s="1898" t="str">
        <f t="shared" si="92"/>
        <v/>
      </c>
      <c r="CA160" s="1899" t="str">
        <f t="shared" si="93"/>
        <v/>
      </c>
      <c r="CU160" s="1901">
        <f t="shared" si="94"/>
        <v>0</v>
      </c>
    </row>
    <row r="161" spans="1:100" x14ac:dyDescent="0.3">
      <c r="A161" s="2123" t="s">
        <v>163</v>
      </c>
      <c r="B161" s="2151"/>
      <c r="C161" s="2151"/>
      <c r="D161" s="2152"/>
      <c r="E161" s="2153"/>
      <c r="F161" s="2154"/>
      <c r="G161" s="2155"/>
      <c r="H161" s="2151"/>
      <c r="I161" s="2151"/>
      <c r="J161" s="2152"/>
      <c r="K161" s="2153"/>
      <c r="L161" s="2154"/>
      <c r="M161" s="2151"/>
      <c r="N161" s="1898" t="str">
        <f t="shared" si="92"/>
        <v/>
      </c>
      <c r="CA161" s="1899" t="str">
        <f t="shared" si="93"/>
        <v/>
      </c>
      <c r="CU161" s="1901">
        <f t="shared" si="94"/>
        <v>0</v>
      </c>
    </row>
    <row r="162" spans="1:100" x14ac:dyDescent="0.3">
      <c r="A162" s="2123" t="s">
        <v>164</v>
      </c>
      <c r="B162" s="2151"/>
      <c r="C162" s="2151"/>
      <c r="D162" s="2152"/>
      <c r="E162" s="2153"/>
      <c r="F162" s="2154"/>
      <c r="G162" s="2155"/>
      <c r="H162" s="2151"/>
      <c r="I162" s="2151"/>
      <c r="J162" s="2152"/>
      <c r="K162" s="2153"/>
      <c r="L162" s="2154"/>
      <c r="M162" s="2151"/>
      <c r="N162" s="1898" t="str">
        <f t="shared" si="92"/>
        <v/>
      </c>
      <c r="CA162" s="1899" t="str">
        <f t="shared" si="93"/>
        <v/>
      </c>
      <c r="CU162" s="1901">
        <f t="shared" si="94"/>
        <v>0</v>
      </c>
    </row>
    <row r="163" spans="1:100" x14ac:dyDescent="0.3">
      <c r="A163" s="2123" t="s">
        <v>165</v>
      </c>
      <c r="B163" s="2151"/>
      <c r="C163" s="2151"/>
      <c r="D163" s="2152"/>
      <c r="E163" s="2153"/>
      <c r="F163" s="2154"/>
      <c r="G163" s="2155"/>
      <c r="H163" s="2151"/>
      <c r="I163" s="2151"/>
      <c r="J163" s="2152"/>
      <c r="K163" s="2153"/>
      <c r="L163" s="2154"/>
      <c r="M163" s="2151"/>
      <c r="N163" s="1898" t="str">
        <f t="shared" si="92"/>
        <v/>
      </c>
      <c r="CA163" s="1899" t="str">
        <f t="shared" si="93"/>
        <v/>
      </c>
      <c r="CU163" s="1901">
        <f t="shared" si="94"/>
        <v>0</v>
      </c>
    </row>
    <row r="164" spans="1:100" x14ac:dyDescent="0.3">
      <c r="A164" s="2123" t="s">
        <v>166</v>
      </c>
      <c r="B164" s="2151"/>
      <c r="C164" s="2151"/>
      <c r="D164" s="2152"/>
      <c r="E164" s="2153"/>
      <c r="F164" s="2154"/>
      <c r="G164" s="2155"/>
      <c r="H164" s="2151"/>
      <c r="I164" s="2151"/>
      <c r="J164" s="2152"/>
      <c r="K164" s="2153"/>
      <c r="L164" s="2154"/>
      <c r="M164" s="2151"/>
      <c r="N164" s="1898" t="str">
        <f t="shared" si="92"/>
        <v/>
      </c>
      <c r="CA164" s="1899" t="str">
        <f t="shared" si="93"/>
        <v/>
      </c>
      <c r="CU164" s="1901">
        <f t="shared" si="94"/>
        <v>0</v>
      </c>
    </row>
    <row r="165" spans="1:100" x14ac:dyDescent="0.3">
      <c r="A165" s="2130" t="s">
        <v>57</v>
      </c>
      <c r="B165" s="2156"/>
      <c r="C165" s="2156"/>
      <c r="D165" s="2157"/>
      <c r="E165" s="2158"/>
      <c r="F165" s="2159"/>
      <c r="G165" s="2160"/>
      <c r="H165" s="2156"/>
      <c r="I165" s="2156"/>
      <c r="J165" s="2157"/>
      <c r="K165" s="2158"/>
      <c r="L165" s="2159"/>
      <c r="M165" s="2156"/>
      <c r="N165" s="1898" t="str">
        <f t="shared" si="92"/>
        <v/>
      </c>
      <c r="CA165" s="1899" t="str">
        <f t="shared" si="93"/>
        <v/>
      </c>
      <c r="CU165" s="1901">
        <f t="shared" si="94"/>
        <v>0</v>
      </c>
    </row>
    <row r="166" spans="1:100" x14ac:dyDescent="0.3">
      <c r="A166" s="2137" t="s">
        <v>77</v>
      </c>
      <c r="B166" s="2138">
        <f>SUM(B155:B165)</f>
        <v>0</v>
      </c>
      <c r="C166" s="2138">
        <f t="shared" ref="C166:M166" si="95">SUM(C155:C165)</f>
        <v>0</v>
      </c>
      <c r="D166" s="2139">
        <f t="shared" si="95"/>
        <v>0</v>
      </c>
      <c r="E166" s="2141">
        <f t="shared" si="95"/>
        <v>0</v>
      </c>
      <c r="F166" s="2142">
        <f t="shared" si="95"/>
        <v>0</v>
      </c>
      <c r="G166" s="2161">
        <f t="shared" si="95"/>
        <v>0</v>
      </c>
      <c r="H166" s="2162">
        <f t="shared" si="95"/>
        <v>0</v>
      </c>
      <c r="I166" s="2138">
        <f t="shared" si="95"/>
        <v>0</v>
      </c>
      <c r="J166" s="2139">
        <f t="shared" si="95"/>
        <v>0</v>
      </c>
      <c r="K166" s="2141">
        <f t="shared" si="95"/>
        <v>0</v>
      </c>
      <c r="L166" s="2142">
        <f t="shared" si="95"/>
        <v>0</v>
      </c>
      <c r="M166" s="2140">
        <f t="shared" si="95"/>
        <v>0</v>
      </c>
    </row>
    <row r="167" spans="1:100" ht="18" customHeight="1" x14ac:dyDescent="0.3">
      <c r="A167" s="2143" t="s">
        <v>167</v>
      </c>
      <c r="B167" s="2144"/>
      <c r="C167" s="2144"/>
      <c r="D167" s="2144"/>
      <c r="E167" s="2144"/>
      <c r="F167" s="2144"/>
      <c r="G167" s="2144"/>
      <c r="H167" s="2144"/>
      <c r="I167" s="2144"/>
      <c r="J167" s="2144"/>
      <c r="K167" s="2144"/>
      <c r="L167" s="2145"/>
    </row>
    <row r="168" spans="1:100" ht="37.5" customHeight="1" x14ac:dyDescent="0.3">
      <c r="A168" s="5723" t="s">
        <v>184</v>
      </c>
      <c r="B168" s="5723"/>
      <c r="C168" s="5723"/>
      <c r="D168" s="5723"/>
      <c r="E168" s="5723"/>
      <c r="F168" s="5723"/>
      <c r="G168" s="5723"/>
      <c r="H168" s="5723"/>
      <c r="I168" s="2146"/>
      <c r="J168" s="2146"/>
      <c r="K168" s="2146"/>
      <c r="L168" s="2146"/>
      <c r="M168" s="2146"/>
      <c r="N168" s="2146"/>
    </row>
    <row r="169" spans="1:100" ht="15" customHeight="1" x14ac:dyDescent="0.3">
      <c r="A169" s="5740" t="s">
        <v>173</v>
      </c>
      <c r="B169" s="5726" t="s">
        <v>77</v>
      </c>
      <c r="C169" s="5730" t="s">
        <v>185</v>
      </c>
      <c r="D169" s="5730"/>
      <c r="E169" s="5730"/>
      <c r="F169" s="5731"/>
      <c r="G169" s="5732" t="s">
        <v>176</v>
      </c>
      <c r="H169" s="5735" t="s">
        <v>186</v>
      </c>
    </row>
    <row r="170" spans="1:100" ht="15" customHeight="1" x14ac:dyDescent="0.3">
      <c r="A170" s="5741"/>
      <c r="B170" s="5727"/>
      <c r="C170" s="5738" t="s">
        <v>180</v>
      </c>
      <c r="D170" s="5729" t="s">
        <v>146</v>
      </c>
      <c r="E170" s="5730"/>
      <c r="F170" s="5730"/>
      <c r="G170" s="5733"/>
      <c r="H170" s="5736"/>
    </row>
    <row r="171" spans="1:100" x14ac:dyDescent="0.3">
      <c r="A171" s="5741"/>
      <c r="B171" s="5728"/>
      <c r="C171" s="5739"/>
      <c r="D171" s="2114" t="s">
        <v>181</v>
      </c>
      <c r="E171" s="2115" t="s">
        <v>182</v>
      </c>
      <c r="F171" s="2111" t="s">
        <v>183</v>
      </c>
      <c r="G171" s="5734"/>
      <c r="H171" s="5737"/>
    </row>
    <row r="172" spans="1:100" x14ac:dyDescent="0.3">
      <c r="A172" s="2123" t="s">
        <v>157</v>
      </c>
      <c r="B172" s="2151"/>
      <c r="C172" s="2151"/>
      <c r="D172" s="2152"/>
      <c r="E172" s="2153"/>
      <c r="F172" s="2154"/>
      <c r="G172" s="2155"/>
      <c r="H172" s="2151"/>
      <c r="I172" s="1898" t="str">
        <f>$CA172&amp;CB172</f>
        <v/>
      </c>
      <c r="CA172" s="1899" t="str">
        <f>IF(AND($B172&lt;&gt;0,G172=""),"* No olvide ingresar la variable "&amp;G$169&amp;""&amp;". Digite CERO si no tiene. ",IF(G172&gt;$B172,"* La variable Total VPH informados en trans masculino no debe ser mayor al Total. ",""))</f>
        <v/>
      </c>
      <c r="CB172" s="1899" t="str">
        <f>IF(AND($B172&lt;&gt;0,H172=""),"* No olvide ingresar la variable "&amp;H$169&amp;""&amp;". Digite CERO si no tiene. ",IF(H172&gt;$B172,"* La variable Total examen VPH autotoma informado no debe ser mayor al Total. ",""))</f>
        <v/>
      </c>
      <c r="CU172" s="1901">
        <f>IF(AND($B172&lt;&gt;0,G172=""),1,IF(G172&gt;$B172,1,0))</f>
        <v>0</v>
      </c>
      <c r="CV172" s="1901">
        <f>IF(AND($B172&lt;&gt;0,H172=""),1,IF(H172&gt;$B172,1,0))</f>
        <v>0</v>
      </c>
    </row>
    <row r="173" spans="1:100" x14ac:dyDescent="0.3">
      <c r="A173" s="2123" t="s">
        <v>158</v>
      </c>
      <c r="B173" s="2151"/>
      <c r="C173" s="2151"/>
      <c r="D173" s="2152"/>
      <c r="E173" s="2153"/>
      <c r="F173" s="2154"/>
      <c r="G173" s="2155"/>
      <c r="H173" s="2151"/>
      <c r="I173" s="1898" t="str">
        <f t="shared" ref="I173:I182" si="96">$CA173&amp;CB173</f>
        <v/>
      </c>
      <c r="CA173" s="1899" t="str">
        <f t="shared" ref="CA173:CA182" si="97">IF(AND($B173&lt;&gt;0,G173=""),"* No olvide ingresar la variable "&amp;G$169&amp;""&amp;". Digite CERO si no tiene. ",IF(G173&gt;$B173,"* La variable Total VPH informados en trans masculino no debe ser mayor al Total. ",""))</f>
        <v/>
      </c>
      <c r="CB173" s="1899" t="str">
        <f t="shared" ref="CB173:CB182" si="98">IF(AND($B173&lt;&gt;0,H173=""),"* No olvide ingresar la variable "&amp;H$169&amp;""&amp;". Digite CERO si no tiene. ",IF(H173&gt;$B173,"* La variable Total examen VPH autotoma informado no debe ser mayor al Total. ",""))</f>
        <v/>
      </c>
      <c r="CU173" s="1901">
        <f t="shared" ref="CU173:CU182" si="99">IF(AND($B173&lt;&gt;0,G173=""),1,IF(G173&gt;$B173,1,0))</f>
        <v>0</v>
      </c>
      <c r="CV173" s="1901">
        <f t="shared" ref="CV173:CV182" si="100">IF(AND($B173&lt;&gt;0,H173=""),1,IF(H173&gt;$B173,1,0))</f>
        <v>0</v>
      </c>
    </row>
    <row r="174" spans="1:100" x14ac:dyDescent="0.3">
      <c r="A174" s="2123" t="s">
        <v>159</v>
      </c>
      <c r="B174" s="2151"/>
      <c r="C174" s="2151"/>
      <c r="D174" s="2152"/>
      <c r="E174" s="2153"/>
      <c r="F174" s="2154"/>
      <c r="G174" s="2155"/>
      <c r="H174" s="2151"/>
      <c r="I174" s="1898" t="str">
        <f t="shared" si="96"/>
        <v/>
      </c>
      <c r="CA174" s="1899" t="str">
        <f t="shared" si="97"/>
        <v/>
      </c>
      <c r="CB174" s="1899" t="str">
        <f t="shared" si="98"/>
        <v/>
      </c>
      <c r="CU174" s="1901">
        <f t="shared" si="99"/>
        <v>0</v>
      </c>
      <c r="CV174" s="1901">
        <f t="shared" si="100"/>
        <v>0</v>
      </c>
    </row>
    <row r="175" spans="1:100" x14ac:dyDescent="0.3">
      <c r="A175" s="2123" t="s">
        <v>160</v>
      </c>
      <c r="B175" s="2151"/>
      <c r="C175" s="2151"/>
      <c r="D175" s="2152"/>
      <c r="E175" s="2153"/>
      <c r="F175" s="2154"/>
      <c r="G175" s="2155"/>
      <c r="H175" s="2151"/>
      <c r="I175" s="1898" t="str">
        <f t="shared" si="96"/>
        <v/>
      </c>
      <c r="CA175" s="1899" t="str">
        <f t="shared" si="97"/>
        <v/>
      </c>
      <c r="CB175" s="1899" t="str">
        <f t="shared" si="98"/>
        <v/>
      </c>
      <c r="CU175" s="1901">
        <f t="shared" si="99"/>
        <v>0</v>
      </c>
      <c r="CV175" s="1901">
        <f t="shared" si="100"/>
        <v>0</v>
      </c>
    </row>
    <row r="176" spans="1:100" x14ac:dyDescent="0.3">
      <c r="A176" s="2123" t="s">
        <v>161</v>
      </c>
      <c r="B176" s="2151"/>
      <c r="C176" s="2151"/>
      <c r="D176" s="2152"/>
      <c r="E176" s="2153"/>
      <c r="F176" s="2154"/>
      <c r="G176" s="2155"/>
      <c r="H176" s="2151"/>
      <c r="I176" s="1898" t="str">
        <f t="shared" si="96"/>
        <v/>
      </c>
      <c r="CA176" s="1899" t="str">
        <f t="shared" si="97"/>
        <v/>
      </c>
      <c r="CB176" s="1899" t="str">
        <f t="shared" si="98"/>
        <v/>
      </c>
      <c r="CU176" s="1901">
        <f t="shared" si="99"/>
        <v>0</v>
      </c>
      <c r="CV176" s="1901">
        <f t="shared" si="100"/>
        <v>0</v>
      </c>
    </row>
    <row r="177" spans="1:100" x14ac:dyDescent="0.3">
      <c r="A177" s="2123" t="s">
        <v>162</v>
      </c>
      <c r="B177" s="2151"/>
      <c r="C177" s="2151"/>
      <c r="D177" s="2152"/>
      <c r="E177" s="2153"/>
      <c r="F177" s="2154"/>
      <c r="G177" s="2155"/>
      <c r="H177" s="2151"/>
      <c r="I177" s="1898" t="str">
        <f t="shared" si="96"/>
        <v/>
      </c>
      <c r="CA177" s="1899" t="str">
        <f t="shared" si="97"/>
        <v/>
      </c>
      <c r="CB177" s="1899" t="str">
        <f t="shared" si="98"/>
        <v/>
      </c>
      <c r="CU177" s="1901">
        <f t="shared" si="99"/>
        <v>0</v>
      </c>
      <c r="CV177" s="1901">
        <f t="shared" si="100"/>
        <v>0</v>
      </c>
    </row>
    <row r="178" spans="1:100" x14ac:dyDescent="0.3">
      <c r="A178" s="2123" t="s">
        <v>163</v>
      </c>
      <c r="B178" s="2151"/>
      <c r="C178" s="2151"/>
      <c r="D178" s="2152"/>
      <c r="E178" s="2153"/>
      <c r="F178" s="2154"/>
      <c r="G178" s="2155"/>
      <c r="H178" s="2151"/>
      <c r="I178" s="1898" t="str">
        <f t="shared" si="96"/>
        <v/>
      </c>
      <c r="CA178" s="1899" t="str">
        <f t="shared" si="97"/>
        <v/>
      </c>
      <c r="CB178" s="1899" t="str">
        <f t="shared" si="98"/>
        <v/>
      </c>
      <c r="CU178" s="1901">
        <f t="shared" si="99"/>
        <v>0</v>
      </c>
      <c r="CV178" s="1901">
        <f t="shared" si="100"/>
        <v>0</v>
      </c>
    </row>
    <row r="179" spans="1:100" x14ac:dyDescent="0.3">
      <c r="A179" s="2123" t="s">
        <v>164</v>
      </c>
      <c r="B179" s="2151"/>
      <c r="C179" s="2151"/>
      <c r="D179" s="2152"/>
      <c r="E179" s="2153"/>
      <c r="F179" s="2154"/>
      <c r="G179" s="2155"/>
      <c r="H179" s="2151"/>
      <c r="I179" s="1898" t="str">
        <f t="shared" si="96"/>
        <v/>
      </c>
      <c r="CA179" s="1899" t="str">
        <f t="shared" si="97"/>
        <v/>
      </c>
      <c r="CB179" s="1899" t="str">
        <f t="shared" si="98"/>
        <v/>
      </c>
      <c r="CU179" s="1901">
        <f t="shared" si="99"/>
        <v>0</v>
      </c>
      <c r="CV179" s="1901">
        <f t="shared" si="100"/>
        <v>0</v>
      </c>
    </row>
    <row r="180" spans="1:100" x14ac:dyDescent="0.3">
      <c r="A180" s="2123" t="s">
        <v>165</v>
      </c>
      <c r="B180" s="2151"/>
      <c r="C180" s="2151"/>
      <c r="D180" s="2152"/>
      <c r="E180" s="2153"/>
      <c r="F180" s="2154"/>
      <c r="G180" s="2155"/>
      <c r="H180" s="2151"/>
      <c r="I180" s="1898" t="str">
        <f t="shared" si="96"/>
        <v/>
      </c>
      <c r="CA180" s="1899" t="str">
        <f t="shared" si="97"/>
        <v/>
      </c>
      <c r="CB180" s="1899" t="str">
        <f t="shared" si="98"/>
        <v/>
      </c>
      <c r="CU180" s="1901">
        <f t="shared" si="99"/>
        <v>0</v>
      </c>
      <c r="CV180" s="1901">
        <f t="shared" si="100"/>
        <v>0</v>
      </c>
    </row>
    <row r="181" spans="1:100" x14ac:dyDescent="0.3">
      <c r="A181" s="2123" t="s">
        <v>166</v>
      </c>
      <c r="B181" s="2151"/>
      <c r="C181" s="2151"/>
      <c r="D181" s="2152"/>
      <c r="E181" s="2153"/>
      <c r="F181" s="2154"/>
      <c r="G181" s="2155"/>
      <c r="H181" s="2151"/>
      <c r="I181" s="1898" t="str">
        <f t="shared" si="96"/>
        <v/>
      </c>
      <c r="CA181" s="1899" t="str">
        <f t="shared" si="97"/>
        <v/>
      </c>
      <c r="CB181" s="1899" t="str">
        <f t="shared" si="98"/>
        <v/>
      </c>
      <c r="CU181" s="1901">
        <f t="shared" si="99"/>
        <v>0</v>
      </c>
      <c r="CV181" s="1901">
        <f t="shared" si="100"/>
        <v>0</v>
      </c>
    </row>
    <row r="182" spans="1:100" x14ac:dyDescent="0.3">
      <c r="A182" s="2130" t="s">
        <v>57</v>
      </c>
      <c r="B182" s="2156"/>
      <c r="C182" s="2156"/>
      <c r="D182" s="2157"/>
      <c r="E182" s="2158"/>
      <c r="F182" s="2159"/>
      <c r="G182" s="2160"/>
      <c r="H182" s="2156"/>
      <c r="I182" s="1898" t="str">
        <f t="shared" si="96"/>
        <v/>
      </c>
      <c r="CA182" s="1899" t="str">
        <f t="shared" si="97"/>
        <v/>
      </c>
      <c r="CB182" s="1899" t="str">
        <f t="shared" si="98"/>
        <v/>
      </c>
      <c r="CU182" s="1901">
        <f t="shared" si="99"/>
        <v>0</v>
      </c>
      <c r="CV182" s="1901">
        <f t="shared" si="100"/>
        <v>0</v>
      </c>
    </row>
    <row r="183" spans="1:100" x14ac:dyDescent="0.3">
      <c r="A183" s="2137" t="s">
        <v>77</v>
      </c>
      <c r="B183" s="2138">
        <f>SUM(B172:B182)</f>
        <v>0</v>
      </c>
      <c r="C183" s="2138">
        <f t="shared" ref="C183:H183" si="101">SUM(C172:C182)</f>
        <v>0</v>
      </c>
      <c r="D183" s="2139">
        <f t="shared" si="101"/>
        <v>0</v>
      </c>
      <c r="E183" s="2141">
        <f t="shared" si="101"/>
        <v>0</v>
      </c>
      <c r="F183" s="2142">
        <f t="shared" si="101"/>
        <v>0</v>
      </c>
      <c r="G183" s="2161">
        <f t="shared" si="101"/>
        <v>0</v>
      </c>
      <c r="H183" s="2140">
        <f t="shared" si="101"/>
        <v>0</v>
      </c>
    </row>
    <row r="184" spans="1:100" ht="18" customHeight="1" x14ac:dyDescent="0.3">
      <c r="A184" s="19" t="s">
        <v>187</v>
      </c>
    </row>
    <row r="185" spans="1:100" ht="33" customHeight="1" x14ac:dyDescent="0.3">
      <c r="A185" s="5723" t="s">
        <v>188</v>
      </c>
      <c r="B185" s="5723"/>
      <c r="C185" s="5723"/>
      <c r="D185" s="5723"/>
      <c r="E185" s="5723"/>
      <c r="F185" s="5723"/>
      <c r="G185" s="5723"/>
      <c r="H185" s="5723"/>
      <c r="I185" s="2146"/>
      <c r="J185" s="2146"/>
      <c r="K185" s="2146"/>
      <c r="L185" s="2146"/>
      <c r="M185" s="2146"/>
    </row>
    <row r="186" spans="1:100" ht="15" customHeight="1" x14ac:dyDescent="0.3">
      <c r="A186" s="5724" t="s">
        <v>173</v>
      </c>
      <c r="B186" s="5726" t="s">
        <v>77</v>
      </c>
      <c r="C186" s="5729" t="s">
        <v>185</v>
      </c>
      <c r="D186" s="5730"/>
      <c r="E186" s="5730"/>
      <c r="F186" s="5731"/>
      <c r="G186" s="5732" t="s">
        <v>176</v>
      </c>
      <c r="H186" s="5735" t="s">
        <v>186</v>
      </c>
      <c r="K186" s="2145"/>
    </row>
    <row r="187" spans="1:100" ht="15" customHeight="1" x14ac:dyDescent="0.3">
      <c r="A187" s="5725"/>
      <c r="B187" s="5727"/>
      <c r="C187" s="5738" t="s">
        <v>180</v>
      </c>
      <c r="D187" s="5729" t="s">
        <v>146</v>
      </c>
      <c r="E187" s="5730"/>
      <c r="F187" s="5730"/>
      <c r="G187" s="5733"/>
      <c r="H187" s="5736"/>
      <c r="K187" s="2145"/>
    </row>
    <row r="188" spans="1:100" x14ac:dyDescent="0.3">
      <c r="A188" s="5725"/>
      <c r="B188" s="5728"/>
      <c r="C188" s="5739"/>
      <c r="D188" s="2114" t="s">
        <v>181</v>
      </c>
      <c r="E188" s="2115" t="s">
        <v>182</v>
      </c>
      <c r="F188" s="2150" t="s">
        <v>189</v>
      </c>
      <c r="G188" s="5734"/>
      <c r="H188" s="5737"/>
      <c r="K188" s="2145"/>
    </row>
    <row r="189" spans="1:100" x14ac:dyDescent="0.3">
      <c r="A189" s="2123" t="s">
        <v>157</v>
      </c>
      <c r="B189" s="2151"/>
      <c r="C189" s="2151"/>
      <c r="D189" s="2152"/>
      <c r="E189" s="2153"/>
      <c r="F189" s="2154"/>
      <c r="G189" s="2155"/>
      <c r="H189" s="2151"/>
      <c r="I189" s="1898" t="str">
        <f>$CA189&amp;CB189</f>
        <v/>
      </c>
      <c r="K189" s="2145"/>
      <c r="CA189" s="1899" t="str">
        <f>IF(AND($B189&lt;&gt;0,G189=""),"* No olvide ingresar la variable "&amp;G$186&amp;""&amp;". Digite CERO si no tiene. ",IF(G189&gt;$B189,"* La variable Total VPH informados en trans masculino no debe ser mayor al Total. ",""))</f>
        <v/>
      </c>
      <c r="CB189" s="1899" t="str">
        <f>IF(AND($B189&lt;&gt;0,H189=""),"* No olvide ingresar la variable "&amp;H$186&amp;""&amp;". Digite CERO si no tiene. ",IF(H189&gt;$B189,"* La variable Total examen VPH autotoma informado no debe ser mayor al Total. ",""))</f>
        <v/>
      </c>
      <c r="CU189" s="1901">
        <f>IF(AND($B189&lt;&gt;0,G189=""),1,IF(G189&gt;$B189,1,0))</f>
        <v>0</v>
      </c>
      <c r="CV189" s="1901">
        <f>IF(AND($B189&lt;&gt;0,H189=""),1,IF(H189&gt;$B189,1,0))</f>
        <v>0</v>
      </c>
    </row>
    <row r="190" spans="1:100" x14ac:dyDescent="0.3">
      <c r="A190" s="2123" t="s">
        <v>158</v>
      </c>
      <c r="B190" s="2151"/>
      <c r="C190" s="2151"/>
      <c r="D190" s="2152"/>
      <c r="E190" s="2153"/>
      <c r="F190" s="2154"/>
      <c r="G190" s="2155"/>
      <c r="H190" s="2151"/>
      <c r="I190" s="1898" t="str">
        <f t="shared" ref="I190:I198" si="102">$CA190&amp;CB190</f>
        <v/>
      </c>
      <c r="K190" s="2145"/>
      <c r="CA190" s="1899" t="str">
        <f t="shared" ref="CA190:CA199" si="103">IF(AND($B190&lt;&gt;0,G190=""),"* No olvide ingresar la variable "&amp;G$186&amp;""&amp;". Digite CERO si no tiene. ",IF(G190&gt;$B190,"* La variable Total VPH informados en trans masculino no debe ser mayor al Total. ",""))</f>
        <v/>
      </c>
      <c r="CB190" s="1899" t="str">
        <f t="shared" ref="CB190:CB199" si="104">IF(AND($B190&lt;&gt;0,H190=""),"* No olvide ingresar la variable "&amp;H$186&amp;""&amp;". Digite CERO si no tiene. ",IF(H190&gt;$B190,"* La variable Total examen VPH autotoma informado no debe ser mayor al Total. ",""))</f>
        <v/>
      </c>
      <c r="CU190" s="1901">
        <f t="shared" ref="CU190:CU199" si="105">IF(AND($B190&lt;&gt;0,G190=""),1,IF(G190&gt;$B190,1,0))</f>
        <v>0</v>
      </c>
      <c r="CV190" s="1901">
        <f t="shared" ref="CV190:CV199" si="106">IF(AND($B190&lt;&gt;0,H190=""),1,IF(H190&gt;$B190,1,0))</f>
        <v>0</v>
      </c>
    </row>
    <row r="191" spans="1:100" x14ac:dyDescent="0.3">
      <c r="A191" s="2123" t="s">
        <v>159</v>
      </c>
      <c r="B191" s="2151"/>
      <c r="C191" s="2151"/>
      <c r="D191" s="2152"/>
      <c r="E191" s="2153"/>
      <c r="F191" s="2154"/>
      <c r="G191" s="2155"/>
      <c r="H191" s="2151"/>
      <c r="I191" s="1898" t="str">
        <f t="shared" si="102"/>
        <v/>
      </c>
      <c r="K191" s="2145"/>
      <c r="CA191" s="1899" t="str">
        <f t="shared" si="103"/>
        <v/>
      </c>
      <c r="CB191" s="1899" t="str">
        <f t="shared" si="104"/>
        <v/>
      </c>
      <c r="CU191" s="1901">
        <f t="shared" si="105"/>
        <v>0</v>
      </c>
      <c r="CV191" s="1901">
        <f t="shared" si="106"/>
        <v>0</v>
      </c>
    </row>
    <row r="192" spans="1:100" x14ac:dyDescent="0.3">
      <c r="A192" s="2123" t="s">
        <v>160</v>
      </c>
      <c r="B192" s="2151"/>
      <c r="C192" s="2151"/>
      <c r="D192" s="2152"/>
      <c r="E192" s="2153"/>
      <c r="F192" s="2154"/>
      <c r="G192" s="2155"/>
      <c r="H192" s="2151"/>
      <c r="I192" s="1898" t="str">
        <f t="shared" si="102"/>
        <v/>
      </c>
      <c r="K192" s="2145"/>
      <c r="CA192" s="1899" t="str">
        <f t="shared" si="103"/>
        <v/>
      </c>
      <c r="CB192" s="1899" t="str">
        <f t="shared" si="104"/>
        <v/>
      </c>
      <c r="CU192" s="1901">
        <f t="shared" si="105"/>
        <v>0</v>
      </c>
      <c r="CV192" s="1901">
        <f t="shared" si="106"/>
        <v>0</v>
      </c>
    </row>
    <row r="193" spans="1:100" x14ac:dyDescent="0.3">
      <c r="A193" s="2123" t="s">
        <v>161</v>
      </c>
      <c r="B193" s="2151"/>
      <c r="C193" s="2151"/>
      <c r="D193" s="2152"/>
      <c r="E193" s="2153"/>
      <c r="F193" s="2154"/>
      <c r="G193" s="2155"/>
      <c r="H193" s="2151"/>
      <c r="I193" s="1898" t="str">
        <f t="shared" si="102"/>
        <v/>
      </c>
      <c r="K193" s="2145"/>
      <c r="CA193" s="1899" t="str">
        <f t="shared" si="103"/>
        <v/>
      </c>
      <c r="CB193" s="1899" t="str">
        <f t="shared" si="104"/>
        <v/>
      </c>
      <c r="CU193" s="1901">
        <f t="shared" si="105"/>
        <v>0</v>
      </c>
      <c r="CV193" s="1901">
        <f t="shared" si="106"/>
        <v>0</v>
      </c>
    </row>
    <row r="194" spans="1:100" x14ac:dyDescent="0.3">
      <c r="A194" s="2123" t="s">
        <v>162</v>
      </c>
      <c r="B194" s="2151"/>
      <c r="C194" s="2151"/>
      <c r="D194" s="2152"/>
      <c r="E194" s="2153"/>
      <c r="F194" s="2154"/>
      <c r="G194" s="2155"/>
      <c r="H194" s="2151"/>
      <c r="I194" s="1898" t="str">
        <f t="shared" si="102"/>
        <v/>
      </c>
      <c r="K194" s="2145"/>
      <c r="CA194" s="1899" t="str">
        <f t="shared" si="103"/>
        <v/>
      </c>
      <c r="CB194" s="1899" t="str">
        <f t="shared" si="104"/>
        <v/>
      </c>
      <c r="CU194" s="1901">
        <f t="shared" si="105"/>
        <v>0</v>
      </c>
      <c r="CV194" s="1901">
        <f t="shared" si="106"/>
        <v>0</v>
      </c>
    </row>
    <row r="195" spans="1:100" x14ac:dyDescent="0.3">
      <c r="A195" s="2123" t="s">
        <v>163</v>
      </c>
      <c r="B195" s="2151"/>
      <c r="C195" s="2151"/>
      <c r="D195" s="2152"/>
      <c r="E195" s="2153"/>
      <c r="F195" s="2154"/>
      <c r="G195" s="2155"/>
      <c r="H195" s="2151"/>
      <c r="I195" s="1898" t="str">
        <f t="shared" si="102"/>
        <v/>
      </c>
      <c r="K195" s="2145"/>
      <c r="CA195" s="1899" t="str">
        <f t="shared" si="103"/>
        <v/>
      </c>
      <c r="CB195" s="1899" t="str">
        <f t="shared" si="104"/>
        <v/>
      </c>
      <c r="CU195" s="1901">
        <f t="shared" si="105"/>
        <v>0</v>
      </c>
      <c r="CV195" s="1901">
        <f t="shared" si="106"/>
        <v>0</v>
      </c>
    </row>
    <row r="196" spans="1:100" x14ac:dyDescent="0.3">
      <c r="A196" s="2123" t="s">
        <v>164</v>
      </c>
      <c r="B196" s="2151"/>
      <c r="C196" s="2151"/>
      <c r="D196" s="2152"/>
      <c r="E196" s="2153"/>
      <c r="F196" s="2154"/>
      <c r="G196" s="2155"/>
      <c r="H196" s="2151"/>
      <c r="I196" s="1898" t="str">
        <f t="shared" si="102"/>
        <v/>
      </c>
      <c r="K196" s="2145"/>
      <c r="CA196" s="1899" t="str">
        <f t="shared" si="103"/>
        <v/>
      </c>
      <c r="CB196" s="1899" t="str">
        <f t="shared" si="104"/>
        <v/>
      </c>
      <c r="CU196" s="1901">
        <f t="shared" si="105"/>
        <v>0</v>
      </c>
      <c r="CV196" s="1901">
        <f t="shared" si="106"/>
        <v>0</v>
      </c>
    </row>
    <row r="197" spans="1:100" x14ac:dyDescent="0.3">
      <c r="A197" s="2123" t="s">
        <v>165</v>
      </c>
      <c r="B197" s="2151"/>
      <c r="C197" s="2151"/>
      <c r="D197" s="2152"/>
      <c r="E197" s="2153"/>
      <c r="F197" s="2154"/>
      <c r="G197" s="2155"/>
      <c r="H197" s="2151"/>
      <c r="I197" s="1898" t="str">
        <f t="shared" si="102"/>
        <v/>
      </c>
      <c r="K197" s="2145"/>
      <c r="CA197" s="1899" t="str">
        <f t="shared" si="103"/>
        <v/>
      </c>
      <c r="CB197" s="1899" t="str">
        <f t="shared" si="104"/>
        <v/>
      </c>
      <c r="CU197" s="1901">
        <f>IF(AND($B197&lt;&gt;0,G197=""),1,IF(G197&gt;$B197,1,0))</f>
        <v>0</v>
      </c>
      <c r="CV197" s="1901">
        <f>IF(AND($B197&lt;&gt;0,H197=""),1,IF(H197&gt;$B197,1,0))</f>
        <v>0</v>
      </c>
    </row>
    <row r="198" spans="1:100" x14ac:dyDescent="0.3">
      <c r="A198" s="2123" t="s">
        <v>166</v>
      </c>
      <c r="B198" s="2151"/>
      <c r="C198" s="2151"/>
      <c r="D198" s="2152"/>
      <c r="E198" s="2153"/>
      <c r="F198" s="2154"/>
      <c r="G198" s="2155"/>
      <c r="H198" s="2151"/>
      <c r="I198" s="1898" t="str">
        <f t="shared" si="102"/>
        <v/>
      </c>
      <c r="K198" s="2145"/>
      <c r="CA198" s="1899" t="str">
        <f t="shared" si="103"/>
        <v/>
      </c>
      <c r="CB198" s="1899" t="str">
        <f t="shared" si="104"/>
        <v/>
      </c>
      <c r="CU198" s="1901">
        <f t="shared" si="105"/>
        <v>0</v>
      </c>
      <c r="CV198" s="1901">
        <f t="shared" si="106"/>
        <v>0</v>
      </c>
    </row>
    <row r="199" spans="1:100" x14ac:dyDescent="0.3">
      <c r="A199" s="2130" t="s">
        <v>57</v>
      </c>
      <c r="B199" s="2156"/>
      <c r="C199" s="2156"/>
      <c r="D199" s="2157"/>
      <c r="E199" s="2158"/>
      <c r="F199" s="2159"/>
      <c r="G199" s="2160"/>
      <c r="H199" s="2156"/>
      <c r="I199" s="1898" t="str">
        <f>$CA199&amp;CB199</f>
        <v/>
      </c>
      <c r="K199" s="2145"/>
      <c r="CA199" s="1899" t="str">
        <f t="shared" si="103"/>
        <v/>
      </c>
      <c r="CB199" s="1899" t="str">
        <f t="shared" si="104"/>
        <v/>
      </c>
      <c r="CU199" s="1901">
        <f t="shared" si="105"/>
        <v>0</v>
      </c>
      <c r="CV199" s="1901">
        <f t="shared" si="106"/>
        <v>0</v>
      </c>
    </row>
    <row r="200" spans="1:100" x14ac:dyDescent="0.3">
      <c r="A200" s="2137" t="s">
        <v>77</v>
      </c>
      <c r="B200" s="2138">
        <f>SUM(B189:B199)</f>
        <v>0</v>
      </c>
      <c r="C200" s="2138">
        <f t="shared" ref="C200:H200" si="107">SUM(C189:C199)</f>
        <v>0</v>
      </c>
      <c r="D200" s="2139">
        <f t="shared" si="107"/>
        <v>0</v>
      </c>
      <c r="E200" s="2141">
        <f t="shared" si="107"/>
        <v>0</v>
      </c>
      <c r="F200" s="2142">
        <f t="shared" si="107"/>
        <v>0</v>
      </c>
      <c r="G200" s="2161">
        <f>SUM(G189:G199)</f>
        <v>0</v>
      </c>
      <c r="H200" s="2140">
        <f t="shared" si="107"/>
        <v>0</v>
      </c>
      <c r="K200" s="2145"/>
    </row>
    <row r="256" ht="17.25" customHeight="1" x14ac:dyDescent="0.3"/>
    <row r="257" spans="1:2" ht="12" customHeight="1" x14ac:dyDescent="0.3"/>
    <row r="258" spans="1:2" ht="25.5" hidden="1" customHeight="1" x14ac:dyDescent="0.3">
      <c r="A258" s="105">
        <f>SUM(C11:C32,C36:C39,C44:C66,C70:C73,F70:F73,B78:B83,B88:B93,B98:B110,B117:B129,B136:B148,B155:B165,B172:B182,B189:B199)</f>
        <v>0</v>
      </c>
      <c r="B258" s="105">
        <f>SUM(CU11:DG199)</f>
        <v>0</v>
      </c>
    </row>
  </sheetData>
  <sheetProtection algorithmName="SHA-512" hashValue="TlnwLwm+54MNrsxCEUo6vNYh/cFl/2p6sMr2Q+F+tP3de0bEBYLRpQT5ZwHSJ3Wrtg8tawoAvmGMIvXwi7HrfA==" saltValue="L457Gy/urj4GOPYL3BlPtw==" spinCount="100000" sheet="1" objects="1" scenarios="1"/>
  <dataConsolidate/>
  <mergeCells count="165">
    <mergeCell ref="A6:P6"/>
    <mergeCell ref="A9:A10"/>
    <mergeCell ref="B9:B10"/>
    <mergeCell ref="C9:C10"/>
    <mergeCell ref="D9:T9"/>
    <mergeCell ref="A19:A20"/>
    <mergeCell ref="A25:A26"/>
    <mergeCell ref="A27:A28"/>
    <mergeCell ref="A29:A30"/>
    <mergeCell ref="A8:AH8"/>
    <mergeCell ref="AD9:AD10"/>
    <mergeCell ref="AE9:AG9"/>
    <mergeCell ref="AH9:AH10"/>
    <mergeCell ref="A31:A32"/>
    <mergeCell ref="A11:A12"/>
    <mergeCell ref="A13:A14"/>
    <mergeCell ref="A15:A16"/>
    <mergeCell ref="A17:A18"/>
    <mergeCell ref="AA9:AA10"/>
    <mergeCell ref="AC9:AC10"/>
    <mergeCell ref="W9:W10"/>
    <mergeCell ref="X9:X10"/>
    <mergeCell ref="Y9:Y10"/>
    <mergeCell ref="Z9:Z10"/>
    <mergeCell ref="U9:V9"/>
    <mergeCell ref="A21:A22"/>
    <mergeCell ref="A23:A24"/>
    <mergeCell ref="AB9:AB10"/>
    <mergeCell ref="AN34:AN35"/>
    <mergeCell ref="A36:A39"/>
    <mergeCell ref="A41:A43"/>
    <mergeCell ref="B41:B43"/>
    <mergeCell ref="C41:E42"/>
    <mergeCell ref="F41:AM41"/>
    <mergeCell ref="AN41:AN43"/>
    <mergeCell ref="X42:Y42"/>
    <mergeCell ref="A34:A35"/>
    <mergeCell ref="B34:B35"/>
    <mergeCell ref="C34:E34"/>
    <mergeCell ref="F34:AH34"/>
    <mergeCell ref="AI34:AJ34"/>
    <mergeCell ref="AK34:AK35"/>
    <mergeCell ref="AL34:AL35"/>
    <mergeCell ref="AM34:AM35"/>
    <mergeCell ref="Z42:AA42"/>
    <mergeCell ref="AB42:AC42"/>
    <mergeCell ref="AD42:AE42"/>
    <mergeCell ref="AF42:AG42"/>
    <mergeCell ref="AO41:AO43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AL42:AM42"/>
    <mergeCell ref="AH42:AI42"/>
    <mergeCell ref="AJ42:AK42"/>
    <mergeCell ref="K68:K69"/>
    <mergeCell ref="L68:L69"/>
    <mergeCell ref="I68:I69"/>
    <mergeCell ref="J68:J69"/>
    <mergeCell ref="A44:A47"/>
    <mergeCell ref="A48:A50"/>
    <mergeCell ref="A51:A53"/>
    <mergeCell ref="A54:A56"/>
    <mergeCell ref="A57:A62"/>
    <mergeCell ref="A63:A66"/>
    <mergeCell ref="A68:B69"/>
    <mergeCell ref="A70:B70"/>
    <mergeCell ref="A71:B71"/>
    <mergeCell ref="A72:B72"/>
    <mergeCell ref="A73:B73"/>
    <mergeCell ref="A74:B74"/>
    <mergeCell ref="C76:D76"/>
    <mergeCell ref="J76:J77"/>
    <mergeCell ref="C68:E68"/>
    <mergeCell ref="F68:H68"/>
    <mergeCell ref="AG85:AG87"/>
    <mergeCell ref="E76:F76"/>
    <mergeCell ref="G76:I76"/>
    <mergeCell ref="A85:A87"/>
    <mergeCell ref="B85:D86"/>
    <mergeCell ref="E85:AF85"/>
    <mergeCell ref="U86:V86"/>
    <mergeCell ref="W86:X86"/>
    <mergeCell ref="A76:A77"/>
    <mergeCell ref="B76:B77"/>
    <mergeCell ref="K76:K77"/>
    <mergeCell ref="L76:L77"/>
    <mergeCell ref="C152:F152"/>
    <mergeCell ref="G152:G154"/>
    <mergeCell ref="AP41:AP43"/>
    <mergeCell ref="A95:A97"/>
    <mergeCell ref="B95:K95"/>
    <mergeCell ref="L95:L97"/>
    <mergeCell ref="B96:B97"/>
    <mergeCell ref="C96:C97"/>
    <mergeCell ref="D96:E96"/>
    <mergeCell ref="F96:K96"/>
    <mergeCell ref="M76:M77"/>
    <mergeCell ref="AH85:AH87"/>
    <mergeCell ref="E86:F86"/>
    <mergeCell ref="G86:H86"/>
    <mergeCell ref="I86:J86"/>
    <mergeCell ref="K86:L86"/>
    <mergeCell ref="M86:N86"/>
    <mergeCell ref="O86:P86"/>
    <mergeCell ref="Q86:R86"/>
    <mergeCell ref="S86:T86"/>
    <mergeCell ref="Y86:Z86"/>
    <mergeCell ref="AA86:AB86"/>
    <mergeCell ref="AC86:AD86"/>
    <mergeCell ref="AE86:AF86"/>
    <mergeCell ref="A152:A154"/>
    <mergeCell ref="B152:B154"/>
    <mergeCell ref="A33:AH33"/>
    <mergeCell ref="A40:AM40"/>
    <mergeCell ref="A67:L67"/>
    <mergeCell ref="A75:M75"/>
    <mergeCell ref="A84:AF84"/>
    <mergeCell ref="M152:M154"/>
    <mergeCell ref="C153:C154"/>
    <mergeCell ref="D153:F153"/>
    <mergeCell ref="I153:I154"/>
    <mergeCell ref="J153:L153"/>
    <mergeCell ref="A151:M151"/>
    <mergeCell ref="A114:A116"/>
    <mergeCell ref="B114:K114"/>
    <mergeCell ref="L114:L116"/>
    <mergeCell ref="B115:B116"/>
    <mergeCell ref="C115:C116"/>
    <mergeCell ref="D115:E115"/>
    <mergeCell ref="F115:K115"/>
    <mergeCell ref="A132:K132"/>
    <mergeCell ref="B133:K133"/>
    <mergeCell ref="L133:L135"/>
    <mergeCell ref="B134:B135"/>
    <mergeCell ref="A94:N94"/>
    <mergeCell ref="A113:L113"/>
    <mergeCell ref="A185:H185"/>
    <mergeCell ref="A168:H168"/>
    <mergeCell ref="A133:A135"/>
    <mergeCell ref="A186:A188"/>
    <mergeCell ref="B186:B188"/>
    <mergeCell ref="C186:F186"/>
    <mergeCell ref="G186:G188"/>
    <mergeCell ref="H186:H188"/>
    <mergeCell ref="C187:C188"/>
    <mergeCell ref="D187:F187"/>
    <mergeCell ref="A169:A171"/>
    <mergeCell ref="B169:B171"/>
    <mergeCell ref="C169:F169"/>
    <mergeCell ref="G169:G171"/>
    <mergeCell ref="H169:H171"/>
    <mergeCell ref="C170:C171"/>
    <mergeCell ref="D170:F170"/>
    <mergeCell ref="H152:H154"/>
    <mergeCell ref="I152:L152"/>
    <mergeCell ref="C134:C135"/>
    <mergeCell ref="D134:E134"/>
    <mergeCell ref="F134:K134"/>
  </mergeCells>
  <dataValidations count="6">
    <dataValidation type="whole" operator="greaterThanOrEqual" allowBlank="1" showInputMessage="1" showErrorMessage="1" errorTitle="Error" error="Favor ingresar sólo números." sqref="D36:AN39 D70:L73 E88:AH93" xr:uid="{00000000-0002-0000-0100-000001000000}">
      <formula1>0</formula1>
    </dataValidation>
    <dataValidation allowBlank="1" showInputMessage="1" showErrorMessage="1" errorTitle="Error de ingreso" error="Debe ingresar sólo números enteros positivos." sqref="C115:K116 B95:B112 C130:K131 L114 C111:L112 L95 L130:L133 B132:K132 I153:L154 C149:L150 I166:M166 M152 I167:L167 B152 C134:K135 C153:F154 G152:H152 B133:B135 C187:F188 A151:A200 G169:H169 C170:F171 A94:A135 G186:H186 B114:B131 A136:B150 B183:I184 B169:C169 B200:I200 B186:C186 C96:K97 J169:K184 I169:I171 J186:K200 I186:I188 B166:H167" xr:uid="{E6BC3E83-3667-46C4-809D-5D8A08E97225}"/>
    <dataValidation type="whole" operator="greaterThanOrEqual" allowBlank="1" showInputMessage="1" showErrorMessage="1" sqref="C117:L129 C98:L110 C136:L148" xr:uid="{8786E3A2-9100-4496-8B9C-75D199DE1F5B}">
      <formula1>0</formula1>
    </dataValidation>
    <dataValidation type="whole" allowBlank="1" showInputMessage="1" showErrorMessage="1" sqref="C78:M83 B83" xr:uid="{9F322417-650A-459E-A7B4-BF384F151B71}">
      <formula1>0</formula1>
      <formula2>9.99999999999999E+36</formula2>
    </dataValidation>
    <dataValidation type="whole" allowBlank="1" showInputMessage="1" showErrorMessage="1" sqref="D11:AH32" xr:uid="{928EC4A0-5D2C-4C39-89CB-75C84D427FDB}">
      <formula1>0</formula1>
      <formula2>9.99999999999999E+34</formula2>
    </dataValidation>
    <dataValidation type="whole" allowBlank="1" showInputMessage="1" showErrorMessage="1" sqref="F44:AP66 B172:H182 B189:H199 B155:M165" xr:uid="{6C34A86D-E98E-4B62-B80F-0A27E042BC2A}">
      <formula1>0</formula1>
      <formula2>9.99999999999999E+39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CL51"/>
  <sheetViews>
    <sheetView showGridLines="0" zoomScaleNormal="100" workbookViewId="0"/>
  </sheetViews>
  <sheetFormatPr baseColWidth="10" defaultColWidth="11.44140625" defaultRowHeight="14.4" x14ac:dyDescent="0.3"/>
  <cols>
    <col min="1" max="1" width="44.109375" customWidth="1"/>
    <col min="2" max="2" width="13.44140625" customWidth="1"/>
    <col min="78" max="78" width="12" hidden="1" customWidth="1"/>
    <col min="79" max="90" width="11.44140625" hidden="1" customWidth="1"/>
    <col min="91" max="130" width="11.44140625" customWidth="1"/>
  </cols>
  <sheetData>
    <row r="1" spans="1:85" x14ac:dyDescent="0.3">
      <c r="A1" s="50" t="s">
        <v>23</v>
      </c>
    </row>
    <row r="2" spans="1:85" x14ac:dyDescent="0.3">
      <c r="A2" s="50" t="str">
        <f>CONCATENATE("COMUNA: ",NOMBRE!B2, " (",NOMBRE!C2,NOMBRE!D2,NOMBRE!E2,NOMBRE!F2,NOMBRE!G2,")")</f>
        <v>COMUNA:  ()</v>
      </c>
    </row>
    <row r="3" spans="1:85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85" x14ac:dyDescent="0.3">
      <c r="A4" s="50" t="str">
        <f>CONCATENATE("MES: ",NOMBRE!B6, " (",NOMBRE!C6,NOMBRE!D6,")")</f>
        <v>MES:  ()</v>
      </c>
    </row>
    <row r="5" spans="1:85" x14ac:dyDescent="0.3">
      <c r="A5" s="50" t="str">
        <f>CONCATENATE("AÑO: ",NOMBRE!B7)</f>
        <v>AÑO: 2025</v>
      </c>
    </row>
    <row r="6" spans="1:85" s="88" customFormat="1" ht="19.8" x14ac:dyDescent="0.3">
      <c r="A6" s="5819" t="s">
        <v>190</v>
      </c>
      <c r="B6" s="5819"/>
      <c r="C6" s="5819"/>
      <c r="D6" s="5819"/>
      <c r="E6" s="5819"/>
      <c r="F6" s="5819"/>
      <c r="G6" s="5819"/>
      <c r="H6" s="5819"/>
      <c r="I6" s="5819"/>
      <c r="J6" s="5819"/>
      <c r="K6" s="5819"/>
      <c r="L6" s="5819"/>
      <c r="M6" s="5819"/>
      <c r="N6" s="5819"/>
      <c r="O6" s="5819"/>
      <c r="P6" s="5819"/>
      <c r="Q6" s="5819"/>
      <c r="R6" s="5819"/>
      <c r="S6" s="5819"/>
      <c r="T6" s="5819"/>
      <c r="U6" s="5819"/>
      <c r="V6" s="5819"/>
      <c r="W6" s="5819"/>
      <c r="X6" s="5819"/>
      <c r="Y6" s="5819"/>
      <c r="Z6" s="5819"/>
      <c r="AA6" s="5819"/>
      <c r="AB6" s="5819"/>
      <c r="AC6" s="5819"/>
      <c r="AD6" s="5819"/>
      <c r="AE6" s="2163"/>
      <c r="AF6" s="7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89"/>
      <c r="CB6" s="89"/>
      <c r="CC6" s="89"/>
      <c r="CD6" s="89"/>
      <c r="CE6" s="89"/>
      <c r="CF6" s="89"/>
      <c r="CG6" s="89"/>
    </row>
    <row r="8" spans="1:85" s="6" customFormat="1" ht="18" customHeight="1" x14ac:dyDescent="0.25">
      <c r="A8" s="5749" t="s">
        <v>191</v>
      </c>
      <c r="B8" s="5749"/>
      <c r="C8" s="5749"/>
      <c r="D8" s="5749"/>
      <c r="E8" s="5749"/>
      <c r="F8" s="5749"/>
      <c r="G8" s="5749"/>
      <c r="H8" s="5749"/>
      <c r="I8" s="5749"/>
      <c r="J8" s="5749"/>
      <c r="K8" s="5749"/>
      <c r="L8" s="5749"/>
      <c r="M8" s="5749"/>
      <c r="N8" s="5749"/>
      <c r="O8" s="5749"/>
      <c r="P8" s="5749"/>
      <c r="Q8" s="5749"/>
      <c r="R8" s="5749"/>
      <c r="S8" s="5749"/>
      <c r="T8" s="5749"/>
      <c r="U8" s="5749"/>
      <c r="V8" s="5749"/>
      <c r="W8" s="5749"/>
      <c r="X8" s="5749"/>
      <c r="Y8" s="5749"/>
      <c r="Z8" s="5749"/>
      <c r="AA8" s="5749"/>
      <c r="AB8" s="5749"/>
      <c r="AC8" s="5749"/>
      <c r="AD8" s="5749"/>
      <c r="AE8" s="5749"/>
      <c r="AF8" s="5749"/>
    </row>
    <row r="9" spans="1:85" ht="15" customHeight="1" x14ac:dyDescent="0.3">
      <c r="A9" s="5786" t="s">
        <v>27</v>
      </c>
      <c r="B9" s="5763" t="s">
        <v>77</v>
      </c>
      <c r="C9" s="5761"/>
      <c r="D9" s="5826"/>
      <c r="E9" s="5741" t="s">
        <v>44</v>
      </c>
      <c r="F9" s="5827"/>
      <c r="G9" s="5741" t="s">
        <v>45</v>
      </c>
      <c r="H9" s="5757"/>
      <c r="I9" s="5741" t="s">
        <v>46</v>
      </c>
      <c r="J9" s="5757"/>
      <c r="K9" s="5741" t="s">
        <v>47</v>
      </c>
      <c r="L9" s="5757"/>
      <c r="M9" s="5741" t="s">
        <v>48</v>
      </c>
      <c r="N9" s="5757"/>
      <c r="O9" s="5741" t="s">
        <v>49</v>
      </c>
      <c r="P9" s="5757"/>
      <c r="Q9" s="5741" t="s">
        <v>50</v>
      </c>
      <c r="R9" s="5757"/>
      <c r="S9" s="5741" t="s">
        <v>51</v>
      </c>
      <c r="T9" s="5757"/>
      <c r="U9" s="5741" t="s">
        <v>52</v>
      </c>
      <c r="V9" s="5757"/>
      <c r="W9" s="5741" t="s">
        <v>53</v>
      </c>
      <c r="X9" s="5757"/>
      <c r="Y9" s="5741" t="s">
        <v>54</v>
      </c>
      <c r="Z9" s="5757"/>
      <c r="AA9" s="5741" t="s">
        <v>55</v>
      </c>
      <c r="AB9" s="5757"/>
      <c r="AC9" s="5741" t="s">
        <v>56</v>
      </c>
      <c r="AD9" s="5757"/>
      <c r="AE9" s="5741" t="s">
        <v>57</v>
      </c>
      <c r="AF9" s="5779"/>
      <c r="AG9" s="5828" t="s">
        <v>36</v>
      </c>
      <c r="AH9" s="5758" t="s">
        <v>37</v>
      </c>
    </row>
    <row r="10" spans="1:85" ht="15" customHeight="1" x14ac:dyDescent="0.3">
      <c r="A10" s="5825"/>
      <c r="B10" s="2089" t="s">
        <v>79</v>
      </c>
      <c r="C10" s="2165" t="s">
        <v>58</v>
      </c>
      <c r="D10" s="2164" t="s">
        <v>59</v>
      </c>
      <c r="E10" s="2165" t="s">
        <v>58</v>
      </c>
      <c r="F10" s="2166" t="s">
        <v>59</v>
      </c>
      <c r="G10" s="2089" t="s">
        <v>58</v>
      </c>
      <c r="H10" s="2166" t="s">
        <v>59</v>
      </c>
      <c r="I10" s="2089" t="s">
        <v>58</v>
      </c>
      <c r="J10" s="2166" t="s">
        <v>59</v>
      </c>
      <c r="K10" s="2089" t="s">
        <v>58</v>
      </c>
      <c r="L10" s="2166" t="s">
        <v>59</v>
      </c>
      <c r="M10" s="2089" t="s">
        <v>58</v>
      </c>
      <c r="N10" s="2166" t="s">
        <v>59</v>
      </c>
      <c r="O10" s="2089" t="s">
        <v>58</v>
      </c>
      <c r="P10" s="2166" t="s">
        <v>59</v>
      </c>
      <c r="Q10" s="2089" t="s">
        <v>58</v>
      </c>
      <c r="R10" s="2166" t="s">
        <v>59</v>
      </c>
      <c r="S10" s="2089" t="s">
        <v>58</v>
      </c>
      <c r="T10" s="2166" t="s">
        <v>59</v>
      </c>
      <c r="U10" s="2089" t="s">
        <v>58</v>
      </c>
      <c r="V10" s="2166" t="s">
        <v>59</v>
      </c>
      <c r="W10" s="2089" t="s">
        <v>58</v>
      </c>
      <c r="X10" s="2166" t="s">
        <v>59</v>
      </c>
      <c r="Y10" s="2089" t="s">
        <v>58</v>
      </c>
      <c r="Z10" s="2166" t="s">
        <v>59</v>
      </c>
      <c r="AA10" s="2089" t="s">
        <v>58</v>
      </c>
      <c r="AB10" s="2166" t="s">
        <v>59</v>
      </c>
      <c r="AC10" s="2089" t="s">
        <v>58</v>
      </c>
      <c r="AD10" s="2166" t="s">
        <v>59</v>
      </c>
      <c r="AE10" s="2089" t="s">
        <v>58</v>
      </c>
      <c r="AF10" s="2167" t="s">
        <v>59</v>
      </c>
      <c r="AG10" s="5767"/>
      <c r="AH10" s="5760"/>
    </row>
    <row r="11" spans="1:85" ht="15" customHeight="1" x14ac:dyDescent="0.3">
      <c r="A11" s="2168" t="s">
        <v>192</v>
      </c>
      <c r="B11" s="2169">
        <f>SUM(B12:B17)</f>
        <v>0</v>
      </c>
      <c r="C11" s="2073">
        <f>SUM(C12:C17)</f>
        <v>0</v>
      </c>
      <c r="D11" s="2074">
        <f>SUM(D12:D17)</f>
        <v>0</v>
      </c>
      <c r="E11" s="2073">
        <f>SUM(E12:E17)</f>
        <v>0</v>
      </c>
      <c r="F11" s="2170">
        <f t="shared" ref="F11:AF11" si="0">SUM(F12:F17)</f>
        <v>0</v>
      </c>
      <c r="G11" s="2073">
        <f t="shared" si="0"/>
        <v>0</v>
      </c>
      <c r="H11" s="2171">
        <f t="shared" si="0"/>
        <v>0</v>
      </c>
      <c r="I11" s="2169">
        <f t="shared" si="0"/>
        <v>0</v>
      </c>
      <c r="J11" s="2171">
        <f t="shared" si="0"/>
        <v>0</v>
      </c>
      <c r="K11" s="2169">
        <f t="shared" si="0"/>
        <v>0</v>
      </c>
      <c r="L11" s="2171">
        <f t="shared" si="0"/>
        <v>0</v>
      </c>
      <c r="M11" s="2169">
        <f t="shared" si="0"/>
        <v>0</v>
      </c>
      <c r="N11" s="2171">
        <f t="shared" si="0"/>
        <v>0</v>
      </c>
      <c r="O11" s="2169">
        <f t="shared" si="0"/>
        <v>0</v>
      </c>
      <c r="P11" s="2171">
        <f t="shared" si="0"/>
        <v>0</v>
      </c>
      <c r="Q11" s="2169">
        <f t="shared" si="0"/>
        <v>0</v>
      </c>
      <c r="R11" s="2171">
        <f t="shared" si="0"/>
        <v>0</v>
      </c>
      <c r="S11" s="2169">
        <f t="shared" si="0"/>
        <v>0</v>
      </c>
      <c r="T11" s="2171">
        <f t="shared" si="0"/>
        <v>0</v>
      </c>
      <c r="U11" s="2169">
        <f t="shared" si="0"/>
        <v>0</v>
      </c>
      <c r="V11" s="2171">
        <f t="shared" si="0"/>
        <v>0</v>
      </c>
      <c r="W11" s="2169">
        <f t="shared" si="0"/>
        <v>0</v>
      </c>
      <c r="X11" s="2171">
        <f t="shared" si="0"/>
        <v>0</v>
      </c>
      <c r="Y11" s="2169">
        <f t="shared" si="0"/>
        <v>0</v>
      </c>
      <c r="Z11" s="2171">
        <f t="shared" si="0"/>
        <v>0</v>
      </c>
      <c r="AA11" s="2169">
        <f t="shared" si="0"/>
        <v>0</v>
      </c>
      <c r="AB11" s="2171">
        <f t="shared" si="0"/>
        <v>0</v>
      </c>
      <c r="AC11" s="2169">
        <f t="shared" si="0"/>
        <v>0</v>
      </c>
      <c r="AD11" s="2171">
        <f t="shared" si="0"/>
        <v>0</v>
      </c>
      <c r="AE11" s="2169">
        <f t="shared" si="0"/>
        <v>0</v>
      </c>
      <c r="AF11" s="2073">
        <f t="shared" si="0"/>
        <v>0</v>
      </c>
      <c r="AG11" s="2172">
        <f>SUM(AG12:AG17)</f>
        <v>0</v>
      </c>
      <c r="AH11" s="2074">
        <f>SUM(AH12:AH17)</f>
        <v>0</v>
      </c>
    </row>
    <row r="12" spans="1:85" ht="15" customHeight="1" x14ac:dyDescent="0.3">
      <c r="A12" s="1818" t="s">
        <v>64</v>
      </c>
      <c r="B12" s="478">
        <f t="shared" ref="B12:B17" si="1">SUM(C12:D12)</f>
        <v>0</v>
      </c>
      <c r="C12" s="2173">
        <f>SUM(E12+G12+I12+K12+M12+O12+Q12+S12+U12+W12+Y12+AA12+AC12+AE12)</f>
        <v>0</v>
      </c>
      <c r="D12" s="2174">
        <f>SUM(F12+H12+J12+L12+N12+P12+R12+T12+V12+X12+Z12+AB12+AD12+AF12)</f>
        <v>0</v>
      </c>
      <c r="E12" s="44"/>
      <c r="F12" s="905"/>
      <c r="G12" s="327"/>
      <c r="H12" s="905"/>
      <c r="I12" s="327"/>
      <c r="J12" s="905"/>
      <c r="K12" s="327"/>
      <c r="L12" s="905"/>
      <c r="M12" s="327"/>
      <c r="N12" s="905"/>
      <c r="O12" s="327"/>
      <c r="P12" s="905"/>
      <c r="Q12" s="327"/>
      <c r="R12" s="905"/>
      <c r="S12" s="327"/>
      <c r="T12" s="905"/>
      <c r="U12" s="327"/>
      <c r="V12" s="905"/>
      <c r="W12" s="327"/>
      <c r="X12" s="905"/>
      <c r="Y12" s="327"/>
      <c r="Z12" s="905"/>
      <c r="AA12" s="327"/>
      <c r="AB12" s="905"/>
      <c r="AC12" s="327"/>
      <c r="AD12" s="905"/>
      <c r="AE12" s="327"/>
      <c r="AF12" s="1026"/>
      <c r="AG12" s="337"/>
      <c r="AH12" s="142"/>
      <c r="AI12" s="1970" t="str">
        <f>CA12&amp;CB12</f>
        <v/>
      </c>
      <c r="CA12" s="1899" t="str">
        <f>IF(AND($B12&lt;&gt;0,AG12=""),"* No olvide ingresar la columna "&amp;AG$9&amp;""&amp;". Digite CERO si no tiene. ",IF(AG12&gt;$B12,"* El Número de Pueblos Originarios no puede superar el Total Ambos Sexos. ",""))</f>
        <v/>
      </c>
      <c r="CB12" s="1899" t="str">
        <f>IF(AND($B12&lt;&gt;0,AH12=""),"* No olvide ingresar la columna "&amp;AH$9&amp;""&amp;". Digite CERO si no tiene.  ",IF(AH12&gt;$B12,"* El Número de Migrantes no puede superar el Total Ambos Sexos. ",""))</f>
        <v/>
      </c>
      <c r="CF12" s="1901">
        <f>IF(AND($B12&lt;&gt;0,AG12=""),1,IF(AG12&gt;$B12,1,0))</f>
        <v>0</v>
      </c>
      <c r="CG12" s="1901">
        <f t="shared" ref="CF12:CG17" si="2">IF(AND($B12&lt;&gt;0,AH12=""),1,IF(AH12&gt;$B12,1,0))</f>
        <v>0</v>
      </c>
    </row>
    <row r="13" spans="1:85" ht="15" customHeight="1" x14ac:dyDescent="0.3">
      <c r="A13" s="935" t="s">
        <v>98</v>
      </c>
      <c r="B13" s="478">
        <f t="shared" si="1"/>
        <v>0</v>
      </c>
      <c r="C13" s="479">
        <f>SUM(E13+G13+I13+K13+M13+O13+Q13+S13+U13+W13+Y13+AA13+AC13+AE13)</f>
        <v>0</v>
      </c>
      <c r="D13" s="480">
        <f>SUM(F13+H13+J13+L13+N13+P13+R13+T13+V13+X13+Z13+AB13+AD13+AF13)</f>
        <v>0</v>
      </c>
      <c r="E13" s="2068"/>
      <c r="F13" s="2003"/>
      <c r="G13" s="329"/>
      <c r="H13" s="2003"/>
      <c r="I13" s="329"/>
      <c r="J13" s="2003"/>
      <c r="K13" s="329"/>
      <c r="L13" s="2003"/>
      <c r="M13" s="329"/>
      <c r="N13" s="2003"/>
      <c r="O13" s="329"/>
      <c r="P13" s="2003"/>
      <c r="Q13" s="329"/>
      <c r="R13" s="2003"/>
      <c r="S13" s="329"/>
      <c r="T13" s="2003"/>
      <c r="U13" s="329"/>
      <c r="V13" s="2003"/>
      <c r="W13" s="329"/>
      <c r="X13" s="2003"/>
      <c r="Y13" s="329"/>
      <c r="Z13" s="2003"/>
      <c r="AA13" s="329"/>
      <c r="AB13" s="2003"/>
      <c r="AC13" s="329"/>
      <c r="AD13" s="2003"/>
      <c r="AE13" s="329"/>
      <c r="AF13" s="332"/>
      <c r="AG13" s="337"/>
      <c r="AH13" s="142"/>
      <c r="AI13" s="1970" t="str">
        <f t="shared" ref="AI13:AI17" si="3">CA13&amp;CB13</f>
        <v/>
      </c>
      <c r="CA13" s="1899" t="str">
        <f t="shared" ref="CA13:CA17" si="4">IF(AND($B13&lt;&gt;0,AG13=""),"* No olvide ingresar la columna "&amp;AG$9&amp;""&amp;". Digite CERO si no tiene. ",IF(AG13&gt;$B13,"* El Número de Pueblos Originarios no puede superar el Total Ambos Sexos. ",""))</f>
        <v/>
      </c>
      <c r="CB13" s="1899" t="str">
        <f t="shared" ref="CB13:CB17" si="5">IF(AND($B13&lt;&gt;0,AH13=""),"* No olvide ingresar la columna "&amp;AH$9&amp;""&amp;". Digite CERO si no tiene.  ",IF(AH13&gt;$B13,"* El Número de Migrantes no puede superar el Total Ambos Sexos. ",""))</f>
        <v/>
      </c>
      <c r="CF13" s="1901">
        <f t="shared" si="2"/>
        <v>0</v>
      </c>
      <c r="CG13" s="1901">
        <f t="shared" si="2"/>
        <v>0</v>
      </c>
    </row>
    <row r="14" spans="1:85" ht="15" customHeight="1" x14ac:dyDescent="0.3">
      <c r="A14" s="935" t="s">
        <v>65</v>
      </c>
      <c r="B14" s="478">
        <f t="shared" si="1"/>
        <v>0</v>
      </c>
      <c r="C14" s="479">
        <f t="shared" ref="C14:D17" si="6">SUM(E14+G14+I14+K14+M14+O14+Q14+S14+U14+W14+Y14+AA14+AC14+AE14)</f>
        <v>0</v>
      </c>
      <c r="D14" s="480">
        <f t="shared" si="6"/>
        <v>0</v>
      </c>
      <c r="E14" s="44"/>
      <c r="F14" s="905"/>
      <c r="G14" s="327"/>
      <c r="H14" s="905"/>
      <c r="I14" s="327"/>
      <c r="J14" s="905"/>
      <c r="K14" s="327"/>
      <c r="L14" s="905"/>
      <c r="M14" s="327"/>
      <c r="N14" s="905"/>
      <c r="O14" s="327"/>
      <c r="P14" s="905"/>
      <c r="Q14" s="327"/>
      <c r="R14" s="905"/>
      <c r="S14" s="327"/>
      <c r="T14" s="905"/>
      <c r="U14" s="327"/>
      <c r="V14" s="905"/>
      <c r="W14" s="327"/>
      <c r="X14" s="905"/>
      <c r="Y14" s="327"/>
      <c r="Z14" s="905"/>
      <c r="AA14" s="327"/>
      <c r="AB14" s="905"/>
      <c r="AC14" s="327"/>
      <c r="AD14" s="905"/>
      <c r="AE14" s="327"/>
      <c r="AF14" s="1026"/>
      <c r="AG14" s="337"/>
      <c r="AH14" s="142"/>
      <c r="AI14" s="1970" t="str">
        <f t="shared" si="3"/>
        <v/>
      </c>
      <c r="CA14" s="1899" t="str">
        <f t="shared" si="4"/>
        <v/>
      </c>
      <c r="CB14" s="1899" t="str">
        <f t="shared" si="5"/>
        <v/>
      </c>
      <c r="CF14" s="1901">
        <f t="shared" si="2"/>
        <v>0</v>
      </c>
      <c r="CG14" s="1901">
        <f t="shared" si="2"/>
        <v>0</v>
      </c>
    </row>
    <row r="15" spans="1:85" ht="15" customHeight="1" x14ac:dyDescent="0.3">
      <c r="A15" s="935" t="s">
        <v>105</v>
      </c>
      <c r="B15" s="478">
        <f t="shared" si="1"/>
        <v>0</v>
      </c>
      <c r="C15" s="479">
        <f t="shared" si="6"/>
        <v>0</v>
      </c>
      <c r="D15" s="480">
        <f t="shared" si="6"/>
        <v>0</v>
      </c>
      <c r="E15" s="44"/>
      <c r="F15" s="905"/>
      <c r="G15" s="327"/>
      <c r="H15" s="905"/>
      <c r="I15" s="327"/>
      <c r="J15" s="905"/>
      <c r="K15" s="327"/>
      <c r="L15" s="905"/>
      <c r="M15" s="327"/>
      <c r="N15" s="905"/>
      <c r="O15" s="327"/>
      <c r="P15" s="905"/>
      <c r="Q15" s="327"/>
      <c r="R15" s="905"/>
      <c r="S15" s="327"/>
      <c r="T15" s="905"/>
      <c r="U15" s="327"/>
      <c r="V15" s="905"/>
      <c r="W15" s="327"/>
      <c r="X15" s="905"/>
      <c r="Y15" s="327"/>
      <c r="Z15" s="905"/>
      <c r="AA15" s="327"/>
      <c r="AB15" s="905"/>
      <c r="AC15" s="327"/>
      <c r="AD15" s="905"/>
      <c r="AE15" s="327"/>
      <c r="AF15" s="1026"/>
      <c r="AG15" s="337"/>
      <c r="AH15" s="142"/>
      <c r="AI15" s="1970" t="str">
        <f t="shared" si="3"/>
        <v/>
      </c>
      <c r="CA15" s="1899" t="str">
        <f t="shared" si="4"/>
        <v/>
      </c>
      <c r="CB15" s="1899" t="str">
        <f t="shared" si="5"/>
        <v/>
      </c>
      <c r="CF15" s="1901">
        <f t="shared" si="2"/>
        <v>0</v>
      </c>
      <c r="CG15" s="1901">
        <f t="shared" si="2"/>
        <v>0</v>
      </c>
    </row>
    <row r="16" spans="1:85" ht="15" customHeight="1" x14ac:dyDescent="0.3">
      <c r="A16" s="2175" t="s">
        <v>193</v>
      </c>
      <c r="B16" s="478">
        <f t="shared" si="1"/>
        <v>0</v>
      </c>
      <c r="C16" s="479">
        <f t="shared" si="6"/>
        <v>0</v>
      </c>
      <c r="D16" s="480">
        <f t="shared" si="6"/>
        <v>0</v>
      </c>
      <c r="E16" s="44"/>
      <c r="F16" s="905"/>
      <c r="G16" s="327"/>
      <c r="H16" s="905"/>
      <c r="I16" s="327"/>
      <c r="J16" s="905"/>
      <c r="K16" s="327"/>
      <c r="L16" s="905"/>
      <c r="M16" s="327"/>
      <c r="N16" s="905"/>
      <c r="O16" s="327"/>
      <c r="P16" s="905"/>
      <c r="Q16" s="327"/>
      <c r="R16" s="905"/>
      <c r="S16" s="327"/>
      <c r="T16" s="905"/>
      <c r="U16" s="327"/>
      <c r="V16" s="905"/>
      <c r="W16" s="327"/>
      <c r="X16" s="905"/>
      <c r="Y16" s="327"/>
      <c r="Z16" s="905"/>
      <c r="AA16" s="327"/>
      <c r="AB16" s="905"/>
      <c r="AC16" s="327"/>
      <c r="AD16" s="905"/>
      <c r="AE16" s="327"/>
      <c r="AF16" s="1026"/>
      <c r="AG16" s="337"/>
      <c r="AH16" s="142"/>
      <c r="AI16" s="1970" t="str">
        <f t="shared" si="3"/>
        <v/>
      </c>
      <c r="CA16" s="1899" t="str">
        <f t="shared" si="4"/>
        <v/>
      </c>
      <c r="CB16" s="1899" t="str">
        <f t="shared" si="5"/>
        <v/>
      </c>
      <c r="CF16" s="1901">
        <f t="shared" si="2"/>
        <v>0</v>
      </c>
      <c r="CG16" s="1901">
        <f t="shared" si="2"/>
        <v>0</v>
      </c>
    </row>
    <row r="17" spans="1:86" ht="15" customHeight="1" x14ac:dyDescent="0.3">
      <c r="A17" s="2176" t="s">
        <v>194</v>
      </c>
      <c r="B17" s="483">
        <f t="shared" si="1"/>
        <v>0</v>
      </c>
      <c r="C17" s="484">
        <f t="shared" si="6"/>
        <v>0</v>
      </c>
      <c r="D17" s="485">
        <f t="shared" si="6"/>
        <v>0</v>
      </c>
      <c r="E17" s="876"/>
      <c r="F17" s="2009"/>
      <c r="G17" s="876"/>
      <c r="H17" s="2009"/>
      <c r="I17" s="876"/>
      <c r="J17" s="2009"/>
      <c r="K17" s="876"/>
      <c r="L17" s="2009"/>
      <c r="M17" s="876"/>
      <c r="N17" s="2009"/>
      <c r="O17" s="876"/>
      <c r="P17" s="2009"/>
      <c r="Q17" s="876"/>
      <c r="R17" s="2009"/>
      <c r="S17" s="876"/>
      <c r="T17" s="2009"/>
      <c r="U17" s="876"/>
      <c r="V17" s="2009"/>
      <c r="W17" s="876"/>
      <c r="X17" s="2009"/>
      <c r="Y17" s="876"/>
      <c r="Z17" s="2009"/>
      <c r="AA17" s="876"/>
      <c r="AB17" s="325"/>
      <c r="AC17" s="1940"/>
      <c r="AD17" s="325"/>
      <c r="AE17" s="1940"/>
      <c r="AF17" s="326"/>
      <c r="AG17" s="1913"/>
      <c r="AH17" s="877"/>
      <c r="AI17" s="1970" t="str">
        <f t="shared" si="3"/>
        <v/>
      </c>
      <c r="CA17" s="1899" t="str">
        <f t="shared" si="4"/>
        <v/>
      </c>
      <c r="CB17" s="1899" t="str">
        <f t="shared" si="5"/>
        <v/>
      </c>
      <c r="CF17" s="1901">
        <f t="shared" si="2"/>
        <v>0</v>
      </c>
      <c r="CG17" s="1901">
        <f t="shared" si="2"/>
        <v>0</v>
      </c>
    </row>
    <row r="18" spans="1:86" s="6" customFormat="1" ht="18" customHeight="1" x14ac:dyDescent="0.25">
      <c r="A18" s="5749" t="s">
        <v>195</v>
      </c>
      <c r="B18" s="5749"/>
      <c r="C18" s="5749"/>
      <c r="D18" s="5749"/>
      <c r="E18" s="5749"/>
      <c r="F18" s="5749"/>
      <c r="G18" s="5749"/>
      <c r="H18" s="5749"/>
      <c r="I18" s="5749"/>
      <c r="J18" s="5749"/>
      <c r="K18" s="5749"/>
      <c r="L18" s="5749"/>
      <c r="M18" s="5749"/>
      <c r="N18" s="5749"/>
      <c r="O18" s="5749"/>
      <c r="P18" s="5749"/>
      <c r="Q18" s="5749"/>
      <c r="R18" s="5749"/>
      <c r="S18" s="5749"/>
      <c r="T18" s="5749"/>
      <c r="U18" s="5749"/>
      <c r="V18" s="5749"/>
      <c r="W18" s="5749"/>
      <c r="X18" s="5749"/>
      <c r="Y18" s="5749"/>
      <c r="Z18" s="5749"/>
      <c r="AA18" s="5749"/>
      <c r="AB18" s="5749"/>
      <c r="AC18" s="5749"/>
      <c r="AD18" s="5749"/>
      <c r="AE18" s="5749"/>
      <c r="AF18" s="5749"/>
      <c r="AG18" s="5"/>
      <c r="AH18" s="5"/>
    </row>
    <row r="19" spans="1:86" ht="15" customHeight="1" x14ac:dyDescent="0.3">
      <c r="A19" s="5829" t="s">
        <v>196</v>
      </c>
      <c r="B19" s="5763" t="s">
        <v>77</v>
      </c>
      <c r="C19" s="5761"/>
      <c r="D19" s="5826"/>
      <c r="E19" s="5741" t="s">
        <v>44</v>
      </c>
      <c r="F19" s="5827"/>
      <c r="G19" s="5741" t="s">
        <v>45</v>
      </c>
      <c r="H19" s="5757"/>
      <c r="I19" s="5741" t="s">
        <v>46</v>
      </c>
      <c r="J19" s="5757"/>
      <c r="K19" s="5741" t="s">
        <v>47</v>
      </c>
      <c r="L19" s="5757"/>
      <c r="M19" s="5741" t="s">
        <v>48</v>
      </c>
      <c r="N19" s="5757"/>
      <c r="O19" s="5741" t="s">
        <v>49</v>
      </c>
      <c r="P19" s="5757"/>
      <c r="Q19" s="5741" t="s">
        <v>50</v>
      </c>
      <c r="R19" s="5757"/>
      <c r="S19" s="5741" t="s">
        <v>51</v>
      </c>
      <c r="T19" s="5757"/>
      <c r="U19" s="5741" t="s">
        <v>52</v>
      </c>
      <c r="V19" s="5757"/>
      <c r="W19" s="5741" t="s">
        <v>53</v>
      </c>
      <c r="X19" s="5757"/>
      <c r="Y19" s="5741" t="s">
        <v>54</v>
      </c>
      <c r="Z19" s="5757"/>
      <c r="AA19" s="5741" t="s">
        <v>55</v>
      </c>
      <c r="AB19" s="5757"/>
      <c r="AC19" s="5741" t="s">
        <v>56</v>
      </c>
      <c r="AD19" s="5757"/>
      <c r="AE19" s="5741" t="s">
        <v>57</v>
      </c>
      <c r="AF19" s="5779"/>
      <c r="AG19" s="5828" t="s">
        <v>36</v>
      </c>
      <c r="AH19" s="5758" t="s">
        <v>37</v>
      </c>
    </row>
    <row r="20" spans="1:86" ht="15" customHeight="1" x14ac:dyDescent="0.3">
      <c r="A20" s="5830"/>
      <c r="B20" s="2089" t="s">
        <v>79</v>
      </c>
      <c r="C20" s="2165" t="s">
        <v>58</v>
      </c>
      <c r="D20" s="2164" t="s">
        <v>59</v>
      </c>
      <c r="E20" s="2089" t="s">
        <v>58</v>
      </c>
      <c r="F20" s="2166" t="s">
        <v>59</v>
      </c>
      <c r="G20" s="2089" t="s">
        <v>58</v>
      </c>
      <c r="H20" s="2166" t="s">
        <v>59</v>
      </c>
      <c r="I20" s="2089" t="s">
        <v>58</v>
      </c>
      <c r="J20" s="2166" t="s">
        <v>59</v>
      </c>
      <c r="K20" s="2089" t="s">
        <v>58</v>
      </c>
      <c r="L20" s="2166" t="s">
        <v>59</v>
      </c>
      <c r="M20" s="2089" t="s">
        <v>58</v>
      </c>
      <c r="N20" s="2166" t="s">
        <v>59</v>
      </c>
      <c r="O20" s="2089" t="s">
        <v>58</v>
      </c>
      <c r="P20" s="2166" t="s">
        <v>59</v>
      </c>
      <c r="Q20" s="2089" t="s">
        <v>58</v>
      </c>
      <c r="R20" s="2166" t="s">
        <v>59</v>
      </c>
      <c r="S20" s="2089" t="s">
        <v>58</v>
      </c>
      <c r="T20" s="2166" t="s">
        <v>59</v>
      </c>
      <c r="U20" s="2089" t="s">
        <v>58</v>
      </c>
      <c r="V20" s="2166" t="s">
        <v>59</v>
      </c>
      <c r="W20" s="2089" t="s">
        <v>58</v>
      </c>
      <c r="X20" s="2166" t="s">
        <v>59</v>
      </c>
      <c r="Y20" s="2089" t="s">
        <v>58</v>
      </c>
      <c r="Z20" s="2166" t="s">
        <v>59</v>
      </c>
      <c r="AA20" s="2089" t="s">
        <v>58</v>
      </c>
      <c r="AB20" s="2166" t="s">
        <v>59</v>
      </c>
      <c r="AC20" s="2089" t="s">
        <v>58</v>
      </c>
      <c r="AD20" s="2166" t="s">
        <v>59</v>
      </c>
      <c r="AE20" s="2089" t="s">
        <v>58</v>
      </c>
      <c r="AF20" s="2167" t="s">
        <v>59</v>
      </c>
      <c r="AG20" s="5767"/>
      <c r="AH20" s="5760"/>
    </row>
    <row r="21" spans="1:86" ht="15" customHeight="1" x14ac:dyDescent="0.3">
      <c r="A21" s="2168" t="s">
        <v>77</v>
      </c>
      <c r="B21" s="2169">
        <f>SUM(B22:B25)</f>
        <v>0</v>
      </c>
      <c r="C21" s="2073">
        <f>SUM(C22:C25)</f>
        <v>0</v>
      </c>
      <c r="D21" s="2074">
        <f>SUM(D22:D25)</f>
        <v>0</v>
      </c>
      <c r="E21" s="2169">
        <f t="shared" ref="E21:AF21" si="7">SUM(E22:E25)</f>
        <v>0</v>
      </c>
      <c r="F21" s="2170">
        <f t="shared" si="7"/>
        <v>0</v>
      </c>
      <c r="G21" s="2169">
        <f t="shared" si="7"/>
        <v>0</v>
      </c>
      <c r="H21" s="2170">
        <f t="shared" si="7"/>
        <v>0</v>
      </c>
      <c r="I21" s="2169">
        <f t="shared" si="7"/>
        <v>0</v>
      </c>
      <c r="J21" s="2170">
        <f t="shared" si="7"/>
        <v>0</v>
      </c>
      <c r="K21" s="2169">
        <f t="shared" si="7"/>
        <v>0</v>
      </c>
      <c r="L21" s="2170">
        <f t="shared" si="7"/>
        <v>0</v>
      </c>
      <c r="M21" s="2169">
        <f t="shared" si="7"/>
        <v>0</v>
      </c>
      <c r="N21" s="2170">
        <f t="shared" si="7"/>
        <v>0</v>
      </c>
      <c r="O21" s="2169">
        <f t="shared" si="7"/>
        <v>0</v>
      </c>
      <c r="P21" s="2170">
        <f t="shared" si="7"/>
        <v>0</v>
      </c>
      <c r="Q21" s="2169">
        <f t="shared" si="7"/>
        <v>0</v>
      </c>
      <c r="R21" s="2170">
        <f t="shared" si="7"/>
        <v>0</v>
      </c>
      <c r="S21" s="2169">
        <f t="shared" si="7"/>
        <v>0</v>
      </c>
      <c r="T21" s="2170">
        <f t="shared" si="7"/>
        <v>0</v>
      </c>
      <c r="U21" s="2169">
        <f t="shared" si="7"/>
        <v>0</v>
      </c>
      <c r="V21" s="2170">
        <f t="shared" si="7"/>
        <v>0</v>
      </c>
      <c r="W21" s="2169">
        <f t="shared" si="7"/>
        <v>0</v>
      </c>
      <c r="X21" s="2170">
        <f t="shared" si="7"/>
        <v>0</v>
      </c>
      <c r="Y21" s="2169">
        <f t="shared" si="7"/>
        <v>0</v>
      </c>
      <c r="Z21" s="2170">
        <f t="shared" si="7"/>
        <v>0</v>
      </c>
      <c r="AA21" s="2169">
        <f t="shared" si="7"/>
        <v>0</v>
      </c>
      <c r="AB21" s="2170">
        <f t="shared" si="7"/>
        <v>0</v>
      </c>
      <c r="AC21" s="2169">
        <f t="shared" si="7"/>
        <v>0</v>
      </c>
      <c r="AD21" s="2170">
        <f t="shared" si="7"/>
        <v>0</v>
      </c>
      <c r="AE21" s="2169">
        <f t="shared" si="7"/>
        <v>0</v>
      </c>
      <c r="AF21" s="2075">
        <f t="shared" si="7"/>
        <v>0</v>
      </c>
      <c r="AG21" s="2172">
        <f>SUM(AG22:AG25)</f>
        <v>0</v>
      </c>
      <c r="AH21" s="2074">
        <f>SUM(AH22:AH25)</f>
        <v>0</v>
      </c>
      <c r="AI21" s="24" t="str">
        <f>CA21&amp;CB21&amp;CC21</f>
        <v/>
      </c>
      <c r="CA21" s="1970"/>
      <c r="CB21" s="1899" t="str">
        <f>IF(C21&lt;&gt;C11," * Debe coincidir el Total de EMP según estado nutricional en Hombres, con los EMP realizados en Hombres según Profesional de la Sección A","")</f>
        <v/>
      </c>
      <c r="CC21" s="1899" t="str">
        <f>IF(D21&lt;&gt;D11," * Debe coincidir el Total de EMP según estado nutricional en Mujeres, con los EMP realizados en Mujeres según Profesional de la Sección A","")</f>
        <v/>
      </c>
      <c r="CG21" s="1901">
        <f>IF(C21&lt;&gt;C11,1,0)</f>
        <v>0</v>
      </c>
      <c r="CH21" s="1901">
        <f>IF(D21&lt;&gt;D11,1,0)</f>
        <v>0</v>
      </c>
    </row>
    <row r="22" spans="1:86" ht="15" customHeight="1" x14ac:dyDescent="0.3">
      <c r="A22" s="1818" t="s">
        <v>197</v>
      </c>
      <c r="B22" s="478">
        <f>SUM(C22:D22)</f>
        <v>0</v>
      </c>
      <c r="C22" s="479">
        <f>SUM(E22+G22+I22+K22+M22+O22+Q22+S22+U22+W22+Y22+AA22+AC22+AE22)</f>
        <v>0</v>
      </c>
      <c r="D22" s="480">
        <f>SUM(F22+H22+J22+L22+N22+P22+R22+T22+V22+X22+Z22+AB22+AD22+AF22)</f>
        <v>0</v>
      </c>
      <c r="E22" s="327"/>
      <c r="F22" s="905"/>
      <c r="G22" s="327"/>
      <c r="H22" s="905"/>
      <c r="I22" s="327"/>
      <c r="J22" s="905"/>
      <c r="K22" s="327"/>
      <c r="L22" s="905"/>
      <c r="M22" s="327"/>
      <c r="N22" s="905"/>
      <c r="O22" s="327"/>
      <c r="P22" s="905"/>
      <c r="Q22" s="327"/>
      <c r="R22" s="905"/>
      <c r="S22" s="327"/>
      <c r="T22" s="905"/>
      <c r="U22" s="327"/>
      <c r="V22" s="905"/>
      <c r="W22" s="327"/>
      <c r="X22" s="905"/>
      <c r="Y22" s="327"/>
      <c r="Z22" s="905"/>
      <c r="AA22" s="327"/>
      <c r="AB22" s="905"/>
      <c r="AC22" s="327"/>
      <c r="AD22" s="905"/>
      <c r="AE22" s="327"/>
      <c r="AF22" s="1026"/>
      <c r="AG22" s="337"/>
      <c r="AH22" s="142"/>
      <c r="AI22" s="24" t="str">
        <f t="shared" ref="AI22:AI25" si="8">CA22&amp;CB22&amp;CC22</f>
        <v/>
      </c>
      <c r="CA22" s="1899" t="str">
        <f>IF(AND($B22&lt;&gt;0,AG22=""),"* No olvide digitar la columna "&amp;AG$19&amp;""&amp;". Digite CERO si no tiene.  ",IF(AG22&gt;$B22,"* El Número de Pueblos Originarios no puede superar el Total Ambos Sexos. ",""))</f>
        <v/>
      </c>
      <c r="CB22" s="1899" t="str">
        <f>IF(AND($B22&lt;&gt;0,AH22=""),"* No olvide ingresar la columna "&amp;AH$19&amp;""&amp;" (Digite CERO si no tiene).  ",IF(AH22&gt;$B22,"* El Número de Migrantes no puede superar el Total Ambos Sexos. ",""))</f>
        <v/>
      </c>
      <c r="CF22" s="1901">
        <f>IF(AND($B22&lt;&gt;0,AG22=""),1,IF(AG22&gt;$B22,1,0))</f>
        <v>0</v>
      </c>
      <c r="CG22" s="1901">
        <f>IF(AND($B22&lt;&gt;0,AH22=""),1,IF(AH22&gt;$B22,1,0))</f>
        <v>0</v>
      </c>
    </row>
    <row r="23" spans="1:86" ht="15" customHeight="1" x14ac:dyDescent="0.3">
      <c r="A23" s="935" t="s">
        <v>198</v>
      </c>
      <c r="B23" s="478">
        <f>SUM(C23:D23)</f>
        <v>0</v>
      </c>
      <c r="C23" s="479">
        <f t="shared" ref="C23:D25" si="9">SUM(E23+G23+I23+K23+M23+O23+Q23+S23+U23+W23+Y23+AA23+AC23+AE23)</f>
        <v>0</v>
      </c>
      <c r="D23" s="480">
        <f t="shared" si="9"/>
        <v>0</v>
      </c>
      <c r="E23" s="329"/>
      <c r="F23" s="2003"/>
      <c r="G23" s="329"/>
      <c r="H23" s="2003"/>
      <c r="I23" s="329"/>
      <c r="J23" s="2003"/>
      <c r="K23" s="329"/>
      <c r="L23" s="2003"/>
      <c r="M23" s="329"/>
      <c r="N23" s="2003"/>
      <c r="O23" s="329"/>
      <c r="P23" s="2003"/>
      <c r="Q23" s="329"/>
      <c r="R23" s="2003"/>
      <c r="S23" s="329"/>
      <c r="T23" s="2003"/>
      <c r="U23" s="329"/>
      <c r="V23" s="2003"/>
      <c r="W23" s="329"/>
      <c r="X23" s="2003"/>
      <c r="Y23" s="329"/>
      <c r="Z23" s="2003"/>
      <c r="AA23" s="329"/>
      <c r="AB23" s="2003"/>
      <c r="AC23" s="329"/>
      <c r="AD23" s="2003"/>
      <c r="AE23" s="329"/>
      <c r="AF23" s="332"/>
      <c r="AG23" s="2004"/>
      <c r="AH23" s="330"/>
      <c r="AI23" s="24" t="str">
        <f t="shared" si="8"/>
        <v/>
      </c>
      <c r="CA23" s="1899" t="str">
        <f t="shared" ref="CA23:CA25" si="10">IF(AND($B23&lt;&gt;0,AG23=""),"* No olvide digitar la columna "&amp;AG$19&amp;""&amp;". Digite CERO si no tiene.  ",IF(AG23&gt;$B23,"* El Número de Pueblos Originarios no puede superar el Total Ambos Sexos. ",""))</f>
        <v/>
      </c>
      <c r="CB23" s="1899" t="str">
        <f t="shared" ref="CB23:CB25" si="11">IF(AND($B23&lt;&gt;0,AH23=""),"* No olvide ingresar la columna "&amp;AH$19&amp;""&amp;" (Digite CERO si no tiene).  ",IF(AH23&gt;$B23,"* El Número de Migrantes no puede superar el Total Ambos Sexos. ",""))</f>
        <v/>
      </c>
      <c r="CF23" s="1901">
        <f t="shared" ref="CF23:CG25" si="12">IF(AND($B23&lt;&gt;0,AG23=""),1,IF(AG23&gt;$B23,1,0))</f>
        <v>0</v>
      </c>
      <c r="CG23" s="1901">
        <f t="shared" si="12"/>
        <v>0</v>
      </c>
    </row>
    <row r="24" spans="1:86" ht="15" customHeight="1" x14ac:dyDescent="0.3">
      <c r="A24" s="935" t="s">
        <v>199</v>
      </c>
      <c r="B24" s="478">
        <f>SUM(C24:D24)</f>
        <v>0</v>
      </c>
      <c r="C24" s="479">
        <f t="shared" si="9"/>
        <v>0</v>
      </c>
      <c r="D24" s="480">
        <f t="shared" si="9"/>
        <v>0</v>
      </c>
      <c r="E24" s="327"/>
      <c r="F24" s="905"/>
      <c r="G24" s="327"/>
      <c r="H24" s="905"/>
      <c r="I24" s="327"/>
      <c r="J24" s="905"/>
      <c r="K24" s="327"/>
      <c r="L24" s="905"/>
      <c r="M24" s="327"/>
      <c r="N24" s="905"/>
      <c r="O24" s="327"/>
      <c r="P24" s="905"/>
      <c r="Q24" s="327"/>
      <c r="R24" s="905"/>
      <c r="S24" s="327"/>
      <c r="T24" s="905"/>
      <c r="U24" s="327"/>
      <c r="V24" s="905"/>
      <c r="W24" s="327"/>
      <c r="X24" s="905"/>
      <c r="Y24" s="327"/>
      <c r="Z24" s="905"/>
      <c r="AA24" s="327"/>
      <c r="AB24" s="905"/>
      <c r="AC24" s="327"/>
      <c r="AD24" s="905"/>
      <c r="AE24" s="327"/>
      <c r="AF24" s="1026"/>
      <c r="AG24" s="337"/>
      <c r="AH24" s="142"/>
      <c r="AI24" s="24" t="str">
        <f t="shared" si="8"/>
        <v/>
      </c>
      <c r="CA24" s="1899" t="str">
        <f t="shared" si="10"/>
        <v/>
      </c>
      <c r="CB24" s="1899" t="str">
        <f t="shared" si="11"/>
        <v/>
      </c>
      <c r="CF24" s="1901">
        <f t="shared" si="12"/>
        <v>0</v>
      </c>
      <c r="CG24" s="1901">
        <f t="shared" si="12"/>
        <v>0</v>
      </c>
    </row>
    <row r="25" spans="1:86" ht="15" customHeight="1" x14ac:dyDescent="0.3">
      <c r="A25" s="2177" t="s">
        <v>200</v>
      </c>
      <c r="B25" s="483">
        <f>SUM(C25:D25)</f>
        <v>0</v>
      </c>
      <c r="C25" s="484">
        <f t="shared" si="9"/>
        <v>0</v>
      </c>
      <c r="D25" s="485">
        <f t="shared" si="9"/>
        <v>0</v>
      </c>
      <c r="E25" s="876"/>
      <c r="F25" s="2009"/>
      <c r="G25" s="876"/>
      <c r="H25" s="2009"/>
      <c r="I25" s="876"/>
      <c r="J25" s="2009"/>
      <c r="K25" s="876"/>
      <c r="L25" s="2009"/>
      <c r="M25" s="876"/>
      <c r="N25" s="2009"/>
      <c r="O25" s="876"/>
      <c r="P25" s="2009"/>
      <c r="Q25" s="876"/>
      <c r="R25" s="2009"/>
      <c r="S25" s="876"/>
      <c r="T25" s="2009"/>
      <c r="U25" s="876"/>
      <c r="V25" s="2009"/>
      <c r="W25" s="876"/>
      <c r="X25" s="2009"/>
      <c r="Y25" s="876"/>
      <c r="Z25" s="2009"/>
      <c r="AA25" s="876"/>
      <c r="AB25" s="2009"/>
      <c r="AC25" s="876"/>
      <c r="AD25" s="2009"/>
      <c r="AE25" s="876"/>
      <c r="AF25" s="1953"/>
      <c r="AG25" s="1913"/>
      <c r="AH25" s="877"/>
      <c r="AI25" s="24" t="str">
        <f t="shared" si="8"/>
        <v/>
      </c>
      <c r="CA25" s="1899" t="str">
        <f t="shared" si="10"/>
        <v/>
      </c>
      <c r="CB25" s="1899" t="str">
        <f t="shared" si="11"/>
        <v/>
      </c>
      <c r="CF25" s="1901">
        <f t="shared" si="12"/>
        <v>0</v>
      </c>
      <c r="CG25" s="1901">
        <f t="shared" si="12"/>
        <v>0</v>
      </c>
    </row>
    <row r="26" spans="1:86" s="6" customFormat="1" ht="18" customHeight="1" x14ac:dyDescent="0.25">
      <c r="A26" s="5824" t="s">
        <v>201</v>
      </c>
      <c r="B26" s="5824"/>
      <c r="C26" s="5824"/>
      <c r="D26" s="5824"/>
      <c r="E26" s="5824"/>
      <c r="F26" s="5824"/>
      <c r="G26" s="5824"/>
      <c r="H26" s="5824"/>
      <c r="I26" s="5824"/>
      <c r="J26" s="5824"/>
      <c r="K26" s="5824"/>
      <c r="L26" s="5824"/>
      <c r="M26" s="5824"/>
      <c r="N26" s="5824"/>
      <c r="O26" s="5824"/>
      <c r="P26" s="5824"/>
      <c r="Q26" s="5824"/>
      <c r="R26" s="5824"/>
      <c r="S26" s="5824"/>
      <c r="T26" s="5824"/>
      <c r="U26" s="5824"/>
      <c r="V26" s="5824"/>
      <c r="W26" s="5824"/>
      <c r="X26" s="5824"/>
      <c r="Y26" s="5824"/>
      <c r="Z26" s="5824"/>
      <c r="AA26" s="5824"/>
      <c r="AB26" s="5824"/>
      <c r="AC26" s="5824"/>
      <c r="AD26" s="5824"/>
      <c r="AE26" s="5824"/>
      <c r="AF26" s="5824"/>
      <c r="AG26" s="5"/>
      <c r="AH26" s="5"/>
      <c r="AI26" s="24"/>
    </row>
    <row r="27" spans="1:86" ht="15" customHeight="1" x14ac:dyDescent="0.3">
      <c r="A27" s="5786" t="s">
        <v>202</v>
      </c>
      <c r="B27" s="5763" t="s">
        <v>77</v>
      </c>
      <c r="C27" s="5761"/>
      <c r="D27" s="5826"/>
      <c r="E27" s="5741" t="s">
        <v>44</v>
      </c>
      <c r="F27" s="5827"/>
      <c r="G27" s="5741" t="s">
        <v>45</v>
      </c>
      <c r="H27" s="5757"/>
      <c r="I27" s="5741" t="s">
        <v>46</v>
      </c>
      <c r="J27" s="5757"/>
      <c r="K27" s="5741" t="s">
        <v>47</v>
      </c>
      <c r="L27" s="5757"/>
      <c r="M27" s="5741" t="s">
        <v>48</v>
      </c>
      <c r="N27" s="5757"/>
      <c r="O27" s="5741" t="s">
        <v>49</v>
      </c>
      <c r="P27" s="5757"/>
      <c r="Q27" s="5741" t="s">
        <v>50</v>
      </c>
      <c r="R27" s="5757"/>
      <c r="S27" s="5741" t="s">
        <v>51</v>
      </c>
      <c r="T27" s="5757"/>
      <c r="U27" s="5741" t="s">
        <v>52</v>
      </c>
      <c r="V27" s="5757"/>
      <c r="W27" s="5741" t="s">
        <v>53</v>
      </c>
      <c r="X27" s="5757"/>
      <c r="Y27" s="5741" t="s">
        <v>54</v>
      </c>
      <c r="Z27" s="5757"/>
      <c r="AA27" s="5741" t="s">
        <v>55</v>
      </c>
      <c r="AB27" s="5757"/>
      <c r="AC27" s="5741" t="s">
        <v>56</v>
      </c>
      <c r="AD27" s="5757"/>
      <c r="AE27" s="5741" t="s">
        <v>57</v>
      </c>
      <c r="AF27" s="5779"/>
      <c r="AG27" s="5828" t="s">
        <v>36</v>
      </c>
      <c r="AH27" s="5758" t="s">
        <v>37</v>
      </c>
    </row>
    <row r="28" spans="1:86" ht="15" customHeight="1" x14ac:dyDescent="0.3">
      <c r="A28" s="5825"/>
      <c r="B28" s="2089" t="s">
        <v>79</v>
      </c>
      <c r="C28" s="2165" t="s">
        <v>58</v>
      </c>
      <c r="D28" s="2164" t="s">
        <v>59</v>
      </c>
      <c r="E28" s="2089" t="s">
        <v>58</v>
      </c>
      <c r="F28" s="2166" t="s">
        <v>59</v>
      </c>
      <c r="G28" s="2089" t="s">
        <v>58</v>
      </c>
      <c r="H28" s="2166" t="s">
        <v>59</v>
      </c>
      <c r="I28" s="2089" t="s">
        <v>58</v>
      </c>
      <c r="J28" s="2166" t="s">
        <v>59</v>
      </c>
      <c r="K28" s="2089" t="s">
        <v>58</v>
      </c>
      <c r="L28" s="2166" t="s">
        <v>59</v>
      </c>
      <c r="M28" s="2089" t="s">
        <v>58</v>
      </c>
      <c r="N28" s="2166" t="s">
        <v>59</v>
      </c>
      <c r="O28" s="2089" t="s">
        <v>58</v>
      </c>
      <c r="P28" s="2166" t="s">
        <v>59</v>
      </c>
      <c r="Q28" s="2089" t="s">
        <v>58</v>
      </c>
      <c r="R28" s="2166" t="s">
        <v>59</v>
      </c>
      <c r="S28" s="2089" t="s">
        <v>58</v>
      </c>
      <c r="T28" s="2166" t="s">
        <v>59</v>
      </c>
      <c r="U28" s="2089" t="s">
        <v>58</v>
      </c>
      <c r="V28" s="2166" t="s">
        <v>59</v>
      </c>
      <c r="W28" s="2089" t="s">
        <v>58</v>
      </c>
      <c r="X28" s="2166" t="s">
        <v>59</v>
      </c>
      <c r="Y28" s="2089" t="s">
        <v>58</v>
      </c>
      <c r="Z28" s="2166" t="s">
        <v>59</v>
      </c>
      <c r="AA28" s="2089" t="s">
        <v>58</v>
      </c>
      <c r="AB28" s="2166" t="s">
        <v>59</v>
      </c>
      <c r="AC28" s="2089" t="s">
        <v>58</v>
      </c>
      <c r="AD28" s="2166" t="s">
        <v>59</v>
      </c>
      <c r="AE28" s="2089" t="s">
        <v>58</v>
      </c>
      <c r="AF28" s="2167" t="s">
        <v>59</v>
      </c>
      <c r="AG28" s="5767"/>
      <c r="AH28" s="5760"/>
    </row>
    <row r="29" spans="1:86" ht="15" customHeight="1" x14ac:dyDescent="0.3">
      <c r="A29" s="2178" t="s">
        <v>203</v>
      </c>
      <c r="B29" s="2179">
        <f>SUM(C29:D29)</f>
        <v>0</v>
      </c>
      <c r="C29" s="2173">
        <f>SUM(E29+G29+I29+K29+M29+O29+Q29+S29+U29+W29+Y29+AA29+AC29+AE29)</f>
        <v>0</v>
      </c>
      <c r="D29" s="2174">
        <f>SUM(F29+H29+J29+L29+N29+P29+R29+T29+V29+X29+Z29+AB29+AD29+AF29)</f>
        <v>0</v>
      </c>
      <c r="E29" s="1936"/>
      <c r="F29" s="1996"/>
      <c r="G29" s="1936"/>
      <c r="H29" s="1996"/>
      <c r="I29" s="1936"/>
      <c r="J29" s="1996"/>
      <c r="K29" s="1936"/>
      <c r="L29" s="1996"/>
      <c r="M29" s="1936"/>
      <c r="N29" s="1996"/>
      <c r="O29" s="1936"/>
      <c r="P29" s="1996"/>
      <c r="Q29" s="1936"/>
      <c r="R29" s="1996"/>
      <c r="S29" s="1936"/>
      <c r="T29" s="1996"/>
      <c r="U29" s="1936"/>
      <c r="V29" s="1996"/>
      <c r="W29" s="1936"/>
      <c r="X29" s="1996"/>
      <c r="Y29" s="1936"/>
      <c r="Z29" s="1996"/>
      <c r="AA29" s="1936"/>
      <c r="AB29" s="1996"/>
      <c r="AC29" s="1936"/>
      <c r="AD29" s="1996"/>
      <c r="AE29" s="1936"/>
      <c r="AF29" s="2180"/>
      <c r="AG29" s="1997"/>
      <c r="AH29" s="1969"/>
      <c r="AI29" s="24" t="str">
        <f t="shared" ref="AI29:AI30" si="13">$CA29&amp;CB29</f>
        <v/>
      </c>
      <c r="CA29" s="1899" t="str">
        <f>IF(AND($B29&lt;&gt;0,AG29=""),"* No olvide ingresar la columna "&amp;AG$27&amp;""&amp;". Digite CERO si no tiene.  ",IF(AG29&gt;$B29,"* El Número de Pueblos Originarios no puede superar el Total Ambos Sexos. ",""))</f>
        <v/>
      </c>
      <c r="CB29" s="1899" t="str">
        <f>IF(AND($B29&lt;&gt;0,AH29=""),"* No olvide ingresar la columna "&amp;AH$19&amp;""&amp;". Digite CERO si no tiene.  ",IF(AH29&gt;$B29,"* El Número de Migrantes no puede superar el Total Ambos Sexos. ",""))</f>
        <v/>
      </c>
      <c r="CF29" s="1901">
        <f t="shared" ref="CF29:CG30" si="14">IF(AND($B29&lt;&gt;0,AG29=""),1,IF(AG29&gt;$B29,1,0))</f>
        <v>0</v>
      </c>
      <c r="CG29" s="1901">
        <f t="shared" si="14"/>
        <v>0</v>
      </c>
    </row>
    <row r="30" spans="1:86" ht="15" customHeight="1" x14ac:dyDescent="0.3">
      <c r="A30" s="526" t="s">
        <v>204</v>
      </c>
      <c r="B30" s="483">
        <f>SUM(C30:D30)</f>
        <v>0</v>
      </c>
      <c r="C30" s="484">
        <f>SUM(E30+G30+I30+K30+M30+O30+Q30+S30+U30+W30+Y30+AA30+AC30+AE30)</f>
        <v>0</v>
      </c>
      <c r="D30" s="485">
        <f>SUM(F30+H30+J30+L30+N30+P30+R30+T30+V30+X30+Z30+AB30+AD30+AF30)</f>
        <v>0</v>
      </c>
      <c r="E30" s="1940"/>
      <c r="F30" s="325"/>
      <c r="G30" s="1940"/>
      <c r="H30" s="325"/>
      <c r="I30" s="1940"/>
      <c r="J30" s="325"/>
      <c r="K30" s="1940"/>
      <c r="L30" s="325"/>
      <c r="M30" s="1940"/>
      <c r="N30" s="325"/>
      <c r="O30" s="1940"/>
      <c r="P30" s="325"/>
      <c r="Q30" s="1940"/>
      <c r="R30" s="325"/>
      <c r="S30" s="1940"/>
      <c r="T30" s="325"/>
      <c r="U30" s="1940"/>
      <c r="V30" s="325"/>
      <c r="W30" s="1940"/>
      <c r="X30" s="325"/>
      <c r="Y30" s="1940"/>
      <c r="Z30" s="325"/>
      <c r="AA30" s="1940"/>
      <c r="AB30" s="325"/>
      <c r="AC30" s="1940"/>
      <c r="AD30" s="325"/>
      <c r="AE30" s="1940"/>
      <c r="AF30" s="326"/>
      <c r="AG30" s="2109"/>
      <c r="AH30" s="877"/>
      <c r="AI30" s="24" t="str">
        <f t="shared" si="13"/>
        <v/>
      </c>
      <c r="CA30" s="1899" t="str">
        <f>IF(AND($B30&lt;&gt;0,AG30=""),"* No olvide ingresar la columna "&amp;AG$27&amp;""&amp;". Digite CERO si no tiene.  ",IF(AG30&gt;$B30,"* El Número de Pueblos Originarios no puede superar el Total Ambos Sexos. ",""))</f>
        <v/>
      </c>
      <c r="CB30" s="1899" t="str">
        <f>IF(AND($B30&lt;&gt;0,AH30=""),"* No olvide ingresar la columna "&amp;AH$19&amp;""&amp;". Digite CERO si no tiene.  ",IF(AH30&gt;$B30,"* El Número de Migrantes no puede superar el Total Ambos Sexos. ",""))</f>
        <v/>
      </c>
      <c r="CF30" s="1901">
        <f t="shared" si="14"/>
        <v>0</v>
      </c>
      <c r="CG30" s="1901">
        <f t="shared" si="14"/>
        <v>0</v>
      </c>
    </row>
    <row r="31" spans="1:86" ht="18" customHeight="1" x14ac:dyDescent="0.3">
      <c r="A31" s="5824" t="s">
        <v>205</v>
      </c>
      <c r="B31" s="5824"/>
      <c r="C31" s="5824"/>
      <c r="D31" s="5824"/>
      <c r="E31" s="5824"/>
      <c r="F31" s="5824"/>
      <c r="G31" s="5824"/>
      <c r="H31" s="5824"/>
      <c r="I31" s="5824"/>
      <c r="J31" s="5824"/>
      <c r="K31" s="5824"/>
      <c r="L31" s="5824"/>
      <c r="M31" s="5824"/>
      <c r="N31" s="5824"/>
      <c r="O31" s="5824"/>
      <c r="P31" s="5824"/>
      <c r="Q31" s="5824"/>
      <c r="R31" s="5824"/>
      <c r="S31" s="5824"/>
      <c r="T31" s="5824"/>
      <c r="U31" s="5824"/>
      <c r="V31" s="5824"/>
      <c r="W31" s="5824"/>
      <c r="X31" s="5824"/>
      <c r="Y31" s="5824"/>
      <c r="Z31" s="5824"/>
      <c r="AA31" s="5824"/>
      <c r="AB31" s="5824"/>
      <c r="AC31" s="5824"/>
      <c r="AD31" s="5824"/>
      <c r="AE31" s="5824"/>
      <c r="AF31" s="5824"/>
      <c r="AG31" s="2181"/>
      <c r="AH31" s="1873"/>
    </row>
    <row r="32" spans="1:86" ht="15" customHeight="1" x14ac:dyDescent="0.3">
      <c r="A32" s="5786" t="s">
        <v>202</v>
      </c>
      <c r="B32" s="5763" t="s">
        <v>77</v>
      </c>
      <c r="C32" s="5761"/>
      <c r="D32" s="5826"/>
      <c r="E32" s="5741" t="s">
        <v>44</v>
      </c>
      <c r="F32" s="5827"/>
      <c r="G32" s="5741" t="s">
        <v>45</v>
      </c>
      <c r="H32" s="5757"/>
      <c r="I32" s="5741" t="s">
        <v>46</v>
      </c>
      <c r="J32" s="5757"/>
      <c r="K32" s="5741" t="s">
        <v>47</v>
      </c>
      <c r="L32" s="5757"/>
      <c r="M32" s="5741" t="s">
        <v>48</v>
      </c>
      <c r="N32" s="5757"/>
      <c r="O32" s="5741" t="s">
        <v>49</v>
      </c>
      <c r="P32" s="5757"/>
      <c r="Q32" s="5741" t="s">
        <v>50</v>
      </c>
      <c r="R32" s="5757"/>
      <c r="S32" s="5741" t="s">
        <v>51</v>
      </c>
      <c r="T32" s="5757"/>
      <c r="U32" s="5741" t="s">
        <v>52</v>
      </c>
      <c r="V32" s="5757"/>
      <c r="W32" s="5741" t="s">
        <v>53</v>
      </c>
      <c r="X32" s="5757"/>
      <c r="Y32" s="5741" t="s">
        <v>54</v>
      </c>
      <c r="Z32" s="5757"/>
      <c r="AA32" s="5741" t="s">
        <v>55</v>
      </c>
      <c r="AB32" s="5757"/>
      <c r="AC32" s="5741" t="s">
        <v>56</v>
      </c>
      <c r="AD32" s="5757"/>
      <c r="AE32" s="5741" t="s">
        <v>57</v>
      </c>
      <c r="AF32" s="5779"/>
      <c r="AG32" s="5828" t="s">
        <v>36</v>
      </c>
      <c r="AH32" s="5758" t="s">
        <v>37</v>
      </c>
    </row>
    <row r="33" spans="1:85" ht="15" customHeight="1" x14ac:dyDescent="0.3">
      <c r="A33" s="5825"/>
      <c r="B33" s="2089" t="s">
        <v>79</v>
      </c>
      <c r="C33" s="2165" t="s">
        <v>58</v>
      </c>
      <c r="D33" s="2164" t="s">
        <v>59</v>
      </c>
      <c r="E33" s="2089" t="s">
        <v>58</v>
      </c>
      <c r="F33" s="2166" t="s">
        <v>59</v>
      </c>
      <c r="G33" s="2089" t="s">
        <v>58</v>
      </c>
      <c r="H33" s="2166" t="s">
        <v>59</v>
      </c>
      <c r="I33" s="2089" t="s">
        <v>58</v>
      </c>
      <c r="J33" s="2166" t="s">
        <v>59</v>
      </c>
      <c r="K33" s="2089" t="s">
        <v>58</v>
      </c>
      <c r="L33" s="2166" t="s">
        <v>59</v>
      </c>
      <c r="M33" s="2089" t="s">
        <v>58</v>
      </c>
      <c r="N33" s="2166" t="s">
        <v>59</v>
      </c>
      <c r="O33" s="2089" t="s">
        <v>58</v>
      </c>
      <c r="P33" s="2166" t="s">
        <v>59</v>
      </c>
      <c r="Q33" s="2089" t="s">
        <v>58</v>
      </c>
      <c r="R33" s="2166" t="s">
        <v>59</v>
      </c>
      <c r="S33" s="2089" t="s">
        <v>58</v>
      </c>
      <c r="T33" s="2166" t="s">
        <v>59</v>
      </c>
      <c r="U33" s="2089" t="s">
        <v>58</v>
      </c>
      <c r="V33" s="2166" t="s">
        <v>59</v>
      </c>
      <c r="W33" s="2089" t="s">
        <v>58</v>
      </c>
      <c r="X33" s="2166" t="s">
        <v>59</v>
      </c>
      <c r="Y33" s="2089" t="s">
        <v>58</v>
      </c>
      <c r="Z33" s="2166" t="s">
        <v>59</v>
      </c>
      <c r="AA33" s="2089" t="s">
        <v>58</v>
      </c>
      <c r="AB33" s="2166" t="s">
        <v>59</v>
      </c>
      <c r="AC33" s="2089" t="s">
        <v>58</v>
      </c>
      <c r="AD33" s="2166" t="s">
        <v>59</v>
      </c>
      <c r="AE33" s="2089" t="s">
        <v>58</v>
      </c>
      <c r="AF33" s="2167" t="s">
        <v>59</v>
      </c>
      <c r="AG33" s="5767"/>
      <c r="AH33" s="5760"/>
    </row>
    <row r="34" spans="1:85" ht="15" customHeight="1" x14ac:dyDescent="0.3">
      <c r="A34" s="2067" t="s">
        <v>206</v>
      </c>
      <c r="B34" s="478">
        <f>SUM(C34:D34)</f>
        <v>0</v>
      </c>
      <c r="C34" s="479">
        <f>SUM(E34+G34+I34+K34+M34+O34+Q34+S34+U34+W34+Y34+AA34+AC34+AE34)</f>
        <v>0</v>
      </c>
      <c r="D34" s="480">
        <f>SUM(F34+H34+J34+L34+N34+P34+R34+T34+V34+X34+Z34+AB34+AD34+AF34)</f>
        <v>0</v>
      </c>
      <c r="E34" s="327"/>
      <c r="F34" s="905"/>
      <c r="G34" s="327"/>
      <c r="H34" s="905"/>
      <c r="I34" s="327"/>
      <c r="J34" s="905"/>
      <c r="K34" s="327"/>
      <c r="L34" s="905"/>
      <c r="M34" s="327"/>
      <c r="N34" s="905"/>
      <c r="O34" s="327"/>
      <c r="P34" s="905"/>
      <c r="Q34" s="327"/>
      <c r="R34" s="905"/>
      <c r="S34" s="327"/>
      <c r="T34" s="905"/>
      <c r="U34" s="327"/>
      <c r="V34" s="905"/>
      <c r="W34" s="327"/>
      <c r="X34" s="905"/>
      <c r="Y34" s="327"/>
      <c r="Z34" s="905"/>
      <c r="AA34" s="327"/>
      <c r="AB34" s="905"/>
      <c r="AC34" s="327"/>
      <c r="AD34" s="905"/>
      <c r="AE34" s="327"/>
      <c r="AF34" s="1026"/>
      <c r="AG34" s="1997"/>
      <c r="AH34" s="1969"/>
      <c r="AI34" s="24" t="str">
        <f>$CA34&amp;CB34</f>
        <v/>
      </c>
      <c r="CA34" s="1899" t="str">
        <f>IF(AND($B34&lt;&gt;0,AG34=""),"* No olvide ingresar la columna "&amp;AG$19&amp;""&amp;". Digite CERO si no tiene. ",IF(AG34&gt;$B34,"* El Número de Pueblos Originarios no puede superar el Total Ambos Sexos. ",""))</f>
        <v/>
      </c>
      <c r="CB34" s="1899" t="str">
        <f>IF(AND($B34&lt;&gt;0,AH34=""),"* No olvide ingresar la columna "&amp;AH$19&amp;""&amp;". Digite CERO si no tiene. ",IF(AH34&gt;$B34,"* El Número de Migrantes no puede superar el Total Ambos Sexos. ",""))</f>
        <v/>
      </c>
      <c r="CF34" s="1901">
        <f>IF(AND($B34&lt;&gt;0,AG34=""),1,IF(AG34&gt;$B34,1,0))</f>
        <v>0</v>
      </c>
      <c r="CG34" s="1901">
        <f>IF(AND($B34&lt;&gt;0,AH34=""),1,IF(AH34&gt;$B34,1,0))</f>
        <v>0</v>
      </c>
    </row>
    <row r="35" spans="1:85" ht="15" customHeight="1" x14ac:dyDescent="0.3">
      <c r="A35" s="2098" t="s">
        <v>207</v>
      </c>
      <c r="B35" s="483">
        <f>SUM(C35:D35)</f>
        <v>0</v>
      </c>
      <c r="C35" s="484">
        <f>SUM(E35+G35+I35+K35+M35+O35+Q35+S35+U35+W35+Y35+AA35+AC35+AE35)</f>
        <v>0</v>
      </c>
      <c r="D35" s="485">
        <f>SUM(F35+H35+J35+L35+N35+P35+R35+T35+V35+X35+Z35+AB35+AD35+AF35)</f>
        <v>0</v>
      </c>
      <c r="E35" s="876"/>
      <c r="F35" s="2009"/>
      <c r="G35" s="876"/>
      <c r="H35" s="2009"/>
      <c r="I35" s="876"/>
      <c r="J35" s="2009"/>
      <c r="K35" s="876"/>
      <c r="L35" s="2009"/>
      <c r="M35" s="876"/>
      <c r="N35" s="2009"/>
      <c r="O35" s="876"/>
      <c r="P35" s="2009"/>
      <c r="Q35" s="876"/>
      <c r="R35" s="2009"/>
      <c r="S35" s="876"/>
      <c r="T35" s="2009"/>
      <c r="U35" s="876"/>
      <c r="V35" s="2009"/>
      <c r="W35" s="876"/>
      <c r="X35" s="2009"/>
      <c r="Y35" s="876"/>
      <c r="Z35" s="2009"/>
      <c r="AA35" s="876"/>
      <c r="AB35" s="2009"/>
      <c r="AC35" s="876"/>
      <c r="AD35" s="2009"/>
      <c r="AE35" s="876"/>
      <c r="AF35" s="1953"/>
      <c r="AG35" s="2109"/>
      <c r="AH35" s="2110"/>
      <c r="AI35" s="24" t="str">
        <f>$CA35&amp;CB35</f>
        <v/>
      </c>
      <c r="CA35" s="1899" t="str">
        <f>IF(AND($B35&lt;&gt;0,AG35=""),"* No olvide ingresar la columna "&amp;AG$19&amp;""&amp;". Digite CERO si no tiene. ",IF(AG35&gt;$B35,"* El Número de Pueblos Originarios no puede superar el Total Ambos Sexos. ",""))</f>
        <v/>
      </c>
      <c r="CB35" s="1899" t="str">
        <f>IF(AND($B35&lt;&gt;0,AH35=""),"* No olvide ingresar la columna "&amp;AH$19&amp;""&amp;". Digite CERO si no tiene. ",IF(AH35&gt;$B35,"* El Número de Migrantes no puede superar el Total Ambos Sexos. ",""))</f>
        <v/>
      </c>
      <c r="CF35" s="1901">
        <f>IF(AND($B35&lt;&gt;0,AG35=""),1,IF(AG35&gt;$B35,1,0))</f>
        <v>0</v>
      </c>
      <c r="CG35" s="1901">
        <f>IF(AND($B35&lt;&gt;0,AH35=""),1,IF(AH35&gt;$B35,1,0))</f>
        <v>0</v>
      </c>
    </row>
    <row r="51" spans="1:2" s="88" customFormat="1" ht="16.5" hidden="1" customHeight="1" x14ac:dyDescent="0.25">
      <c r="A51" s="105">
        <f>SUM(B12:B17,B22:B25,B29:B30,B34:B35)</f>
        <v>0</v>
      </c>
      <c r="B51" s="105">
        <f>SUM(CF12:CH35)</f>
        <v>0</v>
      </c>
    </row>
  </sheetData>
  <sheetProtection algorithmName="SHA-512" hashValue="O5qzdtcEITz4mlTPCGl6edq+MthjNzi3OhxSfAlQPZPrMmd/9VLR6IFtziLiUX82kSxWI4D8SHxGHdhQ1M8XeA==" saltValue="P1Jfmj3QUyfsbq5gZgi3yg==" spinCount="100000" sheet="1" objects="1" scenarios="1"/>
  <mergeCells count="77">
    <mergeCell ref="A6:AD6"/>
    <mergeCell ref="A19:A20"/>
    <mergeCell ref="B19:D19"/>
    <mergeCell ref="E19:F19"/>
    <mergeCell ref="G19:H19"/>
    <mergeCell ref="I19:J19"/>
    <mergeCell ref="Y19:Z19"/>
    <mergeCell ref="AA19:AB19"/>
    <mergeCell ref="AC19:AD19"/>
    <mergeCell ref="A8:AF8"/>
    <mergeCell ref="A18:AF18"/>
    <mergeCell ref="AC9:AD9"/>
    <mergeCell ref="W19:X19"/>
    <mergeCell ref="O19:P19"/>
    <mergeCell ref="Q19:R19"/>
    <mergeCell ref="AG19:AG20"/>
    <mergeCell ref="K32:L32"/>
    <mergeCell ref="M32:N32"/>
    <mergeCell ref="S27:T27"/>
    <mergeCell ref="U27:V27"/>
    <mergeCell ref="W27:X27"/>
    <mergeCell ref="K27:L27"/>
    <mergeCell ref="M27:N27"/>
    <mergeCell ref="O27:P27"/>
    <mergeCell ref="Q27:R27"/>
    <mergeCell ref="AA32:AB32"/>
    <mergeCell ref="AC32:AD32"/>
    <mergeCell ref="AE32:AF32"/>
    <mergeCell ref="AG32:AG33"/>
    <mergeCell ref="A26:AF26"/>
    <mergeCell ref="A32:A33"/>
    <mergeCell ref="B32:D32"/>
    <mergeCell ref="E32:F32"/>
    <mergeCell ref="G32:H32"/>
    <mergeCell ref="I32:J32"/>
    <mergeCell ref="AH19:AH20"/>
    <mergeCell ref="O32:P32"/>
    <mergeCell ref="Q32:R32"/>
    <mergeCell ref="S32:T32"/>
    <mergeCell ref="U32:V32"/>
    <mergeCell ref="W32:X32"/>
    <mergeCell ref="Y32:Z32"/>
    <mergeCell ref="AE27:AF27"/>
    <mergeCell ref="AG27:AG28"/>
    <mergeCell ref="AH27:AH28"/>
    <mergeCell ref="Y27:Z27"/>
    <mergeCell ref="AA27:AB27"/>
    <mergeCell ref="AH32:AH33"/>
    <mergeCell ref="AG9:AG10"/>
    <mergeCell ref="AH9:AH10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E9:AF9"/>
    <mergeCell ref="A31:AF31"/>
    <mergeCell ref="A9:A10"/>
    <mergeCell ref="B9:D9"/>
    <mergeCell ref="AC27:AD27"/>
    <mergeCell ref="A27:A28"/>
    <mergeCell ref="B27:D27"/>
    <mergeCell ref="E27:F27"/>
    <mergeCell ref="G27:H27"/>
    <mergeCell ref="I27:J27"/>
    <mergeCell ref="K19:L19"/>
    <mergeCell ref="M19:N19"/>
    <mergeCell ref="S19:T19"/>
    <mergeCell ref="U19:V19"/>
    <mergeCell ref="AE19:AF19"/>
  </mergeCells>
  <dataValidations count="2">
    <dataValidation type="whole" operator="greaterThanOrEqual" allowBlank="1" showInputMessage="1" showErrorMessage="1" sqref="E12:AH17 E29:AH30 E22:AH25 E34:AH35" xr:uid="{00000000-0002-0000-0200-000000000000}">
      <formula1>0</formula1>
    </dataValidation>
    <dataValidation operator="notBetween" allowBlank="1" showInputMessage="1" showErrorMessage="1" error="Valor no Permitido" sqref="A30" xr:uid="{00000000-0002-0000-0200-000001000000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CR278"/>
  <sheetViews>
    <sheetView showGridLines="0" zoomScaleNormal="100" workbookViewId="0"/>
  </sheetViews>
  <sheetFormatPr baseColWidth="10" defaultColWidth="11.44140625" defaultRowHeight="14.4" x14ac:dyDescent="0.3"/>
  <cols>
    <col min="1" max="1" width="31" customWidth="1"/>
    <col min="2" max="2" width="28.6640625" customWidth="1"/>
    <col min="3" max="3" width="16.44140625" customWidth="1"/>
    <col min="4" max="7" width="15.6640625" customWidth="1"/>
    <col min="8" max="8" width="16.5546875" customWidth="1"/>
    <col min="9" max="12" width="15.6640625" customWidth="1"/>
    <col min="23" max="23" width="13.109375" customWidth="1"/>
    <col min="53" max="61" width="11.44140625" customWidth="1"/>
    <col min="72" max="78" width="16" customWidth="1"/>
    <col min="79" max="94" width="11.44140625" style="6" hidden="1" customWidth="1"/>
    <col min="95" max="96" width="11.44140625" hidden="1" customWidth="1"/>
    <col min="97" max="130" width="11.44140625" customWidth="1"/>
  </cols>
  <sheetData>
    <row r="1" spans="1:94" x14ac:dyDescent="0.3">
      <c r="A1" s="50" t="s">
        <v>23</v>
      </c>
    </row>
    <row r="2" spans="1:94" x14ac:dyDescent="0.3">
      <c r="A2" s="50" t="str">
        <f>CONCATENATE("COMUNA: ",NOMBRE!B2, " (",NOMBRE!C2,NOMBRE!D2,NOMBRE!E2,NOMBRE!F2,NOMBRE!G2,")")</f>
        <v>COMUNA:  ()</v>
      </c>
    </row>
    <row r="3" spans="1:94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94" x14ac:dyDescent="0.3">
      <c r="A4" s="50" t="str">
        <f>CONCATENATE("MES: ",NOMBRE!B6, " (",NOMBRE!C6,NOMBRE!D6,")")</f>
        <v>MES:  ()</v>
      </c>
    </row>
    <row r="5" spans="1:94" x14ac:dyDescent="0.3">
      <c r="A5" s="50" t="str">
        <f>CONCATENATE("AÑO: ",NOMBRE!B7)</f>
        <v>AÑO: 2025</v>
      </c>
    </row>
    <row r="6" spans="1:94" s="2184" customFormat="1" ht="18" customHeight="1" x14ac:dyDescent="0.3">
      <c r="A6" s="5819" t="s">
        <v>208</v>
      </c>
      <c r="B6" s="5819"/>
      <c r="C6" s="5819"/>
      <c r="D6" s="5819"/>
      <c r="E6" s="5819"/>
      <c r="F6" s="5819"/>
      <c r="G6" s="5819"/>
      <c r="H6" s="5819"/>
      <c r="I6" s="5819"/>
      <c r="J6" s="5819"/>
      <c r="K6" s="5819"/>
      <c r="L6" s="5819"/>
      <c r="M6" s="5819"/>
      <c r="N6" s="5819"/>
      <c r="O6" s="5819"/>
      <c r="P6" s="5819"/>
      <c r="Q6" s="5819"/>
      <c r="R6" s="5819"/>
      <c r="S6" s="5819"/>
      <c r="T6" s="5819"/>
      <c r="U6" s="5819"/>
      <c r="V6" s="5819"/>
      <c r="W6" s="5819"/>
      <c r="X6" s="5819"/>
      <c r="Y6" s="6080"/>
      <c r="Z6" s="2182"/>
      <c r="AA6" s="2182"/>
      <c r="AB6" s="2183"/>
      <c r="AC6" s="2183"/>
      <c r="AD6" s="2183"/>
      <c r="AE6" s="2183"/>
      <c r="AF6" s="2183"/>
      <c r="AG6" s="2183"/>
      <c r="AH6" s="2183"/>
      <c r="AI6" s="2183"/>
      <c r="AJ6" s="2183"/>
      <c r="AK6" s="2183"/>
      <c r="AL6" s="2183"/>
      <c r="AM6" s="2183"/>
      <c r="CA6" s="2185"/>
      <c r="CB6" s="2185"/>
      <c r="CC6" s="2185"/>
      <c r="CD6" s="2185"/>
      <c r="CE6" s="2185"/>
      <c r="CF6" s="2185"/>
      <c r="CG6" s="2185"/>
      <c r="CH6" s="2185"/>
      <c r="CI6" s="2185"/>
      <c r="CJ6" s="2185"/>
      <c r="CK6" s="2185"/>
      <c r="CL6" s="2185"/>
      <c r="CM6" s="2185"/>
      <c r="CN6" s="2185"/>
      <c r="CO6" s="2185"/>
      <c r="CP6" s="2185"/>
    </row>
    <row r="8" spans="1:94" ht="18" customHeight="1" x14ac:dyDescent="0.3">
      <c r="A8" s="1" t="s">
        <v>209</v>
      </c>
      <c r="B8" s="2186"/>
      <c r="C8" s="2186"/>
      <c r="D8" s="2186"/>
      <c r="E8" s="2186"/>
      <c r="F8" s="2186"/>
      <c r="G8" s="2186"/>
      <c r="H8" s="2186"/>
      <c r="I8" s="2186"/>
      <c r="J8" s="2186"/>
      <c r="K8" s="2186"/>
      <c r="L8" s="2186"/>
      <c r="M8" s="2186"/>
      <c r="N8" s="2186"/>
      <c r="O8" s="2186"/>
      <c r="P8" s="2187"/>
      <c r="Q8" s="2188"/>
      <c r="R8" s="2182"/>
      <c r="S8" s="2182"/>
      <c r="T8" s="2182"/>
      <c r="U8" s="2182"/>
      <c r="V8" s="2182"/>
      <c r="W8" s="2182"/>
      <c r="X8" s="2182"/>
      <c r="Y8" s="2182"/>
    </row>
    <row r="9" spans="1:94" ht="18" customHeight="1" x14ac:dyDescent="0.3">
      <c r="A9" s="2189" t="s">
        <v>210</v>
      </c>
      <c r="B9" s="2190"/>
      <c r="C9" s="2190"/>
      <c r="D9" s="2190"/>
      <c r="E9" s="2190"/>
      <c r="F9" s="2191"/>
      <c r="G9" s="1970"/>
      <c r="H9" s="2192"/>
      <c r="I9" s="2193"/>
      <c r="J9" s="1970"/>
      <c r="K9" s="2194"/>
      <c r="L9" s="1970"/>
      <c r="M9" s="2192"/>
      <c r="N9" s="2193"/>
      <c r="O9" s="2193"/>
      <c r="P9" s="2195"/>
      <c r="Q9" s="1970"/>
      <c r="R9" s="2192"/>
      <c r="S9" s="2192"/>
      <c r="T9" s="2192"/>
      <c r="U9" s="2192"/>
      <c r="V9" s="2192"/>
      <c r="W9" s="2192"/>
      <c r="X9" s="2192"/>
      <c r="Y9" s="2193"/>
    </row>
    <row r="10" spans="1:94" ht="15" customHeight="1" x14ac:dyDescent="0.3">
      <c r="A10" s="5883" t="s">
        <v>211</v>
      </c>
      <c r="B10" s="5883"/>
      <c r="C10" s="5879" t="s">
        <v>212</v>
      </c>
      <c r="D10" s="5880"/>
      <c r="E10" s="5881"/>
      <c r="F10" s="5887" t="s">
        <v>101</v>
      </c>
      <c r="G10" s="5992"/>
      <c r="H10" s="5992"/>
      <c r="I10" s="5992"/>
      <c r="J10" s="5992"/>
      <c r="K10" s="5992"/>
      <c r="L10" s="5992"/>
      <c r="M10" s="5992"/>
      <c r="N10" s="5992"/>
      <c r="O10" s="5992"/>
      <c r="P10" s="5992"/>
      <c r="Q10" s="5992"/>
      <c r="R10" s="5992"/>
      <c r="S10" s="5992"/>
      <c r="T10" s="5992"/>
      <c r="U10" s="5992"/>
      <c r="V10" s="5992"/>
      <c r="W10" s="5992"/>
      <c r="X10" s="5992"/>
      <c r="Y10" s="5888"/>
    </row>
    <row r="11" spans="1:94" ht="15" customHeight="1" x14ac:dyDescent="0.3">
      <c r="A11" s="5883"/>
      <c r="B11" s="5883"/>
      <c r="C11" s="5796"/>
      <c r="D11" s="5882"/>
      <c r="E11" s="5760"/>
      <c r="F11" s="5887" t="s">
        <v>80</v>
      </c>
      <c r="G11" s="5888"/>
      <c r="H11" s="5887" t="s">
        <v>81</v>
      </c>
      <c r="I11" s="5888"/>
      <c r="J11" s="5887" t="s">
        <v>82</v>
      </c>
      <c r="K11" s="5888"/>
      <c r="L11" s="5887" t="s">
        <v>83</v>
      </c>
      <c r="M11" s="5888"/>
      <c r="N11" s="5887" t="s">
        <v>84</v>
      </c>
      <c r="O11" s="5888"/>
      <c r="P11" s="5887" t="s">
        <v>85</v>
      </c>
      <c r="Q11" s="5888"/>
      <c r="R11" s="5887" t="s">
        <v>86</v>
      </c>
      <c r="S11" s="5888"/>
      <c r="T11" s="5887" t="s">
        <v>213</v>
      </c>
      <c r="U11" s="5888"/>
      <c r="V11" s="5887" t="s">
        <v>88</v>
      </c>
      <c r="W11" s="5888"/>
      <c r="X11" s="5887" t="s">
        <v>214</v>
      </c>
      <c r="Y11" s="5888"/>
    </row>
    <row r="12" spans="1:94" ht="15" customHeight="1" x14ac:dyDescent="0.3">
      <c r="A12" s="5883"/>
      <c r="B12" s="5883"/>
      <c r="C12" s="2197" t="s">
        <v>79</v>
      </c>
      <c r="D12" s="2198" t="s">
        <v>58</v>
      </c>
      <c r="E12" s="2196" t="s">
        <v>59</v>
      </c>
      <c r="F12" s="2199" t="s">
        <v>58</v>
      </c>
      <c r="G12" s="2196" t="s">
        <v>59</v>
      </c>
      <c r="H12" s="2199" t="s">
        <v>58</v>
      </c>
      <c r="I12" s="2196" t="s">
        <v>59</v>
      </c>
      <c r="J12" s="2199" t="s">
        <v>58</v>
      </c>
      <c r="K12" s="2196" t="s">
        <v>59</v>
      </c>
      <c r="L12" s="2199" t="s">
        <v>58</v>
      </c>
      <c r="M12" s="2196" t="s">
        <v>59</v>
      </c>
      <c r="N12" s="2199" t="s">
        <v>58</v>
      </c>
      <c r="O12" s="2196" t="s">
        <v>59</v>
      </c>
      <c r="P12" s="2199" t="s">
        <v>58</v>
      </c>
      <c r="Q12" s="2196" t="s">
        <v>59</v>
      </c>
      <c r="R12" s="2199" t="s">
        <v>58</v>
      </c>
      <c r="S12" s="2196" t="s">
        <v>59</v>
      </c>
      <c r="T12" s="2199" t="s">
        <v>58</v>
      </c>
      <c r="U12" s="2196" t="s">
        <v>59</v>
      </c>
      <c r="V12" s="2199" t="s">
        <v>58</v>
      </c>
      <c r="W12" s="2196" t="s">
        <v>59</v>
      </c>
      <c r="X12" s="2199" t="s">
        <v>58</v>
      </c>
      <c r="Y12" s="2196" t="s">
        <v>59</v>
      </c>
    </row>
    <row r="13" spans="1:94" ht="15" customHeight="1" x14ac:dyDescent="0.3">
      <c r="A13" s="6079" t="s">
        <v>215</v>
      </c>
      <c r="B13" s="6079"/>
      <c r="C13" s="2200">
        <f>SUM(D13+E13)</f>
        <v>0</v>
      </c>
      <c r="D13" s="2201">
        <f t="shared" ref="D13:E15" si="0">SUM(F13+H13+J13+L13+N13+P13+R13+T13+V13+X13)</f>
        <v>0</v>
      </c>
      <c r="E13" s="2202">
        <f t="shared" si="0"/>
        <v>0</v>
      </c>
      <c r="F13" s="2203"/>
      <c r="G13" s="2204"/>
      <c r="H13" s="2203"/>
      <c r="I13" s="2204"/>
      <c r="J13" s="2203"/>
      <c r="K13" s="2204"/>
      <c r="L13" s="2203"/>
      <c r="M13" s="2204"/>
      <c r="N13" s="2203"/>
      <c r="O13" s="2204"/>
      <c r="P13" s="2203"/>
      <c r="Q13" s="2204"/>
      <c r="R13" s="2203"/>
      <c r="S13" s="2204"/>
      <c r="T13" s="2203"/>
      <c r="U13" s="2204"/>
      <c r="V13" s="2203"/>
      <c r="W13" s="2204"/>
      <c r="X13" s="2203"/>
      <c r="Y13" s="2204"/>
    </row>
    <row r="14" spans="1:94" ht="15" customHeight="1" x14ac:dyDescent="0.3">
      <c r="A14" s="6077" t="s">
        <v>216</v>
      </c>
      <c r="B14" s="2205" t="s">
        <v>197</v>
      </c>
      <c r="C14" s="2206">
        <f>SUM(D14+E14)</f>
        <v>0</v>
      </c>
      <c r="D14" s="2207">
        <f t="shared" si="0"/>
        <v>0</v>
      </c>
      <c r="E14" s="2208">
        <f t="shared" si="0"/>
        <v>0</v>
      </c>
      <c r="F14" s="2209"/>
      <c r="G14" s="2210"/>
      <c r="H14" s="2209"/>
      <c r="I14" s="2210"/>
      <c r="J14" s="2209"/>
      <c r="K14" s="2210"/>
      <c r="L14" s="2209"/>
      <c r="M14" s="2210"/>
      <c r="N14" s="2209"/>
      <c r="O14" s="2210"/>
      <c r="P14" s="2209"/>
      <c r="Q14" s="2210"/>
      <c r="R14" s="2209"/>
      <c r="S14" s="2210"/>
      <c r="T14" s="2209"/>
      <c r="U14" s="2210"/>
      <c r="V14" s="2209"/>
      <c r="W14" s="2210"/>
      <c r="X14" s="2209"/>
      <c r="Y14" s="2210"/>
    </row>
    <row r="15" spans="1:94" ht="15" customHeight="1" x14ac:dyDescent="0.3">
      <c r="A15" s="6078"/>
      <c r="B15" s="526" t="s">
        <v>217</v>
      </c>
      <c r="C15" s="724">
        <f>SUM(D15+E15)</f>
        <v>0</v>
      </c>
      <c r="D15" s="2211">
        <f t="shared" si="0"/>
        <v>0</v>
      </c>
      <c r="E15" s="640">
        <f t="shared" si="0"/>
        <v>0</v>
      </c>
      <c r="F15" s="2212"/>
      <c r="G15" s="2213"/>
      <c r="H15" s="876"/>
      <c r="I15" s="877"/>
      <c r="J15" s="876"/>
      <c r="K15" s="877"/>
      <c r="L15" s="2212"/>
      <c r="M15" s="2213"/>
      <c r="N15" s="2212"/>
      <c r="O15" s="2213"/>
      <c r="P15" s="2212"/>
      <c r="Q15" s="2213"/>
      <c r="R15" s="2212"/>
      <c r="S15" s="2213"/>
      <c r="T15" s="2212"/>
      <c r="U15" s="2214"/>
      <c r="V15" s="2212"/>
      <c r="W15" s="2214"/>
      <c r="X15" s="2212"/>
      <c r="Y15" s="2213"/>
    </row>
    <row r="16" spans="1:94" ht="18" customHeight="1" x14ac:dyDescent="0.3">
      <c r="A16" s="2189" t="s">
        <v>218</v>
      </c>
      <c r="B16" s="2190"/>
      <c r="C16" s="2190"/>
      <c r="D16" s="2190"/>
      <c r="E16" s="2190"/>
      <c r="F16" s="2190"/>
      <c r="G16" s="2190"/>
      <c r="H16" s="2190"/>
      <c r="I16" s="2190"/>
      <c r="J16" s="2190"/>
      <c r="K16" s="2190"/>
      <c r="L16" s="2190"/>
      <c r="M16" s="2190"/>
      <c r="N16" s="2190"/>
      <c r="O16" s="2190"/>
      <c r="P16" s="2191"/>
      <c r="Q16" s="2215"/>
      <c r="R16" s="2216"/>
      <c r="S16" s="2216"/>
    </row>
    <row r="17" spans="1:90" ht="15" customHeight="1" x14ac:dyDescent="0.3">
      <c r="A17" s="5850" t="s">
        <v>219</v>
      </c>
      <c r="B17" s="5850" t="s">
        <v>220</v>
      </c>
      <c r="C17" s="5944" t="s">
        <v>221</v>
      </c>
      <c r="D17" s="5880"/>
      <c r="E17" s="5881"/>
      <c r="F17" s="6013" t="s">
        <v>101</v>
      </c>
      <c r="G17" s="6032"/>
      <c r="H17" s="6032"/>
      <c r="I17" s="6032"/>
      <c r="J17" s="6032"/>
      <c r="K17" s="6032"/>
      <c r="L17" s="6032"/>
      <c r="M17" s="6032"/>
      <c r="N17" s="6032"/>
      <c r="O17" s="6032"/>
      <c r="P17" s="6032"/>
      <c r="Q17" s="6032"/>
      <c r="R17" s="5831" t="s">
        <v>36</v>
      </c>
      <c r="S17" s="5881" t="s">
        <v>37</v>
      </c>
    </row>
    <row r="18" spans="1:90" ht="15" customHeight="1" x14ac:dyDescent="0.3">
      <c r="A18" s="5851"/>
      <c r="B18" s="5851"/>
      <c r="C18" s="5796"/>
      <c r="D18" s="5882"/>
      <c r="E18" s="5760"/>
      <c r="F18" s="5887" t="s">
        <v>222</v>
      </c>
      <c r="G18" s="5888"/>
      <c r="H18" s="5887" t="s">
        <v>223</v>
      </c>
      <c r="I18" s="5888"/>
      <c r="J18" s="5887" t="s">
        <v>88</v>
      </c>
      <c r="K18" s="5888"/>
      <c r="L18" s="5887" t="s">
        <v>224</v>
      </c>
      <c r="M18" s="5888"/>
      <c r="N18" s="5887" t="s">
        <v>225</v>
      </c>
      <c r="O18" s="5888"/>
      <c r="P18" s="5887" t="s">
        <v>226</v>
      </c>
      <c r="Q18" s="5992"/>
      <c r="R18" s="5766"/>
      <c r="S18" s="5759"/>
    </row>
    <row r="19" spans="1:90" ht="15" customHeight="1" x14ac:dyDescent="0.3">
      <c r="A19" s="5825"/>
      <c r="B19" s="5825"/>
      <c r="C19" s="2218" t="s">
        <v>79</v>
      </c>
      <c r="D19" s="2219" t="s">
        <v>58</v>
      </c>
      <c r="E19" s="2196" t="s">
        <v>59</v>
      </c>
      <c r="F19" s="2197" t="s">
        <v>58</v>
      </c>
      <c r="G19" s="2196" t="s">
        <v>59</v>
      </c>
      <c r="H19" s="2197" t="s">
        <v>58</v>
      </c>
      <c r="I19" s="2196" t="s">
        <v>59</v>
      </c>
      <c r="J19" s="2197" t="s">
        <v>58</v>
      </c>
      <c r="K19" s="2196" t="s">
        <v>59</v>
      </c>
      <c r="L19" s="2197" t="s">
        <v>58</v>
      </c>
      <c r="M19" s="2196" t="s">
        <v>59</v>
      </c>
      <c r="N19" s="2197" t="s">
        <v>58</v>
      </c>
      <c r="O19" s="2196" t="s">
        <v>59</v>
      </c>
      <c r="P19" s="2197" t="s">
        <v>58</v>
      </c>
      <c r="Q19" s="2220" t="s">
        <v>59</v>
      </c>
      <c r="R19" s="5767"/>
      <c r="S19" s="5760"/>
    </row>
    <row r="20" spans="1:90" ht="15" customHeight="1" x14ac:dyDescent="0.3">
      <c r="A20" s="6089" t="s">
        <v>227</v>
      </c>
      <c r="B20" s="6090"/>
      <c r="C20" s="2221">
        <f t="shared" ref="C20:C29" si="1">SUM(D20+E20)</f>
        <v>0</v>
      </c>
      <c r="D20" s="2222">
        <f t="shared" ref="D20:E41" si="2">SUM(F20+H20+J20+L20+N20+P20)</f>
        <v>0</v>
      </c>
      <c r="E20" s="2223">
        <f t="shared" si="2"/>
        <v>0</v>
      </c>
      <c r="F20" s="2203"/>
      <c r="G20" s="2224"/>
      <c r="H20" s="2203"/>
      <c r="I20" s="2224"/>
      <c r="J20" s="2203"/>
      <c r="K20" s="2224"/>
      <c r="L20" s="2203"/>
      <c r="M20" s="2224"/>
      <c r="N20" s="2203"/>
      <c r="O20" s="2224"/>
      <c r="P20" s="2203"/>
      <c r="Q20" s="2225"/>
      <c r="R20" s="2226"/>
      <c r="S20" s="2204"/>
      <c r="T20" s="2227" t="str">
        <f>$CA20&amp;CB20</f>
        <v/>
      </c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2228"/>
      <c r="AZ20" s="2228"/>
      <c r="BA20" s="2228"/>
      <c r="BB20" s="2228"/>
      <c r="BC20" s="2228"/>
      <c r="BD20" s="2228"/>
      <c r="BE20" s="2228"/>
      <c r="BF20" s="2228"/>
      <c r="BG20" s="2228"/>
      <c r="BH20" s="2228"/>
      <c r="BI20" s="2228"/>
      <c r="BJ20" s="2228"/>
      <c r="BK20" s="2228"/>
      <c r="BL20" s="2228"/>
      <c r="BM20" s="2228"/>
      <c r="BN20" s="2228"/>
      <c r="BO20" s="2228"/>
      <c r="BP20" s="2228"/>
      <c r="BQ20" s="2228"/>
      <c r="BR20" s="2228"/>
      <c r="BS20" s="2228"/>
      <c r="BT20" s="2228"/>
      <c r="BU20" s="2228"/>
      <c r="BV20" s="2228"/>
      <c r="BW20" s="2228"/>
      <c r="BX20" s="2228"/>
      <c r="BY20" s="2228"/>
      <c r="BZ20" s="2228"/>
      <c r="CA20" s="2229" t="str">
        <f>IF(AND($C20&lt;&gt;0,R20=""),"* No olvide ingresar la variable "&amp;R$17&amp;""&amp;". Digite CERO si no tiene. ",IF(R20&gt;$C20,"* La variable Pueblos Originarios no debe ser mayor al Total Ambos Sexos. ",""))</f>
        <v/>
      </c>
      <c r="CB20" s="2229" t="str">
        <f>IF(AND($C20&lt;&gt;0,S20=""),"* No olvide ingresar la variable "&amp;S$17&amp;""&amp;". Digite CERO si no tiene. ",IF(S20&gt;$C20,"* La variable Migrantes no debe ser mayor al Total Ambos Sexos. ",""))</f>
        <v/>
      </c>
      <c r="CC20" s="2228"/>
      <c r="CD20" s="2228"/>
      <c r="CE20" s="99"/>
      <c r="CF20" s="99"/>
      <c r="CG20" s="99"/>
      <c r="CH20" s="99"/>
      <c r="CI20" s="99"/>
      <c r="CK20" s="55">
        <f>IF(AND($C20&lt;&gt;0,R20=""),1,IF(R20&gt;$C20,1,0))</f>
        <v>0</v>
      </c>
      <c r="CL20" s="55">
        <f>IF(AND($C20&lt;&gt;0,S20=""),1,IF(S20&gt;$C20,1,0))</f>
        <v>0</v>
      </c>
    </row>
    <row r="21" spans="1:90" ht="15" customHeight="1" x14ac:dyDescent="0.3">
      <c r="A21" s="5843" t="s">
        <v>228</v>
      </c>
      <c r="B21" s="2231" t="s">
        <v>197</v>
      </c>
      <c r="C21" s="2206">
        <f t="shared" si="1"/>
        <v>0</v>
      </c>
      <c r="D21" s="2232">
        <f t="shared" si="2"/>
        <v>0</v>
      </c>
      <c r="E21" s="2208">
        <f t="shared" si="2"/>
        <v>0</v>
      </c>
      <c r="F21" s="327"/>
      <c r="G21" s="905"/>
      <c r="H21" s="327"/>
      <c r="I21" s="905"/>
      <c r="J21" s="327"/>
      <c r="K21" s="905"/>
      <c r="L21" s="327"/>
      <c r="M21" s="905"/>
      <c r="N21" s="252"/>
      <c r="O21" s="905"/>
      <c r="P21" s="252"/>
      <c r="Q21" s="1158"/>
      <c r="R21" s="337"/>
      <c r="S21" s="142"/>
      <c r="T21" s="2227" t="str">
        <f t="shared" ref="T21:T41" si="3">$CA21&amp;CB21</f>
        <v/>
      </c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2228"/>
      <c r="AZ21" s="2228"/>
      <c r="BA21" s="2228"/>
      <c r="BB21" s="2228"/>
      <c r="BC21" s="2228"/>
      <c r="BD21" s="2228"/>
      <c r="BE21" s="2228"/>
      <c r="BF21" s="2228"/>
      <c r="BG21" s="2228"/>
      <c r="BH21" s="2228"/>
      <c r="BI21" s="2228"/>
      <c r="BJ21" s="2228"/>
      <c r="BK21" s="2228"/>
      <c r="BL21" s="2228"/>
      <c r="BM21" s="2228"/>
      <c r="BN21" s="2228"/>
      <c r="BO21" s="2228"/>
      <c r="BP21" s="2228"/>
      <c r="BQ21" s="2228"/>
      <c r="BR21" s="2228"/>
      <c r="BS21" s="2228"/>
      <c r="BT21" s="2228"/>
      <c r="BU21" s="2228"/>
      <c r="BV21" s="2228"/>
      <c r="BW21" s="2228"/>
      <c r="BX21" s="2228"/>
      <c r="BY21" s="2228"/>
      <c r="BZ21" s="2228"/>
      <c r="CA21" s="2229" t="str">
        <f t="shared" ref="CA21:CA41" si="4">IF(AND($C21&lt;&gt;0,R21=""),"* No olvide ingresar la variable "&amp;R$17&amp;""&amp;". Digite CERO si no tiene. ",IF(R21&gt;$C21,"* La variable Pueblos Originarios no debe ser mayor al Total Ambos Sexos. ",""))</f>
        <v/>
      </c>
      <c r="CB21" s="2229" t="str">
        <f t="shared" ref="CB21:CB41" si="5">IF(AND($C21&lt;&gt;0,S21=""),"* No olvide ingresar la variable "&amp;S$17&amp;""&amp;". Digite CERO si no tiene. ",IF(S21&gt;$C21,"* La variable Migrantes no debe ser mayor al Total Ambos Sexos. ",""))</f>
        <v/>
      </c>
      <c r="CC21" s="2228"/>
      <c r="CD21" s="2228"/>
      <c r="CE21" s="99"/>
      <c r="CF21" s="99"/>
      <c r="CG21" s="99"/>
      <c r="CH21" s="99"/>
      <c r="CI21" s="99"/>
      <c r="CK21" s="55">
        <f t="shared" ref="CK21:CL41" si="6">IF(AND($C21&lt;&gt;0,R21=""),1,IF(R21&gt;$C21,1,0))</f>
        <v>0</v>
      </c>
      <c r="CL21" s="55">
        <f t="shared" si="6"/>
        <v>0</v>
      </c>
    </row>
    <row r="22" spans="1:90" ht="15" customHeight="1" x14ac:dyDescent="0.3">
      <c r="A22" s="5844"/>
      <c r="B22" s="361" t="s">
        <v>229</v>
      </c>
      <c r="C22" s="317">
        <f t="shared" si="1"/>
        <v>0</v>
      </c>
      <c r="D22" s="2233">
        <f t="shared" si="2"/>
        <v>0</v>
      </c>
      <c r="E22" s="141">
        <f t="shared" si="2"/>
        <v>0</v>
      </c>
      <c r="F22" s="329"/>
      <c r="G22" s="2003"/>
      <c r="H22" s="327"/>
      <c r="I22" s="905"/>
      <c r="J22" s="329"/>
      <c r="K22" s="2003"/>
      <c r="L22" s="329"/>
      <c r="M22" s="2003"/>
      <c r="N22" s="2234"/>
      <c r="O22" s="2003"/>
      <c r="P22" s="2234"/>
      <c r="Q22" s="2235"/>
      <c r="R22" s="2004"/>
      <c r="S22" s="330"/>
      <c r="T22" s="2227" t="str">
        <f t="shared" si="3"/>
        <v/>
      </c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2228"/>
      <c r="AZ22" s="2228"/>
      <c r="BA22" s="2228"/>
      <c r="BB22" s="2228"/>
      <c r="BC22" s="2228"/>
      <c r="BD22" s="2228"/>
      <c r="BE22" s="2228"/>
      <c r="BF22" s="2228"/>
      <c r="BG22" s="2228"/>
      <c r="BH22" s="2228"/>
      <c r="BI22" s="2228"/>
      <c r="BJ22" s="2228"/>
      <c r="BK22" s="2228"/>
      <c r="BL22" s="2228"/>
      <c r="BM22" s="2228"/>
      <c r="BN22" s="2228"/>
      <c r="BO22" s="2228"/>
      <c r="BP22" s="2228"/>
      <c r="BQ22" s="2228"/>
      <c r="BR22" s="2228"/>
      <c r="BS22" s="2228"/>
      <c r="BT22" s="2228"/>
      <c r="BU22" s="2228"/>
      <c r="BV22" s="2228"/>
      <c r="BW22" s="2228"/>
      <c r="BX22" s="2228"/>
      <c r="BY22" s="2228"/>
      <c r="BZ22" s="2228"/>
      <c r="CA22" s="2229" t="str">
        <f t="shared" si="4"/>
        <v/>
      </c>
      <c r="CB22" s="2229" t="str">
        <f t="shared" si="5"/>
        <v/>
      </c>
      <c r="CC22" s="2228"/>
      <c r="CD22" s="2228"/>
      <c r="CE22" s="99"/>
      <c r="CF22" s="99"/>
      <c r="CG22" s="99"/>
      <c r="CH22" s="99"/>
      <c r="CI22" s="99"/>
      <c r="CK22" s="55">
        <f t="shared" si="6"/>
        <v>0</v>
      </c>
      <c r="CL22" s="55">
        <f t="shared" si="6"/>
        <v>0</v>
      </c>
    </row>
    <row r="23" spans="1:90" ht="15" customHeight="1" x14ac:dyDescent="0.3">
      <c r="A23" s="5844"/>
      <c r="B23" s="319" t="s">
        <v>230</v>
      </c>
      <c r="C23" s="760">
        <f t="shared" si="1"/>
        <v>0</v>
      </c>
      <c r="D23" s="774">
        <f t="shared" si="2"/>
        <v>0</v>
      </c>
      <c r="E23" s="345">
        <f t="shared" si="2"/>
        <v>0</v>
      </c>
      <c r="F23" s="329"/>
      <c r="G23" s="2003"/>
      <c r="H23" s="327"/>
      <c r="I23" s="905"/>
      <c r="J23" s="329"/>
      <c r="K23" s="2003"/>
      <c r="L23" s="329"/>
      <c r="M23" s="2003"/>
      <c r="N23" s="2234"/>
      <c r="O23" s="2003"/>
      <c r="P23" s="2234"/>
      <c r="Q23" s="2235"/>
      <c r="R23" s="2004"/>
      <c r="S23" s="330"/>
      <c r="T23" s="2227" t="str">
        <f t="shared" si="3"/>
        <v/>
      </c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2228"/>
      <c r="AZ23" s="2228"/>
      <c r="BA23" s="2228"/>
      <c r="BB23" s="2228"/>
      <c r="BC23" s="2228"/>
      <c r="BD23" s="2228"/>
      <c r="BE23" s="2228"/>
      <c r="BF23" s="2228"/>
      <c r="BG23" s="2228"/>
      <c r="BH23" s="2228"/>
      <c r="BI23" s="2228"/>
      <c r="BJ23" s="2228"/>
      <c r="BK23" s="2228"/>
      <c r="BL23" s="2228"/>
      <c r="BM23" s="2228"/>
      <c r="BN23" s="2228"/>
      <c r="BO23" s="2228"/>
      <c r="BP23" s="2228"/>
      <c r="BQ23" s="2228"/>
      <c r="BR23" s="2228"/>
      <c r="BS23" s="2228"/>
      <c r="BT23" s="2228"/>
      <c r="BU23" s="2228"/>
      <c r="BV23" s="2228"/>
      <c r="BW23" s="2228"/>
      <c r="BX23" s="2228"/>
      <c r="BY23" s="2228"/>
      <c r="BZ23" s="2228"/>
      <c r="CA23" s="2229" t="str">
        <f t="shared" si="4"/>
        <v/>
      </c>
      <c r="CB23" s="2229" t="str">
        <f t="shared" si="5"/>
        <v/>
      </c>
      <c r="CC23" s="2228"/>
      <c r="CD23" s="2228"/>
      <c r="CE23" s="99"/>
      <c r="CF23" s="99"/>
      <c r="CG23" s="99"/>
      <c r="CH23" s="99"/>
      <c r="CI23" s="99"/>
      <c r="CK23" s="55">
        <f t="shared" si="6"/>
        <v>0</v>
      </c>
      <c r="CL23" s="55">
        <f t="shared" si="6"/>
        <v>0</v>
      </c>
    </row>
    <row r="24" spans="1:90" ht="15" customHeight="1" x14ac:dyDescent="0.3">
      <c r="A24" s="5845"/>
      <c r="B24" s="526" t="s">
        <v>231</v>
      </c>
      <c r="C24" s="724">
        <f t="shared" si="1"/>
        <v>0</v>
      </c>
      <c r="D24" s="2236">
        <f t="shared" si="2"/>
        <v>0</v>
      </c>
      <c r="E24" s="640">
        <f t="shared" si="2"/>
        <v>0</v>
      </c>
      <c r="F24" s="876"/>
      <c r="G24" s="2009"/>
      <c r="H24" s="876"/>
      <c r="I24" s="2009"/>
      <c r="J24" s="876"/>
      <c r="K24" s="2009"/>
      <c r="L24" s="876"/>
      <c r="M24" s="2009"/>
      <c r="N24" s="2049"/>
      <c r="O24" s="2009"/>
      <c r="P24" s="2049"/>
      <c r="Q24" s="2237"/>
      <c r="R24" s="1913"/>
      <c r="S24" s="877"/>
      <c r="T24" s="2227" t="str">
        <f t="shared" si="3"/>
        <v/>
      </c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2228"/>
      <c r="AZ24" s="2228"/>
      <c r="BA24" s="2228"/>
      <c r="BB24" s="2228"/>
      <c r="BC24" s="2228"/>
      <c r="BD24" s="2228"/>
      <c r="BE24" s="2228"/>
      <c r="BF24" s="2228"/>
      <c r="BG24" s="2228"/>
      <c r="BH24" s="2228"/>
      <c r="BI24" s="2228"/>
      <c r="BJ24" s="2228"/>
      <c r="BK24" s="2228"/>
      <c r="BL24" s="2228"/>
      <c r="BM24" s="2228"/>
      <c r="BN24" s="2228"/>
      <c r="BO24" s="2228"/>
      <c r="BP24" s="2228"/>
      <c r="BQ24" s="2228"/>
      <c r="BR24" s="2228"/>
      <c r="BS24" s="2228"/>
      <c r="BT24" s="2228"/>
      <c r="BU24" s="2228"/>
      <c r="BV24" s="2228"/>
      <c r="BW24" s="2228"/>
      <c r="BX24" s="2228"/>
      <c r="BY24" s="2228"/>
      <c r="BZ24" s="2228"/>
      <c r="CA24" s="2229" t="str">
        <f t="shared" si="4"/>
        <v/>
      </c>
      <c r="CB24" s="2229" t="str">
        <f t="shared" si="5"/>
        <v/>
      </c>
      <c r="CC24" s="2228"/>
      <c r="CD24" s="2228"/>
      <c r="CE24" s="99"/>
      <c r="CF24" s="99"/>
      <c r="CG24" s="99"/>
      <c r="CH24" s="99"/>
      <c r="CI24" s="99"/>
      <c r="CK24" s="55">
        <f t="shared" si="6"/>
        <v>0</v>
      </c>
      <c r="CL24" s="55">
        <f t="shared" si="6"/>
        <v>0</v>
      </c>
    </row>
    <row r="25" spans="1:90" x14ac:dyDescent="0.3">
      <c r="A25" s="5843" t="s">
        <v>232</v>
      </c>
      <c r="B25" s="2231" t="s">
        <v>233</v>
      </c>
      <c r="C25" s="2206">
        <f t="shared" si="1"/>
        <v>0</v>
      </c>
      <c r="D25" s="2232">
        <f t="shared" si="2"/>
        <v>0</v>
      </c>
      <c r="E25" s="2208">
        <f t="shared" si="2"/>
        <v>0</v>
      </c>
      <c r="F25" s="2209"/>
      <c r="G25" s="1996"/>
      <c r="H25" s="2209"/>
      <c r="I25" s="1996"/>
      <c r="J25" s="2209"/>
      <c r="K25" s="1996"/>
      <c r="L25" s="2209"/>
      <c r="M25" s="1996"/>
      <c r="N25" s="2238"/>
      <c r="O25" s="1996"/>
      <c r="P25" s="2238"/>
      <c r="Q25" s="2239"/>
      <c r="R25" s="1997"/>
      <c r="S25" s="2210"/>
      <c r="T25" s="2227" t="str">
        <f t="shared" si="3"/>
        <v/>
      </c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2228"/>
      <c r="AZ25" s="2228"/>
      <c r="BA25" s="2228"/>
      <c r="BB25" s="2228"/>
      <c r="BC25" s="2228"/>
      <c r="BD25" s="2228"/>
      <c r="BE25" s="2228"/>
      <c r="BF25" s="2228"/>
      <c r="BG25" s="2228"/>
      <c r="BH25" s="2228"/>
      <c r="BI25" s="2228"/>
      <c r="BJ25" s="2228"/>
      <c r="BK25" s="2228"/>
      <c r="BL25" s="2228"/>
      <c r="BM25" s="2228"/>
      <c r="BN25" s="2228"/>
      <c r="BO25" s="2228"/>
      <c r="BP25" s="2228"/>
      <c r="BQ25" s="2228"/>
      <c r="BR25" s="2228"/>
      <c r="BS25" s="2228"/>
      <c r="BT25" s="2228"/>
      <c r="BU25" s="2228"/>
      <c r="BV25" s="2228"/>
      <c r="BW25" s="2228"/>
      <c r="BX25" s="2228"/>
      <c r="BY25" s="2228"/>
      <c r="BZ25" s="2228"/>
      <c r="CA25" s="2229" t="str">
        <f t="shared" si="4"/>
        <v/>
      </c>
      <c r="CB25" s="2229" t="str">
        <f t="shared" si="5"/>
        <v/>
      </c>
      <c r="CC25" s="2228"/>
      <c r="CD25" s="2228"/>
      <c r="CE25" s="99"/>
      <c r="CF25" s="99"/>
      <c r="CG25" s="99"/>
      <c r="CH25" s="99"/>
      <c r="CI25" s="99"/>
      <c r="CK25" s="55">
        <f t="shared" si="6"/>
        <v>0</v>
      </c>
      <c r="CL25" s="55">
        <f t="shared" si="6"/>
        <v>0</v>
      </c>
    </row>
    <row r="26" spans="1:90" ht="15" customHeight="1" x14ac:dyDescent="0.3">
      <c r="A26" s="5844"/>
      <c r="B26" s="2240" t="s">
        <v>234</v>
      </c>
      <c r="C26" s="317">
        <f t="shared" si="1"/>
        <v>0</v>
      </c>
      <c r="D26" s="2233">
        <f t="shared" si="2"/>
        <v>0</v>
      </c>
      <c r="E26" s="141">
        <f t="shared" si="2"/>
        <v>0</v>
      </c>
      <c r="F26" s="327"/>
      <c r="G26" s="905"/>
      <c r="H26" s="327"/>
      <c r="I26" s="905"/>
      <c r="J26" s="327"/>
      <c r="K26" s="905"/>
      <c r="L26" s="327"/>
      <c r="M26" s="905"/>
      <c r="N26" s="252"/>
      <c r="O26" s="905"/>
      <c r="P26" s="252"/>
      <c r="Q26" s="1158"/>
      <c r="R26" s="337"/>
      <c r="S26" s="142"/>
      <c r="T26" s="2227" t="str">
        <f t="shared" si="3"/>
        <v/>
      </c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2228"/>
      <c r="AZ26" s="2228"/>
      <c r="BA26" s="2228"/>
      <c r="BB26" s="2228"/>
      <c r="BC26" s="2228"/>
      <c r="BD26" s="2228"/>
      <c r="BE26" s="2228"/>
      <c r="BF26" s="2228"/>
      <c r="BG26" s="2228"/>
      <c r="BH26" s="2228"/>
      <c r="BI26" s="2228"/>
      <c r="BJ26" s="2228"/>
      <c r="BK26" s="2228"/>
      <c r="BL26" s="2228"/>
      <c r="BM26" s="2228"/>
      <c r="BN26" s="2228"/>
      <c r="BO26" s="2228"/>
      <c r="BP26" s="2228"/>
      <c r="BQ26" s="2228"/>
      <c r="BR26" s="2228"/>
      <c r="BS26" s="2228"/>
      <c r="BT26" s="2228"/>
      <c r="BU26" s="2228"/>
      <c r="BV26" s="2228"/>
      <c r="BW26" s="2228"/>
      <c r="BX26" s="2228"/>
      <c r="BY26" s="2228"/>
      <c r="BZ26" s="2228"/>
      <c r="CA26" s="2229" t="str">
        <f t="shared" si="4"/>
        <v/>
      </c>
      <c r="CB26" s="2229" t="str">
        <f t="shared" si="5"/>
        <v/>
      </c>
      <c r="CC26" s="2228"/>
      <c r="CD26" s="2228"/>
      <c r="CE26" s="99"/>
      <c r="CF26" s="99"/>
      <c r="CG26" s="99"/>
      <c r="CH26" s="99"/>
      <c r="CI26" s="99"/>
      <c r="CK26" s="55">
        <f t="shared" si="6"/>
        <v>0</v>
      </c>
      <c r="CL26" s="55">
        <f t="shared" si="6"/>
        <v>0</v>
      </c>
    </row>
    <row r="27" spans="1:90" ht="15" customHeight="1" x14ac:dyDescent="0.3">
      <c r="A27" s="5844"/>
      <c r="B27" s="2240" t="s">
        <v>235</v>
      </c>
      <c r="C27" s="317">
        <f t="shared" si="1"/>
        <v>0</v>
      </c>
      <c r="D27" s="2233">
        <f t="shared" si="2"/>
        <v>0</v>
      </c>
      <c r="E27" s="141">
        <f t="shared" si="2"/>
        <v>0</v>
      </c>
      <c r="F27" s="327"/>
      <c r="G27" s="905"/>
      <c r="H27" s="327"/>
      <c r="I27" s="905"/>
      <c r="J27" s="327"/>
      <c r="K27" s="905"/>
      <c r="L27" s="327"/>
      <c r="M27" s="905"/>
      <c r="N27" s="252"/>
      <c r="O27" s="905"/>
      <c r="P27" s="252"/>
      <c r="Q27" s="1158"/>
      <c r="R27" s="337"/>
      <c r="S27" s="142"/>
      <c r="T27" s="2227" t="str">
        <f t="shared" si="3"/>
        <v/>
      </c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2228"/>
      <c r="AZ27" s="2228"/>
      <c r="BA27" s="2228"/>
      <c r="BB27" s="2228"/>
      <c r="BC27" s="2228"/>
      <c r="BD27" s="2228"/>
      <c r="BE27" s="2228"/>
      <c r="BF27" s="2228"/>
      <c r="BG27" s="2228"/>
      <c r="BH27" s="2228"/>
      <c r="BI27" s="2228"/>
      <c r="BJ27" s="2228"/>
      <c r="BK27" s="2228"/>
      <c r="BL27" s="2228"/>
      <c r="BM27" s="2228"/>
      <c r="BN27" s="2228"/>
      <c r="BO27" s="2228"/>
      <c r="BP27" s="2228"/>
      <c r="BQ27" s="2228"/>
      <c r="BR27" s="2228"/>
      <c r="BS27" s="2228"/>
      <c r="BT27" s="2228"/>
      <c r="BU27" s="2228"/>
      <c r="BV27" s="2228"/>
      <c r="BW27" s="2228"/>
      <c r="BX27" s="2228"/>
      <c r="BY27" s="2228"/>
      <c r="BZ27" s="2228"/>
      <c r="CA27" s="2229" t="str">
        <f t="shared" si="4"/>
        <v/>
      </c>
      <c r="CB27" s="2229" t="str">
        <f t="shared" si="5"/>
        <v/>
      </c>
      <c r="CC27" s="2228"/>
      <c r="CD27" s="2228"/>
      <c r="CE27" s="99"/>
      <c r="CF27" s="99"/>
      <c r="CG27" s="99"/>
      <c r="CH27" s="99"/>
      <c r="CI27" s="99"/>
      <c r="CK27" s="55">
        <f t="shared" si="6"/>
        <v>0</v>
      </c>
      <c r="CL27" s="55">
        <f t="shared" si="6"/>
        <v>0</v>
      </c>
    </row>
    <row r="28" spans="1:90" ht="15" customHeight="1" x14ac:dyDescent="0.3">
      <c r="A28" s="5844"/>
      <c r="B28" s="2241" t="s">
        <v>236</v>
      </c>
      <c r="C28" s="2242">
        <f t="shared" si="1"/>
        <v>0</v>
      </c>
      <c r="D28" s="2243">
        <f t="shared" si="2"/>
        <v>0</v>
      </c>
      <c r="E28" s="213">
        <f t="shared" si="2"/>
        <v>0</v>
      </c>
      <c r="F28" s="327"/>
      <c r="G28" s="905"/>
      <c r="H28" s="327"/>
      <c r="I28" s="905"/>
      <c r="J28" s="327"/>
      <c r="K28" s="905"/>
      <c r="L28" s="327"/>
      <c r="M28" s="905"/>
      <c r="N28" s="252"/>
      <c r="O28" s="905"/>
      <c r="P28" s="252"/>
      <c r="Q28" s="1158"/>
      <c r="R28" s="337"/>
      <c r="S28" s="142"/>
      <c r="T28" s="2227" t="str">
        <f t="shared" si="3"/>
        <v/>
      </c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2228"/>
      <c r="AZ28" s="2228"/>
      <c r="BA28" s="2228"/>
      <c r="BB28" s="2228"/>
      <c r="BC28" s="2228"/>
      <c r="BD28" s="2228"/>
      <c r="BE28" s="2228"/>
      <c r="BF28" s="2228"/>
      <c r="BG28" s="2228"/>
      <c r="BH28" s="2228"/>
      <c r="BI28" s="2228"/>
      <c r="BJ28" s="2228"/>
      <c r="BK28" s="2228"/>
      <c r="BL28" s="2228"/>
      <c r="BM28" s="2228"/>
      <c r="BN28" s="2228"/>
      <c r="BO28" s="2228"/>
      <c r="BP28" s="2228"/>
      <c r="BQ28" s="2228"/>
      <c r="BR28" s="2228"/>
      <c r="BS28" s="2228"/>
      <c r="BT28" s="2228"/>
      <c r="BU28" s="2228"/>
      <c r="BV28" s="2228"/>
      <c r="BW28" s="2228"/>
      <c r="BX28" s="2228"/>
      <c r="BY28" s="2228"/>
      <c r="BZ28" s="2228"/>
      <c r="CA28" s="2229" t="str">
        <f t="shared" si="4"/>
        <v/>
      </c>
      <c r="CB28" s="2229" t="str">
        <f t="shared" si="5"/>
        <v/>
      </c>
      <c r="CC28" s="2228"/>
      <c r="CD28" s="2228"/>
      <c r="CE28" s="99"/>
      <c r="CF28" s="99"/>
      <c r="CG28" s="99"/>
      <c r="CH28" s="99"/>
      <c r="CI28" s="99"/>
      <c r="CK28" s="55">
        <f t="shared" si="6"/>
        <v>0</v>
      </c>
      <c r="CL28" s="55">
        <f t="shared" si="6"/>
        <v>0</v>
      </c>
    </row>
    <row r="29" spans="1:90" x14ac:dyDescent="0.3">
      <c r="A29" s="5844"/>
      <c r="B29" s="2241" t="s">
        <v>237</v>
      </c>
      <c r="C29" s="2242">
        <f t="shared" si="1"/>
        <v>0</v>
      </c>
      <c r="D29" s="2243">
        <f t="shared" si="2"/>
        <v>0</v>
      </c>
      <c r="E29" s="213">
        <f t="shared" si="2"/>
        <v>0</v>
      </c>
      <c r="F29" s="327"/>
      <c r="G29" s="905"/>
      <c r="H29" s="327"/>
      <c r="I29" s="905"/>
      <c r="J29" s="327"/>
      <c r="K29" s="905"/>
      <c r="L29" s="327"/>
      <c r="M29" s="905"/>
      <c r="N29" s="252"/>
      <c r="O29" s="905"/>
      <c r="P29" s="252"/>
      <c r="Q29" s="1158"/>
      <c r="R29" s="337"/>
      <c r="S29" s="142"/>
      <c r="T29" s="2227" t="str">
        <f t="shared" si="3"/>
        <v/>
      </c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2228"/>
      <c r="AZ29" s="2228"/>
      <c r="BA29" s="2228"/>
      <c r="BB29" s="2228"/>
      <c r="BC29" s="2228"/>
      <c r="BD29" s="2228"/>
      <c r="BE29" s="2228"/>
      <c r="BF29" s="2228"/>
      <c r="BG29" s="2228"/>
      <c r="BH29" s="2228"/>
      <c r="BI29" s="2228"/>
      <c r="BJ29" s="2228"/>
      <c r="BK29" s="2228"/>
      <c r="BL29" s="2228"/>
      <c r="BM29" s="2228"/>
      <c r="BN29" s="2228"/>
      <c r="BO29" s="2228"/>
      <c r="BP29" s="2228"/>
      <c r="BQ29" s="2228"/>
      <c r="BR29" s="2228"/>
      <c r="BS29" s="2228"/>
      <c r="BT29" s="2228"/>
      <c r="BU29" s="2228"/>
      <c r="BV29" s="2228"/>
      <c r="BW29" s="2228"/>
      <c r="BX29" s="2228"/>
      <c r="BY29" s="2228"/>
      <c r="BZ29" s="2228"/>
      <c r="CA29" s="2229" t="str">
        <f t="shared" si="4"/>
        <v/>
      </c>
      <c r="CB29" s="2229" t="str">
        <f t="shared" si="5"/>
        <v/>
      </c>
      <c r="CC29" s="2228"/>
      <c r="CD29" s="2228"/>
      <c r="CE29" s="99"/>
      <c r="CF29" s="99"/>
      <c r="CG29" s="99"/>
      <c r="CH29" s="99"/>
      <c r="CI29" s="99"/>
      <c r="CK29" s="55">
        <f t="shared" si="6"/>
        <v>0</v>
      </c>
      <c r="CL29" s="55">
        <f t="shared" si="6"/>
        <v>0</v>
      </c>
    </row>
    <row r="30" spans="1:90" ht="15" customHeight="1" x14ac:dyDescent="0.3">
      <c r="A30" s="5844"/>
      <c r="B30" s="2241" t="s">
        <v>238</v>
      </c>
      <c r="C30" s="2242">
        <f>SUM(D30:E30)</f>
        <v>0</v>
      </c>
      <c r="D30" s="2243">
        <f t="shared" si="2"/>
        <v>0</v>
      </c>
      <c r="E30" s="213">
        <f t="shared" si="2"/>
        <v>0</v>
      </c>
      <c r="F30" s="327"/>
      <c r="G30" s="905"/>
      <c r="H30" s="327"/>
      <c r="I30" s="905"/>
      <c r="J30" s="327"/>
      <c r="K30" s="905"/>
      <c r="L30" s="327"/>
      <c r="M30" s="905"/>
      <c r="N30" s="252"/>
      <c r="O30" s="905"/>
      <c r="P30" s="252"/>
      <c r="Q30" s="1158"/>
      <c r="R30" s="337"/>
      <c r="S30" s="142"/>
      <c r="T30" s="2227" t="str">
        <f t="shared" si="3"/>
        <v/>
      </c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2228"/>
      <c r="AZ30" s="2228"/>
      <c r="BA30" s="2228"/>
      <c r="BB30" s="2228"/>
      <c r="BC30" s="2228"/>
      <c r="BD30" s="2228"/>
      <c r="BE30" s="2228"/>
      <c r="BF30" s="2228"/>
      <c r="BG30" s="2228"/>
      <c r="BH30" s="2228"/>
      <c r="BI30" s="2228"/>
      <c r="BJ30" s="2228"/>
      <c r="BK30" s="2228"/>
      <c r="BL30" s="2228"/>
      <c r="BM30" s="2228"/>
      <c r="BN30" s="2228"/>
      <c r="BO30" s="2228"/>
      <c r="BP30" s="2228"/>
      <c r="BQ30" s="2228"/>
      <c r="BR30" s="2228"/>
      <c r="BS30" s="2228"/>
      <c r="BT30" s="2228"/>
      <c r="BU30" s="2228"/>
      <c r="BV30" s="2228"/>
      <c r="BW30" s="2228"/>
      <c r="BX30" s="2228"/>
      <c r="BY30" s="2228"/>
      <c r="BZ30" s="2228"/>
      <c r="CA30" s="2229" t="str">
        <f t="shared" si="4"/>
        <v/>
      </c>
      <c r="CB30" s="2229" t="str">
        <f t="shared" si="5"/>
        <v/>
      </c>
      <c r="CC30" s="2228"/>
      <c r="CD30" s="2228"/>
      <c r="CE30" s="99"/>
      <c r="CF30" s="99"/>
      <c r="CG30" s="99"/>
      <c r="CH30" s="99"/>
      <c r="CI30" s="99"/>
      <c r="CK30" s="55">
        <f t="shared" si="6"/>
        <v>0</v>
      </c>
      <c r="CL30" s="55">
        <f t="shared" si="6"/>
        <v>0</v>
      </c>
    </row>
    <row r="31" spans="1:90" ht="24.75" customHeight="1" x14ac:dyDescent="0.3">
      <c r="A31" s="5844"/>
      <c r="B31" s="2241" t="s">
        <v>239</v>
      </c>
      <c r="C31" s="2242">
        <f>SUM(D31:E31)</f>
        <v>0</v>
      </c>
      <c r="D31" s="2233">
        <f t="shared" si="2"/>
        <v>0</v>
      </c>
      <c r="E31" s="141">
        <f t="shared" si="2"/>
        <v>0</v>
      </c>
      <c r="F31" s="327"/>
      <c r="G31" s="905"/>
      <c r="H31" s="327"/>
      <c r="I31" s="905"/>
      <c r="J31" s="327"/>
      <c r="K31" s="905"/>
      <c r="L31" s="327"/>
      <c r="M31" s="905"/>
      <c r="N31" s="252"/>
      <c r="O31" s="905"/>
      <c r="P31" s="252"/>
      <c r="Q31" s="1158"/>
      <c r="R31" s="337"/>
      <c r="S31" s="142"/>
      <c r="T31" s="2227" t="str">
        <f t="shared" si="3"/>
        <v/>
      </c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2228"/>
      <c r="AZ31" s="2228"/>
      <c r="BA31" s="2228"/>
      <c r="BB31" s="2228"/>
      <c r="BC31" s="2228"/>
      <c r="BD31" s="2228"/>
      <c r="BE31" s="2228"/>
      <c r="BF31" s="2228"/>
      <c r="BG31" s="2228"/>
      <c r="BH31" s="2228"/>
      <c r="BI31" s="2228"/>
      <c r="BJ31" s="2228"/>
      <c r="BK31" s="2228"/>
      <c r="BL31" s="2228"/>
      <c r="BM31" s="2228"/>
      <c r="BN31" s="2228"/>
      <c r="BO31" s="2228"/>
      <c r="BP31" s="2228"/>
      <c r="BQ31" s="2228"/>
      <c r="BR31" s="2228"/>
      <c r="BS31" s="2228"/>
      <c r="BT31" s="2228"/>
      <c r="BU31" s="2228"/>
      <c r="BV31" s="2228"/>
      <c r="BW31" s="2228"/>
      <c r="BX31" s="2228"/>
      <c r="BY31" s="2228"/>
      <c r="BZ31" s="2228"/>
      <c r="CA31" s="2229" t="str">
        <f t="shared" si="4"/>
        <v/>
      </c>
      <c r="CB31" s="2229" t="str">
        <f t="shared" si="5"/>
        <v/>
      </c>
      <c r="CC31" s="2228"/>
      <c r="CD31" s="2228"/>
      <c r="CE31" s="99"/>
      <c r="CF31" s="99"/>
      <c r="CG31" s="99"/>
      <c r="CH31" s="99"/>
      <c r="CI31" s="99"/>
      <c r="CK31" s="55">
        <f t="shared" si="6"/>
        <v>0</v>
      </c>
      <c r="CL31" s="55">
        <f t="shared" si="6"/>
        <v>0</v>
      </c>
    </row>
    <row r="32" spans="1:90" ht="15" customHeight="1" x14ac:dyDescent="0.3">
      <c r="A32" s="5844"/>
      <c r="B32" s="2241" t="s">
        <v>240</v>
      </c>
      <c r="C32" s="317">
        <f t="shared" ref="C32:C41" si="7">SUM(D32+E32)</f>
        <v>0</v>
      </c>
      <c r="D32" s="2233">
        <f t="shared" si="2"/>
        <v>0</v>
      </c>
      <c r="E32" s="141">
        <f t="shared" si="2"/>
        <v>0</v>
      </c>
      <c r="F32" s="329"/>
      <c r="G32" s="2003"/>
      <c r="H32" s="329"/>
      <c r="I32" s="2003"/>
      <c r="J32" s="329"/>
      <c r="K32" s="2003"/>
      <c r="L32" s="329"/>
      <c r="M32" s="2003"/>
      <c r="N32" s="2234"/>
      <c r="O32" s="2003"/>
      <c r="P32" s="2234"/>
      <c r="Q32" s="2235"/>
      <c r="R32" s="2004"/>
      <c r="S32" s="330"/>
      <c r="T32" s="2227" t="str">
        <f t="shared" si="3"/>
        <v/>
      </c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2228"/>
      <c r="AZ32" s="2228"/>
      <c r="BA32" s="2228"/>
      <c r="BB32" s="2228"/>
      <c r="BC32" s="2228"/>
      <c r="BD32" s="2228"/>
      <c r="BE32" s="2228"/>
      <c r="BF32" s="2228"/>
      <c r="BG32" s="2228"/>
      <c r="BH32" s="2228"/>
      <c r="BI32" s="2228"/>
      <c r="BJ32" s="2228"/>
      <c r="BK32" s="2228"/>
      <c r="BL32" s="2228"/>
      <c r="BM32" s="2228"/>
      <c r="BN32" s="2228"/>
      <c r="BO32" s="2228"/>
      <c r="BP32" s="2228"/>
      <c r="BQ32" s="2228"/>
      <c r="BR32" s="2228"/>
      <c r="BS32" s="2228"/>
      <c r="BT32" s="2228"/>
      <c r="BU32" s="2228"/>
      <c r="BV32" s="2228"/>
      <c r="BW32" s="2228"/>
      <c r="BX32" s="2228"/>
      <c r="BY32" s="2228"/>
      <c r="BZ32" s="2228"/>
      <c r="CA32" s="2229" t="str">
        <f t="shared" si="4"/>
        <v/>
      </c>
      <c r="CB32" s="2229" t="str">
        <f t="shared" si="5"/>
        <v/>
      </c>
      <c r="CC32" s="2228"/>
      <c r="CD32" s="2228"/>
      <c r="CE32" s="99"/>
      <c r="CF32" s="99"/>
      <c r="CG32" s="99"/>
      <c r="CH32" s="99"/>
      <c r="CI32" s="99"/>
      <c r="CK32" s="55">
        <f t="shared" si="6"/>
        <v>0</v>
      </c>
      <c r="CL32" s="55">
        <f t="shared" si="6"/>
        <v>0</v>
      </c>
    </row>
    <row r="33" spans="1:90" ht="15" customHeight="1" x14ac:dyDescent="0.3">
      <c r="A33" s="5844"/>
      <c r="B33" s="19" t="s">
        <v>241</v>
      </c>
      <c r="C33" s="760">
        <f t="shared" si="7"/>
        <v>0</v>
      </c>
      <c r="D33" s="774">
        <f t="shared" si="2"/>
        <v>0</v>
      </c>
      <c r="E33" s="345">
        <f t="shared" si="2"/>
        <v>0</v>
      </c>
      <c r="F33" s="212"/>
      <c r="G33" s="1161"/>
      <c r="H33" s="212"/>
      <c r="I33" s="1161"/>
      <c r="J33" s="212"/>
      <c r="K33" s="1161"/>
      <c r="L33" s="212"/>
      <c r="M33" s="1161"/>
      <c r="N33" s="2244"/>
      <c r="O33" s="1161"/>
      <c r="P33" s="2244"/>
      <c r="Q33" s="1163"/>
      <c r="R33" s="1017"/>
      <c r="S33" s="34"/>
      <c r="T33" s="2227" t="str">
        <f t="shared" si="3"/>
        <v/>
      </c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2228"/>
      <c r="AZ33" s="2228"/>
      <c r="BA33" s="2228"/>
      <c r="BB33" s="2228"/>
      <c r="BC33" s="2228"/>
      <c r="BD33" s="2228"/>
      <c r="BE33" s="2228"/>
      <c r="BF33" s="2228"/>
      <c r="BG33" s="2228"/>
      <c r="BH33" s="2228"/>
      <c r="BI33" s="2228"/>
      <c r="BJ33" s="2228"/>
      <c r="BK33" s="2228"/>
      <c r="BL33" s="2228"/>
      <c r="BM33" s="2228"/>
      <c r="BN33" s="2228"/>
      <c r="BO33" s="2228"/>
      <c r="BP33" s="2228"/>
      <c r="BQ33" s="2228"/>
      <c r="BR33" s="2228"/>
      <c r="BS33" s="2228"/>
      <c r="BT33" s="2228"/>
      <c r="BU33" s="2228"/>
      <c r="BV33" s="2228"/>
      <c r="BW33" s="2228"/>
      <c r="BX33" s="2228"/>
      <c r="BY33" s="2228"/>
      <c r="BZ33" s="2228"/>
      <c r="CA33" s="2229" t="str">
        <f t="shared" si="4"/>
        <v/>
      </c>
      <c r="CB33" s="2229" t="str">
        <f t="shared" si="5"/>
        <v/>
      </c>
      <c r="CC33" s="2228"/>
      <c r="CD33" s="2228"/>
      <c r="CE33" s="99"/>
      <c r="CF33" s="99"/>
      <c r="CG33" s="99"/>
      <c r="CH33" s="99"/>
      <c r="CI33" s="99"/>
      <c r="CK33" s="55">
        <f t="shared" si="6"/>
        <v>0</v>
      </c>
      <c r="CL33" s="55">
        <f t="shared" si="6"/>
        <v>0</v>
      </c>
    </row>
    <row r="34" spans="1:90" ht="15" customHeight="1" x14ac:dyDescent="0.3">
      <c r="A34" s="5844"/>
      <c r="B34" s="361" t="s">
        <v>242</v>
      </c>
      <c r="C34" s="760">
        <f t="shared" si="7"/>
        <v>0</v>
      </c>
      <c r="D34" s="774">
        <f t="shared" si="2"/>
        <v>0</v>
      </c>
      <c r="E34" s="345">
        <f t="shared" si="2"/>
        <v>0</v>
      </c>
      <c r="F34" s="212"/>
      <c r="G34" s="1161"/>
      <c r="H34" s="212"/>
      <c r="I34" s="1161"/>
      <c r="J34" s="212"/>
      <c r="K34" s="1161"/>
      <c r="L34" s="212"/>
      <c r="M34" s="1161"/>
      <c r="N34" s="2244"/>
      <c r="O34" s="1161"/>
      <c r="P34" s="2244"/>
      <c r="Q34" s="1163"/>
      <c r="R34" s="1017"/>
      <c r="S34" s="34"/>
      <c r="T34" s="2227" t="str">
        <f t="shared" si="3"/>
        <v/>
      </c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2228"/>
      <c r="AZ34" s="2228"/>
      <c r="BA34" s="2228"/>
      <c r="BB34" s="2228"/>
      <c r="BC34" s="2228"/>
      <c r="BD34" s="2228"/>
      <c r="BE34" s="2228"/>
      <c r="BF34" s="2228"/>
      <c r="BG34" s="2228"/>
      <c r="BH34" s="2228"/>
      <c r="BI34" s="2228"/>
      <c r="BJ34" s="2228"/>
      <c r="BK34" s="2228"/>
      <c r="BL34" s="2228"/>
      <c r="BM34" s="2228"/>
      <c r="BN34" s="2228"/>
      <c r="BO34" s="2228"/>
      <c r="BP34" s="2228"/>
      <c r="BQ34" s="2228"/>
      <c r="BR34" s="2228"/>
      <c r="BS34" s="2228"/>
      <c r="BT34" s="2228"/>
      <c r="BU34" s="2228"/>
      <c r="BV34" s="2228"/>
      <c r="BW34" s="2228"/>
      <c r="BX34" s="2228"/>
      <c r="BY34" s="2228"/>
      <c r="BZ34" s="2228"/>
      <c r="CA34" s="2229" t="str">
        <f t="shared" si="4"/>
        <v/>
      </c>
      <c r="CB34" s="2229" t="str">
        <f t="shared" si="5"/>
        <v/>
      </c>
      <c r="CC34" s="2228"/>
      <c r="CD34" s="2228"/>
      <c r="CE34" s="99"/>
      <c r="CF34" s="99"/>
      <c r="CG34" s="99"/>
      <c r="CH34" s="99"/>
      <c r="CI34" s="99"/>
      <c r="CK34" s="55">
        <f t="shared" si="6"/>
        <v>0</v>
      </c>
      <c r="CL34" s="55">
        <f t="shared" si="6"/>
        <v>0</v>
      </c>
    </row>
    <row r="35" spans="1:90" ht="15" customHeight="1" x14ac:dyDescent="0.3">
      <c r="A35" s="5844"/>
      <c r="B35" s="2245" t="s">
        <v>243</v>
      </c>
      <c r="C35" s="201">
        <f t="shared" si="7"/>
        <v>0</v>
      </c>
      <c r="D35" s="248">
        <f t="shared" si="2"/>
        <v>0</v>
      </c>
      <c r="E35" s="43">
        <f t="shared" si="2"/>
        <v>0</v>
      </c>
      <c r="F35" s="212"/>
      <c r="G35" s="1161"/>
      <c r="H35" s="212"/>
      <c r="I35" s="1161"/>
      <c r="J35" s="212"/>
      <c r="K35" s="1161"/>
      <c r="L35" s="212"/>
      <c r="M35" s="1161"/>
      <c r="N35" s="2244"/>
      <c r="O35" s="1161"/>
      <c r="P35" s="2244"/>
      <c r="Q35" s="1163"/>
      <c r="R35" s="1017"/>
      <c r="S35" s="34"/>
      <c r="T35" s="2227" t="str">
        <f t="shared" si="3"/>
        <v/>
      </c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2228"/>
      <c r="AZ35" s="2228"/>
      <c r="BA35" s="2228"/>
      <c r="BB35" s="2228"/>
      <c r="BC35" s="2228"/>
      <c r="BD35" s="2228"/>
      <c r="BE35" s="2228"/>
      <c r="BF35" s="2228"/>
      <c r="BG35" s="2228"/>
      <c r="BH35" s="2228"/>
      <c r="BI35" s="2228"/>
      <c r="BJ35" s="2228"/>
      <c r="BK35" s="2228"/>
      <c r="BL35" s="2228"/>
      <c r="BM35" s="2228"/>
      <c r="BN35" s="2228"/>
      <c r="BO35" s="2228"/>
      <c r="BP35" s="2228"/>
      <c r="BQ35" s="2228"/>
      <c r="BR35" s="2228"/>
      <c r="BS35" s="2228"/>
      <c r="BT35" s="2228"/>
      <c r="BU35" s="2228"/>
      <c r="BV35" s="2228"/>
      <c r="BW35" s="2228"/>
      <c r="BX35" s="2228"/>
      <c r="BY35" s="2228"/>
      <c r="BZ35" s="2228"/>
      <c r="CA35" s="2229" t="str">
        <f t="shared" si="4"/>
        <v/>
      </c>
      <c r="CB35" s="2229" t="str">
        <f t="shared" si="5"/>
        <v/>
      </c>
      <c r="CC35" s="2228"/>
      <c r="CD35" s="2228"/>
      <c r="CE35" s="99"/>
      <c r="CF35" s="99"/>
      <c r="CG35" s="99"/>
      <c r="CH35" s="99"/>
      <c r="CI35" s="99"/>
      <c r="CK35" s="55">
        <f t="shared" si="6"/>
        <v>0</v>
      </c>
      <c r="CL35" s="55">
        <f t="shared" si="6"/>
        <v>0</v>
      </c>
    </row>
    <row r="36" spans="1:90" x14ac:dyDescent="0.3">
      <c r="A36" s="5845"/>
      <c r="B36" s="2246" t="s">
        <v>244</v>
      </c>
      <c r="C36" s="724">
        <f t="shared" si="7"/>
        <v>0</v>
      </c>
      <c r="D36" s="2236">
        <f t="shared" si="2"/>
        <v>0</v>
      </c>
      <c r="E36" s="640">
        <f t="shared" si="2"/>
        <v>0</v>
      </c>
      <c r="F36" s="876"/>
      <c r="G36" s="2009"/>
      <c r="H36" s="876"/>
      <c r="I36" s="2009"/>
      <c r="J36" s="876"/>
      <c r="K36" s="2009"/>
      <c r="L36" s="876"/>
      <c r="M36" s="2009"/>
      <c r="N36" s="2049"/>
      <c r="O36" s="2009"/>
      <c r="P36" s="2049"/>
      <c r="Q36" s="2237"/>
      <c r="R36" s="1913"/>
      <c r="S36" s="877"/>
      <c r="T36" s="2227" t="str">
        <f t="shared" si="3"/>
        <v/>
      </c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2228"/>
      <c r="AZ36" s="2228"/>
      <c r="BA36" s="2228"/>
      <c r="BB36" s="2228"/>
      <c r="BC36" s="2228"/>
      <c r="BD36" s="2228"/>
      <c r="BE36" s="2228"/>
      <c r="BF36" s="2228"/>
      <c r="BG36" s="2228"/>
      <c r="BH36" s="2228"/>
      <c r="BI36" s="2228"/>
      <c r="BJ36" s="2228"/>
      <c r="BK36" s="2228"/>
      <c r="BL36" s="2228"/>
      <c r="BM36" s="2228"/>
      <c r="BN36" s="2228"/>
      <c r="BO36" s="2228"/>
      <c r="BP36" s="2228"/>
      <c r="BQ36" s="2228"/>
      <c r="BR36" s="2228"/>
      <c r="BS36" s="2228"/>
      <c r="BT36" s="2228"/>
      <c r="BU36" s="2228"/>
      <c r="BV36" s="2228"/>
      <c r="BW36" s="2228"/>
      <c r="BX36" s="2228"/>
      <c r="BY36" s="2228"/>
      <c r="BZ36" s="2228"/>
      <c r="CA36" s="2229" t="str">
        <f t="shared" si="4"/>
        <v/>
      </c>
      <c r="CB36" s="2229" t="str">
        <f t="shared" si="5"/>
        <v/>
      </c>
      <c r="CC36" s="2228"/>
      <c r="CD36" s="2228"/>
      <c r="CE36" s="99"/>
      <c r="CF36" s="99"/>
      <c r="CG36" s="99"/>
      <c r="CH36" s="99"/>
      <c r="CI36" s="99"/>
      <c r="CK36" s="55">
        <f t="shared" si="6"/>
        <v>0</v>
      </c>
      <c r="CL36" s="55">
        <f t="shared" si="6"/>
        <v>0</v>
      </c>
    </row>
    <row r="37" spans="1:90" ht="15" customHeight="1" x14ac:dyDescent="0.3">
      <c r="A37" s="6091" t="s">
        <v>245</v>
      </c>
      <c r="B37" s="319" t="s">
        <v>230</v>
      </c>
      <c r="C37" s="317">
        <f t="shared" si="7"/>
        <v>0</v>
      </c>
      <c r="D37" s="2233">
        <f t="shared" si="2"/>
        <v>0</v>
      </c>
      <c r="E37" s="141">
        <f t="shared" si="2"/>
        <v>0</v>
      </c>
      <c r="F37" s="327"/>
      <c r="G37" s="905"/>
      <c r="H37" s="327"/>
      <c r="I37" s="905"/>
      <c r="J37" s="327"/>
      <c r="K37" s="905"/>
      <c r="L37" s="327"/>
      <c r="M37" s="905"/>
      <c r="N37" s="327"/>
      <c r="O37" s="905"/>
      <c r="P37" s="252"/>
      <c r="Q37" s="1158"/>
      <c r="R37" s="337"/>
      <c r="S37" s="142"/>
      <c r="T37" s="2227" t="str">
        <f t="shared" si="3"/>
        <v/>
      </c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2228"/>
      <c r="AZ37" s="2228"/>
      <c r="BA37" s="2228"/>
      <c r="BB37" s="2228"/>
      <c r="BC37" s="2228"/>
      <c r="BD37" s="2228"/>
      <c r="BE37" s="2228"/>
      <c r="BF37" s="2228"/>
      <c r="BG37" s="2228"/>
      <c r="BH37" s="2228"/>
      <c r="BI37" s="2228"/>
      <c r="BJ37" s="2228"/>
      <c r="BK37" s="2228"/>
      <c r="BL37" s="2228"/>
      <c r="BM37" s="2228"/>
      <c r="BN37" s="2228"/>
      <c r="BO37" s="2228"/>
      <c r="BP37" s="2228"/>
      <c r="BQ37" s="2228"/>
      <c r="BR37" s="2228"/>
      <c r="BS37" s="2228"/>
      <c r="BT37" s="2228"/>
      <c r="BU37" s="2228"/>
      <c r="BV37" s="2228"/>
      <c r="BW37" s="2228"/>
      <c r="BX37" s="2228"/>
      <c r="BY37" s="2228"/>
      <c r="BZ37" s="2228"/>
      <c r="CA37" s="2229" t="str">
        <f t="shared" si="4"/>
        <v/>
      </c>
      <c r="CB37" s="2229" t="str">
        <f t="shared" si="5"/>
        <v/>
      </c>
      <c r="CC37" s="2228"/>
      <c r="CD37" s="2228"/>
      <c r="CE37" s="99"/>
      <c r="CF37" s="99"/>
      <c r="CG37" s="99"/>
      <c r="CH37" s="99"/>
      <c r="CI37" s="99"/>
      <c r="CK37" s="55">
        <f t="shared" si="6"/>
        <v>0</v>
      </c>
      <c r="CL37" s="55">
        <f t="shared" si="6"/>
        <v>0</v>
      </c>
    </row>
    <row r="38" spans="1:90" ht="15" customHeight="1" x14ac:dyDescent="0.3">
      <c r="A38" s="6091"/>
      <c r="B38" s="526" t="s">
        <v>231</v>
      </c>
      <c r="C38" s="202">
        <f t="shared" si="7"/>
        <v>0</v>
      </c>
      <c r="D38" s="775">
        <f t="shared" si="2"/>
        <v>0</v>
      </c>
      <c r="E38" s="10">
        <f t="shared" si="2"/>
        <v>0</v>
      </c>
      <c r="F38" s="212"/>
      <c r="G38" s="1161"/>
      <c r="H38" s="212"/>
      <c r="I38" s="1161"/>
      <c r="J38" s="212"/>
      <c r="K38" s="1161"/>
      <c r="L38" s="212"/>
      <c r="M38" s="1161"/>
      <c r="N38" s="212"/>
      <c r="O38" s="1161"/>
      <c r="P38" s="2244"/>
      <c r="Q38" s="1163"/>
      <c r="R38" s="1017"/>
      <c r="S38" s="34"/>
      <c r="T38" s="2227" t="str">
        <f t="shared" si="3"/>
        <v/>
      </c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2228"/>
      <c r="AZ38" s="2228"/>
      <c r="BA38" s="2228"/>
      <c r="BB38" s="2228"/>
      <c r="BC38" s="2228"/>
      <c r="BD38" s="2228"/>
      <c r="BE38" s="2228"/>
      <c r="BF38" s="2228"/>
      <c r="BG38" s="2228"/>
      <c r="BH38" s="2228"/>
      <c r="BI38" s="2228"/>
      <c r="BJ38" s="2228"/>
      <c r="BK38" s="2228"/>
      <c r="BL38" s="2228"/>
      <c r="BM38" s="2228"/>
      <c r="BN38" s="2228"/>
      <c r="BO38" s="2228"/>
      <c r="BP38" s="2228"/>
      <c r="BQ38" s="2228"/>
      <c r="BR38" s="2228"/>
      <c r="BS38" s="2228"/>
      <c r="BT38" s="2228"/>
      <c r="BU38" s="2228"/>
      <c r="BV38" s="2228"/>
      <c r="BW38" s="2228"/>
      <c r="BX38" s="2228"/>
      <c r="BY38" s="2228"/>
      <c r="BZ38" s="2228"/>
      <c r="CA38" s="2229" t="str">
        <f t="shared" si="4"/>
        <v/>
      </c>
      <c r="CB38" s="2229" t="str">
        <f t="shared" si="5"/>
        <v/>
      </c>
      <c r="CC38" s="2228"/>
      <c r="CD38" s="2228"/>
      <c r="CE38" s="99"/>
      <c r="CF38" s="99"/>
      <c r="CG38" s="99"/>
      <c r="CH38" s="99"/>
      <c r="CI38" s="99"/>
      <c r="CK38" s="55">
        <f t="shared" si="6"/>
        <v>0</v>
      </c>
      <c r="CL38" s="55">
        <f t="shared" si="6"/>
        <v>0</v>
      </c>
    </row>
    <row r="39" spans="1:90" ht="15" customHeight="1" x14ac:dyDescent="0.3">
      <c r="A39" s="5843" t="s">
        <v>246</v>
      </c>
      <c r="B39" s="2230" t="s">
        <v>229</v>
      </c>
      <c r="C39" s="2221">
        <f t="shared" si="7"/>
        <v>0</v>
      </c>
      <c r="D39" s="2222">
        <f t="shared" si="2"/>
        <v>0</v>
      </c>
      <c r="E39" s="2208">
        <f t="shared" si="2"/>
        <v>0</v>
      </c>
      <c r="F39" s="2209"/>
      <c r="G39" s="1996"/>
      <c r="H39" s="2209"/>
      <c r="I39" s="1996"/>
      <c r="J39" s="2209"/>
      <c r="K39" s="1996"/>
      <c r="L39" s="2209"/>
      <c r="M39" s="1996"/>
      <c r="N39" s="2209"/>
      <c r="O39" s="1996"/>
      <c r="P39" s="2238"/>
      <c r="Q39" s="2239"/>
      <c r="R39" s="1997"/>
      <c r="S39" s="2210"/>
      <c r="T39" s="2227" t="str">
        <f t="shared" si="3"/>
        <v/>
      </c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2228"/>
      <c r="AZ39" s="2228"/>
      <c r="BA39" s="2228"/>
      <c r="BB39" s="2228"/>
      <c r="BC39" s="2228"/>
      <c r="BD39" s="2228"/>
      <c r="BE39" s="2228"/>
      <c r="BF39" s="2228"/>
      <c r="BG39" s="2228"/>
      <c r="BH39" s="2228"/>
      <c r="BI39" s="2228"/>
      <c r="BJ39" s="2228"/>
      <c r="BK39" s="2228"/>
      <c r="BL39" s="2228"/>
      <c r="BM39" s="2228"/>
      <c r="BN39" s="2228"/>
      <c r="BO39" s="2228"/>
      <c r="BP39" s="2228"/>
      <c r="BQ39" s="2228"/>
      <c r="BR39" s="2228"/>
      <c r="BS39" s="2228"/>
      <c r="BT39" s="2228"/>
      <c r="BU39" s="2228"/>
      <c r="BV39" s="2228"/>
      <c r="BW39" s="2228"/>
      <c r="BX39" s="2228"/>
      <c r="BY39" s="2228"/>
      <c r="BZ39" s="2228"/>
      <c r="CA39" s="2229" t="str">
        <f t="shared" si="4"/>
        <v/>
      </c>
      <c r="CB39" s="2229" t="str">
        <f t="shared" si="5"/>
        <v/>
      </c>
      <c r="CC39" s="2228"/>
      <c r="CD39" s="2228"/>
      <c r="CE39" s="99"/>
      <c r="CF39" s="99"/>
      <c r="CG39" s="99"/>
      <c r="CH39" s="99"/>
      <c r="CI39" s="99"/>
      <c r="CK39" s="55">
        <f t="shared" si="6"/>
        <v>0</v>
      </c>
      <c r="CL39" s="55">
        <f t="shared" si="6"/>
        <v>0</v>
      </c>
    </row>
    <row r="40" spans="1:90" ht="15" customHeight="1" x14ac:dyDescent="0.3">
      <c r="A40" s="5844"/>
      <c r="B40" s="361" t="s">
        <v>230</v>
      </c>
      <c r="C40" s="760">
        <f t="shared" si="7"/>
        <v>0</v>
      </c>
      <c r="D40" s="774">
        <f t="shared" si="2"/>
        <v>0</v>
      </c>
      <c r="E40" s="345">
        <f t="shared" si="2"/>
        <v>0</v>
      </c>
      <c r="F40" s="329"/>
      <c r="G40" s="2003"/>
      <c r="H40" s="329"/>
      <c r="I40" s="2003"/>
      <c r="J40" s="329"/>
      <c r="K40" s="2003"/>
      <c r="L40" s="329"/>
      <c r="M40" s="2003"/>
      <c r="N40" s="329"/>
      <c r="O40" s="2003"/>
      <c r="P40" s="2234"/>
      <c r="Q40" s="2235"/>
      <c r="R40" s="2004"/>
      <c r="S40" s="330"/>
      <c r="T40" s="2227" t="str">
        <f t="shared" si="3"/>
        <v/>
      </c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2228"/>
      <c r="AZ40" s="2228"/>
      <c r="BA40" s="2228"/>
      <c r="BB40" s="2228"/>
      <c r="BC40" s="2228"/>
      <c r="BD40" s="2228"/>
      <c r="BE40" s="2228"/>
      <c r="BF40" s="2228"/>
      <c r="BG40" s="2228"/>
      <c r="BH40" s="2228"/>
      <c r="BI40" s="2228"/>
      <c r="BJ40" s="2228"/>
      <c r="BK40" s="2228"/>
      <c r="BL40" s="2228"/>
      <c r="BM40" s="2228"/>
      <c r="BN40" s="2228"/>
      <c r="BO40" s="2228"/>
      <c r="BP40" s="2228"/>
      <c r="BQ40" s="2228"/>
      <c r="BR40" s="2228"/>
      <c r="BS40" s="2228"/>
      <c r="BT40" s="2228"/>
      <c r="BU40" s="2228"/>
      <c r="BV40" s="2228"/>
      <c r="BW40" s="2228"/>
      <c r="BX40" s="2228"/>
      <c r="BY40" s="2228"/>
      <c r="BZ40" s="2228"/>
      <c r="CA40" s="2229" t="str">
        <f t="shared" si="4"/>
        <v/>
      </c>
      <c r="CB40" s="2229" t="str">
        <f t="shared" si="5"/>
        <v/>
      </c>
      <c r="CC40" s="2228"/>
      <c r="CD40" s="2228"/>
      <c r="CE40" s="99"/>
      <c r="CF40" s="99"/>
      <c r="CG40" s="99"/>
      <c r="CH40" s="99"/>
      <c r="CI40" s="99"/>
      <c r="CK40" s="55">
        <f t="shared" si="6"/>
        <v>0</v>
      </c>
      <c r="CL40" s="55">
        <f t="shared" si="6"/>
        <v>0</v>
      </c>
    </row>
    <row r="41" spans="1:90" ht="15" customHeight="1" x14ac:dyDescent="0.3">
      <c r="A41" s="5845"/>
      <c r="B41" s="526" t="s">
        <v>231</v>
      </c>
      <c r="C41" s="724">
        <f t="shared" si="7"/>
        <v>0</v>
      </c>
      <c r="D41" s="2236">
        <f t="shared" si="2"/>
        <v>0</v>
      </c>
      <c r="E41" s="640">
        <f t="shared" si="2"/>
        <v>0</v>
      </c>
      <c r="F41" s="876"/>
      <c r="G41" s="2009"/>
      <c r="H41" s="876"/>
      <c r="I41" s="2009"/>
      <c r="J41" s="876"/>
      <c r="K41" s="2009"/>
      <c r="L41" s="876"/>
      <c r="M41" s="2009"/>
      <c r="N41" s="876"/>
      <c r="O41" s="2009"/>
      <c r="P41" s="2049"/>
      <c r="Q41" s="2237"/>
      <c r="R41" s="1913"/>
      <c r="S41" s="877"/>
      <c r="T41" s="2227" t="str">
        <f t="shared" si="3"/>
        <v/>
      </c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2228"/>
      <c r="AZ41" s="2228"/>
      <c r="BA41" s="2228"/>
      <c r="BB41" s="2228"/>
      <c r="BC41" s="2228"/>
      <c r="BD41" s="2228"/>
      <c r="BE41" s="2228"/>
      <c r="BF41" s="2228"/>
      <c r="BG41" s="2228"/>
      <c r="BH41" s="2228"/>
      <c r="BI41" s="2228"/>
      <c r="BJ41" s="2228"/>
      <c r="BK41" s="2228"/>
      <c r="BL41" s="2228"/>
      <c r="BM41" s="2228"/>
      <c r="BN41" s="2228"/>
      <c r="BO41" s="2228"/>
      <c r="BP41" s="2228"/>
      <c r="BQ41" s="2228"/>
      <c r="BR41" s="2228"/>
      <c r="BS41" s="2228"/>
      <c r="BT41" s="2228"/>
      <c r="BU41" s="2228"/>
      <c r="BV41" s="2228"/>
      <c r="BW41" s="2228"/>
      <c r="BX41" s="2228"/>
      <c r="BY41" s="2228"/>
      <c r="BZ41" s="2228"/>
      <c r="CA41" s="2229" t="str">
        <f t="shared" si="4"/>
        <v/>
      </c>
      <c r="CB41" s="2229" t="str">
        <f t="shared" si="5"/>
        <v/>
      </c>
      <c r="CC41" s="2228"/>
      <c r="CD41" s="2228"/>
      <c r="CE41" s="99"/>
      <c r="CF41" s="99"/>
      <c r="CG41" s="99"/>
      <c r="CH41" s="99"/>
      <c r="CI41" s="99"/>
      <c r="CK41" s="55">
        <f t="shared" si="6"/>
        <v>0</v>
      </c>
      <c r="CL41" s="55">
        <f t="shared" si="6"/>
        <v>0</v>
      </c>
    </row>
    <row r="42" spans="1:90" ht="18" customHeight="1" x14ac:dyDescent="0.3">
      <c r="A42" s="2247" t="s">
        <v>247</v>
      </c>
      <c r="B42" s="2248"/>
      <c r="C42" s="2248"/>
      <c r="D42" s="2248"/>
      <c r="E42" s="2248"/>
      <c r="F42" s="2248"/>
      <c r="G42" s="2248"/>
      <c r="H42" s="2248"/>
      <c r="I42" s="2248"/>
      <c r="J42" s="2248"/>
      <c r="K42" s="2248"/>
      <c r="L42" s="2248"/>
      <c r="M42" s="2248"/>
      <c r="N42" s="2248"/>
      <c r="O42" s="2248"/>
      <c r="P42" s="2248"/>
    </row>
    <row r="43" spans="1:90" ht="15" customHeight="1" x14ac:dyDescent="0.3">
      <c r="A43" s="5850" t="s">
        <v>248</v>
      </c>
      <c r="B43" s="5879" t="s">
        <v>221</v>
      </c>
      <c r="C43" s="5880"/>
      <c r="D43" s="5881"/>
      <c r="E43" s="6013" t="s">
        <v>101</v>
      </c>
      <c r="F43" s="6032"/>
      <c r="G43" s="6032"/>
      <c r="H43" s="6032"/>
      <c r="I43" s="6032"/>
      <c r="J43" s="6032"/>
      <c r="K43" s="6032"/>
      <c r="L43" s="6032"/>
      <c r="M43" s="6032"/>
      <c r="N43" s="6032"/>
      <c r="O43" s="6032"/>
      <c r="P43" s="6032"/>
      <c r="Q43" s="5831" t="s">
        <v>36</v>
      </c>
      <c r="R43" s="5849" t="s">
        <v>37</v>
      </c>
    </row>
    <row r="44" spans="1:90" ht="15" customHeight="1" x14ac:dyDescent="0.3">
      <c r="A44" s="5851"/>
      <c r="B44" s="5796"/>
      <c r="C44" s="5882"/>
      <c r="D44" s="5760"/>
      <c r="E44" s="5887" t="s">
        <v>222</v>
      </c>
      <c r="F44" s="5888"/>
      <c r="G44" s="5887" t="s">
        <v>223</v>
      </c>
      <c r="H44" s="5888"/>
      <c r="I44" s="5887" t="s">
        <v>88</v>
      </c>
      <c r="J44" s="5888"/>
      <c r="K44" s="5887" t="s">
        <v>224</v>
      </c>
      <c r="L44" s="5888"/>
      <c r="M44" s="5887" t="s">
        <v>225</v>
      </c>
      <c r="N44" s="5888"/>
      <c r="O44" s="5887" t="s">
        <v>226</v>
      </c>
      <c r="P44" s="5992"/>
      <c r="Q44" s="5766"/>
      <c r="R44" s="5798"/>
    </row>
    <row r="45" spans="1:90" ht="15" customHeight="1" x14ac:dyDescent="0.3">
      <c r="A45" s="5825"/>
      <c r="B45" s="2249" t="s">
        <v>79</v>
      </c>
      <c r="C45" s="2198" t="s">
        <v>58</v>
      </c>
      <c r="D45" s="1776" t="s">
        <v>59</v>
      </c>
      <c r="E45" s="2197" t="s">
        <v>58</v>
      </c>
      <c r="F45" s="2250" t="s">
        <v>59</v>
      </c>
      <c r="G45" s="2197" t="s">
        <v>58</v>
      </c>
      <c r="H45" s="2250" t="s">
        <v>59</v>
      </c>
      <c r="I45" s="2197" t="s">
        <v>58</v>
      </c>
      <c r="J45" s="2250" t="s">
        <v>59</v>
      </c>
      <c r="K45" s="2197" t="s">
        <v>58</v>
      </c>
      <c r="L45" s="2250" t="s">
        <v>59</v>
      </c>
      <c r="M45" s="2197" t="s">
        <v>58</v>
      </c>
      <c r="N45" s="2250" t="s">
        <v>59</v>
      </c>
      <c r="O45" s="2197" t="s">
        <v>58</v>
      </c>
      <c r="P45" s="2251" t="s">
        <v>59</v>
      </c>
      <c r="Q45" s="5767"/>
      <c r="R45" s="5799"/>
    </row>
    <row r="46" spans="1:90" ht="15" customHeight="1" x14ac:dyDescent="0.3">
      <c r="A46" s="2252" t="s">
        <v>229</v>
      </c>
      <c r="B46" s="2253">
        <f>SUM(C46+D46)</f>
        <v>0</v>
      </c>
      <c r="C46" s="2254">
        <f>SUM(E46+G46+I46+K46+M46+O46)</f>
        <v>0</v>
      </c>
      <c r="D46" s="2255">
        <f>SUM(F46+H46+J46+L46+N46+P46)</f>
        <v>0</v>
      </c>
      <c r="E46" s="2209"/>
      <c r="F46" s="2210"/>
      <c r="G46" s="2209"/>
      <c r="H46" s="2210"/>
      <c r="I46" s="2209"/>
      <c r="J46" s="1996"/>
      <c r="K46" s="2209"/>
      <c r="L46" s="1996"/>
      <c r="M46" s="2238"/>
      <c r="N46" s="1996"/>
      <c r="O46" s="2238"/>
      <c r="P46" s="2239"/>
      <c r="Q46" s="1997"/>
      <c r="R46" s="1996"/>
      <c r="S46" s="2227" t="str">
        <f>$CA46&amp;CB46</f>
        <v/>
      </c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2228"/>
      <c r="AY46" s="2228"/>
      <c r="AZ46" s="2228"/>
      <c r="BA46" s="2228"/>
      <c r="BB46" s="2228"/>
      <c r="BC46" s="2228"/>
      <c r="BD46" s="2228"/>
      <c r="BE46" s="2228"/>
      <c r="BF46" s="2228"/>
      <c r="BG46" s="2228"/>
      <c r="BH46" s="2228"/>
      <c r="BI46" s="2228"/>
      <c r="BJ46" s="2228"/>
      <c r="BK46" s="2228"/>
      <c r="BL46" s="2228"/>
      <c r="BM46" s="2228"/>
      <c r="BN46" s="2228"/>
      <c r="BO46" s="2228"/>
      <c r="BP46" s="2228"/>
      <c r="BQ46" s="2228"/>
      <c r="BR46" s="2228"/>
      <c r="BS46" s="2228"/>
      <c r="BT46" s="2228"/>
      <c r="BU46" s="2228"/>
      <c r="BV46" s="2228"/>
      <c r="BW46" s="2228"/>
      <c r="BX46" s="2228"/>
      <c r="BY46" s="2228"/>
      <c r="BZ46" s="2228"/>
      <c r="CA46" s="2229" t="str">
        <f>IF(AND($B46&lt;&gt;0,Q46=""),"* No olvide ingresar la variable "&amp;Q$43&amp;""&amp;". Digite CERO si no tiene. ",IF(Q46&gt;$B46,"* La variable Pueblos Originarios no debe ser mayor al Total Ambos Sexos. ",""))</f>
        <v/>
      </c>
      <c r="CB46" s="2229" t="str">
        <f>IF(AND($B46&lt;&gt;0,R46=""),"* No olvide ingresar la variable "&amp;R$43&amp;""&amp;" (Digite CERO si no tiene). ",IF(R46&gt;$B46,"* La variable Migrantes no debe ser mayor al Total Ambos Sexos. ",""))</f>
        <v/>
      </c>
      <c r="CC46" s="2228"/>
      <c r="CD46" s="2228"/>
      <c r="CE46" s="99"/>
      <c r="CF46" s="99"/>
      <c r="CG46" s="99"/>
      <c r="CH46" s="99"/>
      <c r="CI46" s="99"/>
      <c r="CK46" s="55">
        <f>IF(AND($B46&lt;&gt;0,Q46=""),1,IF(Q46&gt;$B46,1,0))</f>
        <v>0</v>
      </c>
      <c r="CL46" s="55">
        <f>IF(AND($B46&lt;&gt;0,R46=""),1,IF(R46&gt;$B46,1,0))</f>
        <v>0</v>
      </c>
    </row>
    <row r="47" spans="1:90" ht="15" customHeight="1" x14ac:dyDescent="0.3">
      <c r="A47" s="333" t="s">
        <v>230</v>
      </c>
      <c r="B47" s="2256">
        <f>SUM(C47+D47)</f>
        <v>0</v>
      </c>
      <c r="C47" s="2257">
        <f t="shared" ref="C47:D49" si="8">SUM(E47+G47+I47+K47+M47+O47)</f>
        <v>0</v>
      </c>
      <c r="D47" s="146">
        <f t="shared" si="8"/>
        <v>0</v>
      </c>
      <c r="E47" s="329"/>
      <c r="F47" s="142"/>
      <c r="G47" s="327"/>
      <c r="H47" s="142"/>
      <c r="I47" s="327"/>
      <c r="J47" s="905"/>
      <c r="K47" s="327"/>
      <c r="L47" s="905"/>
      <c r="M47" s="252"/>
      <c r="N47" s="905"/>
      <c r="O47" s="252"/>
      <c r="P47" s="1158"/>
      <c r="Q47" s="2004"/>
      <c r="R47" s="2003"/>
      <c r="S47" s="2227" t="str">
        <f>$CA47&amp;CB47</f>
        <v/>
      </c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2228"/>
      <c r="AY47" s="2228"/>
      <c r="AZ47" s="2228"/>
      <c r="BA47" s="2228"/>
      <c r="BB47" s="2228"/>
      <c r="BC47" s="2228"/>
      <c r="BD47" s="2228"/>
      <c r="BE47" s="2228"/>
      <c r="BF47" s="2228"/>
      <c r="BG47" s="2228"/>
      <c r="BH47" s="2228"/>
      <c r="BI47" s="2228"/>
      <c r="BJ47" s="2228"/>
      <c r="BK47" s="2228"/>
      <c r="BL47" s="2228"/>
      <c r="BM47" s="2228"/>
      <c r="BN47" s="2228"/>
      <c r="BO47" s="2228"/>
      <c r="BP47" s="2228"/>
      <c r="BQ47" s="2228"/>
      <c r="BR47" s="2228"/>
      <c r="BS47" s="2228"/>
      <c r="BT47" s="2228"/>
      <c r="BU47" s="2228"/>
      <c r="BV47" s="2228"/>
      <c r="BW47" s="2228"/>
      <c r="BX47" s="2228"/>
      <c r="BY47" s="2228"/>
      <c r="BZ47" s="2228"/>
      <c r="CA47" s="2229" t="str">
        <f t="shared" ref="CA47:CA49" si="9">IF(AND($B47&lt;&gt;0,Q47=""),"* No olvide ingresar la variable "&amp;Q$43&amp;""&amp;". Digite CERO si no tiene. ",IF(Q47&gt;$B47,"* La variable Pueblos Originarios no debe ser mayor al Total Ambos Sexos. ",""))</f>
        <v/>
      </c>
      <c r="CB47" s="2229" t="str">
        <f t="shared" ref="CB47:CB49" si="10">IF(AND($B47&lt;&gt;0,R47=""),"* No olvide ingresar la variable "&amp;R$43&amp;""&amp;" (Digite CERO si no tiene). ",IF(R47&gt;$B47,"* La variable Migrantes no debe ser mayor al Total Ambos Sexos. ",""))</f>
        <v/>
      </c>
      <c r="CC47" s="2228"/>
      <c r="CD47" s="2228"/>
      <c r="CE47" s="99"/>
      <c r="CF47" s="99"/>
      <c r="CG47" s="99"/>
      <c r="CH47" s="99"/>
      <c r="CI47" s="99"/>
      <c r="CK47" s="55">
        <f t="shared" ref="CK47:CK49" si="11">IF(AND($B47&lt;&gt;0,Q47=""),1,IF(Q47&gt;$B47,1,0))</f>
        <v>0</v>
      </c>
      <c r="CL47" s="55">
        <f t="shared" ref="CL47:CL49" si="12">IF(AND($B47&lt;&gt;0,R47=""),1,IF(R47&gt;$B47,1,0))</f>
        <v>0</v>
      </c>
    </row>
    <row r="48" spans="1:90" ht="15" customHeight="1" x14ac:dyDescent="0.3">
      <c r="A48" s="333" t="s">
        <v>231</v>
      </c>
      <c r="B48" s="2258">
        <f>SUM(C48+D48)</f>
        <v>0</v>
      </c>
      <c r="C48" s="2259">
        <f t="shared" si="8"/>
        <v>0</v>
      </c>
      <c r="D48" s="480">
        <f t="shared" si="8"/>
        <v>0</v>
      </c>
      <c r="E48" s="329"/>
      <c r="F48" s="330"/>
      <c r="G48" s="329"/>
      <c r="H48" s="330"/>
      <c r="I48" s="329"/>
      <c r="J48" s="2003"/>
      <c r="K48" s="329"/>
      <c r="L48" s="2003"/>
      <c r="M48" s="2234"/>
      <c r="N48" s="2003"/>
      <c r="O48" s="2234"/>
      <c r="P48" s="2235"/>
      <c r="Q48" s="2004"/>
      <c r="R48" s="2003"/>
      <c r="S48" s="2227" t="str">
        <f>$CA48&amp;CB48</f>
        <v/>
      </c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2228"/>
      <c r="AY48" s="2228"/>
      <c r="AZ48" s="2228"/>
      <c r="BA48" s="2228"/>
      <c r="BB48" s="2228"/>
      <c r="BC48" s="2228"/>
      <c r="BD48" s="2228"/>
      <c r="BE48" s="2228"/>
      <c r="BF48" s="2228"/>
      <c r="BG48" s="2228"/>
      <c r="BH48" s="2228"/>
      <c r="BI48" s="2228"/>
      <c r="BJ48" s="2228"/>
      <c r="BK48" s="2228"/>
      <c r="BL48" s="2228"/>
      <c r="BM48" s="2228"/>
      <c r="BN48" s="2228"/>
      <c r="BO48" s="2228"/>
      <c r="BP48" s="2228"/>
      <c r="BQ48" s="2228"/>
      <c r="BR48" s="2228"/>
      <c r="BS48" s="2228"/>
      <c r="BT48" s="2228"/>
      <c r="BU48" s="2228"/>
      <c r="BV48" s="2228"/>
      <c r="BW48" s="2228"/>
      <c r="BX48" s="2228"/>
      <c r="BY48" s="2228"/>
      <c r="BZ48" s="2228"/>
      <c r="CA48" s="2229" t="str">
        <f t="shared" si="9"/>
        <v/>
      </c>
      <c r="CB48" s="2229" t="str">
        <f t="shared" si="10"/>
        <v/>
      </c>
      <c r="CC48" s="2228"/>
      <c r="CD48" s="2228"/>
      <c r="CE48" s="99"/>
      <c r="CF48" s="99"/>
      <c r="CG48" s="99"/>
      <c r="CH48" s="99"/>
      <c r="CI48" s="99"/>
      <c r="CK48" s="55">
        <f t="shared" si="11"/>
        <v>0</v>
      </c>
      <c r="CL48" s="55">
        <f t="shared" si="12"/>
        <v>0</v>
      </c>
    </row>
    <row r="49" spans="1:90" ht="15" customHeight="1" x14ac:dyDescent="0.3">
      <c r="A49" s="2260" t="s">
        <v>249</v>
      </c>
      <c r="B49" s="2261">
        <f>SUM(C49:D49)</f>
        <v>0</v>
      </c>
      <c r="C49" s="2262">
        <f t="shared" si="8"/>
        <v>0</v>
      </c>
      <c r="D49" s="2263">
        <f t="shared" si="8"/>
        <v>0</v>
      </c>
      <c r="E49" s="1940"/>
      <c r="F49" s="2110"/>
      <c r="G49" s="1940"/>
      <c r="H49" s="2110"/>
      <c r="I49" s="1940"/>
      <c r="J49" s="325"/>
      <c r="K49" s="1940"/>
      <c r="L49" s="325"/>
      <c r="M49" s="2264"/>
      <c r="N49" s="325"/>
      <c r="O49" s="2264"/>
      <c r="P49" s="2265"/>
      <c r="Q49" s="2109"/>
      <c r="R49" s="325"/>
      <c r="S49" s="2227" t="str">
        <f t="shared" ref="S49" si="13">$CA49&amp;CB49</f>
        <v/>
      </c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2228"/>
      <c r="AY49" s="2228"/>
      <c r="AZ49" s="2228"/>
      <c r="BA49" s="2228"/>
      <c r="BB49" s="2228"/>
      <c r="BC49" s="2228"/>
      <c r="BD49" s="2228"/>
      <c r="BE49" s="2228"/>
      <c r="BF49" s="2228"/>
      <c r="BG49" s="2228"/>
      <c r="BH49" s="2228"/>
      <c r="BI49" s="2228"/>
      <c r="BJ49" s="2228"/>
      <c r="BK49" s="2228"/>
      <c r="BL49" s="2228"/>
      <c r="BM49" s="2228"/>
      <c r="BN49" s="2228"/>
      <c r="BO49" s="2228"/>
      <c r="BP49" s="2228"/>
      <c r="BQ49" s="2228"/>
      <c r="BR49" s="2228"/>
      <c r="BS49" s="2228"/>
      <c r="BT49" s="2228"/>
      <c r="BU49" s="2228"/>
      <c r="BV49" s="2228"/>
      <c r="BW49" s="2228"/>
      <c r="BX49" s="2228"/>
      <c r="BY49" s="2228"/>
      <c r="BZ49" s="2228"/>
      <c r="CA49" s="2229" t="str">
        <f t="shared" si="9"/>
        <v/>
      </c>
      <c r="CB49" s="2229" t="str">
        <f t="shared" si="10"/>
        <v/>
      </c>
      <c r="CC49" s="2228"/>
      <c r="CD49" s="2228"/>
      <c r="CE49" s="99"/>
      <c r="CF49" s="99"/>
      <c r="CG49" s="99"/>
      <c r="CH49" s="99"/>
      <c r="CI49" s="99"/>
      <c r="CK49" s="55">
        <f t="shared" si="11"/>
        <v>0</v>
      </c>
      <c r="CL49" s="55">
        <f t="shared" si="12"/>
        <v>0</v>
      </c>
    </row>
    <row r="50" spans="1:90" ht="18" customHeight="1" x14ac:dyDescent="0.3">
      <c r="A50" s="2189" t="s">
        <v>250</v>
      </c>
      <c r="B50" s="2190"/>
      <c r="C50" s="2190"/>
      <c r="D50" s="2190"/>
      <c r="E50" s="2190"/>
      <c r="F50" s="2190"/>
      <c r="G50" s="2190"/>
      <c r="H50" s="2190"/>
    </row>
    <row r="51" spans="1:90" ht="15" customHeight="1" x14ac:dyDescent="0.3">
      <c r="A51" s="6081" t="s">
        <v>251</v>
      </c>
      <c r="B51" s="5879" t="s">
        <v>212</v>
      </c>
      <c r="C51" s="5880"/>
      <c r="D51" s="5881"/>
      <c r="E51" s="5883" t="s">
        <v>101</v>
      </c>
      <c r="F51" s="5883"/>
      <c r="G51" s="5883"/>
      <c r="H51" s="5887"/>
      <c r="I51" s="5831" t="s">
        <v>36</v>
      </c>
      <c r="J51" s="5849" t="s">
        <v>37</v>
      </c>
    </row>
    <row r="52" spans="1:90" ht="15" customHeight="1" x14ac:dyDescent="0.3">
      <c r="A52" s="6082"/>
      <c r="B52" s="5796"/>
      <c r="C52" s="5882"/>
      <c r="D52" s="5760"/>
      <c r="E52" s="5887" t="s">
        <v>81</v>
      </c>
      <c r="F52" s="5888"/>
      <c r="G52" s="5887" t="s">
        <v>82</v>
      </c>
      <c r="H52" s="5992"/>
      <c r="I52" s="5766"/>
      <c r="J52" s="5798"/>
    </row>
    <row r="53" spans="1:90" ht="15" customHeight="1" x14ac:dyDescent="0.3">
      <c r="A53" s="5772"/>
      <c r="B53" s="2249" t="s">
        <v>79</v>
      </c>
      <c r="C53" s="2198" t="s">
        <v>58</v>
      </c>
      <c r="D53" s="1776" t="s">
        <v>59</v>
      </c>
      <c r="E53" s="2197" t="s">
        <v>58</v>
      </c>
      <c r="F53" s="2196" t="s">
        <v>59</v>
      </c>
      <c r="G53" s="2197" t="s">
        <v>58</v>
      </c>
      <c r="H53" s="2220" t="s">
        <v>59</v>
      </c>
      <c r="I53" s="5767"/>
      <c r="J53" s="5799"/>
    </row>
    <row r="54" spans="1:90" ht="21" customHeight="1" x14ac:dyDescent="0.3">
      <c r="A54" s="2266" t="s">
        <v>252</v>
      </c>
      <c r="B54" s="2267">
        <f>SUM(C54+D54)</f>
        <v>0</v>
      </c>
      <c r="C54" s="2268">
        <f t="shared" ref="C54:D57" si="14">SUM(E54+G54)</f>
        <v>0</v>
      </c>
      <c r="D54" s="2223">
        <f>SUM(F54+H54)</f>
        <v>0</v>
      </c>
      <c r="E54" s="2269">
        <f>SUM(E55:E57)</f>
        <v>0</v>
      </c>
      <c r="F54" s="2270">
        <f t="shared" ref="F54:J54" si="15">SUM(F55:F57)</f>
        <v>0</v>
      </c>
      <c r="G54" s="2271">
        <f t="shared" si="15"/>
        <v>0</v>
      </c>
      <c r="H54" s="2272">
        <f t="shared" si="15"/>
        <v>0</v>
      </c>
      <c r="I54" s="2273">
        <f>SUM(I55:I57)</f>
        <v>0</v>
      </c>
      <c r="J54" s="2274">
        <f t="shared" si="15"/>
        <v>0</v>
      </c>
    </row>
    <row r="55" spans="1:90" ht="15" customHeight="1" x14ac:dyDescent="0.3">
      <c r="A55" s="253" t="s">
        <v>197</v>
      </c>
      <c r="B55" s="2275">
        <f>SUM(C55+D55)</f>
        <v>0</v>
      </c>
      <c r="C55" s="41">
        <f>SUM(E55+G55)</f>
        <v>0</v>
      </c>
      <c r="D55" s="141">
        <f>SUM(F55+H55)</f>
        <v>0</v>
      </c>
      <c r="E55" s="327"/>
      <c r="F55" s="142"/>
      <c r="G55" s="252"/>
      <c r="H55" s="1158"/>
      <c r="I55" s="2004"/>
      <c r="J55" s="2003"/>
      <c r="K55" s="2227" t="str">
        <f>$CA55&amp;CB55</f>
        <v/>
      </c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2228"/>
      <c r="AQ55" s="2228"/>
      <c r="AR55" s="2228"/>
      <c r="AS55" s="2228"/>
      <c r="AT55" s="2228"/>
      <c r="AU55" s="2228"/>
      <c r="AV55" s="2228"/>
      <c r="AW55" s="2228"/>
      <c r="AX55" s="2228"/>
      <c r="AY55" s="2228"/>
      <c r="AZ55" s="2228"/>
      <c r="BA55" s="2228"/>
      <c r="BB55" s="2228"/>
      <c r="BC55" s="2228"/>
      <c r="BD55" s="2228"/>
      <c r="BE55" s="2228"/>
      <c r="BF55" s="2228"/>
      <c r="BG55" s="2228"/>
      <c r="BH55" s="2228"/>
      <c r="BI55" s="2228"/>
      <c r="BJ55" s="2228"/>
      <c r="BK55" s="2228"/>
      <c r="BL55" s="2228"/>
      <c r="BM55" s="2228"/>
      <c r="BN55" s="2228"/>
      <c r="BO55" s="2228"/>
      <c r="BP55" s="2228"/>
      <c r="BQ55" s="2228"/>
      <c r="BR55" s="2228"/>
      <c r="BS55" s="2228"/>
      <c r="BT55" s="2228"/>
      <c r="BU55" s="2228"/>
      <c r="BV55" s="2228"/>
      <c r="BW55" s="2228"/>
      <c r="BX55" s="2228"/>
      <c r="BY55" s="2228"/>
      <c r="BZ55" s="2228"/>
      <c r="CA55" s="2229" t="str">
        <f>IF(AND($B55&lt;&gt;0,I55=""),"* No olvide ingresar la variable "&amp;I$51&amp;""&amp;". Digite CERO si no tiene. ",IF(I55&gt;$B55,"* La variable Pueblos Originarios no debe ser mayor al Total Ambos Sexos. ",""))</f>
        <v/>
      </c>
      <c r="CB55" s="2229" t="str">
        <f>IF(AND($B55&lt;&gt;0,J55=""),"* No olvide ingresar la variable "&amp;J$51&amp;""&amp;" (Digite CERO si no tiene). ",IF(J55&gt;$B55,"* La variable Migrantes no debe ser mayor al Total Ambos Sexos. ",""))</f>
        <v/>
      </c>
      <c r="CC55" s="2228"/>
      <c r="CD55" s="2228"/>
      <c r="CE55" s="99"/>
      <c r="CF55" s="99"/>
      <c r="CG55" s="99"/>
      <c r="CH55" s="99"/>
      <c r="CI55" s="99"/>
      <c r="CK55" s="55">
        <f>IF(AND($B55&lt;&gt;0,I55=""),1,IF(I55&gt;$B55,1,0))</f>
        <v>0</v>
      </c>
      <c r="CL55" s="55">
        <f>IF(AND($B55&lt;&gt;0,J55=""),1,IF(J55&gt;$B55,1,0))</f>
        <v>0</v>
      </c>
    </row>
    <row r="56" spans="1:90" ht="15" customHeight="1" x14ac:dyDescent="0.3">
      <c r="A56" s="333" t="s">
        <v>253</v>
      </c>
      <c r="B56" s="2276">
        <f>SUM(C56+D56)</f>
        <v>0</v>
      </c>
      <c r="C56" s="761">
        <f t="shared" si="14"/>
        <v>0</v>
      </c>
      <c r="D56" s="345">
        <f t="shared" si="14"/>
        <v>0</v>
      </c>
      <c r="E56" s="329"/>
      <c r="F56" s="330"/>
      <c r="G56" s="2234"/>
      <c r="H56" s="2235"/>
      <c r="I56" s="2004"/>
      <c r="J56" s="2003"/>
      <c r="K56" s="2227" t="str">
        <f t="shared" ref="K56:K57" si="16">$CA56&amp;CB56</f>
        <v/>
      </c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2228"/>
      <c r="AQ56" s="2228"/>
      <c r="AR56" s="2228"/>
      <c r="AS56" s="2228"/>
      <c r="AT56" s="2228"/>
      <c r="AU56" s="2228"/>
      <c r="AV56" s="2228"/>
      <c r="AW56" s="2228"/>
      <c r="AX56" s="2228"/>
      <c r="AY56" s="2228"/>
      <c r="AZ56" s="2228"/>
      <c r="BA56" s="2228"/>
      <c r="BB56" s="2228"/>
      <c r="BC56" s="2228"/>
      <c r="BD56" s="2228"/>
      <c r="BE56" s="2228"/>
      <c r="BF56" s="2228"/>
      <c r="BG56" s="2228"/>
      <c r="BH56" s="2228"/>
      <c r="BI56" s="2228"/>
      <c r="BJ56" s="2228"/>
      <c r="BK56" s="2228"/>
      <c r="BL56" s="2228"/>
      <c r="BM56" s="2228"/>
      <c r="BN56" s="2228"/>
      <c r="BO56" s="2228"/>
      <c r="BP56" s="2228"/>
      <c r="BQ56" s="2228"/>
      <c r="BR56" s="2228"/>
      <c r="BS56" s="2228"/>
      <c r="BT56" s="2228"/>
      <c r="BU56" s="2228"/>
      <c r="BV56" s="2228"/>
      <c r="BW56" s="2228"/>
      <c r="BX56" s="2228"/>
      <c r="BY56" s="2228"/>
      <c r="BZ56" s="2228"/>
      <c r="CA56" s="2229" t="str">
        <f t="shared" ref="CA56:CA57" si="17">IF(AND($B56&lt;&gt;0,I56=""),"* No olvide ingresar la variable "&amp;I$51&amp;""&amp;". Digite CERO si no tiene. ",IF(I56&gt;$B56,"* La variable Pueblos Originarios no debe ser mayor al Total Ambos Sexos. ",""))</f>
        <v/>
      </c>
      <c r="CB56" s="2229" t="str">
        <f t="shared" ref="CB56:CB57" si="18">IF(AND($B56&lt;&gt;0,J56=""),"* No olvide ingresar la variable "&amp;J$51&amp;""&amp;" (Digite CERO si no tiene). ",IF(J56&gt;$B56,"* La variable Migrantes no debe ser mayor al Total Ambos Sexos. ",""))</f>
        <v/>
      </c>
      <c r="CC56" s="2228"/>
      <c r="CD56" s="2228"/>
      <c r="CE56" s="99"/>
      <c r="CF56" s="99"/>
      <c r="CG56" s="99"/>
      <c r="CH56" s="99"/>
      <c r="CI56" s="99"/>
      <c r="CK56" s="55">
        <f t="shared" ref="CK56:CL57" si="19">IF(AND($B56&lt;&gt;0,I56=""),1,IF(I56&gt;$B56,1,0))</f>
        <v>0</v>
      </c>
      <c r="CL56" s="55">
        <f t="shared" si="19"/>
        <v>0</v>
      </c>
    </row>
    <row r="57" spans="1:90" ht="15" customHeight="1" x14ac:dyDescent="0.3">
      <c r="A57" s="2277" t="s">
        <v>254</v>
      </c>
      <c r="B57" s="2278">
        <f>SUM(C57+D57)</f>
        <v>0</v>
      </c>
      <c r="C57" s="764">
        <f t="shared" si="14"/>
        <v>0</v>
      </c>
      <c r="D57" s="640">
        <f t="shared" si="14"/>
        <v>0</v>
      </c>
      <c r="E57" s="876"/>
      <c r="F57" s="877"/>
      <c r="G57" s="2049"/>
      <c r="H57" s="2237"/>
      <c r="I57" s="1913"/>
      <c r="J57" s="2009"/>
      <c r="K57" s="2227" t="str">
        <f t="shared" si="16"/>
        <v/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2228"/>
      <c r="AQ57" s="2228"/>
      <c r="AR57" s="2228"/>
      <c r="AS57" s="2228"/>
      <c r="AT57" s="2228"/>
      <c r="AU57" s="2228"/>
      <c r="AV57" s="2228"/>
      <c r="AW57" s="2228"/>
      <c r="AX57" s="2228"/>
      <c r="AY57" s="2228"/>
      <c r="AZ57" s="2228"/>
      <c r="BA57" s="2228"/>
      <c r="BB57" s="2228"/>
      <c r="BC57" s="2228"/>
      <c r="BD57" s="2228"/>
      <c r="BE57" s="2228"/>
      <c r="BF57" s="2228"/>
      <c r="BG57" s="2228"/>
      <c r="BH57" s="2228"/>
      <c r="BI57" s="2228"/>
      <c r="BJ57" s="2228"/>
      <c r="BK57" s="2228"/>
      <c r="BL57" s="2228"/>
      <c r="BM57" s="2228"/>
      <c r="BN57" s="2228"/>
      <c r="BO57" s="2228"/>
      <c r="BP57" s="2228"/>
      <c r="BQ57" s="2228"/>
      <c r="BR57" s="2228"/>
      <c r="BS57" s="2228"/>
      <c r="BT57" s="2228"/>
      <c r="BU57" s="2228"/>
      <c r="BV57" s="2228"/>
      <c r="BW57" s="2228"/>
      <c r="BX57" s="2228"/>
      <c r="BY57" s="2228"/>
      <c r="BZ57" s="2228"/>
      <c r="CA57" s="2229" t="str">
        <f t="shared" si="17"/>
        <v/>
      </c>
      <c r="CB57" s="2229" t="str">
        <f t="shared" si="18"/>
        <v/>
      </c>
      <c r="CC57" s="2228"/>
      <c r="CD57" s="2228"/>
      <c r="CE57" s="99"/>
      <c r="CF57" s="99"/>
      <c r="CG57" s="99"/>
      <c r="CH57" s="99"/>
      <c r="CI57" s="99"/>
      <c r="CK57" s="55">
        <f>IF(AND($B57&lt;&gt;0,I57=""),1,IF(I57&gt;$B57,1,0))</f>
        <v>0</v>
      </c>
      <c r="CL57" s="55">
        <f t="shared" si="19"/>
        <v>0</v>
      </c>
    </row>
    <row r="58" spans="1:90" ht="18" customHeight="1" x14ac:dyDescent="0.3">
      <c r="A58" s="2189" t="s">
        <v>4330</v>
      </c>
      <c r="B58" s="2190"/>
      <c r="C58" s="2190"/>
      <c r="D58" s="2190"/>
      <c r="E58" s="2190"/>
      <c r="F58" s="2190"/>
      <c r="G58" s="2190"/>
      <c r="H58" s="2190"/>
      <c r="I58" s="2190"/>
      <c r="J58" s="2191"/>
      <c r="K58" s="2191"/>
    </row>
    <row r="59" spans="1:90" ht="15" customHeight="1" x14ac:dyDescent="0.3">
      <c r="A59" s="5879" t="s">
        <v>255</v>
      </c>
      <c r="B59" s="5881"/>
      <c r="C59" s="5850" t="s">
        <v>77</v>
      </c>
      <c r="D59" s="5887" t="s">
        <v>256</v>
      </c>
      <c r="E59" s="5992"/>
      <c r="F59" s="5992"/>
      <c r="G59" s="5992"/>
      <c r="H59" s="5992"/>
      <c r="I59" s="5992"/>
      <c r="J59" s="5848"/>
      <c r="K59" s="5836" t="s">
        <v>36</v>
      </c>
      <c r="L59" s="5881" t="s">
        <v>37</v>
      </c>
    </row>
    <row r="60" spans="1:90" ht="20.399999999999999" x14ac:dyDescent="0.3">
      <c r="A60" s="5796"/>
      <c r="B60" s="5760"/>
      <c r="C60" s="5825"/>
      <c r="D60" s="2197" t="s">
        <v>257</v>
      </c>
      <c r="E60" s="2219" t="s">
        <v>258</v>
      </c>
      <c r="F60" s="2219" t="s">
        <v>259</v>
      </c>
      <c r="G60" s="2219" t="s">
        <v>260</v>
      </c>
      <c r="H60" s="2219" t="s">
        <v>261</v>
      </c>
      <c r="I60" s="2219" t="s">
        <v>262</v>
      </c>
      <c r="J60" s="2280" t="s">
        <v>263</v>
      </c>
      <c r="K60" s="5837"/>
      <c r="L60" s="5759"/>
    </row>
    <row r="61" spans="1:90" ht="15" customHeight="1" x14ac:dyDescent="0.3">
      <c r="A61" s="6092" t="s">
        <v>264</v>
      </c>
      <c r="B61" s="6093"/>
      <c r="C61" s="2281">
        <f>SUM(D61:H61)</f>
        <v>0</v>
      </c>
      <c r="D61" s="2209"/>
      <c r="E61" s="1896"/>
      <c r="F61" s="1896"/>
      <c r="G61" s="1896"/>
      <c r="H61" s="1896"/>
      <c r="I61" s="1932"/>
      <c r="J61" s="2282"/>
      <c r="K61" s="2283"/>
      <c r="L61" s="1996"/>
      <c r="M61" s="2227" t="str">
        <f>$CA61&amp;CB61</f>
        <v/>
      </c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2228"/>
      <c r="AS61" s="2228"/>
      <c r="AT61" s="2228"/>
      <c r="AU61" s="2228"/>
      <c r="AV61" s="2228"/>
      <c r="AW61" s="2228"/>
      <c r="AX61" s="2228"/>
      <c r="AY61" s="2228"/>
      <c r="AZ61" s="2228"/>
      <c r="BA61" s="2228"/>
      <c r="BB61" s="2228"/>
      <c r="BC61" s="2228"/>
      <c r="BD61" s="2228"/>
      <c r="BE61" s="2228"/>
      <c r="BF61" s="2228"/>
      <c r="BG61" s="2228"/>
      <c r="BH61" s="2228"/>
      <c r="BI61" s="2228"/>
      <c r="BJ61" s="2228"/>
      <c r="BK61" s="2228"/>
      <c r="BL61" s="2228"/>
      <c r="BM61" s="2228"/>
      <c r="BN61" s="2228"/>
      <c r="BO61" s="2228"/>
      <c r="BP61" s="2228"/>
      <c r="BQ61" s="2228"/>
      <c r="BR61" s="2228"/>
      <c r="BS61" s="2228"/>
      <c r="BT61" s="2228"/>
      <c r="BU61" s="2228"/>
      <c r="BV61" s="2228"/>
      <c r="BW61" s="2228"/>
      <c r="BX61" s="2228"/>
      <c r="BY61" s="2228"/>
      <c r="BZ61" s="2228"/>
      <c r="CA61" s="2229" t="str">
        <f>IF(AND($C61&lt;&gt;0,K61=""),"* No olvide ingresar la variable "&amp;K$59&amp;""&amp;". Digite CERO si no tiene. ",IF(K61&gt;$C61,"* La variable Pueblos Originarios no debe ser mayor al Total. ",""))</f>
        <v/>
      </c>
      <c r="CB61" s="2229" t="str">
        <f>IF(AND($C61&lt;&gt;0,L61=""),"* No olvide ingresar la variable "&amp;L$59&amp;""&amp;". Digite CERO si no tiene. ",IF(L61&gt;$C61,"* La variable Migrantes no debe ser mayor al Total. ",""))</f>
        <v/>
      </c>
      <c r="CC61" s="2228"/>
      <c r="CD61" s="2228"/>
      <c r="CE61" s="99"/>
      <c r="CF61" s="99"/>
      <c r="CG61" s="99"/>
      <c r="CH61" s="99"/>
      <c r="CI61" s="99"/>
      <c r="CK61" s="55">
        <f>IF(AND($C61&lt;&gt;0,K61=""),1,IF(K61&gt;$C61,1,0))</f>
        <v>0</v>
      </c>
      <c r="CL61" s="55">
        <f>IF(AND($C61&lt;&gt;0,L61=""),1,IF(L61&gt;$C61,1,0))</f>
        <v>0</v>
      </c>
    </row>
    <row r="62" spans="1:90" ht="15" customHeight="1" x14ac:dyDescent="0.3">
      <c r="A62" s="6072" t="s">
        <v>265</v>
      </c>
      <c r="B62" s="6072"/>
      <c r="C62" s="2285">
        <f>SUM(D62:H62)</f>
        <v>0</v>
      </c>
      <c r="D62" s="327"/>
      <c r="E62" s="1039"/>
      <c r="F62" s="1039"/>
      <c r="G62" s="1039"/>
      <c r="H62" s="1039"/>
      <c r="I62" s="1919"/>
      <c r="J62" s="1016"/>
      <c r="K62" s="2068"/>
      <c r="L62" s="2003"/>
      <c r="M62" s="2227" t="str">
        <f t="shared" ref="M62:M67" si="20">$CA62&amp;CB62</f>
        <v/>
      </c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2228"/>
      <c r="AS62" s="2228"/>
      <c r="AT62" s="2228"/>
      <c r="AU62" s="2228"/>
      <c r="AV62" s="2228"/>
      <c r="AW62" s="2228"/>
      <c r="AX62" s="2228"/>
      <c r="AY62" s="2228"/>
      <c r="AZ62" s="2228"/>
      <c r="BA62" s="2228"/>
      <c r="BB62" s="2228"/>
      <c r="BC62" s="2228"/>
      <c r="BD62" s="2228"/>
      <c r="BE62" s="2228"/>
      <c r="BF62" s="2228"/>
      <c r="BG62" s="2228"/>
      <c r="BH62" s="2228"/>
      <c r="BI62" s="2228"/>
      <c r="BJ62" s="2228"/>
      <c r="BK62" s="2228"/>
      <c r="BL62" s="2228"/>
      <c r="BM62" s="2228"/>
      <c r="BN62" s="2228"/>
      <c r="BO62" s="2228"/>
      <c r="BP62" s="2228"/>
      <c r="BQ62" s="2228"/>
      <c r="BR62" s="2228"/>
      <c r="BS62" s="2228"/>
      <c r="BT62" s="2228"/>
      <c r="BU62" s="2228"/>
      <c r="BV62" s="2228"/>
      <c r="BW62" s="2228"/>
      <c r="BX62" s="2228"/>
      <c r="BY62" s="2228"/>
      <c r="BZ62" s="2228"/>
      <c r="CA62" s="2229" t="str">
        <f t="shared" ref="CA62:CA67" si="21">IF(AND($C62&lt;&gt;0,K62=""),"* No olvide ingresar la variable "&amp;K$59&amp;""&amp;". Digite CERO si no tiene. ",IF(K62&gt;$C62,"* La variable Pueblos Originarios no debe ser mayor al Total. ",""))</f>
        <v/>
      </c>
      <c r="CB62" s="2229" t="str">
        <f t="shared" ref="CB62:CB66" si="22">IF(AND($C62&lt;&gt;0,L62=""),"* No olvide ingresar la variable "&amp;L$59&amp;""&amp;". Digite CERO si no tiene. ",IF(L62&gt;$C62,"* La variable Migrantes no debe ser mayor al Total. ",""))</f>
        <v/>
      </c>
      <c r="CC62" s="2228"/>
      <c r="CD62" s="2228"/>
      <c r="CE62" s="99"/>
      <c r="CF62" s="99"/>
      <c r="CG62" s="99"/>
      <c r="CH62" s="99"/>
      <c r="CI62" s="99"/>
      <c r="CK62" s="55">
        <f t="shared" ref="CK62:CL67" si="23">IF(AND($C62&lt;&gt;0,K62=""),1,IF(K62&gt;$C62,1,0))</f>
        <v>0</v>
      </c>
      <c r="CL62" s="55">
        <f t="shared" si="23"/>
        <v>0</v>
      </c>
    </row>
    <row r="63" spans="1:90" ht="15" customHeight="1" x14ac:dyDescent="0.3">
      <c r="A63" s="6072" t="s">
        <v>266</v>
      </c>
      <c r="B63" s="6072"/>
      <c r="C63" s="2285">
        <f>SUM(D63:H63)</f>
        <v>0</v>
      </c>
      <c r="D63" s="329"/>
      <c r="E63" s="1973"/>
      <c r="F63" s="1973"/>
      <c r="G63" s="1973"/>
      <c r="H63" s="1973"/>
      <c r="I63" s="1977"/>
      <c r="J63" s="2055"/>
      <c r="K63" s="2068"/>
      <c r="L63" s="2003"/>
      <c r="M63" s="2227" t="str">
        <f t="shared" si="20"/>
        <v/>
      </c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2228"/>
      <c r="AS63" s="2228"/>
      <c r="AT63" s="2228"/>
      <c r="AU63" s="2228"/>
      <c r="AV63" s="2228"/>
      <c r="AW63" s="2228"/>
      <c r="AX63" s="2228"/>
      <c r="AY63" s="2228"/>
      <c r="AZ63" s="2228"/>
      <c r="BA63" s="2228"/>
      <c r="BB63" s="2228"/>
      <c r="BC63" s="2228"/>
      <c r="BD63" s="2228"/>
      <c r="BE63" s="2228"/>
      <c r="BF63" s="2228"/>
      <c r="BG63" s="2228"/>
      <c r="BH63" s="2228"/>
      <c r="BI63" s="2228"/>
      <c r="BJ63" s="2228"/>
      <c r="BK63" s="2228"/>
      <c r="BL63" s="2228"/>
      <c r="BM63" s="2228"/>
      <c r="BN63" s="2228"/>
      <c r="BO63" s="2228"/>
      <c r="BP63" s="2228"/>
      <c r="BQ63" s="2228"/>
      <c r="BR63" s="2228"/>
      <c r="BS63" s="2228"/>
      <c r="BT63" s="2228"/>
      <c r="BU63" s="2228"/>
      <c r="BV63" s="2228"/>
      <c r="BW63" s="2228"/>
      <c r="BX63" s="2228"/>
      <c r="BY63" s="2228"/>
      <c r="BZ63" s="2228"/>
      <c r="CA63" s="2229" t="str">
        <f t="shared" si="21"/>
        <v/>
      </c>
      <c r="CB63" s="2229" t="str">
        <f t="shared" si="22"/>
        <v/>
      </c>
      <c r="CC63" s="2228"/>
      <c r="CD63" s="2228"/>
      <c r="CE63" s="99"/>
      <c r="CF63" s="99"/>
      <c r="CG63" s="99"/>
      <c r="CH63" s="99"/>
      <c r="CI63" s="99"/>
      <c r="CK63" s="55">
        <f t="shared" si="23"/>
        <v>0</v>
      </c>
      <c r="CL63" s="55">
        <f t="shared" si="23"/>
        <v>0</v>
      </c>
    </row>
    <row r="64" spans="1:90" ht="15" customHeight="1" x14ac:dyDescent="0.3">
      <c r="A64" s="6072" t="s">
        <v>267</v>
      </c>
      <c r="B64" s="6072"/>
      <c r="C64" s="760">
        <f>SUM(H64:J64)</f>
        <v>0</v>
      </c>
      <c r="D64" s="2286"/>
      <c r="E64" s="2287"/>
      <c r="F64" s="2287"/>
      <c r="G64" s="2287"/>
      <c r="H64" s="2288"/>
      <c r="I64" s="1973"/>
      <c r="J64" s="332"/>
      <c r="K64" s="2068"/>
      <c r="L64" s="2003"/>
      <c r="M64" s="2227" t="str">
        <f t="shared" si="20"/>
        <v/>
      </c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2228"/>
      <c r="AS64" s="2228"/>
      <c r="AT64" s="2228"/>
      <c r="AU64" s="2228"/>
      <c r="AV64" s="2228"/>
      <c r="AW64" s="2228"/>
      <c r="AX64" s="2228"/>
      <c r="AY64" s="2228"/>
      <c r="AZ64" s="2228"/>
      <c r="BA64" s="2228"/>
      <c r="BB64" s="2228"/>
      <c r="BC64" s="2228"/>
      <c r="BD64" s="2228"/>
      <c r="BE64" s="2228"/>
      <c r="BF64" s="2228"/>
      <c r="BG64" s="2228"/>
      <c r="BH64" s="2228"/>
      <c r="BI64" s="2228"/>
      <c r="BJ64" s="2228"/>
      <c r="BK64" s="2228"/>
      <c r="BL64" s="2228"/>
      <c r="BM64" s="2228"/>
      <c r="BN64" s="2228"/>
      <c r="BO64" s="2228"/>
      <c r="BP64" s="2228"/>
      <c r="BQ64" s="2228"/>
      <c r="BR64" s="2228"/>
      <c r="BS64" s="2228"/>
      <c r="BT64" s="2228"/>
      <c r="BU64" s="2228"/>
      <c r="BV64" s="2228"/>
      <c r="BW64" s="2228"/>
      <c r="BX64" s="2228"/>
      <c r="BY64" s="2228"/>
      <c r="BZ64" s="2228"/>
      <c r="CA64" s="2229" t="str">
        <f t="shared" si="21"/>
        <v/>
      </c>
      <c r="CB64" s="2229" t="str">
        <f t="shared" si="22"/>
        <v/>
      </c>
      <c r="CC64" s="2228"/>
      <c r="CD64" s="2228"/>
      <c r="CE64" s="99"/>
      <c r="CF64" s="99"/>
      <c r="CG64" s="99"/>
      <c r="CH64" s="99"/>
      <c r="CI64" s="99"/>
      <c r="CK64" s="55">
        <f t="shared" si="23"/>
        <v>0</v>
      </c>
      <c r="CL64" s="55">
        <f t="shared" si="23"/>
        <v>0</v>
      </c>
    </row>
    <row r="65" spans="1:90" ht="24" customHeight="1" x14ac:dyDescent="0.3">
      <c r="A65" s="6072" t="s">
        <v>268</v>
      </c>
      <c r="B65" s="6072"/>
      <c r="C65" s="760">
        <f>SUM(H65:J65)</f>
        <v>0</v>
      </c>
      <c r="D65" s="2286"/>
      <c r="E65" s="2287"/>
      <c r="F65" s="2287"/>
      <c r="G65" s="2287"/>
      <c r="H65" s="2288"/>
      <c r="I65" s="1973"/>
      <c r="J65" s="332"/>
      <c r="K65" s="2068"/>
      <c r="L65" s="2003"/>
      <c r="M65" s="2227" t="str">
        <f t="shared" si="20"/>
        <v/>
      </c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2228"/>
      <c r="AS65" s="2228"/>
      <c r="AT65" s="2228"/>
      <c r="AU65" s="2228"/>
      <c r="AV65" s="2228"/>
      <c r="AW65" s="2228"/>
      <c r="AX65" s="2228"/>
      <c r="AY65" s="2228"/>
      <c r="AZ65" s="2228"/>
      <c r="BA65" s="2228"/>
      <c r="BB65" s="2228"/>
      <c r="BC65" s="2228"/>
      <c r="BD65" s="2228"/>
      <c r="BE65" s="2228"/>
      <c r="BF65" s="2228"/>
      <c r="BG65" s="2228"/>
      <c r="BH65" s="2228"/>
      <c r="BI65" s="2228"/>
      <c r="BJ65" s="2228"/>
      <c r="BK65" s="2228"/>
      <c r="BL65" s="2228"/>
      <c r="BM65" s="2228"/>
      <c r="BN65" s="2228"/>
      <c r="BO65" s="2228"/>
      <c r="BP65" s="2228"/>
      <c r="BQ65" s="2228"/>
      <c r="BR65" s="2228"/>
      <c r="BS65" s="2228"/>
      <c r="BT65" s="2228"/>
      <c r="BU65" s="2228"/>
      <c r="BV65" s="2228"/>
      <c r="BW65" s="2228"/>
      <c r="BX65" s="2228"/>
      <c r="BY65" s="2228"/>
      <c r="BZ65" s="2228"/>
      <c r="CA65" s="2229" t="str">
        <f t="shared" si="21"/>
        <v/>
      </c>
      <c r="CB65" s="2229" t="str">
        <f t="shared" si="22"/>
        <v/>
      </c>
      <c r="CC65" s="2228"/>
      <c r="CD65" s="2228"/>
      <c r="CE65" s="99"/>
      <c r="CF65" s="99"/>
      <c r="CG65" s="99"/>
      <c r="CH65" s="99"/>
      <c r="CI65" s="99"/>
      <c r="CK65" s="55">
        <f t="shared" si="23"/>
        <v>0</v>
      </c>
      <c r="CL65" s="55">
        <f t="shared" si="23"/>
        <v>0</v>
      </c>
    </row>
    <row r="66" spans="1:90" ht="15" customHeight="1" x14ac:dyDescent="0.3">
      <c r="A66" s="6073" t="s">
        <v>269</v>
      </c>
      <c r="B66" s="6073"/>
      <c r="C66" s="2289">
        <f>SUM(H66:J66)</f>
        <v>0</v>
      </c>
      <c r="D66" s="1905"/>
      <c r="E66" s="1909"/>
      <c r="F66" s="1909"/>
      <c r="G66" s="1909"/>
      <c r="H66" s="2290"/>
      <c r="I66" s="1907"/>
      <c r="J66" s="1953"/>
      <c r="K66" s="1911"/>
      <c r="L66" s="2009"/>
      <c r="M66" s="2227" t="str">
        <f>$CA66&amp;CB66</f>
        <v/>
      </c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2228"/>
      <c r="AS66" s="2228"/>
      <c r="AT66" s="2228"/>
      <c r="AU66" s="2228"/>
      <c r="AV66" s="2228"/>
      <c r="AW66" s="2228"/>
      <c r="AX66" s="2228"/>
      <c r="AY66" s="2228"/>
      <c r="AZ66" s="2228"/>
      <c r="BA66" s="2228"/>
      <c r="BB66" s="2228"/>
      <c r="BC66" s="2228"/>
      <c r="BD66" s="2228"/>
      <c r="BE66" s="2228"/>
      <c r="BF66" s="2228"/>
      <c r="BG66" s="2228"/>
      <c r="BH66" s="2228"/>
      <c r="BI66" s="2228"/>
      <c r="BJ66" s="2228"/>
      <c r="BK66" s="2228"/>
      <c r="BL66" s="2228"/>
      <c r="BM66" s="2228"/>
      <c r="BN66" s="2228"/>
      <c r="BO66" s="2228"/>
      <c r="BP66" s="2228"/>
      <c r="BQ66" s="2228"/>
      <c r="BR66" s="2228"/>
      <c r="BS66" s="2228"/>
      <c r="BT66" s="2228"/>
      <c r="BU66" s="2228"/>
      <c r="BV66" s="2228"/>
      <c r="BW66" s="2228"/>
      <c r="BX66" s="2228"/>
      <c r="BY66" s="2228"/>
      <c r="BZ66" s="2228"/>
      <c r="CA66" s="2229" t="str">
        <f t="shared" si="21"/>
        <v/>
      </c>
      <c r="CB66" s="2229" t="str">
        <f t="shared" si="22"/>
        <v/>
      </c>
      <c r="CC66" s="2228"/>
      <c r="CD66" s="2228"/>
      <c r="CE66" s="99"/>
      <c r="CF66" s="99"/>
      <c r="CG66" s="99"/>
      <c r="CH66" s="99"/>
      <c r="CI66" s="99"/>
      <c r="CK66" s="55">
        <f t="shared" si="23"/>
        <v>0</v>
      </c>
      <c r="CL66" s="55">
        <f t="shared" si="23"/>
        <v>0</v>
      </c>
    </row>
    <row r="67" spans="1:90" ht="15" customHeight="1" x14ac:dyDescent="0.3">
      <c r="A67" s="6074" t="s">
        <v>270</v>
      </c>
      <c r="B67" s="6074"/>
      <c r="C67" s="324">
        <f>SUM(D67:J67)</f>
        <v>0</v>
      </c>
      <c r="D67" s="2291"/>
      <c r="E67" s="2292"/>
      <c r="F67" s="2292"/>
      <c r="G67" s="2292"/>
      <c r="H67" s="2293"/>
      <c r="I67" s="1914"/>
      <c r="J67" s="326"/>
      <c r="K67" s="2087"/>
      <c r="L67" s="325"/>
      <c r="M67" s="2227" t="str">
        <f t="shared" si="20"/>
        <v/>
      </c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2228"/>
      <c r="AS67" s="2228"/>
      <c r="AT67" s="2228"/>
      <c r="AU67" s="2228"/>
      <c r="AV67" s="2228"/>
      <c r="AW67" s="2228"/>
      <c r="AX67" s="2228"/>
      <c r="AY67" s="2228"/>
      <c r="AZ67" s="2228"/>
      <c r="BA67" s="2228"/>
      <c r="BB67" s="2228"/>
      <c r="BC67" s="2228"/>
      <c r="BD67" s="2228"/>
      <c r="BE67" s="2228"/>
      <c r="BF67" s="2228"/>
      <c r="BG67" s="2228"/>
      <c r="BH67" s="2228"/>
      <c r="BI67" s="2228"/>
      <c r="BJ67" s="2228"/>
      <c r="BK67" s="2228"/>
      <c r="BL67" s="2228"/>
      <c r="BM67" s="2228"/>
      <c r="BN67" s="2228"/>
      <c r="BO67" s="2228"/>
      <c r="BP67" s="2228"/>
      <c r="BQ67" s="2228"/>
      <c r="BR67" s="2228"/>
      <c r="BS67" s="2228"/>
      <c r="BT67" s="2228"/>
      <c r="BU67" s="2228"/>
      <c r="BV67" s="2228"/>
      <c r="BW67" s="2228"/>
      <c r="BX67" s="2228"/>
      <c r="BY67" s="2228"/>
      <c r="BZ67" s="2228"/>
      <c r="CA67" s="2229" t="str">
        <f t="shared" si="21"/>
        <v/>
      </c>
      <c r="CB67" s="2229" t="str">
        <f>IF(AND($C67&lt;&gt;0,L67=""),"* No olvide ingresar la variable "&amp;L$59&amp;""&amp;". Digite CERO si no tiene. ",IF(L67&gt;$C67,"* La variable Migrantes no debe ser mayor al Total. ",""))</f>
        <v/>
      </c>
      <c r="CC67" s="2228"/>
      <c r="CD67" s="2228"/>
      <c r="CE67" s="99"/>
      <c r="CF67" s="99"/>
      <c r="CG67" s="99"/>
      <c r="CH67" s="99"/>
      <c r="CI67" s="99"/>
      <c r="CK67" s="55">
        <f t="shared" si="23"/>
        <v>0</v>
      </c>
      <c r="CL67" s="55">
        <f t="shared" si="23"/>
        <v>0</v>
      </c>
    </row>
    <row r="68" spans="1:90" ht="18" customHeight="1" x14ac:dyDescent="0.3">
      <c r="A68" s="2189" t="s">
        <v>271</v>
      </c>
      <c r="B68" s="2190"/>
      <c r="C68" s="2190"/>
      <c r="D68" s="2190"/>
      <c r="E68" s="2190"/>
      <c r="F68" s="2190"/>
      <c r="G68" s="2190"/>
      <c r="H68" s="2190"/>
      <c r="I68" s="2190"/>
      <c r="J68" s="2191"/>
      <c r="K68" s="2191"/>
      <c r="L68" s="2294"/>
    </row>
    <row r="69" spans="1:90" ht="15" customHeight="1" x14ac:dyDescent="0.3">
      <c r="A69" s="5881" t="s">
        <v>220</v>
      </c>
      <c r="B69" s="5879" t="s">
        <v>212</v>
      </c>
      <c r="C69" s="5880"/>
      <c r="D69" s="5881"/>
      <c r="E69" s="5883" t="s">
        <v>101</v>
      </c>
      <c r="F69" s="5883"/>
      <c r="G69" s="5883"/>
      <c r="H69" s="6094"/>
      <c r="I69" s="5831" t="s">
        <v>36</v>
      </c>
      <c r="J69" s="5849" t="s">
        <v>37</v>
      </c>
    </row>
    <row r="70" spans="1:90" ht="15" customHeight="1" x14ac:dyDescent="0.3">
      <c r="A70" s="5759"/>
      <c r="B70" s="5796"/>
      <c r="C70" s="5882"/>
      <c r="D70" s="5760"/>
      <c r="E70" s="5887" t="s">
        <v>83</v>
      </c>
      <c r="F70" s="5888"/>
      <c r="G70" s="5992" t="s">
        <v>84</v>
      </c>
      <c r="H70" s="5848"/>
      <c r="I70" s="5766"/>
      <c r="J70" s="5798"/>
    </row>
    <row r="71" spans="1:90" ht="15" customHeight="1" x14ac:dyDescent="0.3">
      <c r="A71" s="5760"/>
      <c r="B71" s="2295" t="s">
        <v>79</v>
      </c>
      <c r="C71" s="2198" t="s">
        <v>58</v>
      </c>
      <c r="D71" s="1776" t="s">
        <v>59</v>
      </c>
      <c r="E71" s="2197" t="s">
        <v>58</v>
      </c>
      <c r="F71" s="2196" t="s">
        <v>59</v>
      </c>
      <c r="G71" s="2197" t="s">
        <v>58</v>
      </c>
      <c r="H71" s="2279" t="s">
        <v>59</v>
      </c>
      <c r="I71" s="5767"/>
      <c r="J71" s="5799"/>
    </row>
    <row r="72" spans="1:90" ht="15" customHeight="1" x14ac:dyDescent="0.3">
      <c r="A72" s="255" t="s">
        <v>197</v>
      </c>
      <c r="B72" s="2296">
        <f>SUM(C72:D72)</f>
        <v>0</v>
      </c>
      <c r="C72" s="2297">
        <f t="shared" ref="C72:D74" si="24">+E72+G72</f>
        <v>0</v>
      </c>
      <c r="D72" s="2298">
        <f t="shared" si="24"/>
        <v>0</v>
      </c>
      <c r="E72" s="2209"/>
      <c r="F72" s="142"/>
      <c r="G72" s="327"/>
      <c r="H72" s="1918"/>
      <c r="I72" s="44"/>
      <c r="J72" s="905"/>
      <c r="K72" s="2227" t="str">
        <f>$CA72&amp;CB72</f>
        <v/>
      </c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2228"/>
      <c r="AQ72" s="2228"/>
      <c r="AR72" s="2228"/>
      <c r="AS72" s="2228"/>
      <c r="AT72" s="2228"/>
      <c r="AU72" s="2228"/>
      <c r="AV72" s="2228"/>
      <c r="AW72" s="2228"/>
      <c r="AX72" s="2228"/>
      <c r="AY72" s="2228"/>
      <c r="AZ72" s="2228"/>
      <c r="BA72" s="2228"/>
      <c r="BB72" s="2228"/>
      <c r="BC72" s="2228"/>
      <c r="BD72" s="2228"/>
      <c r="BE72" s="2228"/>
      <c r="BF72" s="2228"/>
      <c r="BG72" s="2228"/>
      <c r="BH72" s="2228"/>
      <c r="BI72" s="2228"/>
      <c r="BJ72" s="2228"/>
      <c r="BK72" s="2228"/>
      <c r="BL72" s="2228"/>
      <c r="BM72" s="2228"/>
      <c r="BN72" s="2228"/>
      <c r="BO72" s="2228"/>
      <c r="BP72" s="2228"/>
      <c r="BQ72" s="2228"/>
      <c r="BR72" s="2228"/>
      <c r="BS72" s="2228"/>
      <c r="BT72" s="2228"/>
      <c r="BU72" s="2228"/>
      <c r="BV72" s="2228"/>
      <c r="BW72" s="2228"/>
      <c r="BX72" s="2228"/>
      <c r="BY72" s="2228"/>
      <c r="BZ72" s="2228"/>
      <c r="CA72" s="2229" t="str">
        <f>IF(AND($B72&lt;&gt;0,I72=""),"* No olvide ingresar la variable "&amp;I$51&amp;""&amp;". Digite CERO si no tiene. ",IF(I72&gt;$B72,"* La variable Pueblos Originarios no debe ser mayor al Total Ambos Sexos. ",""))</f>
        <v/>
      </c>
      <c r="CB72" s="2229" t="str">
        <f>IF(AND($B72&lt;&gt;0,J72=""),"* No olvide ingresar la variable "&amp;J$51&amp;""&amp;" (Digite CERO si no tiene). ",IF(J72&gt;$B72,"* La variable Migrantes no debe ser mayor al Total Ambos Sexos. ",""))</f>
        <v/>
      </c>
      <c r="CC72" s="2228"/>
      <c r="CD72" s="2228"/>
      <c r="CE72" s="99"/>
      <c r="CF72" s="99"/>
      <c r="CG72" s="99"/>
      <c r="CH72" s="99"/>
      <c r="CI72" s="99"/>
      <c r="CK72" s="55">
        <f>IF(AND($B72&lt;&gt;0,I72=""),1,IF(I72&gt;$B72,1,0))</f>
        <v>0</v>
      </c>
      <c r="CL72" s="55">
        <f>IF(AND($B72&lt;&gt;0,J72=""),1,IF(J72&gt;$B72,1,0))</f>
        <v>0</v>
      </c>
    </row>
    <row r="73" spans="1:90" ht="15" customHeight="1" x14ac:dyDescent="0.3">
      <c r="A73" s="2299" t="s">
        <v>253</v>
      </c>
      <c r="B73" s="2276">
        <f>SUM(C73:D73)</f>
        <v>0</v>
      </c>
      <c r="C73" s="2300">
        <f t="shared" si="24"/>
        <v>0</v>
      </c>
      <c r="D73" s="2301">
        <f t="shared" si="24"/>
        <v>0</v>
      </c>
      <c r="E73" s="329"/>
      <c r="F73" s="330"/>
      <c r="G73" s="329"/>
      <c r="H73" s="2302"/>
      <c r="I73" s="2068"/>
      <c r="J73" s="2003"/>
      <c r="K73" s="2227" t="str">
        <f t="shared" ref="K73:K74" si="25">$CA73&amp;CB73</f>
        <v/>
      </c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2228"/>
      <c r="AQ73" s="2228"/>
      <c r="AR73" s="2228"/>
      <c r="AS73" s="2228"/>
      <c r="AT73" s="2228"/>
      <c r="AU73" s="2228"/>
      <c r="AV73" s="2228"/>
      <c r="AW73" s="2228"/>
      <c r="AX73" s="2228"/>
      <c r="AY73" s="2228"/>
      <c r="AZ73" s="2228"/>
      <c r="BA73" s="2228"/>
      <c r="BB73" s="2228"/>
      <c r="BC73" s="2228"/>
      <c r="BD73" s="2228"/>
      <c r="BE73" s="2228"/>
      <c r="BF73" s="2228"/>
      <c r="BG73" s="2228"/>
      <c r="BH73" s="2228"/>
      <c r="BI73" s="2228"/>
      <c r="BJ73" s="2228"/>
      <c r="BK73" s="2228"/>
      <c r="BL73" s="2228"/>
      <c r="BM73" s="2228"/>
      <c r="BN73" s="2228"/>
      <c r="BO73" s="2228"/>
      <c r="BP73" s="2228"/>
      <c r="BQ73" s="2228"/>
      <c r="BR73" s="2228"/>
      <c r="BS73" s="2228"/>
      <c r="BT73" s="2228"/>
      <c r="BU73" s="2228"/>
      <c r="BV73" s="2228"/>
      <c r="BW73" s="2228"/>
      <c r="BX73" s="2228"/>
      <c r="BY73" s="2228"/>
      <c r="BZ73" s="2228"/>
      <c r="CA73" s="2229" t="str">
        <f t="shared" ref="CA73:CA74" si="26">IF(AND($B73&lt;&gt;0,I73=""),"* No olvide ingresar la variable "&amp;I$51&amp;""&amp;". Digite CERO si no tiene. ",IF(I73&gt;$B73,"* La variable Pueblos Originarios no debe ser mayor al Total Ambos Sexos. ",""))</f>
        <v/>
      </c>
      <c r="CB73" s="2229" t="str">
        <f t="shared" ref="CB73" si="27">IF(AND($B73&lt;&gt;0,J73=""),"* No olvide ingresar la variable "&amp;J$51&amp;""&amp;" (Digite CERO si no tiene). ",IF(J73&gt;$B73,"* La variable Migrantes no debe ser mayor al Total Ambos Sexos. ",""))</f>
        <v/>
      </c>
      <c r="CC73" s="2228"/>
      <c r="CD73" s="2228"/>
      <c r="CE73" s="99"/>
      <c r="CF73" s="99"/>
      <c r="CG73" s="99"/>
      <c r="CH73" s="99"/>
      <c r="CI73" s="99"/>
      <c r="CK73" s="55">
        <f t="shared" ref="CK73:CL74" si="28">IF(AND($B73&lt;&gt;0,I73=""),1,IF(I73&gt;$B73,1,0))</f>
        <v>0</v>
      </c>
      <c r="CL73" s="55">
        <f t="shared" si="28"/>
        <v>0</v>
      </c>
    </row>
    <row r="74" spans="1:90" ht="15" customHeight="1" x14ac:dyDescent="0.3">
      <c r="A74" s="2277" t="s">
        <v>272</v>
      </c>
      <c r="B74" s="2278">
        <f>SUM(C74:D74)</f>
        <v>0</v>
      </c>
      <c r="C74" s="2303">
        <f t="shared" si="24"/>
        <v>0</v>
      </c>
      <c r="D74" s="2304">
        <f t="shared" si="24"/>
        <v>0</v>
      </c>
      <c r="E74" s="876"/>
      <c r="F74" s="877"/>
      <c r="G74" s="876"/>
      <c r="H74" s="1912"/>
      <c r="I74" s="1911"/>
      <c r="J74" s="2009"/>
      <c r="K74" s="2227" t="str">
        <f t="shared" si="25"/>
        <v/>
      </c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2228"/>
      <c r="AQ74" s="2228"/>
      <c r="AR74" s="2228"/>
      <c r="AS74" s="2228"/>
      <c r="AT74" s="2228"/>
      <c r="AU74" s="2228"/>
      <c r="AV74" s="2228"/>
      <c r="AW74" s="2228"/>
      <c r="AX74" s="2228"/>
      <c r="AY74" s="2228"/>
      <c r="AZ74" s="2228"/>
      <c r="BA74" s="2228"/>
      <c r="BB74" s="2228"/>
      <c r="BC74" s="2228"/>
      <c r="BD74" s="2228"/>
      <c r="BE74" s="2228"/>
      <c r="BF74" s="2228"/>
      <c r="BG74" s="2228"/>
      <c r="BH74" s="2228"/>
      <c r="BI74" s="2228"/>
      <c r="BJ74" s="2228"/>
      <c r="BK74" s="2228"/>
      <c r="BL74" s="2228"/>
      <c r="BM74" s="2228"/>
      <c r="BN74" s="2228"/>
      <c r="BO74" s="2228"/>
      <c r="BP74" s="2228"/>
      <c r="BQ74" s="2228"/>
      <c r="BR74" s="2228"/>
      <c r="BS74" s="2228"/>
      <c r="BT74" s="2228"/>
      <c r="BU74" s="2228"/>
      <c r="BV74" s="2228"/>
      <c r="BW74" s="2228"/>
      <c r="BX74" s="2228"/>
      <c r="BY74" s="2228"/>
      <c r="BZ74" s="2228"/>
      <c r="CA74" s="2229" t="str">
        <f t="shared" si="26"/>
        <v/>
      </c>
      <c r="CB74" s="2229" t="str">
        <f>IF(AND($B74&lt;&gt;0,J74=""),"* No olvide ingresar la variable "&amp;J$51&amp;""&amp;" (Digite CERO si no tiene). ",IF(J74&gt;$B74,"* La variable Migrantes no debe ser mayor al Total Ambos Sexos. ",""))</f>
        <v/>
      </c>
      <c r="CC74" s="2228"/>
      <c r="CD74" s="2228"/>
      <c r="CE74" s="99"/>
      <c r="CF74" s="99"/>
      <c r="CG74" s="99"/>
      <c r="CH74" s="99"/>
      <c r="CI74" s="99"/>
      <c r="CK74" s="55">
        <f t="shared" si="28"/>
        <v>0</v>
      </c>
      <c r="CL74" s="55">
        <f t="shared" si="28"/>
        <v>0</v>
      </c>
    </row>
    <row r="75" spans="1:90" ht="18" customHeight="1" x14ac:dyDescent="0.3">
      <c r="A75" s="11" t="s">
        <v>273</v>
      </c>
      <c r="B75" s="2181"/>
      <c r="C75" s="2181"/>
      <c r="D75" s="2181"/>
      <c r="E75" s="2181"/>
      <c r="F75" s="2181"/>
      <c r="G75" s="2181"/>
    </row>
    <row r="76" spans="1:90" ht="18" customHeight="1" x14ac:dyDescent="0.3">
      <c r="A76" s="11" t="s">
        <v>4331</v>
      </c>
      <c r="B76" s="2305"/>
      <c r="C76" s="2305"/>
      <c r="D76" s="2305"/>
      <c r="E76" s="2305"/>
      <c r="F76" s="2305"/>
      <c r="G76" s="2305"/>
    </row>
    <row r="77" spans="1:90" ht="15" customHeight="1" x14ac:dyDescent="0.3">
      <c r="A77" s="5850" t="s">
        <v>196</v>
      </c>
      <c r="B77" s="5850" t="s">
        <v>77</v>
      </c>
    </row>
    <row r="78" spans="1:90" ht="15" customHeight="1" x14ac:dyDescent="0.3">
      <c r="A78" s="5851"/>
      <c r="B78" s="5825"/>
    </row>
    <row r="79" spans="1:90" ht="15" customHeight="1" x14ac:dyDescent="0.3">
      <c r="A79" s="5825"/>
      <c r="B79" s="2306">
        <f>SUM(B80:B83)</f>
        <v>0</v>
      </c>
    </row>
    <row r="80" spans="1:90" ht="15" customHeight="1" x14ac:dyDescent="0.3">
      <c r="A80" s="295" t="s">
        <v>274</v>
      </c>
      <c r="B80" s="2070"/>
    </row>
    <row r="81" spans="1:93" ht="15" customHeight="1" x14ac:dyDescent="0.3">
      <c r="A81" s="358" t="s">
        <v>199</v>
      </c>
      <c r="B81" s="2071"/>
    </row>
    <row r="82" spans="1:93" ht="15" customHeight="1" x14ac:dyDescent="0.3">
      <c r="A82" s="358" t="s">
        <v>197</v>
      </c>
      <c r="B82" s="2071"/>
    </row>
    <row r="83" spans="1:93" ht="15" customHeight="1" x14ac:dyDescent="0.3">
      <c r="A83" s="519" t="s">
        <v>275</v>
      </c>
      <c r="B83" s="1954"/>
    </row>
    <row r="84" spans="1:93" ht="18" customHeight="1" x14ac:dyDescent="0.3">
      <c r="A84" s="1" t="s">
        <v>276</v>
      </c>
    </row>
    <row r="85" spans="1:93" ht="51" x14ac:dyDescent="0.3">
      <c r="A85" s="2307" t="s">
        <v>277</v>
      </c>
      <c r="B85" s="2308" t="s">
        <v>278</v>
      </c>
      <c r="C85" s="2197" t="s">
        <v>279</v>
      </c>
      <c r="D85" s="2219" t="s">
        <v>4332</v>
      </c>
      <c r="E85" s="2219" t="s">
        <v>280</v>
      </c>
      <c r="F85" s="2309" t="s">
        <v>281</v>
      </c>
    </row>
    <row r="86" spans="1:93" ht="15" customHeight="1" x14ac:dyDescent="0.3">
      <c r="A86" s="2310" t="s">
        <v>282</v>
      </c>
      <c r="B86" s="2311"/>
      <c r="C86" s="2209"/>
      <c r="D86" s="1896"/>
      <c r="E86" s="1896"/>
      <c r="F86" s="1996"/>
      <c r="G86" s="2227" t="str">
        <f>$CA86&amp;CB86&amp;CC86&amp;CD86&amp;CE86</f>
        <v/>
      </c>
      <c r="CA86" s="2229" t="str">
        <f>IF(CK86=1,"* Las Aplicaciones de EPSA con resultado de Riesgo psicosocial NO DEBE ser MAYOR que el Total de las Aplicaciones. ","")</f>
        <v/>
      </c>
      <c r="CB86" s="2312" t="str">
        <f>IF(CL86=1,"* Las Aplicaciones de EPSA con resultado de Riesgo psicosocial NO DEBE ser MENOR que la variable Plan de equipo de cabecera en gestantes con 3 o más riesgos psicosociales. ","")</f>
        <v/>
      </c>
      <c r="CC86" s="2312" t="str">
        <f>IF(CM86=1,"* Las Aplicaciones de EPSA asociadas a Violencia de Género NO DEBEN ser MAYOR al Total de Aplicaciones. ","")</f>
        <v/>
      </c>
      <c r="CD86" s="2312" t="str">
        <f>IF(CN86=1,"* Las Aplicaciones de EPSA asociadas a 3 o más riesgos psicosociales NO DEBEN ser MAYOR al Total de Aplicaciones. ","")</f>
        <v/>
      </c>
      <c r="CE86" s="2312" t="str">
        <f>IF(CO86=1,"* La variable Plan de equipo de cabecera en gestantes con 3 o más riesgos psicosociales NO DEBE ser MAYOR al Total de Aplicaciones. ","")</f>
        <v/>
      </c>
      <c r="CF86" s="2313"/>
      <c r="CG86" s="2313"/>
      <c r="CH86" s="2313"/>
      <c r="CI86" s="2313"/>
      <c r="CJ86" s="2313"/>
      <c r="CK86" s="2314">
        <f>IF(B86&lt;C86,1,0)</f>
        <v>0</v>
      </c>
      <c r="CL86" s="2314">
        <f>IF(C86&lt;F86,1,0)</f>
        <v>0</v>
      </c>
      <c r="CM86" s="2314">
        <f t="shared" ref="CM86:CO87" si="29">IF(D86&gt;$B86,1,0)</f>
        <v>0</v>
      </c>
      <c r="CN86" s="2314">
        <f t="shared" si="29"/>
        <v>0</v>
      </c>
      <c r="CO86" s="2314">
        <f t="shared" si="29"/>
        <v>0</v>
      </c>
    </row>
    <row r="87" spans="1:93" ht="15" customHeight="1" x14ac:dyDescent="0.3">
      <c r="A87" s="2315" t="s">
        <v>283</v>
      </c>
      <c r="B87" s="2316"/>
      <c r="C87" s="1940"/>
      <c r="D87" s="1914"/>
      <c r="E87" s="1914"/>
      <c r="F87" s="325"/>
      <c r="G87" s="2227" t="str">
        <f>$CA87&amp;CB87&amp;CC87&amp;CD87&amp;CE87</f>
        <v/>
      </c>
      <c r="CA87" s="2229" t="str">
        <f>IF(CK87=1,"* Las Aplicaciones de EPSA con resultado de Riesgo psicosocial NO DEBE ser MAYOR que el Total de las Aplicaciones. ","")</f>
        <v/>
      </c>
      <c r="CB87" s="2312" t="str">
        <f>IF(CL87=1,"* Las Aplicaciones de EPSA con resultado de Riesgo psicosocial NO DEBE ser MENOR que la variable Plan de equipo de cabecera en gestantes con 3 o más riesgos psicosociales. ","")</f>
        <v/>
      </c>
      <c r="CC87" s="2312" t="str">
        <f>IF(CM87=1,"* Las Aplicaciones de EPSA asociadas a Violencia de Género NO DEBEN ser MAYOR al Total de Aplicaciones. ","")</f>
        <v/>
      </c>
      <c r="CD87" s="2312" t="str">
        <f>IF(CN87=1,"* Las Aplicaciones de EPSA asociadas a 3 o más riesgos psicosociales NO DEBEN ser MAYOR al Total de Aplicaciones. ","")</f>
        <v/>
      </c>
      <c r="CE87" s="2312" t="str">
        <f>IF(CO87=1,"* La variable Plan de equipo de cabecera en gestantes con 3 o más riesgos psicosociales NO DEBE ser MAYOR al Total de Aplicaciones. ","")</f>
        <v/>
      </c>
      <c r="CF87" s="2313"/>
      <c r="CG87" s="2313"/>
      <c r="CH87" s="2313"/>
      <c r="CI87" s="2313"/>
      <c r="CJ87" s="2313"/>
      <c r="CK87" s="2314">
        <f>IF(B87&lt;C87,1,0)</f>
        <v>0</v>
      </c>
      <c r="CL87" s="2314">
        <f>IF(C87&lt;F87,1,0)</f>
        <v>0</v>
      </c>
      <c r="CM87" s="2314">
        <f t="shared" si="29"/>
        <v>0</v>
      </c>
      <c r="CN87" s="2314">
        <f t="shared" si="29"/>
        <v>0</v>
      </c>
      <c r="CO87" s="2314">
        <f t="shared" si="29"/>
        <v>0</v>
      </c>
    </row>
    <row r="88" spans="1:93" ht="18" customHeight="1" x14ac:dyDescent="0.3">
      <c r="A88" s="1" t="s">
        <v>284</v>
      </c>
      <c r="B88" s="2191"/>
      <c r="C88" s="2191"/>
      <c r="D88" s="2191"/>
      <c r="E88" s="2191"/>
      <c r="F88" s="2305"/>
    </row>
    <row r="89" spans="1:93" ht="39" customHeight="1" x14ac:dyDescent="0.3">
      <c r="A89" s="5879" t="s">
        <v>285</v>
      </c>
      <c r="B89" s="5881"/>
      <c r="C89" s="2197" t="s">
        <v>286</v>
      </c>
      <c r="D89" s="2219" t="s">
        <v>287</v>
      </c>
      <c r="E89" s="2219" t="s">
        <v>288</v>
      </c>
      <c r="F89" s="2219" t="s">
        <v>289</v>
      </c>
      <c r="G89" s="2279" t="s">
        <v>290</v>
      </c>
      <c r="H89" s="2196" t="s">
        <v>291</v>
      </c>
    </row>
    <row r="90" spans="1:93" ht="24" customHeight="1" x14ac:dyDescent="0.3">
      <c r="A90" s="6077" t="s">
        <v>292</v>
      </c>
      <c r="B90" s="2317" t="s">
        <v>293</v>
      </c>
      <c r="C90" s="2283"/>
      <c r="D90" s="1932"/>
      <c r="E90" s="1932"/>
      <c r="F90" s="1896"/>
      <c r="G90" s="1944"/>
      <c r="H90" s="2210"/>
      <c r="I90" s="2227" t="str">
        <f>$CA90</f>
        <v/>
      </c>
      <c r="CA90" s="2229" t="str">
        <f>IF(AND($C90&lt;&gt;0,H90=""),"* No olvide ingresar la variable "&amp;H$89&amp;""&amp;". Digite CERO si no tiene. ",IF(H90&gt;$C90,"* La variable Casos alterados derivados a Salud Mental no debe ser mayor al Total de Aplicaciones. ",""))</f>
        <v/>
      </c>
      <c r="CB90" s="2228"/>
      <c r="CC90" s="2228"/>
      <c r="CD90" s="2228"/>
      <c r="CE90" s="99"/>
      <c r="CF90" s="99"/>
      <c r="CG90" s="99"/>
      <c r="CH90" s="99"/>
      <c r="CI90" s="99"/>
      <c r="CK90" s="55">
        <f>IF(AND($C90&lt;&gt;0,H90=""),1,IF(H90&gt;$C90,1,0))</f>
        <v>0</v>
      </c>
    </row>
    <row r="91" spans="1:93" ht="21.6" customHeight="1" x14ac:dyDescent="0.3">
      <c r="A91" s="6078"/>
      <c r="B91" s="2318" t="s">
        <v>294</v>
      </c>
      <c r="C91" s="1911"/>
      <c r="D91" s="1929"/>
      <c r="E91" s="1929"/>
      <c r="F91" s="1907"/>
      <c r="G91" s="1953"/>
      <c r="H91" s="877"/>
      <c r="I91" s="2227" t="str">
        <f t="shared" ref="I91:I92" si="30">$CA91</f>
        <v/>
      </c>
      <c r="CA91" s="2229" t="str">
        <f t="shared" ref="CA91:CA93" si="31">IF(AND($C91&lt;&gt;0,H91=""),"* No olvide ingresar la variable "&amp;H$89&amp;""&amp;". Digite CERO si no tiene. ",IF(H91&gt;$C91,"* La variable Casos alterados derivados a Salud Mental no debe ser mayor al Total de Aplicaciones. ",""))</f>
        <v/>
      </c>
      <c r="CB91" s="2228"/>
      <c r="CC91" s="2228"/>
      <c r="CD91" s="2228"/>
      <c r="CE91" s="99"/>
      <c r="CF91" s="99"/>
      <c r="CG91" s="99"/>
      <c r="CH91" s="99"/>
      <c r="CI91" s="99"/>
      <c r="CK91" s="55">
        <f t="shared" ref="CK91:CK92" si="32">IF(AND($C91&lt;&gt;0,H91=""),1,IF(H91&gt;$C91,1,0))</f>
        <v>0</v>
      </c>
    </row>
    <row r="92" spans="1:93" ht="15" customHeight="1" x14ac:dyDescent="0.3">
      <c r="A92" s="5844" t="s">
        <v>4333</v>
      </c>
      <c r="B92" s="400" t="s">
        <v>295</v>
      </c>
      <c r="C92" s="2209"/>
      <c r="D92" s="1896"/>
      <c r="E92" s="1896"/>
      <c r="F92" s="1891"/>
      <c r="G92" s="1931"/>
      <c r="H92" s="2319"/>
      <c r="I92" s="2227" t="str">
        <f t="shared" si="30"/>
        <v/>
      </c>
      <c r="CA92" s="2229" t="str">
        <f t="shared" si="31"/>
        <v/>
      </c>
      <c r="CB92" s="2228"/>
      <c r="CC92" s="2228"/>
      <c r="CD92" s="2228"/>
      <c r="CE92" s="99"/>
      <c r="CF92" s="99"/>
      <c r="CG92" s="99"/>
      <c r="CH92" s="99"/>
      <c r="CI92" s="99"/>
      <c r="CK92" s="55">
        <f t="shared" si="32"/>
        <v>0</v>
      </c>
    </row>
    <row r="93" spans="1:93" ht="15" customHeight="1" x14ac:dyDescent="0.3">
      <c r="A93" s="5845"/>
      <c r="B93" s="2318" t="s">
        <v>296</v>
      </c>
      <c r="C93" s="876"/>
      <c r="D93" s="1907"/>
      <c r="E93" s="1907"/>
      <c r="F93" s="1909"/>
      <c r="G93" s="1910"/>
      <c r="H93" s="2320"/>
      <c r="I93" s="2227" t="str">
        <f>$CA93</f>
        <v/>
      </c>
      <c r="CA93" s="2229" t="str">
        <f t="shared" si="31"/>
        <v/>
      </c>
      <c r="CB93" s="2228"/>
      <c r="CC93" s="2228"/>
      <c r="CD93" s="2228"/>
      <c r="CE93" s="99"/>
      <c r="CF93" s="99"/>
      <c r="CG93" s="99"/>
      <c r="CH93" s="99"/>
      <c r="CI93" s="99"/>
      <c r="CK93" s="55">
        <f>IF(AND($C93&lt;&gt;0,H93=""),1,IF(H93&gt;$C93,1,0))</f>
        <v>0</v>
      </c>
    </row>
    <row r="94" spans="1:93" ht="18" customHeight="1" x14ac:dyDescent="0.3">
      <c r="A94" s="1" t="s">
        <v>297</v>
      </c>
      <c r="B94" s="2321"/>
      <c r="C94" s="24"/>
      <c r="D94" s="24"/>
      <c r="E94" s="24"/>
      <c r="F94" s="2182"/>
      <c r="G94" s="2181"/>
      <c r="H94" s="2322"/>
      <c r="I94" s="2182"/>
    </row>
    <row r="95" spans="1:93" ht="15" customHeight="1" x14ac:dyDescent="0.3">
      <c r="A95" s="5880" t="s">
        <v>196</v>
      </c>
      <c r="B95" s="5881"/>
      <c r="C95" s="5887" t="s">
        <v>77</v>
      </c>
      <c r="D95" s="5992"/>
      <c r="E95" s="5888"/>
      <c r="F95" s="5887" t="s">
        <v>94</v>
      </c>
      <c r="G95" s="5888"/>
      <c r="H95" s="5887" t="s">
        <v>44</v>
      </c>
      <c r="I95" s="5888"/>
    </row>
    <row r="96" spans="1:93" ht="15" customHeight="1" x14ac:dyDescent="0.3">
      <c r="A96" s="5882"/>
      <c r="B96" s="5760"/>
      <c r="C96" s="2197" t="s">
        <v>79</v>
      </c>
      <c r="D96" s="2198" t="s">
        <v>58</v>
      </c>
      <c r="E96" s="2196" t="s">
        <v>59</v>
      </c>
      <c r="F96" s="2197" t="s">
        <v>58</v>
      </c>
      <c r="G96" s="2196" t="s">
        <v>59</v>
      </c>
      <c r="H96" s="2197" t="s">
        <v>58</v>
      </c>
      <c r="I96" s="2196" t="s">
        <v>59</v>
      </c>
    </row>
    <row r="97" spans="1:90" ht="15" customHeight="1" x14ac:dyDescent="0.3">
      <c r="A97" s="5887" t="s">
        <v>77</v>
      </c>
      <c r="B97" s="5888"/>
      <c r="C97" s="2269">
        <f t="shared" ref="C97:I97" si="33">SUM(C98:C102)</f>
        <v>0</v>
      </c>
      <c r="D97" s="2323">
        <f t="shared" si="33"/>
        <v>0</v>
      </c>
      <c r="E97" s="2270">
        <f t="shared" si="33"/>
        <v>0</v>
      </c>
      <c r="F97" s="2269">
        <f>SUM(F98:F102)</f>
        <v>0</v>
      </c>
      <c r="G97" s="2270">
        <f t="shared" si="33"/>
        <v>0</v>
      </c>
      <c r="H97" s="2269">
        <f t="shared" si="33"/>
        <v>0</v>
      </c>
      <c r="I97" s="2270">
        <f t="shared" si="33"/>
        <v>0</v>
      </c>
    </row>
    <row r="98" spans="1:90" ht="15" customHeight="1" x14ac:dyDescent="0.3">
      <c r="A98" s="6075" t="s">
        <v>197</v>
      </c>
      <c r="B98" s="6076"/>
      <c r="C98" s="2324">
        <f>SUM(D98+E98)</f>
        <v>0</v>
      </c>
      <c r="D98" s="2325">
        <f>SUM(F98+H98)</f>
        <v>0</v>
      </c>
      <c r="E98" s="2255">
        <f>SUM(G98+I98)</f>
        <v>0</v>
      </c>
      <c r="F98" s="2209"/>
      <c r="G98" s="2210"/>
      <c r="H98" s="2209"/>
      <c r="I98" s="1996"/>
    </row>
    <row r="99" spans="1:90" ht="15" customHeight="1" x14ac:dyDescent="0.3">
      <c r="A99" s="6053" t="s">
        <v>275</v>
      </c>
      <c r="B99" s="5968"/>
      <c r="C99" s="300">
        <f>SUM(D99+E99)</f>
        <v>0</v>
      </c>
      <c r="D99" s="2326">
        <f t="shared" ref="D99:E102" si="34">SUM(F99+H99)</f>
        <v>0</v>
      </c>
      <c r="E99" s="146">
        <f t="shared" si="34"/>
        <v>0</v>
      </c>
      <c r="F99" s="327"/>
      <c r="G99" s="142"/>
      <c r="H99" s="327"/>
      <c r="I99" s="905"/>
    </row>
    <row r="100" spans="1:90" ht="15" customHeight="1" x14ac:dyDescent="0.3">
      <c r="A100" s="6053" t="s">
        <v>199</v>
      </c>
      <c r="B100" s="5968"/>
      <c r="C100" s="300">
        <f>SUM(D100+E100)</f>
        <v>0</v>
      </c>
      <c r="D100" s="2326">
        <f t="shared" si="34"/>
        <v>0</v>
      </c>
      <c r="E100" s="146">
        <f t="shared" si="34"/>
        <v>0</v>
      </c>
      <c r="F100" s="329"/>
      <c r="G100" s="330"/>
      <c r="H100" s="329"/>
      <c r="I100" s="2003"/>
    </row>
    <row r="101" spans="1:90" ht="15" customHeight="1" x14ac:dyDescent="0.3">
      <c r="A101" s="6054" t="s">
        <v>200</v>
      </c>
      <c r="B101" s="6055"/>
      <c r="C101" s="197">
        <f>SUM(D101+E101)</f>
        <v>0</v>
      </c>
      <c r="D101" s="486">
        <f>SUM(F101+H101)</f>
        <v>0</v>
      </c>
      <c r="E101" s="62">
        <f>SUM(G101+I101)</f>
        <v>0</v>
      </c>
      <c r="F101" s="212"/>
      <c r="G101" s="34"/>
      <c r="H101" s="212"/>
      <c r="I101" s="1161"/>
    </row>
    <row r="102" spans="1:90" ht="15" customHeight="1" x14ac:dyDescent="0.3">
      <c r="A102" s="6056" t="s">
        <v>298</v>
      </c>
      <c r="B102" s="6057"/>
      <c r="C102" s="483">
        <f>SUM(D102+E102)</f>
        <v>0</v>
      </c>
      <c r="D102" s="484">
        <f t="shared" si="34"/>
        <v>0</v>
      </c>
      <c r="E102" s="485">
        <f t="shared" si="34"/>
        <v>0</v>
      </c>
      <c r="F102" s="876"/>
      <c r="G102" s="877"/>
      <c r="H102" s="876"/>
      <c r="I102" s="2009"/>
    </row>
    <row r="103" spans="1:90" ht="18" customHeight="1" x14ac:dyDescent="0.3">
      <c r="A103" s="6058" t="s">
        <v>299</v>
      </c>
      <c r="B103" s="6058"/>
      <c r="C103" s="6058"/>
      <c r="D103" s="6058"/>
      <c r="E103" s="6058"/>
      <c r="F103" s="6058"/>
      <c r="G103" s="6058"/>
      <c r="H103" s="6058"/>
      <c r="I103" s="6058"/>
      <c r="J103" s="6058"/>
      <c r="K103" s="6058"/>
      <c r="L103" s="6058"/>
      <c r="M103" s="6058"/>
      <c r="N103" s="6058"/>
      <c r="O103" s="6058"/>
      <c r="P103" s="6058"/>
      <c r="Q103" s="2327"/>
      <c r="R103" s="2182"/>
      <c r="S103" s="2182"/>
      <c r="T103" s="2182"/>
      <c r="U103" s="2182"/>
    </row>
    <row r="104" spans="1:90" ht="18" customHeight="1" x14ac:dyDescent="0.3">
      <c r="A104" s="6059" t="s">
        <v>300</v>
      </c>
      <c r="B104" s="6059"/>
      <c r="C104" s="6059"/>
      <c r="D104" s="6059"/>
      <c r="E104" s="6059"/>
      <c r="F104" s="6059"/>
      <c r="G104" s="6059"/>
      <c r="H104" s="6059"/>
      <c r="I104" s="6059"/>
      <c r="J104" s="6059"/>
      <c r="K104" s="6059"/>
      <c r="L104" s="6059"/>
      <c r="M104" s="6059"/>
      <c r="N104" s="6059"/>
      <c r="O104" s="6059"/>
      <c r="P104" s="6059"/>
      <c r="Q104" s="6059"/>
      <c r="R104" s="2182"/>
      <c r="S104" s="2182"/>
      <c r="T104" s="2182"/>
      <c r="U104" s="2182"/>
    </row>
    <row r="105" spans="1:90" ht="15" customHeight="1" x14ac:dyDescent="0.3">
      <c r="A105" s="6060" t="s">
        <v>301</v>
      </c>
      <c r="B105" s="6061"/>
      <c r="C105" s="6065" t="s">
        <v>302</v>
      </c>
      <c r="D105" s="6066"/>
      <c r="E105" s="6067"/>
      <c r="F105" s="6068" t="s">
        <v>101</v>
      </c>
      <c r="G105" s="6069"/>
      <c r="H105" s="6069"/>
      <c r="I105" s="6069"/>
      <c r="J105" s="6069"/>
      <c r="K105" s="6069"/>
      <c r="L105" s="6069"/>
      <c r="M105" s="6069"/>
      <c r="N105" s="6069"/>
      <c r="O105" s="6069"/>
      <c r="P105" s="6069"/>
      <c r="Q105" s="6069"/>
      <c r="R105" s="6069"/>
      <c r="S105" s="6069"/>
      <c r="T105" s="6069"/>
      <c r="U105" s="6070"/>
      <c r="V105" s="5937" t="s">
        <v>34</v>
      </c>
      <c r="W105" s="5938" t="s">
        <v>35</v>
      </c>
    </row>
    <row r="106" spans="1:90" ht="15" customHeight="1" x14ac:dyDescent="0.3">
      <c r="A106" s="6062"/>
      <c r="B106" s="6063"/>
      <c r="C106" s="5796"/>
      <c r="D106" s="5882"/>
      <c r="E106" s="5760"/>
      <c r="F106" s="6071" t="s">
        <v>303</v>
      </c>
      <c r="G106" s="6051"/>
      <c r="H106" s="6051" t="s">
        <v>304</v>
      </c>
      <c r="I106" s="6051"/>
      <c r="J106" s="6051" t="s">
        <v>305</v>
      </c>
      <c r="K106" s="6051"/>
      <c r="L106" s="6051" t="s">
        <v>306</v>
      </c>
      <c r="M106" s="6051"/>
      <c r="N106" s="6051" t="s">
        <v>307</v>
      </c>
      <c r="O106" s="6051"/>
      <c r="P106" s="6051" t="s">
        <v>308</v>
      </c>
      <c r="Q106" s="6051"/>
      <c r="R106" s="6051" t="s">
        <v>309</v>
      </c>
      <c r="S106" s="6051"/>
      <c r="T106" s="6051" t="s">
        <v>57</v>
      </c>
      <c r="U106" s="6052"/>
      <c r="V106" s="5937"/>
      <c r="W106" s="5938"/>
    </row>
    <row r="107" spans="1:90" ht="15" customHeight="1" x14ac:dyDescent="0.3">
      <c r="A107" s="6064"/>
      <c r="B107" s="5842"/>
      <c r="C107" s="2249" t="s">
        <v>79</v>
      </c>
      <c r="D107" s="2198" t="s">
        <v>58</v>
      </c>
      <c r="E107" s="1776" t="s">
        <v>59</v>
      </c>
      <c r="F107" s="2328" t="s">
        <v>58</v>
      </c>
      <c r="G107" s="2329" t="s">
        <v>59</v>
      </c>
      <c r="H107" s="2330" t="s">
        <v>58</v>
      </c>
      <c r="I107" s="2329" t="s">
        <v>59</v>
      </c>
      <c r="J107" s="2330" t="s">
        <v>58</v>
      </c>
      <c r="K107" s="2329" t="s">
        <v>59</v>
      </c>
      <c r="L107" s="2330" t="s">
        <v>58</v>
      </c>
      <c r="M107" s="2329" t="s">
        <v>59</v>
      </c>
      <c r="N107" s="2330" t="s">
        <v>58</v>
      </c>
      <c r="O107" s="2329" t="s">
        <v>59</v>
      </c>
      <c r="P107" s="2330" t="s">
        <v>58</v>
      </c>
      <c r="Q107" s="2329" t="s">
        <v>59</v>
      </c>
      <c r="R107" s="2330" t="s">
        <v>58</v>
      </c>
      <c r="S107" s="2329" t="s">
        <v>59</v>
      </c>
      <c r="T107" s="2330" t="s">
        <v>58</v>
      </c>
      <c r="U107" s="2331" t="s">
        <v>59</v>
      </c>
      <c r="V107" s="5937"/>
      <c r="W107" s="5938"/>
    </row>
    <row r="108" spans="1:90" ht="15" customHeight="1" x14ac:dyDescent="0.3">
      <c r="A108" s="6047" t="s">
        <v>310</v>
      </c>
      <c r="B108" s="6048"/>
      <c r="C108" s="2332">
        <f t="shared" ref="C108:C117" si="35">SUM(D108+E108)</f>
        <v>0</v>
      </c>
      <c r="D108" s="2333">
        <f>+J108+L108+N108+P108+R108+T108</f>
        <v>0</v>
      </c>
      <c r="E108" s="2208">
        <f>+K108+M108+O108+Q108+S108+U108</f>
        <v>0</v>
      </c>
      <c r="F108" s="2334"/>
      <c r="G108" s="2335"/>
      <c r="H108" s="2334"/>
      <c r="I108" s="2335"/>
      <c r="J108" s="2209"/>
      <c r="K108" s="1996"/>
      <c r="L108" s="2209"/>
      <c r="M108" s="1996"/>
      <c r="N108" s="2209"/>
      <c r="O108" s="1996"/>
      <c r="P108" s="2238"/>
      <c r="Q108" s="1996"/>
      <c r="R108" s="2238"/>
      <c r="S108" s="1996"/>
      <c r="T108" s="2238"/>
      <c r="U108" s="2239"/>
      <c r="V108" s="2336"/>
      <c r="W108" s="2337"/>
      <c r="X108" s="1970"/>
      <c r="CA108" s="2228"/>
      <c r="CB108" s="2228"/>
      <c r="CC108" s="2228"/>
      <c r="CD108" s="2228"/>
      <c r="CE108" s="99"/>
      <c r="CF108" s="99"/>
      <c r="CG108" s="99"/>
      <c r="CH108" s="99"/>
      <c r="CI108" s="99"/>
    </row>
    <row r="109" spans="1:90" ht="15" customHeight="1" x14ac:dyDescent="0.3">
      <c r="A109" s="6049" t="s">
        <v>311</v>
      </c>
      <c r="B109" s="6050"/>
      <c r="C109" s="2338">
        <f t="shared" si="35"/>
        <v>0</v>
      </c>
      <c r="D109" s="2339">
        <f t="shared" ref="D109:E111" si="36">SUM(J109+L109+N109+P109+R109+T109)</f>
        <v>0</v>
      </c>
      <c r="E109" s="345">
        <f t="shared" si="36"/>
        <v>0</v>
      </c>
      <c r="F109" s="2340"/>
      <c r="G109" s="2341"/>
      <c r="H109" s="2340"/>
      <c r="I109" s="2342"/>
      <c r="J109" s="329"/>
      <c r="K109" s="2003"/>
      <c r="L109" s="329"/>
      <c r="M109" s="2003"/>
      <c r="N109" s="329"/>
      <c r="O109" s="2003"/>
      <c r="P109" s="2234"/>
      <c r="Q109" s="2003"/>
      <c r="R109" s="2234"/>
      <c r="S109" s="2003"/>
      <c r="T109" s="2234"/>
      <c r="U109" s="2235"/>
      <c r="V109" s="2343"/>
      <c r="W109" s="2344"/>
      <c r="X109" s="1970"/>
    </row>
    <row r="110" spans="1:90" ht="15" customHeight="1" x14ac:dyDescent="0.3">
      <c r="A110" s="6049" t="s">
        <v>312</v>
      </c>
      <c r="B110" s="6050"/>
      <c r="C110" s="2338">
        <f t="shared" si="35"/>
        <v>0</v>
      </c>
      <c r="D110" s="2339">
        <f t="shared" si="36"/>
        <v>0</v>
      </c>
      <c r="E110" s="345">
        <f t="shared" si="36"/>
        <v>0</v>
      </c>
      <c r="F110" s="2345"/>
      <c r="G110" s="2346"/>
      <c r="H110" s="2345"/>
      <c r="I110" s="2347"/>
      <c r="J110" s="212"/>
      <c r="K110" s="1161"/>
      <c r="L110" s="212"/>
      <c r="M110" s="1161"/>
      <c r="N110" s="212"/>
      <c r="O110" s="1161"/>
      <c r="P110" s="2244"/>
      <c r="Q110" s="1161"/>
      <c r="R110" s="2244"/>
      <c r="S110" s="1161"/>
      <c r="T110" s="2244"/>
      <c r="U110" s="1163"/>
      <c r="V110" s="2343"/>
      <c r="W110" s="2344"/>
      <c r="X110" s="1970"/>
    </row>
    <row r="111" spans="1:90" ht="15" customHeight="1" x14ac:dyDescent="0.3">
      <c r="A111" s="5939" t="s">
        <v>313</v>
      </c>
      <c r="B111" s="5940"/>
      <c r="C111" s="2338">
        <f t="shared" si="35"/>
        <v>0</v>
      </c>
      <c r="D111" s="2339">
        <f t="shared" si="36"/>
        <v>0</v>
      </c>
      <c r="E111" s="345">
        <f t="shared" si="36"/>
        <v>0</v>
      </c>
      <c r="F111" s="2345"/>
      <c r="G111" s="2346"/>
      <c r="H111" s="2345"/>
      <c r="I111" s="2347"/>
      <c r="J111" s="212"/>
      <c r="K111" s="1161"/>
      <c r="L111" s="212"/>
      <c r="M111" s="1161"/>
      <c r="N111" s="212"/>
      <c r="O111" s="1161"/>
      <c r="P111" s="2244"/>
      <c r="Q111" s="1161"/>
      <c r="R111" s="2244"/>
      <c r="S111" s="1161"/>
      <c r="T111" s="2244"/>
      <c r="U111" s="1163"/>
      <c r="V111" s="2343"/>
      <c r="W111" s="2344"/>
      <c r="X111" s="1970"/>
    </row>
    <row r="112" spans="1:90" ht="15" customHeight="1" x14ac:dyDescent="0.3">
      <c r="A112" s="5939" t="s">
        <v>314</v>
      </c>
      <c r="B112" s="5940"/>
      <c r="C112" s="2338">
        <f t="shared" si="35"/>
        <v>0</v>
      </c>
      <c r="D112" s="2339">
        <f>+F112+H112</f>
        <v>0</v>
      </c>
      <c r="E112" s="345">
        <f>+G112+I112</f>
        <v>0</v>
      </c>
      <c r="F112" s="212"/>
      <c r="G112" s="46"/>
      <c r="H112" s="212"/>
      <c r="I112" s="34"/>
      <c r="J112" s="2340"/>
      <c r="K112" s="2342"/>
      <c r="L112" s="2340"/>
      <c r="M112" s="2342"/>
      <c r="N112" s="2340"/>
      <c r="O112" s="2342"/>
      <c r="P112" s="2348"/>
      <c r="Q112" s="2342"/>
      <c r="R112" s="2348"/>
      <c r="S112" s="2342"/>
      <c r="T112" s="2348"/>
      <c r="U112" s="2349"/>
      <c r="V112" s="2004"/>
      <c r="W112" s="2350"/>
      <c r="X112" t="str">
        <f>CA112&amp;CB112</f>
        <v/>
      </c>
      <c r="CA112" s="2229" t="str">
        <f>IF(AND($C112&lt;&gt;0,V112=""),"* No olvide ingresar la variable "&amp;V$105&amp;""&amp;". Digite CERO si no tiene. ",IF(V112&gt;$C112,"* La variable Niños, Niñas, Adolescentes y Jóvenes SENAME no debe ser mayor al Total Ambos Sexos. ",""))</f>
        <v/>
      </c>
      <c r="CB112" s="2229" t="str">
        <f>IF(AND($C112&lt;&gt;0,W112=""),"* No olvide ingresar la variable "&amp;W$105&amp;""&amp;". Digite CERO si no tiene. ",IF(W112&gt;$C112,"* La variable Niños, Niñas, Adolescentes y Jóvenes Mejor Niñez no debe ser mayor al Total Ambos Sexos. ",""))</f>
        <v/>
      </c>
      <c r="CC112" s="2228"/>
      <c r="CD112" s="2228"/>
      <c r="CE112" s="99"/>
      <c r="CF112" s="99"/>
      <c r="CG112" s="99"/>
      <c r="CH112" s="99"/>
      <c r="CI112" s="99"/>
      <c r="CK112" s="55">
        <f>IF(AND($C112&lt;&gt;0,V112=""),1,IF(V112&gt;$C112,1,0))</f>
        <v>0</v>
      </c>
      <c r="CL112" s="55">
        <f>IF(AND($C112&lt;&gt;0,W112=""),1,IF(W112&gt;$C112,1,0))</f>
        <v>0</v>
      </c>
    </row>
    <row r="113" spans="1:90" ht="15" customHeight="1" x14ac:dyDescent="0.3">
      <c r="A113" s="5939" t="s">
        <v>315</v>
      </c>
      <c r="B113" s="5940"/>
      <c r="C113" s="2351">
        <f>SUM(D113+E113)</f>
        <v>0</v>
      </c>
      <c r="D113" s="2339">
        <f>+H113</f>
        <v>0</v>
      </c>
      <c r="E113" s="345">
        <f>+I113</f>
        <v>0</v>
      </c>
      <c r="F113" s="2345"/>
      <c r="G113" s="2346"/>
      <c r="H113" s="212"/>
      <c r="I113" s="34"/>
      <c r="J113" s="2340"/>
      <c r="K113" s="2352"/>
      <c r="L113" s="2340"/>
      <c r="M113" s="2352"/>
      <c r="N113" s="2340"/>
      <c r="O113" s="2352"/>
      <c r="P113" s="2340"/>
      <c r="Q113" s="2352"/>
      <c r="R113" s="2340"/>
      <c r="S113" s="2352"/>
      <c r="T113" s="2340"/>
      <c r="U113" s="2353"/>
      <c r="V113" s="2004"/>
      <c r="W113" s="2354"/>
      <c r="X113" s="1970" t="str">
        <f t="shared" ref="X113:X117" si="37">CA113&amp;CB113</f>
        <v/>
      </c>
      <c r="CA113" s="2229" t="str">
        <f t="shared" ref="CA113:CA116" si="38">IF(AND($C113&lt;&gt;0,V113=""),"* No olvide ingresar la variable "&amp;V$105&amp;""&amp;". Digite CERO si no tiene. ",IF(V113&gt;$C113,"* La variable Niños, Niñas, Adolescentes y Jóvenes SENAME no debe ser mayor al Total Ambos Sexos. ",""))</f>
        <v/>
      </c>
      <c r="CB113" s="2229" t="str">
        <f t="shared" ref="CB113:CB116" si="39">IF(AND($C113&lt;&gt;0,W113=""),"* No olvide ingresar la variable "&amp;W$105&amp;""&amp;". Digite CERO si no tiene. ",IF(W113&gt;$C113,"* La variable Niños, Niñas, Adolescentes y Jóvenes Mejor Niñez no debe ser mayor al Total Ambos Sexos. ",""))</f>
        <v/>
      </c>
      <c r="CC113" s="2228"/>
      <c r="CD113" s="2228"/>
      <c r="CE113" s="99"/>
      <c r="CF113" s="99"/>
      <c r="CG113" s="99"/>
      <c r="CH113" s="99"/>
      <c r="CI113" s="99"/>
      <c r="CK113" s="55">
        <f t="shared" ref="CK113:CK116" si="40">IF(AND($C113&lt;&gt;0,V113=""),1,IF(V113&gt;$C113,1,0))</f>
        <v>0</v>
      </c>
      <c r="CL113" s="55">
        <f t="shared" ref="CL113:CL116" si="41">IF(AND($C113&lt;&gt;0,W113=""),1,IF(W113&gt;$C113,1,0))</f>
        <v>0</v>
      </c>
    </row>
    <row r="114" spans="1:90" ht="15" customHeight="1" x14ac:dyDescent="0.3">
      <c r="A114" s="5939" t="s">
        <v>316</v>
      </c>
      <c r="B114" s="5940"/>
      <c r="C114" s="2351">
        <f>SUM(D114+E114)</f>
        <v>0</v>
      </c>
      <c r="D114" s="2339">
        <f>(F114+H114)</f>
        <v>0</v>
      </c>
      <c r="E114" s="345">
        <f>(G114+I114)</f>
        <v>0</v>
      </c>
      <c r="F114" s="212"/>
      <c r="G114" s="34"/>
      <c r="H114" s="212"/>
      <c r="I114" s="34"/>
      <c r="J114" s="2355"/>
      <c r="K114" s="1939"/>
      <c r="L114" s="2355"/>
      <c r="M114" s="1939"/>
      <c r="N114" s="2355"/>
      <c r="O114" s="1939"/>
      <c r="P114" s="2356"/>
      <c r="Q114" s="1939"/>
      <c r="R114" s="2356"/>
      <c r="S114" s="1939"/>
      <c r="T114" s="2356"/>
      <c r="U114" s="2357"/>
      <c r="V114" s="1913"/>
      <c r="W114" s="2350"/>
      <c r="X114" s="1970" t="str">
        <f t="shared" si="37"/>
        <v/>
      </c>
      <c r="CA114" s="2229" t="str">
        <f t="shared" si="38"/>
        <v/>
      </c>
      <c r="CB114" s="2229" t="str">
        <f t="shared" si="39"/>
        <v/>
      </c>
      <c r="CC114" s="2228"/>
      <c r="CD114" s="2228"/>
      <c r="CE114" s="99"/>
      <c r="CF114" s="99"/>
      <c r="CG114" s="99"/>
      <c r="CH114" s="99"/>
      <c r="CI114" s="99"/>
      <c r="CK114" s="55">
        <f t="shared" si="40"/>
        <v>0</v>
      </c>
      <c r="CL114" s="55">
        <f t="shared" si="41"/>
        <v>0</v>
      </c>
    </row>
    <row r="115" spans="1:90" ht="15" customHeight="1" x14ac:dyDescent="0.3">
      <c r="A115" s="5941" t="s">
        <v>317</v>
      </c>
      <c r="B115" s="2358" t="s">
        <v>318</v>
      </c>
      <c r="C115" s="2359">
        <f t="shared" si="35"/>
        <v>0</v>
      </c>
      <c r="D115" s="2360">
        <f t="shared" ref="D115:E117" si="42">SUM(F115+H115+J115+L115+N115+P115+R115+T115)</f>
        <v>0</v>
      </c>
      <c r="E115" s="2208">
        <f t="shared" si="42"/>
        <v>0</v>
      </c>
      <c r="F115" s="2209"/>
      <c r="G115" s="2361"/>
      <c r="H115" s="2209"/>
      <c r="I115" s="2210"/>
      <c r="J115" s="2209"/>
      <c r="K115" s="1996"/>
      <c r="L115" s="2209"/>
      <c r="M115" s="1996"/>
      <c r="N115" s="2209"/>
      <c r="O115" s="2210"/>
      <c r="P115" s="2209"/>
      <c r="Q115" s="2210"/>
      <c r="R115" s="2209"/>
      <c r="S115" s="2210"/>
      <c r="T115" s="2209"/>
      <c r="U115" s="1944"/>
      <c r="V115" s="1997"/>
      <c r="W115" s="2362"/>
      <c r="X115" s="1970" t="str">
        <f t="shared" si="37"/>
        <v/>
      </c>
      <c r="CA115" s="2229" t="str">
        <f t="shared" si="38"/>
        <v/>
      </c>
      <c r="CB115" s="2229" t="str">
        <f t="shared" si="39"/>
        <v/>
      </c>
      <c r="CC115" s="2228"/>
      <c r="CD115" s="2228"/>
      <c r="CE115" s="99"/>
      <c r="CF115" s="99"/>
      <c r="CG115" s="99"/>
      <c r="CH115" s="99"/>
      <c r="CI115" s="99"/>
      <c r="CK115" s="55">
        <f t="shared" si="40"/>
        <v>0</v>
      </c>
      <c r="CL115" s="55">
        <f t="shared" si="41"/>
        <v>0</v>
      </c>
    </row>
    <row r="116" spans="1:90" ht="19.5" customHeight="1" x14ac:dyDescent="0.3">
      <c r="A116" s="5942"/>
      <c r="B116" s="2363" t="s">
        <v>319</v>
      </c>
      <c r="C116" s="2364">
        <f t="shared" si="35"/>
        <v>0</v>
      </c>
      <c r="D116" s="763">
        <f t="shared" si="42"/>
        <v>0</v>
      </c>
      <c r="E116" s="223">
        <f t="shared" si="42"/>
        <v>0</v>
      </c>
      <c r="F116" s="212"/>
      <c r="G116" s="46"/>
      <c r="H116" s="212"/>
      <c r="I116" s="34"/>
      <c r="J116" s="212"/>
      <c r="K116" s="1161"/>
      <c r="L116" s="212"/>
      <c r="M116" s="1161"/>
      <c r="N116" s="212"/>
      <c r="O116" s="34"/>
      <c r="P116" s="212"/>
      <c r="Q116" s="34"/>
      <c r="R116" s="212"/>
      <c r="S116" s="34"/>
      <c r="T116" s="212"/>
      <c r="U116" s="332"/>
      <c r="V116" s="2017"/>
      <c r="W116" s="2354"/>
      <c r="X116" s="1970" t="str">
        <f t="shared" si="37"/>
        <v/>
      </c>
      <c r="CA116" s="2229" t="str">
        <f t="shared" si="38"/>
        <v/>
      </c>
      <c r="CB116" s="2229" t="str">
        <f t="shared" si="39"/>
        <v/>
      </c>
      <c r="CC116" s="2228"/>
      <c r="CD116" s="2228"/>
      <c r="CE116" s="99"/>
      <c r="CF116" s="99"/>
      <c r="CG116" s="99"/>
      <c r="CH116" s="99"/>
      <c r="CI116" s="99"/>
      <c r="CK116" s="55">
        <f t="shared" si="40"/>
        <v>0</v>
      </c>
      <c r="CL116" s="55">
        <f t="shared" si="41"/>
        <v>0</v>
      </c>
    </row>
    <row r="117" spans="1:90" ht="20.399999999999999" x14ac:dyDescent="0.3">
      <c r="A117" s="5943"/>
      <c r="B117" s="2365" t="s">
        <v>320</v>
      </c>
      <c r="C117" s="2366">
        <f t="shared" si="35"/>
        <v>0</v>
      </c>
      <c r="D117" s="2367">
        <f t="shared" si="42"/>
        <v>0</v>
      </c>
      <c r="E117" s="2368">
        <f t="shared" si="42"/>
        <v>0</v>
      </c>
      <c r="F117" s="2369"/>
      <c r="G117" s="2370"/>
      <c r="H117" s="2369"/>
      <c r="I117" s="2371"/>
      <c r="J117" s="2369"/>
      <c r="K117" s="2372"/>
      <c r="L117" s="2369"/>
      <c r="M117" s="2372"/>
      <c r="N117" s="2369"/>
      <c r="O117" s="2371"/>
      <c r="P117" s="2369"/>
      <c r="Q117" s="2371"/>
      <c r="R117" s="2369"/>
      <c r="S117" s="2371"/>
      <c r="T117" s="2369"/>
      <c r="U117" s="2370"/>
      <c r="V117" s="2373"/>
      <c r="W117" s="2374"/>
      <c r="X117" s="1970" t="str">
        <f t="shared" si="37"/>
        <v/>
      </c>
      <c r="CA117" s="2229" t="str">
        <f>IF(AND($C117&lt;&gt;0,V117=""),"* No olvide ingresar la variable "&amp;V$105&amp;""&amp;". Digite CERO si no tiene. ",IF(V117&gt;$C117,"* La variable Niños, Niñas, Adolescentes y Jóvenes SENAME no debe ser mayor al Total Ambos Sexos. ",""))</f>
        <v/>
      </c>
      <c r="CB117" s="2229" t="str">
        <f>IF(AND($C117&lt;&gt;0,W117=""),"* No olvide ingresar la variable "&amp;W$105&amp;""&amp;". Digite CERO si no tiene. ",IF(W117&gt;$C117,"* La variable Niños, Niñas, Adolescentes y Jóvenes Mejor Niñez no debe ser mayor al Total Ambos Sexos. ",""))</f>
        <v/>
      </c>
      <c r="CC117" s="2228"/>
      <c r="CD117" s="2228"/>
      <c r="CE117" s="99"/>
      <c r="CF117" s="99"/>
      <c r="CG117" s="99"/>
      <c r="CH117" s="99"/>
      <c r="CI117" s="99"/>
      <c r="CK117" s="55">
        <f>IF(AND($C117&lt;&gt;0,V117=""),1,IF(V117&gt;$C117,1,0))</f>
        <v>0</v>
      </c>
      <c r="CL117" s="55">
        <f>IF(AND($C117&lt;&gt;0,W117=""),1,IF(W117&gt;$C117,1,0))</f>
        <v>0</v>
      </c>
    </row>
    <row r="118" spans="1:90" ht="18" customHeight="1" x14ac:dyDescent="0.3">
      <c r="A118" s="2189" t="s">
        <v>321</v>
      </c>
      <c r="B118" s="2375"/>
      <c r="C118" s="2375"/>
      <c r="D118" s="2375"/>
      <c r="E118" s="2375"/>
      <c r="F118" s="681"/>
      <c r="G118" s="681"/>
      <c r="H118" s="681"/>
      <c r="I118" s="2376"/>
      <c r="J118" s="2377"/>
      <c r="K118" s="2377"/>
      <c r="L118" s="2378"/>
      <c r="M118" s="2379"/>
      <c r="N118" s="2380"/>
      <c r="O118" s="681"/>
      <c r="P118" s="2380"/>
      <c r="Q118" s="2381"/>
      <c r="R118" s="2382"/>
      <c r="S118" s="2382"/>
      <c r="T118" s="2380"/>
      <c r="U118" s="2380"/>
      <c r="V118" s="2380"/>
      <c r="W118" s="681"/>
      <c r="X118" s="2380"/>
      <c r="Y118" s="681"/>
      <c r="Z118" s="2383"/>
      <c r="AA118" s="2384"/>
    </row>
    <row r="119" spans="1:90" ht="15" customHeight="1" x14ac:dyDescent="0.3">
      <c r="A119" s="5851" t="s">
        <v>219</v>
      </c>
      <c r="B119" s="5851" t="s">
        <v>220</v>
      </c>
      <c r="C119" s="5945" t="s">
        <v>221</v>
      </c>
      <c r="D119" s="5777"/>
      <c r="E119" s="5759"/>
      <c r="F119" s="6013" t="s">
        <v>101</v>
      </c>
      <c r="G119" s="6032"/>
      <c r="H119" s="6032"/>
      <c r="I119" s="6032"/>
      <c r="J119" s="6032"/>
      <c r="K119" s="6032"/>
      <c r="L119" s="6032"/>
      <c r="M119" s="6032"/>
      <c r="N119" s="6032"/>
      <c r="O119" s="6032"/>
      <c r="P119" s="6032"/>
      <c r="Q119" s="6032"/>
      <c r="R119" s="6032"/>
      <c r="S119" s="6032"/>
      <c r="T119" s="5839"/>
      <c r="U119" s="5839"/>
      <c r="V119" s="6032"/>
      <c r="W119" s="6032"/>
      <c r="X119" s="6032"/>
      <c r="Y119" s="6032"/>
      <c r="Z119" s="6032"/>
      <c r="AA119" s="6046"/>
      <c r="AB119" s="6083" t="s">
        <v>322</v>
      </c>
      <c r="AC119" s="6086" t="s">
        <v>37</v>
      </c>
    </row>
    <row r="120" spans="1:90" ht="15" customHeight="1" x14ac:dyDescent="0.3">
      <c r="A120" s="5851"/>
      <c r="B120" s="5851"/>
      <c r="C120" s="5946"/>
      <c r="D120" s="5882"/>
      <c r="E120" s="5760"/>
      <c r="F120" s="5887" t="s">
        <v>323</v>
      </c>
      <c r="G120" s="5888"/>
      <c r="H120" s="5887" t="s">
        <v>324</v>
      </c>
      <c r="I120" s="5888"/>
      <c r="J120" s="5887" t="s">
        <v>325</v>
      </c>
      <c r="K120" s="5888"/>
      <c r="L120" s="5992" t="s">
        <v>326</v>
      </c>
      <c r="M120" s="5888"/>
      <c r="N120" s="5887" t="s">
        <v>94</v>
      </c>
      <c r="O120" s="5888"/>
      <c r="P120" s="5887" t="s">
        <v>44</v>
      </c>
      <c r="Q120" s="5888"/>
      <c r="R120" s="5887" t="s">
        <v>45</v>
      </c>
      <c r="S120" s="5888"/>
      <c r="T120" s="5887" t="s">
        <v>327</v>
      </c>
      <c r="U120" s="5888"/>
      <c r="V120" s="5887" t="s">
        <v>54</v>
      </c>
      <c r="W120" s="5888"/>
      <c r="X120" s="5887" t="s">
        <v>328</v>
      </c>
      <c r="Y120" s="5888"/>
      <c r="Z120" s="6034" t="s">
        <v>57</v>
      </c>
      <c r="AA120" s="6045"/>
      <c r="AB120" s="6084"/>
      <c r="AC120" s="6087"/>
    </row>
    <row r="121" spans="1:90" ht="15" customHeight="1" x14ac:dyDescent="0.3">
      <c r="A121" s="5825"/>
      <c r="B121" s="5825"/>
      <c r="C121" s="2308" t="s">
        <v>79</v>
      </c>
      <c r="D121" s="2387" t="s">
        <v>58</v>
      </c>
      <c r="E121" s="2388" t="s">
        <v>59</v>
      </c>
      <c r="F121" s="2197" t="s">
        <v>58</v>
      </c>
      <c r="G121" s="1776" t="s">
        <v>59</v>
      </c>
      <c r="H121" s="2197" t="s">
        <v>58</v>
      </c>
      <c r="I121" s="1776" t="s">
        <v>59</v>
      </c>
      <c r="J121" s="2197" t="s">
        <v>58</v>
      </c>
      <c r="K121" s="1776" t="s">
        <v>59</v>
      </c>
      <c r="L121" s="2198" t="s">
        <v>58</v>
      </c>
      <c r="M121" s="1776" t="s">
        <v>59</v>
      </c>
      <c r="N121" s="2197" t="s">
        <v>58</v>
      </c>
      <c r="O121" s="1776" t="s">
        <v>59</v>
      </c>
      <c r="P121" s="2197" t="s">
        <v>58</v>
      </c>
      <c r="Q121" s="1776" t="s">
        <v>59</v>
      </c>
      <c r="R121" s="2197" t="s">
        <v>58</v>
      </c>
      <c r="S121" s="2308" t="s">
        <v>59</v>
      </c>
      <c r="T121" s="2197" t="s">
        <v>58</v>
      </c>
      <c r="U121" s="1776" t="s">
        <v>59</v>
      </c>
      <c r="V121" s="2197" t="s">
        <v>58</v>
      </c>
      <c r="W121" s="1776" t="s">
        <v>59</v>
      </c>
      <c r="X121" s="2197" t="s">
        <v>58</v>
      </c>
      <c r="Y121" s="1776" t="s">
        <v>59</v>
      </c>
      <c r="Z121" s="2389" t="s">
        <v>58</v>
      </c>
      <c r="AA121" s="2386" t="s">
        <v>59</v>
      </c>
      <c r="AB121" s="6085"/>
      <c r="AC121" s="6088"/>
    </row>
    <row r="122" spans="1:90" ht="15" customHeight="1" x14ac:dyDescent="0.3">
      <c r="A122" s="6042" t="s">
        <v>329</v>
      </c>
      <c r="B122" s="2231" t="s">
        <v>330</v>
      </c>
      <c r="C122" s="2391">
        <f>SUM(D122+E122)</f>
        <v>0</v>
      </c>
      <c r="D122" s="2325">
        <f>SUM(F122+H122+J122+L122+N122+P122+R122+T122+V122+X122+Z122)</f>
        <v>0</v>
      </c>
      <c r="E122" s="2392">
        <f>SUM(G122+I122+K122+M122+O122+Q122+S122+U122+W122+Y122+AA122)</f>
        <v>0</v>
      </c>
      <c r="F122" s="2209"/>
      <c r="G122" s="2210"/>
      <c r="H122" s="2209"/>
      <c r="I122" s="1996"/>
      <c r="J122" s="2209"/>
      <c r="K122" s="1996"/>
      <c r="L122" s="2393"/>
      <c r="M122" s="1996"/>
      <c r="N122" s="2209"/>
      <c r="O122" s="1996"/>
      <c r="P122" s="2209"/>
      <c r="Q122" s="1996"/>
      <c r="R122" s="2209"/>
      <c r="S122" s="1996"/>
      <c r="T122" s="2209"/>
      <c r="U122" s="1996"/>
      <c r="V122" s="2238"/>
      <c r="W122" s="1996"/>
      <c r="X122" s="2238"/>
      <c r="Y122" s="1996"/>
      <c r="Z122" s="2361"/>
      <c r="AA122" s="2394"/>
      <c r="AB122" s="2361"/>
      <c r="AC122" s="2395"/>
      <c r="AD122" s="1970" t="str">
        <f>CA122&amp;CB122</f>
        <v/>
      </c>
      <c r="CA122" s="2229" t="str">
        <f>IF(AND($C122&lt;&gt;0,AB122=""),"* No olvide ingresar la variable "&amp;AB$119&amp;""&amp;". Digite CERO si no tiene. ",IF(AB122&gt;$C122,"* La variable Pueblos Originarios no debe ser mayor al Total Ambos Sexos. ",""))</f>
        <v/>
      </c>
      <c r="CB122" s="2229" t="str">
        <f>IF(AND($C122&lt;&gt;0,AC122=""),"* No olvide ingresar la variable "&amp;AC$119&amp;""&amp;". Digite CERO si no tiene. ",IF(AC122&gt;$C122,"* La variable Migrantes no debe ser mayor al Total Ambos Sexos. ",""))</f>
        <v/>
      </c>
      <c r="CK122" s="2396">
        <f>IF(AND($C122&lt;&gt;0,AB122=""),1,IF(AB122&gt;$C122,1,0))</f>
        <v>0</v>
      </c>
      <c r="CL122" s="2396">
        <f>IF(AND($C122&lt;&gt;0,AC122=""),1,IF(AC122&gt;$C122,1,0))</f>
        <v>0</v>
      </c>
    </row>
    <row r="123" spans="1:90" ht="15" customHeight="1" x14ac:dyDescent="0.3">
      <c r="A123" s="6043"/>
      <c r="B123" s="319" t="s">
        <v>331</v>
      </c>
      <c r="C123" s="295">
        <f t="shared" ref="C123:C151" si="43">SUM(D123+E123)</f>
        <v>0</v>
      </c>
      <c r="D123" s="2326">
        <f t="shared" ref="D123:E151" si="44">SUM(F123+H123+J123+L123+N123+P123+R123+T123+V123+X123+Z123)</f>
        <v>0</v>
      </c>
      <c r="E123" s="588">
        <f t="shared" si="44"/>
        <v>0</v>
      </c>
      <c r="F123" s="329"/>
      <c r="G123" s="330"/>
      <c r="H123" s="329"/>
      <c r="I123" s="2003"/>
      <c r="J123" s="329"/>
      <c r="K123" s="2003"/>
      <c r="L123" s="331"/>
      <c r="M123" s="2003"/>
      <c r="N123" s="329"/>
      <c r="O123" s="2003"/>
      <c r="P123" s="329"/>
      <c r="Q123" s="2003"/>
      <c r="R123" s="329"/>
      <c r="S123" s="2003"/>
      <c r="T123" s="329"/>
      <c r="U123" s="2003"/>
      <c r="V123" s="2234"/>
      <c r="W123" s="2003"/>
      <c r="X123" s="2234"/>
      <c r="Y123" s="2003"/>
      <c r="Z123" s="2397"/>
      <c r="AA123" s="2097"/>
      <c r="AB123" s="2397"/>
      <c r="AC123" s="2094"/>
      <c r="AD123" s="1970" t="str">
        <f t="shared" ref="AD123:AD157" si="45">CA123&amp;CB123</f>
        <v/>
      </c>
      <c r="CA123" s="2229" t="str">
        <f t="shared" ref="CA123:CA151" si="46">IF(AND($C123&lt;&gt;0,AB123=""),"* No olvide ingresar la variable "&amp;AB$119&amp;""&amp;". Digite CERO si no tiene. ",IF(AB123&gt;$C123,"* La variable Pueblos Originarios no debe ser mayor al Total Ambos Sexos. ",""))</f>
        <v/>
      </c>
      <c r="CB123" s="2229" t="str">
        <f t="shared" ref="CB123:CB151" si="47">IF(AND($C123&lt;&gt;0,AC123=""),"* No olvide ingresar la variable "&amp;AC$119&amp;""&amp;". Digite CERO si no tiene. ",IF(AC123&gt;$C123,"* La variable Migrantes no debe ser mayor al Total Ambos Sexos. ",""))</f>
        <v/>
      </c>
      <c r="CK123" s="2396">
        <f t="shared" ref="CK123:CK151" si="48">IF(AND($C123&lt;&gt;0,AB123=""),1,IF(AB123&gt;$C123,1,0))</f>
        <v>0</v>
      </c>
      <c r="CL123" s="2396">
        <f t="shared" ref="CL123:CL151" si="49">IF(AND($C123&lt;&gt;0,AC123=""),1,IF(AC123&gt;$C123,1,0))</f>
        <v>0</v>
      </c>
    </row>
    <row r="124" spans="1:90" ht="15" customHeight="1" x14ac:dyDescent="0.3">
      <c r="A124" s="6043"/>
      <c r="B124" s="361" t="s">
        <v>332</v>
      </c>
      <c r="C124" s="295">
        <f t="shared" si="43"/>
        <v>0</v>
      </c>
      <c r="D124" s="2326">
        <f t="shared" si="44"/>
        <v>0</v>
      </c>
      <c r="E124" s="588">
        <f t="shared" si="44"/>
        <v>0</v>
      </c>
      <c r="F124" s="329"/>
      <c r="G124" s="330"/>
      <c r="H124" s="329"/>
      <c r="I124" s="2003"/>
      <c r="J124" s="329"/>
      <c r="K124" s="2003"/>
      <c r="L124" s="331"/>
      <c r="M124" s="2003"/>
      <c r="N124" s="329"/>
      <c r="O124" s="2003"/>
      <c r="P124" s="329"/>
      <c r="Q124" s="2003"/>
      <c r="R124" s="329"/>
      <c r="S124" s="2003"/>
      <c r="T124" s="329"/>
      <c r="U124" s="2003"/>
      <c r="V124" s="2234"/>
      <c r="W124" s="2003"/>
      <c r="X124" s="2234"/>
      <c r="Y124" s="2003"/>
      <c r="Z124" s="2397"/>
      <c r="AA124" s="2097"/>
      <c r="AB124" s="2397"/>
      <c r="AC124" s="2094"/>
      <c r="AD124" s="1970" t="str">
        <f t="shared" si="45"/>
        <v/>
      </c>
      <c r="CA124" s="2229" t="str">
        <f t="shared" si="46"/>
        <v/>
      </c>
      <c r="CB124" s="2229" t="str">
        <f t="shared" si="47"/>
        <v/>
      </c>
      <c r="CK124" s="2396">
        <f t="shared" si="48"/>
        <v>0</v>
      </c>
      <c r="CL124" s="2396">
        <f t="shared" si="49"/>
        <v>0</v>
      </c>
    </row>
    <row r="125" spans="1:90" ht="15" customHeight="1" x14ac:dyDescent="0.3">
      <c r="A125" s="5782"/>
      <c r="B125" s="361" t="s">
        <v>333</v>
      </c>
      <c r="C125" s="358">
        <f t="shared" si="43"/>
        <v>0</v>
      </c>
      <c r="D125" s="479">
        <f t="shared" si="44"/>
        <v>0</v>
      </c>
      <c r="E125" s="560">
        <f t="shared" si="44"/>
        <v>0</v>
      </c>
      <c r="F125" s="329"/>
      <c r="G125" s="330"/>
      <c r="H125" s="329"/>
      <c r="I125" s="2003"/>
      <c r="J125" s="329"/>
      <c r="K125" s="2003"/>
      <c r="L125" s="331"/>
      <c r="M125" s="2003"/>
      <c r="N125" s="329"/>
      <c r="O125" s="2003"/>
      <c r="P125" s="329"/>
      <c r="Q125" s="2003"/>
      <c r="R125" s="329"/>
      <c r="S125" s="2003"/>
      <c r="T125" s="329"/>
      <c r="U125" s="2003"/>
      <c r="V125" s="2234"/>
      <c r="W125" s="2003"/>
      <c r="X125" s="2234"/>
      <c r="Y125" s="2003"/>
      <c r="Z125" s="2397"/>
      <c r="AA125" s="2097"/>
      <c r="AB125" s="2397"/>
      <c r="AC125" s="2094"/>
      <c r="AD125" s="1970" t="str">
        <f t="shared" si="45"/>
        <v/>
      </c>
      <c r="CA125" s="2229" t="str">
        <f t="shared" si="46"/>
        <v/>
      </c>
      <c r="CB125" s="2229" t="str">
        <f t="shared" si="47"/>
        <v/>
      </c>
      <c r="CK125" s="2396">
        <f t="shared" si="48"/>
        <v>0</v>
      </c>
      <c r="CL125" s="2396">
        <f t="shared" si="49"/>
        <v>0</v>
      </c>
    </row>
    <row r="126" spans="1:90" ht="15" customHeight="1" x14ac:dyDescent="0.3">
      <c r="A126" s="6044"/>
      <c r="B126" s="526" t="s">
        <v>334</v>
      </c>
      <c r="C126" s="519">
        <f t="shared" si="43"/>
        <v>0</v>
      </c>
      <c r="D126" s="484">
        <f t="shared" si="44"/>
        <v>0</v>
      </c>
      <c r="E126" s="563">
        <f t="shared" si="44"/>
        <v>0</v>
      </c>
      <c r="F126" s="876"/>
      <c r="G126" s="877"/>
      <c r="H126" s="876"/>
      <c r="I126" s="2009"/>
      <c r="J126" s="876"/>
      <c r="K126" s="2009"/>
      <c r="L126" s="993"/>
      <c r="M126" s="2009"/>
      <c r="N126" s="876"/>
      <c r="O126" s="2009"/>
      <c r="P126" s="876"/>
      <c r="Q126" s="2009"/>
      <c r="R126" s="876"/>
      <c r="S126" s="2009"/>
      <c r="T126" s="876"/>
      <c r="U126" s="2009"/>
      <c r="V126" s="2049"/>
      <c r="W126" s="2009"/>
      <c r="X126" s="2049"/>
      <c r="Y126" s="2009"/>
      <c r="Z126" s="2398"/>
      <c r="AA126" s="2399"/>
      <c r="AB126" s="2398"/>
      <c r="AC126" s="2400"/>
      <c r="AD126" s="1970" t="str">
        <f t="shared" si="45"/>
        <v/>
      </c>
      <c r="CA126" s="2229" t="str">
        <f t="shared" si="46"/>
        <v/>
      </c>
      <c r="CB126" s="2229" t="str">
        <f t="shared" si="47"/>
        <v/>
      </c>
      <c r="CK126" s="2396">
        <f t="shared" si="48"/>
        <v>0</v>
      </c>
      <c r="CL126" s="2396">
        <f t="shared" si="49"/>
        <v>0</v>
      </c>
    </row>
    <row r="127" spans="1:90" ht="15" customHeight="1" x14ac:dyDescent="0.3">
      <c r="A127" s="6042" t="s">
        <v>335</v>
      </c>
      <c r="B127" s="2231" t="s">
        <v>330</v>
      </c>
      <c r="C127" s="2391">
        <f t="shared" si="43"/>
        <v>0</v>
      </c>
      <c r="D127" s="2325">
        <f t="shared" si="44"/>
        <v>0</v>
      </c>
      <c r="E127" s="2392">
        <f t="shared" si="44"/>
        <v>0</v>
      </c>
      <c r="F127" s="2209"/>
      <c r="G127" s="2210"/>
      <c r="H127" s="2209"/>
      <c r="I127" s="1996"/>
      <c r="J127" s="2209"/>
      <c r="K127" s="1996"/>
      <c r="L127" s="2393"/>
      <c r="M127" s="1996"/>
      <c r="N127" s="2209"/>
      <c r="O127" s="1996"/>
      <c r="P127" s="2209"/>
      <c r="Q127" s="1996"/>
      <c r="R127" s="2209"/>
      <c r="S127" s="1996"/>
      <c r="T127" s="2209"/>
      <c r="U127" s="1996"/>
      <c r="V127" s="2238"/>
      <c r="W127" s="1996"/>
      <c r="X127" s="2238"/>
      <c r="Y127" s="1996"/>
      <c r="Z127" s="2361"/>
      <c r="AA127" s="2394"/>
      <c r="AB127" s="2361"/>
      <c r="AC127" s="2395"/>
      <c r="AD127" s="1970" t="str">
        <f t="shared" si="45"/>
        <v/>
      </c>
      <c r="CA127" s="2229" t="str">
        <f t="shared" si="46"/>
        <v/>
      </c>
      <c r="CB127" s="2229" t="str">
        <f t="shared" si="47"/>
        <v/>
      </c>
      <c r="CK127" s="2396">
        <f t="shared" si="48"/>
        <v>0</v>
      </c>
      <c r="CL127" s="2396">
        <f t="shared" si="49"/>
        <v>0</v>
      </c>
    </row>
    <row r="128" spans="1:90" ht="15" customHeight="1" x14ac:dyDescent="0.3">
      <c r="A128" s="6043"/>
      <c r="B128" s="319" t="s">
        <v>331</v>
      </c>
      <c r="C128" s="295">
        <f t="shared" si="43"/>
        <v>0</v>
      </c>
      <c r="D128" s="2326">
        <f t="shared" si="44"/>
        <v>0</v>
      </c>
      <c r="E128" s="588">
        <f t="shared" si="44"/>
        <v>0</v>
      </c>
      <c r="F128" s="329"/>
      <c r="G128" s="330"/>
      <c r="H128" s="329"/>
      <c r="I128" s="2003"/>
      <c r="J128" s="329"/>
      <c r="K128" s="2003"/>
      <c r="L128" s="331"/>
      <c r="M128" s="2003"/>
      <c r="N128" s="329"/>
      <c r="O128" s="2003"/>
      <c r="P128" s="329"/>
      <c r="Q128" s="2003"/>
      <c r="R128" s="329"/>
      <c r="S128" s="2003"/>
      <c r="T128" s="329"/>
      <c r="U128" s="2003"/>
      <c r="V128" s="2234"/>
      <c r="W128" s="2003"/>
      <c r="X128" s="2234"/>
      <c r="Y128" s="2003"/>
      <c r="Z128" s="2397"/>
      <c r="AA128" s="2097"/>
      <c r="AB128" s="2397"/>
      <c r="AC128" s="2094"/>
      <c r="AD128" s="1970" t="str">
        <f t="shared" si="45"/>
        <v/>
      </c>
      <c r="CA128" s="2229" t="str">
        <f t="shared" si="46"/>
        <v/>
      </c>
      <c r="CB128" s="2229" t="str">
        <f t="shared" si="47"/>
        <v/>
      </c>
      <c r="CK128" s="2396">
        <f t="shared" si="48"/>
        <v>0</v>
      </c>
      <c r="CL128" s="2396">
        <f t="shared" si="49"/>
        <v>0</v>
      </c>
    </row>
    <row r="129" spans="1:90" ht="15" customHeight="1" x14ac:dyDescent="0.3">
      <c r="A129" s="6043"/>
      <c r="B129" s="361" t="s">
        <v>332</v>
      </c>
      <c r="C129" s="295">
        <f t="shared" si="43"/>
        <v>0</v>
      </c>
      <c r="D129" s="2326">
        <f t="shared" si="44"/>
        <v>0</v>
      </c>
      <c r="E129" s="588">
        <f t="shared" si="44"/>
        <v>0</v>
      </c>
      <c r="F129" s="329"/>
      <c r="G129" s="330"/>
      <c r="H129" s="329"/>
      <c r="I129" s="2003"/>
      <c r="J129" s="329"/>
      <c r="K129" s="2003"/>
      <c r="L129" s="331"/>
      <c r="M129" s="2003"/>
      <c r="N129" s="329"/>
      <c r="O129" s="2003"/>
      <c r="P129" s="329"/>
      <c r="Q129" s="2003"/>
      <c r="R129" s="329"/>
      <c r="S129" s="2003"/>
      <c r="T129" s="329"/>
      <c r="U129" s="2003"/>
      <c r="V129" s="2234"/>
      <c r="W129" s="2003"/>
      <c r="X129" s="2234"/>
      <c r="Y129" s="2003"/>
      <c r="Z129" s="2397"/>
      <c r="AA129" s="2097"/>
      <c r="AB129" s="2397"/>
      <c r="AC129" s="2094"/>
      <c r="AD129" s="1970" t="str">
        <f t="shared" si="45"/>
        <v/>
      </c>
      <c r="CA129" s="2229" t="str">
        <f t="shared" si="46"/>
        <v/>
      </c>
      <c r="CB129" s="2229" t="str">
        <f t="shared" si="47"/>
        <v/>
      </c>
      <c r="CK129" s="2396">
        <f t="shared" si="48"/>
        <v>0</v>
      </c>
      <c r="CL129" s="2396">
        <f t="shared" si="49"/>
        <v>0</v>
      </c>
    </row>
    <row r="130" spans="1:90" ht="15" customHeight="1" x14ac:dyDescent="0.3">
      <c r="A130" s="5782"/>
      <c r="B130" s="361" t="s">
        <v>333</v>
      </c>
      <c r="C130" s="358">
        <f t="shared" si="43"/>
        <v>0</v>
      </c>
      <c r="D130" s="479">
        <f t="shared" si="44"/>
        <v>0</v>
      </c>
      <c r="E130" s="560">
        <f t="shared" si="44"/>
        <v>0</v>
      </c>
      <c r="F130" s="329"/>
      <c r="G130" s="330"/>
      <c r="H130" s="329"/>
      <c r="I130" s="2003"/>
      <c r="J130" s="329"/>
      <c r="K130" s="2003"/>
      <c r="L130" s="331"/>
      <c r="M130" s="2003"/>
      <c r="N130" s="329"/>
      <c r="O130" s="2003"/>
      <c r="P130" s="329"/>
      <c r="Q130" s="2003"/>
      <c r="R130" s="329"/>
      <c r="S130" s="2003"/>
      <c r="T130" s="329"/>
      <c r="U130" s="2003"/>
      <c r="V130" s="2234"/>
      <c r="W130" s="2003"/>
      <c r="X130" s="2234"/>
      <c r="Y130" s="2003"/>
      <c r="Z130" s="2397"/>
      <c r="AA130" s="2097"/>
      <c r="AB130" s="2397"/>
      <c r="AC130" s="2094"/>
      <c r="AD130" s="1970" t="str">
        <f t="shared" si="45"/>
        <v/>
      </c>
      <c r="CA130" s="2229" t="str">
        <f t="shared" si="46"/>
        <v/>
      </c>
      <c r="CB130" s="2229" t="str">
        <f t="shared" si="47"/>
        <v/>
      </c>
      <c r="CK130" s="2396">
        <f t="shared" si="48"/>
        <v>0</v>
      </c>
      <c r="CL130" s="2396">
        <f t="shared" si="49"/>
        <v>0</v>
      </c>
    </row>
    <row r="131" spans="1:90" ht="15" customHeight="1" x14ac:dyDescent="0.3">
      <c r="A131" s="6044"/>
      <c r="B131" s="526" t="s">
        <v>334</v>
      </c>
      <c r="C131" s="519">
        <f t="shared" si="43"/>
        <v>0</v>
      </c>
      <c r="D131" s="484">
        <f t="shared" si="44"/>
        <v>0</v>
      </c>
      <c r="E131" s="563">
        <f t="shared" si="44"/>
        <v>0</v>
      </c>
      <c r="F131" s="876"/>
      <c r="G131" s="877"/>
      <c r="H131" s="876"/>
      <c r="I131" s="2009"/>
      <c r="J131" s="876"/>
      <c r="K131" s="2009"/>
      <c r="L131" s="993"/>
      <c r="M131" s="2009"/>
      <c r="N131" s="876"/>
      <c r="O131" s="2009"/>
      <c r="P131" s="876"/>
      <c r="Q131" s="2009"/>
      <c r="R131" s="876"/>
      <c r="S131" s="2009"/>
      <c r="T131" s="876"/>
      <c r="U131" s="2009"/>
      <c r="V131" s="2049"/>
      <c r="W131" s="2009"/>
      <c r="X131" s="2049"/>
      <c r="Y131" s="2009"/>
      <c r="Z131" s="2398"/>
      <c r="AA131" s="2399"/>
      <c r="AB131" s="2398"/>
      <c r="AC131" s="2400"/>
      <c r="AD131" s="1970" t="str">
        <f t="shared" si="45"/>
        <v/>
      </c>
      <c r="CA131" s="2229" t="str">
        <f t="shared" si="46"/>
        <v/>
      </c>
      <c r="CB131" s="2229" t="str">
        <f t="shared" si="47"/>
        <v/>
      </c>
      <c r="CK131" s="2396">
        <f t="shared" si="48"/>
        <v>0</v>
      </c>
      <c r="CL131" s="2396">
        <f t="shared" si="49"/>
        <v>0</v>
      </c>
    </row>
    <row r="132" spans="1:90" ht="15" customHeight="1" x14ac:dyDescent="0.3">
      <c r="A132" s="5843" t="s">
        <v>336</v>
      </c>
      <c r="B132" s="2231" t="s">
        <v>330</v>
      </c>
      <c r="C132" s="2391">
        <f t="shared" si="43"/>
        <v>0</v>
      </c>
      <c r="D132" s="2325">
        <f t="shared" si="44"/>
        <v>0</v>
      </c>
      <c r="E132" s="2392">
        <f t="shared" si="44"/>
        <v>0</v>
      </c>
      <c r="F132" s="2209"/>
      <c r="G132" s="2210"/>
      <c r="H132" s="2209"/>
      <c r="I132" s="1996"/>
      <c r="J132" s="2209"/>
      <c r="K132" s="1996"/>
      <c r="L132" s="2393"/>
      <c r="M132" s="1996"/>
      <c r="N132" s="2209"/>
      <c r="O132" s="1996"/>
      <c r="P132" s="2209"/>
      <c r="Q132" s="1996"/>
      <c r="R132" s="2209"/>
      <c r="S132" s="1996"/>
      <c r="T132" s="2209"/>
      <c r="U132" s="1996"/>
      <c r="V132" s="2238"/>
      <c r="W132" s="1996"/>
      <c r="X132" s="2238"/>
      <c r="Y132" s="1996"/>
      <c r="Z132" s="2361"/>
      <c r="AA132" s="2394"/>
      <c r="AB132" s="2361"/>
      <c r="AC132" s="2395"/>
      <c r="AD132" s="1970" t="str">
        <f t="shared" si="45"/>
        <v/>
      </c>
      <c r="CA132" s="2229" t="str">
        <f t="shared" si="46"/>
        <v/>
      </c>
      <c r="CB132" s="2229" t="str">
        <f t="shared" si="47"/>
        <v/>
      </c>
      <c r="CK132" s="2396">
        <f t="shared" si="48"/>
        <v>0</v>
      </c>
      <c r="CL132" s="2396">
        <f t="shared" si="49"/>
        <v>0</v>
      </c>
    </row>
    <row r="133" spans="1:90" ht="15" customHeight="1" x14ac:dyDescent="0.3">
      <c r="A133" s="5844"/>
      <c r="B133" s="319" t="s">
        <v>331</v>
      </c>
      <c r="C133" s="295">
        <f t="shared" si="43"/>
        <v>0</v>
      </c>
      <c r="D133" s="2326">
        <f t="shared" si="44"/>
        <v>0</v>
      </c>
      <c r="E133" s="588">
        <f t="shared" si="44"/>
        <v>0</v>
      </c>
      <c r="F133" s="329"/>
      <c r="G133" s="330"/>
      <c r="H133" s="329"/>
      <c r="I133" s="2003"/>
      <c r="J133" s="329"/>
      <c r="K133" s="2003"/>
      <c r="L133" s="331"/>
      <c r="M133" s="2003"/>
      <c r="N133" s="329"/>
      <c r="O133" s="2003"/>
      <c r="P133" s="329"/>
      <c r="Q133" s="2003"/>
      <c r="R133" s="329"/>
      <c r="S133" s="2003"/>
      <c r="T133" s="329"/>
      <c r="U133" s="2003"/>
      <c r="V133" s="2234"/>
      <c r="W133" s="2003"/>
      <c r="X133" s="2234"/>
      <c r="Y133" s="2003"/>
      <c r="Z133" s="2397"/>
      <c r="AA133" s="2097"/>
      <c r="AB133" s="2397"/>
      <c r="AC133" s="2094"/>
      <c r="AD133" s="1970" t="str">
        <f t="shared" si="45"/>
        <v/>
      </c>
      <c r="CA133" s="2229" t="str">
        <f t="shared" si="46"/>
        <v/>
      </c>
      <c r="CB133" s="2229" t="str">
        <f t="shared" si="47"/>
        <v/>
      </c>
      <c r="CK133" s="2396">
        <f t="shared" si="48"/>
        <v>0</v>
      </c>
      <c r="CL133" s="2396">
        <f t="shared" si="49"/>
        <v>0</v>
      </c>
    </row>
    <row r="134" spans="1:90" ht="15" customHeight="1" x14ac:dyDescent="0.3">
      <c r="A134" s="5844"/>
      <c r="B134" s="361" t="s">
        <v>332</v>
      </c>
      <c r="C134" s="295">
        <f t="shared" si="43"/>
        <v>0</v>
      </c>
      <c r="D134" s="2326">
        <f t="shared" si="44"/>
        <v>0</v>
      </c>
      <c r="E134" s="588">
        <f t="shared" si="44"/>
        <v>0</v>
      </c>
      <c r="F134" s="329"/>
      <c r="G134" s="330"/>
      <c r="H134" s="329"/>
      <c r="I134" s="2003"/>
      <c r="J134" s="329"/>
      <c r="K134" s="2003"/>
      <c r="L134" s="331"/>
      <c r="M134" s="2003"/>
      <c r="N134" s="329"/>
      <c r="O134" s="2003"/>
      <c r="P134" s="329"/>
      <c r="Q134" s="2003"/>
      <c r="R134" s="329"/>
      <c r="S134" s="2003"/>
      <c r="T134" s="329"/>
      <c r="U134" s="2003"/>
      <c r="V134" s="2234"/>
      <c r="W134" s="2003"/>
      <c r="X134" s="2234"/>
      <c r="Y134" s="2003"/>
      <c r="Z134" s="2397"/>
      <c r="AA134" s="2097"/>
      <c r="AB134" s="2397"/>
      <c r="AC134" s="2094"/>
      <c r="AD134" s="1970" t="str">
        <f t="shared" si="45"/>
        <v/>
      </c>
      <c r="CA134" s="2229" t="str">
        <f t="shared" si="46"/>
        <v/>
      </c>
      <c r="CB134" s="2229" t="str">
        <f t="shared" si="47"/>
        <v/>
      </c>
      <c r="CK134" s="2396">
        <f t="shared" si="48"/>
        <v>0</v>
      </c>
      <c r="CL134" s="2396">
        <f t="shared" si="49"/>
        <v>0</v>
      </c>
    </row>
    <row r="135" spans="1:90" ht="15" customHeight="1" x14ac:dyDescent="0.3">
      <c r="A135" s="5844"/>
      <c r="B135" s="361" t="s">
        <v>333</v>
      </c>
      <c r="C135" s="358">
        <f t="shared" si="43"/>
        <v>0</v>
      </c>
      <c r="D135" s="479">
        <f t="shared" si="44"/>
        <v>0</v>
      </c>
      <c r="E135" s="560">
        <f t="shared" si="44"/>
        <v>0</v>
      </c>
      <c r="F135" s="329"/>
      <c r="G135" s="330"/>
      <c r="H135" s="329"/>
      <c r="I135" s="2003"/>
      <c r="J135" s="329"/>
      <c r="K135" s="2003"/>
      <c r="L135" s="331"/>
      <c r="M135" s="2003"/>
      <c r="N135" s="329"/>
      <c r="O135" s="2003"/>
      <c r="P135" s="329"/>
      <c r="Q135" s="2003"/>
      <c r="R135" s="329"/>
      <c r="S135" s="2003"/>
      <c r="T135" s="329"/>
      <c r="U135" s="2003"/>
      <c r="V135" s="2234"/>
      <c r="W135" s="2003"/>
      <c r="X135" s="2234"/>
      <c r="Y135" s="2003"/>
      <c r="Z135" s="2397"/>
      <c r="AA135" s="2097"/>
      <c r="AB135" s="2397"/>
      <c r="AC135" s="2094"/>
      <c r="AD135" s="1970" t="str">
        <f t="shared" si="45"/>
        <v/>
      </c>
      <c r="CA135" s="2229" t="str">
        <f t="shared" si="46"/>
        <v/>
      </c>
      <c r="CB135" s="2229" t="str">
        <f t="shared" si="47"/>
        <v/>
      </c>
      <c r="CK135" s="2396">
        <f t="shared" si="48"/>
        <v>0</v>
      </c>
      <c r="CL135" s="2396">
        <f t="shared" si="49"/>
        <v>0</v>
      </c>
    </row>
    <row r="136" spans="1:90" ht="15" customHeight="1" x14ac:dyDescent="0.3">
      <c r="A136" s="5845"/>
      <c r="B136" s="526" t="s">
        <v>334</v>
      </c>
      <c r="C136" s="519">
        <f t="shared" si="43"/>
        <v>0</v>
      </c>
      <c r="D136" s="484">
        <f t="shared" si="44"/>
        <v>0</v>
      </c>
      <c r="E136" s="563">
        <f t="shared" si="44"/>
        <v>0</v>
      </c>
      <c r="F136" s="876"/>
      <c r="G136" s="877"/>
      <c r="H136" s="876"/>
      <c r="I136" s="2009"/>
      <c r="J136" s="876"/>
      <c r="K136" s="2009"/>
      <c r="L136" s="993"/>
      <c r="M136" s="2009"/>
      <c r="N136" s="876"/>
      <c r="O136" s="2009"/>
      <c r="P136" s="876"/>
      <c r="Q136" s="2009"/>
      <c r="R136" s="876"/>
      <c r="S136" s="2009"/>
      <c r="T136" s="876"/>
      <c r="U136" s="2009"/>
      <c r="V136" s="2049"/>
      <c r="W136" s="2009"/>
      <c r="X136" s="2049"/>
      <c r="Y136" s="2009"/>
      <c r="Z136" s="2398"/>
      <c r="AA136" s="2399"/>
      <c r="AB136" s="2398"/>
      <c r="AC136" s="2400"/>
      <c r="AD136" s="1970" t="str">
        <f t="shared" si="45"/>
        <v/>
      </c>
      <c r="CA136" s="2229" t="str">
        <f t="shared" si="46"/>
        <v/>
      </c>
      <c r="CB136" s="2229" t="str">
        <f t="shared" si="47"/>
        <v/>
      </c>
      <c r="CK136" s="2396">
        <f t="shared" si="48"/>
        <v>0</v>
      </c>
      <c r="CL136" s="2396">
        <f t="shared" si="49"/>
        <v>0</v>
      </c>
    </row>
    <row r="137" spans="1:90" ht="15" customHeight="1" x14ac:dyDescent="0.3">
      <c r="A137" s="6042" t="s">
        <v>337</v>
      </c>
      <c r="B137" s="2231" t="s">
        <v>330</v>
      </c>
      <c r="C137" s="2391">
        <f t="shared" si="43"/>
        <v>0</v>
      </c>
      <c r="D137" s="2325">
        <f t="shared" si="44"/>
        <v>0</v>
      </c>
      <c r="E137" s="2392">
        <f t="shared" si="44"/>
        <v>0</v>
      </c>
      <c r="F137" s="2209"/>
      <c r="G137" s="2210"/>
      <c r="H137" s="2209"/>
      <c r="I137" s="1996"/>
      <c r="J137" s="2209"/>
      <c r="K137" s="1996"/>
      <c r="L137" s="2393"/>
      <c r="M137" s="1996"/>
      <c r="N137" s="2209"/>
      <c r="O137" s="1996"/>
      <c r="P137" s="2209"/>
      <c r="Q137" s="1996"/>
      <c r="R137" s="2209"/>
      <c r="S137" s="1996"/>
      <c r="T137" s="2209"/>
      <c r="U137" s="1996"/>
      <c r="V137" s="2238"/>
      <c r="W137" s="1996"/>
      <c r="X137" s="2238"/>
      <c r="Y137" s="1996"/>
      <c r="Z137" s="2361"/>
      <c r="AA137" s="2394"/>
      <c r="AB137" s="2361"/>
      <c r="AC137" s="2395"/>
      <c r="AD137" s="1970" t="str">
        <f t="shared" si="45"/>
        <v/>
      </c>
      <c r="CA137" s="2229" t="str">
        <f t="shared" si="46"/>
        <v/>
      </c>
      <c r="CB137" s="2229" t="str">
        <f t="shared" si="47"/>
        <v/>
      </c>
      <c r="CK137" s="2396">
        <f t="shared" si="48"/>
        <v>0</v>
      </c>
      <c r="CL137" s="2396">
        <f t="shared" si="49"/>
        <v>0</v>
      </c>
    </row>
    <row r="138" spans="1:90" ht="15" customHeight="1" x14ac:dyDescent="0.3">
      <c r="A138" s="6043"/>
      <c r="B138" s="319" t="s">
        <v>331</v>
      </c>
      <c r="C138" s="295">
        <f t="shared" si="43"/>
        <v>0</v>
      </c>
      <c r="D138" s="2326">
        <f t="shared" si="44"/>
        <v>0</v>
      </c>
      <c r="E138" s="588">
        <f t="shared" si="44"/>
        <v>0</v>
      </c>
      <c r="F138" s="329"/>
      <c r="G138" s="330"/>
      <c r="H138" s="329"/>
      <c r="I138" s="2003"/>
      <c r="J138" s="329"/>
      <c r="K138" s="2003"/>
      <c r="L138" s="331"/>
      <c r="M138" s="2003"/>
      <c r="N138" s="329"/>
      <c r="O138" s="2003"/>
      <c r="P138" s="329"/>
      <c r="Q138" s="2003"/>
      <c r="R138" s="329"/>
      <c r="S138" s="2003"/>
      <c r="T138" s="329"/>
      <c r="U138" s="2003"/>
      <c r="V138" s="2234"/>
      <c r="W138" s="2003"/>
      <c r="X138" s="2234"/>
      <c r="Y138" s="2003"/>
      <c r="Z138" s="2397"/>
      <c r="AA138" s="2097"/>
      <c r="AB138" s="2397"/>
      <c r="AC138" s="2094"/>
      <c r="AD138" s="1970" t="str">
        <f t="shared" si="45"/>
        <v/>
      </c>
      <c r="CA138" s="2229" t="str">
        <f t="shared" si="46"/>
        <v/>
      </c>
      <c r="CB138" s="2229" t="str">
        <f t="shared" si="47"/>
        <v/>
      </c>
      <c r="CK138" s="2396">
        <f t="shared" si="48"/>
        <v>0</v>
      </c>
      <c r="CL138" s="2396">
        <f t="shared" si="49"/>
        <v>0</v>
      </c>
    </row>
    <row r="139" spans="1:90" ht="15" customHeight="1" x14ac:dyDescent="0.3">
      <c r="A139" s="6043"/>
      <c r="B139" s="361" t="s">
        <v>332</v>
      </c>
      <c r="C139" s="295">
        <f t="shared" si="43"/>
        <v>0</v>
      </c>
      <c r="D139" s="2326">
        <f t="shared" si="44"/>
        <v>0</v>
      </c>
      <c r="E139" s="588">
        <f t="shared" si="44"/>
        <v>0</v>
      </c>
      <c r="F139" s="329"/>
      <c r="G139" s="330"/>
      <c r="H139" s="329"/>
      <c r="I139" s="2003"/>
      <c r="J139" s="329"/>
      <c r="K139" s="2003"/>
      <c r="L139" s="331"/>
      <c r="M139" s="2003"/>
      <c r="N139" s="329"/>
      <c r="O139" s="2003"/>
      <c r="P139" s="329"/>
      <c r="Q139" s="2003"/>
      <c r="R139" s="329"/>
      <c r="S139" s="2003"/>
      <c r="T139" s="329"/>
      <c r="U139" s="2003"/>
      <c r="V139" s="2234"/>
      <c r="W139" s="2003"/>
      <c r="X139" s="2234"/>
      <c r="Y139" s="2003"/>
      <c r="Z139" s="2397"/>
      <c r="AA139" s="2097"/>
      <c r="AB139" s="2397"/>
      <c r="AC139" s="2094"/>
      <c r="AD139" s="1970" t="str">
        <f t="shared" si="45"/>
        <v/>
      </c>
      <c r="CA139" s="2229" t="str">
        <f t="shared" si="46"/>
        <v/>
      </c>
      <c r="CB139" s="2229" t="str">
        <f t="shared" si="47"/>
        <v/>
      </c>
      <c r="CK139" s="2396">
        <f t="shared" si="48"/>
        <v>0</v>
      </c>
      <c r="CL139" s="2396">
        <f t="shared" si="49"/>
        <v>0</v>
      </c>
    </row>
    <row r="140" spans="1:90" ht="15" customHeight="1" x14ac:dyDescent="0.3">
      <c r="A140" s="5782"/>
      <c r="B140" s="361" t="s">
        <v>333</v>
      </c>
      <c r="C140" s="358">
        <f t="shared" si="43"/>
        <v>0</v>
      </c>
      <c r="D140" s="479">
        <f t="shared" si="44"/>
        <v>0</v>
      </c>
      <c r="E140" s="560">
        <f t="shared" si="44"/>
        <v>0</v>
      </c>
      <c r="F140" s="329"/>
      <c r="G140" s="330"/>
      <c r="H140" s="329"/>
      <c r="I140" s="2003"/>
      <c r="J140" s="329"/>
      <c r="K140" s="2003"/>
      <c r="L140" s="331"/>
      <c r="M140" s="2003"/>
      <c r="N140" s="329"/>
      <c r="O140" s="2003"/>
      <c r="P140" s="329"/>
      <c r="Q140" s="2003"/>
      <c r="R140" s="329"/>
      <c r="S140" s="2003"/>
      <c r="T140" s="329"/>
      <c r="U140" s="2003"/>
      <c r="V140" s="2234"/>
      <c r="W140" s="2003"/>
      <c r="X140" s="2234"/>
      <c r="Y140" s="2003"/>
      <c r="Z140" s="2397"/>
      <c r="AA140" s="2097"/>
      <c r="AB140" s="2397"/>
      <c r="AC140" s="2094"/>
      <c r="AD140" s="1970" t="str">
        <f t="shared" si="45"/>
        <v/>
      </c>
      <c r="CA140" s="2229" t="str">
        <f t="shared" si="46"/>
        <v/>
      </c>
      <c r="CB140" s="2229" t="str">
        <f t="shared" si="47"/>
        <v/>
      </c>
      <c r="CK140" s="2396">
        <f t="shared" si="48"/>
        <v>0</v>
      </c>
      <c r="CL140" s="2396">
        <f t="shared" si="49"/>
        <v>0</v>
      </c>
    </row>
    <row r="141" spans="1:90" ht="15" customHeight="1" x14ac:dyDescent="0.3">
      <c r="A141" s="6044"/>
      <c r="B141" s="526" t="s">
        <v>334</v>
      </c>
      <c r="C141" s="519">
        <f t="shared" si="43"/>
        <v>0</v>
      </c>
      <c r="D141" s="484">
        <f t="shared" si="44"/>
        <v>0</v>
      </c>
      <c r="E141" s="563">
        <f t="shared" si="44"/>
        <v>0</v>
      </c>
      <c r="F141" s="876"/>
      <c r="G141" s="877"/>
      <c r="H141" s="876"/>
      <c r="I141" s="2009"/>
      <c r="J141" s="876"/>
      <c r="K141" s="2009"/>
      <c r="L141" s="993"/>
      <c r="M141" s="2009"/>
      <c r="N141" s="876"/>
      <c r="O141" s="2009"/>
      <c r="P141" s="876"/>
      <c r="Q141" s="2009"/>
      <c r="R141" s="876"/>
      <c r="S141" s="2009"/>
      <c r="T141" s="876"/>
      <c r="U141" s="2009"/>
      <c r="V141" s="2049"/>
      <c r="W141" s="2009"/>
      <c r="X141" s="2049"/>
      <c r="Y141" s="2009"/>
      <c r="Z141" s="2398"/>
      <c r="AA141" s="2399"/>
      <c r="AB141" s="2398"/>
      <c r="AC141" s="2400"/>
      <c r="AD141" s="1970" t="str">
        <f t="shared" si="45"/>
        <v/>
      </c>
      <c r="CA141" s="2229" t="str">
        <f t="shared" si="46"/>
        <v/>
      </c>
      <c r="CB141" s="2229" t="str">
        <f t="shared" si="47"/>
        <v/>
      </c>
      <c r="CK141" s="2396">
        <f t="shared" si="48"/>
        <v>0</v>
      </c>
      <c r="CL141" s="2396">
        <f t="shared" si="49"/>
        <v>0</v>
      </c>
    </row>
    <row r="142" spans="1:90" ht="15" customHeight="1" x14ac:dyDescent="0.3">
      <c r="A142" s="6042" t="s">
        <v>338</v>
      </c>
      <c r="B142" s="2231" t="s">
        <v>330</v>
      </c>
      <c r="C142" s="2391">
        <f t="shared" si="43"/>
        <v>0</v>
      </c>
      <c r="D142" s="2325">
        <f t="shared" si="44"/>
        <v>0</v>
      </c>
      <c r="E142" s="2392">
        <f t="shared" si="44"/>
        <v>0</v>
      </c>
      <c r="F142" s="2209"/>
      <c r="G142" s="2210"/>
      <c r="H142" s="2209"/>
      <c r="I142" s="1996"/>
      <c r="J142" s="2209"/>
      <c r="K142" s="1996"/>
      <c r="L142" s="2393"/>
      <c r="M142" s="1996"/>
      <c r="N142" s="2209"/>
      <c r="O142" s="1996"/>
      <c r="P142" s="2209"/>
      <c r="Q142" s="1996"/>
      <c r="R142" s="2209"/>
      <c r="S142" s="1996"/>
      <c r="T142" s="2209"/>
      <c r="U142" s="1996"/>
      <c r="V142" s="2238"/>
      <c r="W142" s="1996"/>
      <c r="X142" s="2238"/>
      <c r="Y142" s="1996"/>
      <c r="Z142" s="2361"/>
      <c r="AA142" s="2394"/>
      <c r="AB142" s="2361"/>
      <c r="AC142" s="2395"/>
      <c r="AD142" s="1970" t="str">
        <f t="shared" si="45"/>
        <v/>
      </c>
      <c r="CA142" s="2229" t="str">
        <f t="shared" si="46"/>
        <v/>
      </c>
      <c r="CB142" s="2229" t="str">
        <f t="shared" si="47"/>
        <v/>
      </c>
      <c r="CK142" s="2396">
        <f t="shared" si="48"/>
        <v>0</v>
      </c>
      <c r="CL142" s="2396">
        <f t="shared" si="49"/>
        <v>0</v>
      </c>
    </row>
    <row r="143" spans="1:90" ht="15" customHeight="1" x14ac:dyDescent="0.3">
      <c r="A143" s="6043"/>
      <c r="B143" s="319" t="s">
        <v>331</v>
      </c>
      <c r="C143" s="295">
        <f t="shared" si="43"/>
        <v>0</v>
      </c>
      <c r="D143" s="2326">
        <f t="shared" si="44"/>
        <v>0</v>
      </c>
      <c r="E143" s="588">
        <f t="shared" si="44"/>
        <v>0</v>
      </c>
      <c r="F143" s="329"/>
      <c r="G143" s="330"/>
      <c r="H143" s="329"/>
      <c r="I143" s="2003"/>
      <c r="J143" s="329"/>
      <c r="K143" s="2003"/>
      <c r="L143" s="331"/>
      <c r="M143" s="2003"/>
      <c r="N143" s="329"/>
      <c r="O143" s="2003"/>
      <c r="P143" s="329"/>
      <c r="Q143" s="2003"/>
      <c r="R143" s="329"/>
      <c r="S143" s="2003"/>
      <c r="T143" s="329"/>
      <c r="U143" s="2003"/>
      <c r="V143" s="2234"/>
      <c r="W143" s="2003"/>
      <c r="X143" s="2234"/>
      <c r="Y143" s="2003"/>
      <c r="Z143" s="2397"/>
      <c r="AA143" s="2097"/>
      <c r="AB143" s="2397"/>
      <c r="AC143" s="2094"/>
      <c r="AD143" s="1970" t="str">
        <f t="shared" si="45"/>
        <v/>
      </c>
      <c r="CA143" s="2229" t="str">
        <f t="shared" si="46"/>
        <v/>
      </c>
      <c r="CB143" s="2229" t="str">
        <f t="shared" si="47"/>
        <v/>
      </c>
      <c r="CK143" s="2396">
        <f t="shared" si="48"/>
        <v>0</v>
      </c>
      <c r="CL143" s="2396">
        <f t="shared" si="49"/>
        <v>0</v>
      </c>
    </row>
    <row r="144" spans="1:90" ht="15" customHeight="1" x14ac:dyDescent="0.3">
      <c r="A144" s="6043"/>
      <c r="B144" s="361" t="s">
        <v>332</v>
      </c>
      <c r="C144" s="295">
        <f t="shared" si="43"/>
        <v>0</v>
      </c>
      <c r="D144" s="2326">
        <f t="shared" si="44"/>
        <v>0</v>
      </c>
      <c r="E144" s="588">
        <f t="shared" si="44"/>
        <v>0</v>
      </c>
      <c r="F144" s="329"/>
      <c r="G144" s="330"/>
      <c r="H144" s="329"/>
      <c r="I144" s="2003"/>
      <c r="J144" s="329"/>
      <c r="K144" s="2003"/>
      <c r="L144" s="331"/>
      <c r="M144" s="2003"/>
      <c r="N144" s="329"/>
      <c r="O144" s="2003"/>
      <c r="P144" s="329"/>
      <c r="Q144" s="2003"/>
      <c r="R144" s="329"/>
      <c r="S144" s="2003"/>
      <c r="T144" s="329"/>
      <c r="U144" s="2003"/>
      <c r="V144" s="2234"/>
      <c r="W144" s="2003"/>
      <c r="X144" s="2234"/>
      <c r="Y144" s="2003"/>
      <c r="Z144" s="2397"/>
      <c r="AA144" s="2097"/>
      <c r="AB144" s="2397"/>
      <c r="AC144" s="2094"/>
      <c r="AD144" s="1970" t="str">
        <f t="shared" si="45"/>
        <v/>
      </c>
      <c r="CA144" s="2229" t="str">
        <f t="shared" si="46"/>
        <v/>
      </c>
      <c r="CB144" s="2229" t="str">
        <f t="shared" si="47"/>
        <v/>
      </c>
      <c r="CK144" s="2396">
        <f t="shared" si="48"/>
        <v>0</v>
      </c>
      <c r="CL144" s="2396">
        <f t="shared" si="49"/>
        <v>0</v>
      </c>
    </row>
    <row r="145" spans="1:90" ht="15" customHeight="1" x14ac:dyDescent="0.3">
      <c r="A145" s="5782"/>
      <c r="B145" s="361" t="s">
        <v>333</v>
      </c>
      <c r="C145" s="358">
        <f t="shared" si="43"/>
        <v>0</v>
      </c>
      <c r="D145" s="479">
        <f t="shared" si="44"/>
        <v>0</v>
      </c>
      <c r="E145" s="560">
        <f t="shared" si="44"/>
        <v>0</v>
      </c>
      <c r="F145" s="329"/>
      <c r="G145" s="330"/>
      <c r="H145" s="329"/>
      <c r="I145" s="2003"/>
      <c r="J145" s="329"/>
      <c r="K145" s="2003"/>
      <c r="L145" s="331"/>
      <c r="M145" s="2003"/>
      <c r="N145" s="329"/>
      <c r="O145" s="2003"/>
      <c r="P145" s="329"/>
      <c r="Q145" s="2003"/>
      <c r="R145" s="329"/>
      <c r="S145" s="2003"/>
      <c r="T145" s="329"/>
      <c r="U145" s="2003"/>
      <c r="V145" s="2234"/>
      <c r="W145" s="2003"/>
      <c r="X145" s="2234"/>
      <c r="Y145" s="2003"/>
      <c r="Z145" s="2397"/>
      <c r="AA145" s="2097"/>
      <c r="AB145" s="2397"/>
      <c r="AC145" s="2094"/>
      <c r="AD145" s="1970" t="str">
        <f t="shared" si="45"/>
        <v/>
      </c>
      <c r="CA145" s="2229" t="str">
        <f t="shared" si="46"/>
        <v/>
      </c>
      <c r="CB145" s="2229" t="str">
        <f t="shared" si="47"/>
        <v/>
      </c>
      <c r="CK145" s="2396">
        <f t="shared" si="48"/>
        <v>0</v>
      </c>
      <c r="CL145" s="2396">
        <f t="shared" si="49"/>
        <v>0</v>
      </c>
    </row>
    <row r="146" spans="1:90" ht="15" customHeight="1" x14ac:dyDescent="0.3">
      <c r="A146" s="6044"/>
      <c r="B146" s="526" t="s">
        <v>334</v>
      </c>
      <c r="C146" s="519">
        <f t="shared" si="43"/>
        <v>0</v>
      </c>
      <c r="D146" s="484">
        <f t="shared" si="44"/>
        <v>0</v>
      </c>
      <c r="E146" s="563">
        <f t="shared" si="44"/>
        <v>0</v>
      </c>
      <c r="F146" s="876"/>
      <c r="G146" s="877"/>
      <c r="H146" s="876"/>
      <c r="I146" s="2009"/>
      <c r="J146" s="876"/>
      <c r="K146" s="2009"/>
      <c r="L146" s="993"/>
      <c r="M146" s="2009"/>
      <c r="N146" s="876"/>
      <c r="O146" s="2009"/>
      <c r="P146" s="876"/>
      <c r="Q146" s="2009"/>
      <c r="R146" s="876"/>
      <c r="S146" s="2009"/>
      <c r="T146" s="876"/>
      <c r="U146" s="2009"/>
      <c r="V146" s="2049"/>
      <c r="W146" s="2009"/>
      <c r="X146" s="2049"/>
      <c r="Y146" s="2009"/>
      <c r="Z146" s="2398"/>
      <c r="AA146" s="2399"/>
      <c r="AB146" s="2398"/>
      <c r="AC146" s="2400"/>
      <c r="AD146" s="1970" t="str">
        <f t="shared" si="45"/>
        <v/>
      </c>
      <c r="CA146" s="2229" t="str">
        <f t="shared" si="46"/>
        <v/>
      </c>
      <c r="CB146" s="2229" t="str">
        <f t="shared" si="47"/>
        <v/>
      </c>
      <c r="CK146" s="2396">
        <f t="shared" si="48"/>
        <v>0</v>
      </c>
      <c r="CL146" s="2396">
        <f t="shared" si="49"/>
        <v>0</v>
      </c>
    </row>
    <row r="147" spans="1:90" ht="15" customHeight="1" x14ac:dyDescent="0.3">
      <c r="A147" s="5843" t="s">
        <v>339</v>
      </c>
      <c r="B147" s="2231" t="s">
        <v>330</v>
      </c>
      <c r="C147" s="2391">
        <f t="shared" si="43"/>
        <v>0</v>
      </c>
      <c r="D147" s="2325">
        <f t="shared" si="44"/>
        <v>0</v>
      </c>
      <c r="E147" s="2392">
        <f t="shared" si="44"/>
        <v>0</v>
      </c>
      <c r="F147" s="2209"/>
      <c r="G147" s="2210"/>
      <c r="H147" s="2209"/>
      <c r="I147" s="1996"/>
      <c r="J147" s="2209"/>
      <c r="K147" s="1996"/>
      <c r="L147" s="2393"/>
      <c r="M147" s="1996"/>
      <c r="N147" s="2209"/>
      <c r="O147" s="1996"/>
      <c r="P147" s="2209"/>
      <c r="Q147" s="1996"/>
      <c r="R147" s="2209"/>
      <c r="S147" s="1996"/>
      <c r="T147" s="2209"/>
      <c r="U147" s="1996"/>
      <c r="V147" s="2238"/>
      <c r="W147" s="1996"/>
      <c r="X147" s="2238"/>
      <c r="Y147" s="1996"/>
      <c r="Z147" s="2361"/>
      <c r="AA147" s="2394"/>
      <c r="AB147" s="2361"/>
      <c r="AC147" s="2395"/>
      <c r="AD147" s="1970" t="str">
        <f t="shared" si="45"/>
        <v/>
      </c>
      <c r="CA147" s="2229" t="str">
        <f t="shared" si="46"/>
        <v/>
      </c>
      <c r="CB147" s="2229" t="str">
        <f t="shared" si="47"/>
        <v/>
      </c>
      <c r="CK147" s="2396">
        <f t="shared" si="48"/>
        <v>0</v>
      </c>
      <c r="CL147" s="2396">
        <f t="shared" si="49"/>
        <v>0</v>
      </c>
    </row>
    <row r="148" spans="1:90" ht="15" customHeight="1" x14ac:dyDescent="0.3">
      <c r="A148" s="5844"/>
      <c r="B148" s="319" t="s">
        <v>331</v>
      </c>
      <c r="C148" s="295">
        <f t="shared" si="43"/>
        <v>0</v>
      </c>
      <c r="D148" s="2326">
        <f t="shared" si="44"/>
        <v>0</v>
      </c>
      <c r="E148" s="588">
        <f t="shared" si="44"/>
        <v>0</v>
      </c>
      <c r="F148" s="329"/>
      <c r="G148" s="330"/>
      <c r="H148" s="329"/>
      <c r="I148" s="2003"/>
      <c r="J148" s="329"/>
      <c r="K148" s="2003"/>
      <c r="L148" s="331"/>
      <c r="M148" s="2003"/>
      <c r="N148" s="329"/>
      <c r="O148" s="2003"/>
      <c r="P148" s="329"/>
      <c r="Q148" s="2003"/>
      <c r="R148" s="329"/>
      <c r="S148" s="2003"/>
      <c r="T148" s="329"/>
      <c r="U148" s="2003"/>
      <c r="V148" s="2234"/>
      <c r="W148" s="2003"/>
      <c r="X148" s="2234"/>
      <c r="Y148" s="2003"/>
      <c r="Z148" s="2397"/>
      <c r="AA148" s="2097"/>
      <c r="AB148" s="2397"/>
      <c r="AC148" s="2094"/>
      <c r="AD148" s="1970" t="str">
        <f t="shared" si="45"/>
        <v/>
      </c>
      <c r="CA148" s="2229" t="str">
        <f t="shared" si="46"/>
        <v/>
      </c>
      <c r="CB148" s="2229" t="str">
        <f t="shared" si="47"/>
        <v/>
      </c>
      <c r="CK148" s="2396">
        <f t="shared" si="48"/>
        <v>0</v>
      </c>
      <c r="CL148" s="2396">
        <f t="shared" si="49"/>
        <v>0</v>
      </c>
    </row>
    <row r="149" spans="1:90" ht="15" customHeight="1" x14ac:dyDescent="0.3">
      <c r="A149" s="5844"/>
      <c r="B149" s="361" t="s">
        <v>332</v>
      </c>
      <c r="C149" s="295">
        <f t="shared" si="43"/>
        <v>0</v>
      </c>
      <c r="D149" s="2326">
        <f t="shared" si="44"/>
        <v>0</v>
      </c>
      <c r="E149" s="588">
        <f t="shared" si="44"/>
        <v>0</v>
      </c>
      <c r="F149" s="329"/>
      <c r="G149" s="330"/>
      <c r="H149" s="329"/>
      <c r="I149" s="2003"/>
      <c r="J149" s="329"/>
      <c r="K149" s="2003"/>
      <c r="L149" s="331"/>
      <c r="M149" s="2003"/>
      <c r="N149" s="329"/>
      <c r="O149" s="2003"/>
      <c r="P149" s="329"/>
      <c r="Q149" s="2003"/>
      <c r="R149" s="329"/>
      <c r="S149" s="2003"/>
      <c r="T149" s="329"/>
      <c r="U149" s="2003"/>
      <c r="V149" s="2234"/>
      <c r="W149" s="2003"/>
      <c r="X149" s="2234"/>
      <c r="Y149" s="2003"/>
      <c r="Z149" s="2397"/>
      <c r="AA149" s="2097"/>
      <c r="AB149" s="2397"/>
      <c r="AC149" s="2094"/>
      <c r="AD149" s="1970" t="str">
        <f t="shared" si="45"/>
        <v/>
      </c>
      <c r="CA149" s="2229" t="str">
        <f t="shared" si="46"/>
        <v/>
      </c>
      <c r="CB149" s="2229" t="str">
        <f t="shared" si="47"/>
        <v/>
      </c>
      <c r="CK149" s="2396">
        <f t="shared" si="48"/>
        <v>0</v>
      </c>
      <c r="CL149" s="2396">
        <f t="shared" si="49"/>
        <v>0</v>
      </c>
    </row>
    <row r="150" spans="1:90" ht="15" customHeight="1" x14ac:dyDescent="0.3">
      <c r="A150" s="5844"/>
      <c r="B150" s="361" t="s">
        <v>333</v>
      </c>
      <c r="C150" s="358">
        <f t="shared" si="43"/>
        <v>0</v>
      </c>
      <c r="D150" s="479">
        <f t="shared" si="44"/>
        <v>0</v>
      </c>
      <c r="E150" s="560">
        <f t="shared" si="44"/>
        <v>0</v>
      </c>
      <c r="F150" s="329"/>
      <c r="G150" s="330"/>
      <c r="H150" s="329"/>
      <c r="I150" s="2003"/>
      <c r="J150" s="329"/>
      <c r="K150" s="2003"/>
      <c r="L150" s="331"/>
      <c r="M150" s="2003"/>
      <c r="N150" s="329"/>
      <c r="O150" s="2003"/>
      <c r="P150" s="329"/>
      <c r="Q150" s="2003"/>
      <c r="R150" s="329"/>
      <c r="S150" s="2003"/>
      <c r="T150" s="329"/>
      <c r="U150" s="2003"/>
      <c r="V150" s="2234"/>
      <c r="W150" s="2003"/>
      <c r="X150" s="2234"/>
      <c r="Y150" s="2003"/>
      <c r="Z150" s="2397"/>
      <c r="AA150" s="2097"/>
      <c r="AB150" s="2397"/>
      <c r="AC150" s="2094"/>
      <c r="AD150" s="1970" t="str">
        <f t="shared" si="45"/>
        <v/>
      </c>
      <c r="CA150" s="2229" t="str">
        <f t="shared" si="46"/>
        <v/>
      </c>
      <c r="CB150" s="2229" t="str">
        <f t="shared" si="47"/>
        <v/>
      </c>
      <c r="CK150" s="2396">
        <f t="shared" si="48"/>
        <v>0</v>
      </c>
      <c r="CL150" s="2396">
        <f t="shared" si="49"/>
        <v>0</v>
      </c>
    </row>
    <row r="151" spans="1:90" ht="15" customHeight="1" x14ac:dyDescent="0.3">
      <c r="A151" s="5844"/>
      <c r="B151" s="526" t="s">
        <v>334</v>
      </c>
      <c r="C151" s="193">
        <f t="shared" si="43"/>
        <v>0</v>
      </c>
      <c r="D151" s="486">
        <f t="shared" si="44"/>
        <v>0</v>
      </c>
      <c r="E151" s="591">
        <f t="shared" si="44"/>
        <v>0</v>
      </c>
      <c r="F151" s="212"/>
      <c r="G151" s="34"/>
      <c r="H151" s="212"/>
      <c r="I151" s="1161"/>
      <c r="J151" s="212"/>
      <c r="K151" s="1161"/>
      <c r="L151" s="46"/>
      <c r="M151" s="1161"/>
      <c r="N151" s="212"/>
      <c r="O151" s="1161"/>
      <c r="P151" s="212"/>
      <c r="Q151" s="1161"/>
      <c r="R151" s="212"/>
      <c r="S151" s="1161"/>
      <c r="T151" s="212"/>
      <c r="U151" s="1161"/>
      <c r="V151" s="2244"/>
      <c r="W151" s="1161"/>
      <c r="X151" s="2244"/>
      <c r="Y151" s="1161"/>
      <c r="Z151" s="2401"/>
      <c r="AA151" s="2402"/>
      <c r="AB151" s="2401"/>
      <c r="AC151" s="2403"/>
      <c r="AD151" s="1970" t="str">
        <f t="shared" si="45"/>
        <v/>
      </c>
      <c r="CA151" s="2229" t="str">
        <f t="shared" si="46"/>
        <v/>
      </c>
      <c r="CB151" s="2229" t="str">
        <f t="shared" si="47"/>
        <v/>
      </c>
      <c r="CK151" s="2396">
        <f t="shared" si="48"/>
        <v>0</v>
      </c>
      <c r="CL151" s="2396">
        <f t="shared" si="49"/>
        <v>0</v>
      </c>
    </row>
    <row r="152" spans="1:90" ht="15" customHeight="1" x14ac:dyDescent="0.3">
      <c r="A152" s="5887" t="s">
        <v>340</v>
      </c>
      <c r="B152" s="5888"/>
      <c r="C152" s="2404">
        <f>SUM(C122:C151)</f>
        <v>0</v>
      </c>
      <c r="D152" s="2405">
        <f>SUM(D122:D151)</f>
        <v>0</v>
      </c>
      <c r="E152" s="2406">
        <f t="shared" ref="E152:AA152" si="50">SUM(E122:E151)</f>
        <v>0</v>
      </c>
      <c r="F152" s="2407">
        <f t="shared" si="50"/>
        <v>0</v>
      </c>
      <c r="G152" s="2408">
        <f t="shared" si="50"/>
        <v>0</v>
      </c>
      <c r="H152" s="2407">
        <f t="shared" si="50"/>
        <v>0</v>
      </c>
      <c r="I152" s="2408">
        <f t="shared" si="50"/>
        <v>0</v>
      </c>
      <c r="J152" s="2407">
        <f t="shared" si="50"/>
        <v>0</v>
      </c>
      <c r="K152" s="2408">
        <f t="shared" si="50"/>
        <v>0</v>
      </c>
      <c r="L152" s="2407">
        <f t="shared" si="50"/>
        <v>0</v>
      </c>
      <c r="M152" s="2408">
        <f t="shared" si="50"/>
        <v>0</v>
      </c>
      <c r="N152" s="2407">
        <f t="shared" si="50"/>
        <v>0</v>
      </c>
      <c r="O152" s="2408">
        <f t="shared" si="50"/>
        <v>0</v>
      </c>
      <c r="P152" s="2407">
        <f t="shared" si="50"/>
        <v>0</v>
      </c>
      <c r="Q152" s="2408">
        <f t="shared" si="50"/>
        <v>0</v>
      </c>
      <c r="R152" s="2407">
        <f t="shared" si="50"/>
        <v>0</v>
      </c>
      <c r="S152" s="2408">
        <f t="shared" si="50"/>
        <v>0</v>
      </c>
      <c r="T152" s="2407">
        <f t="shared" si="50"/>
        <v>0</v>
      </c>
      <c r="U152" s="2408">
        <f t="shared" si="50"/>
        <v>0</v>
      </c>
      <c r="V152" s="2407">
        <f t="shared" si="50"/>
        <v>0</v>
      </c>
      <c r="W152" s="2408">
        <f t="shared" si="50"/>
        <v>0</v>
      </c>
      <c r="X152" s="2407">
        <f t="shared" si="50"/>
        <v>0</v>
      </c>
      <c r="Y152" s="2408">
        <f t="shared" si="50"/>
        <v>0</v>
      </c>
      <c r="Z152" s="2409">
        <f t="shared" si="50"/>
        <v>0</v>
      </c>
      <c r="AA152" s="2410">
        <f t="shared" si="50"/>
        <v>0</v>
      </c>
      <c r="AB152" s="2411">
        <f t="shared" ref="AB152:AC152" si="51">SUM(AB122:AB151)</f>
        <v>0</v>
      </c>
      <c r="AC152" s="2412">
        <f t="shared" si="51"/>
        <v>0</v>
      </c>
      <c r="AD152" s="1970"/>
    </row>
    <row r="153" spans="1:90" ht="15" customHeight="1" x14ac:dyDescent="0.3">
      <c r="A153" s="6039" t="s">
        <v>341</v>
      </c>
      <c r="B153" s="5610" t="s">
        <v>330</v>
      </c>
      <c r="C153" s="354"/>
      <c r="D153" s="63"/>
      <c r="E153" s="5174"/>
      <c r="F153" s="2286"/>
      <c r="G153" s="4025"/>
      <c r="H153" s="2286"/>
      <c r="I153" s="5603"/>
      <c r="J153" s="2286"/>
      <c r="K153" s="5603"/>
      <c r="L153" s="5613"/>
      <c r="M153" s="5603"/>
      <c r="N153" s="2286"/>
      <c r="O153" s="5603"/>
      <c r="P153" s="2286"/>
      <c r="Q153" s="5603"/>
      <c r="R153" s="2286"/>
      <c r="S153" s="5603"/>
      <c r="T153" s="2286"/>
      <c r="U153" s="5603"/>
      <c r="V153" s="5614"/>
      <c r="W153" s="5603"/>
      <c r="X153" s="5614"/>
      <c r="Y153" s="5603"/>
      <c r="Z153" s="5613"/>
      <c r="AA153" s="5615"/>
      <c r="AB153" s="5613"/>
      <c r="AC153" s="5603"/>
      <c r="AD153" s="1970" t="str">
        <f t="shared" si="45"/>
        <v/>
      </c>
      <c r="CA153" s="2229" t="str">
        <f t="shared" ref="CA153:CA157" si="52">IF(AND($C153&lt;&gt;0,AB153=""),"* No olvide ingresar la variable "&amp;AB$119&amp;""&amp;". Digite CERO si no tiene. ",IF(AB153&gt;$C153,"* La variable Pueblos Originarios no debe ser mayor al Total Ambos Sexos. ",""))</f>
        <v/>
      </c>
      <c r="CB153" s="2229" t="str">
        <f>IF(AND($C153&lt;&gt;0,AC153=""),"* No olvide ingresar la variable "&amp;AC$119&amp;""&amp;". Digite CERO si no tiene. ",IF(AC153&gt;$C153,"* La variable Migrantes no debe ser mayor al Total Ambos Sexos. ",""))</f>
        <v/>
      </c>
      <c r="CK153" s="2396">
        <f>IF(AND($C153&lt;&gt;0,AB153=""),1,IF(AB153&gt;$C153,1,0))</f>
        <v>0</v>
      </c>
      <c r="CL153" s="2396">
        <f>IF(AND($C153&lt;&gt;0,AC153=""),1,IF(AC153&gt;$C153,1,0))</f>
        <v>0</v>
      </c>
    </row>
    <row r="154" spans="1:90" ht="15" customHeight="1" x14ac:dyDescent="0.3">
      <c r="A154" s="6039"/>
      <c r="B154" s="5610" t="s">
        <v>331</v>
      </c>
      <c r="C154" s="354"/>
      <c r="D154" s="63"/>
      <c r="E154" s="5174"/>
      <c r="F154" s="2286"/>
      <c r="G154" s="4025"/>
      <c r="H154" s="2286"/>
      <c r="I154" s="5603"/>
      <c r="J154" s="2286"/>
      <c r="K154" s="5603"/>
      <c r="L154" s="5613"/>
      <c r="M154" s="5603"/>
      <c r="N154" s="2286"/>
      <c r="O154" s="5603"/>
      <c r="P154" s="2286"/>
      <c r="Q154" s="5603"/>
      <c r="R154" s="2286"/>
      <c r="S154" s="5603"/>
      <c r="T154" s="2286"/>
      <c r="U154" s="5603"/>
      <c r="V154" s="5614"/>
      <c r="W154" s="5603"/>
      <c r="X154" s="5614"/>
      <c r="Y154" s="5603"/>
      <c r="Z154" s="5613"/>
      <c r="AA154" s="5615"/>
      <c r="AB154" s="5613"/>
      <c r="AC154" s="5603"/>
      <c r="AD154" s="1970" t="str">
        <f t="shared" si="45"/>
        <v/>
      </c>
      <c r="CA154" s="2229" t="str">
        <f t="shared" si="52"/>
        <v/>
      </c>
      <c r="CB154" s="2229" t="str">
        <f t="shared" ref="CB154:CB157" si="53">IF(AND($C154&lt;&gt;0,AC154=""),"* No olvide ingresar la variable "&amp;AC$119&amp;""&amp;". Digite CERO si no tiene. ",IF(AC154&gt;$C154,"* La variable Migrantes no debe ser mayor al Total Ambos Sexos. ",""))</f>
        <v/>
      </c>
      <c r="CK154" s="2396">
        <f t="shared" ref="CK154:CK157" si="54">IF(AND($C154&lt;&gt;0,AB154=""),1,IF(AB154&gt;$C154,1,0))</f>
        <v>0</v>
      </c>
      <c r="CL154" s="2396">
        <f t="shared" ref="CL154:CL157" si="55">IF(AND($C154&lt;&gt;0,AC154=""),1,IF(AC154&gt;$C154,1,0))</f>
        <v>0</v>
      </c>
    </row>
    <row r="155" spans="1:90" ht="15" customHeight="1" x14ac:dyDescent="0.3">
      <c r="A155" s="6039"/>
      <c r="B155" s="5611" t="s">
        <v>332</v>
      </c>
      <c r="C155" s="354"/>
      <c r="D155" s="63"/>
      <c r="E155" s="5174"/>
      <c r="F155" s="2286"/>
      <c r="G155" s="4025"/>
      <c r="H155" s="2286"/>
      <c r="I155" s="5603"/>
      <c r="J155" s="2286"/>
      <c r="K155" s="5603"/>
      <c r="L155" s="5613"/>
      <c r="M155" s="5603"/>
      <c r="N155" s="2286"/>
      <c r="O155" s="5603"/>
      <c r="P155" s="2286"/>
      <c r="Q155" s="5603"/>
      <c r="R155" s="2286"/>
      <c r="S155" s="5603"/>
      <c r="T155" s="2286"/>
      <c r="U155" s="5603"/>
      <c r="V155" s="5614"/>
      <c r="W155" s="5603"/>
      <c r="X155" s="5614"/>
      <c r="Y155" s="5603"/>
      <c r="Z155" s="5613"/>
      <c r="AA155" s="5615"/>
      <c r="AB155" s="5613"/>
      <c r="AC155" s="5603"/>
      <c r="AD155" s="1970" t="str">
        <f t="shared" si="45"/>
        <v/>
      </c>
      <c r="CA155" s="2229" t="str">
        <f t="shared" si="52"/>
        <v/>
      </c>
      <c r="CB155" s="2229" t="str">
        <f t="shared" si="53"/>
        <v/>
      </c>
      <c r="CK155" s="2396">
        <f t="shared" si="54"/>
        <v>0</v>
      </c>
      <c r="CL155" s="2396">
        <f t="shared" si="55"/>
        <v>0</v>
      </c>
    </row>
    <row r="156" spans="1:90" ht="15" customHeight="1" x14ac:dyDescent="0.3">
      <c r="A156" s="6039"/>
      <c r="B156" s="5611" t="s">
        <v>333</v>
      </c>
      <c r="C156" s="354"/>
      <c r="D156" s="63"/>
      <c r="E156" s="5174"/>
      <c r="F156" s="2286"/>
      <c r="G156" s="4025"/>
      <c r="H156" s="2286"/>
      <c r="I156" s="5603"/>
      <c r="J156" s="2286"/>
      <c r="K156" s="5603"/>
      <c r="L156" s="5613"/>
      <c r="M156" s="5603"/>
      <c r="N156" s="2286"/>
      <c r="O156" s="5603"/>
      <c r="P156" s="2286"/>
      <c r="Q156" s="5603"/>
      <c r="R156" s="2286"/>
      <c r="S156" s="5603"/>
      <c r="T156" s="2286"/>
      <c r="U156" s="5603"/>
      <c r="V156" s="5614"/>
      <c r="W156" s="5603"/>
      <c r="X156" s="5614"/>
      <c r="Y156" s="5603"/>
      <c r="Z156" s="5613"/>
      <c r="AA156" s="5615"/>
      <c r="AB156" s="5613"/>
      <c r="AC156" s="5603"/>
      <c r="AD156" s="1970" t="str">
        <f t="shared" si="45"/>
        <v/>
      </c>
      <c r="CA156" s="2229" t="str">
        <f t="shared" si="52"/>
        <v/>
      </c>
      <c r="CB156" s="2229" t="str">
        <f t="shared" si="53"/>
        <v/>
      </c>
      <c r="CK156" s="2396">
        <f t="shared" si="54"/>
        <v>0</v>
      </c>
      <c r="CL156" s="2396">
        <f t="shared" si="55"/>
        <v>0</v>
      </c>
    </row>
    <row r="157" spans="1:90" ht="15" customHeight="1" x14ac:dyDescent="0.3">
      <c r="A157" s="6039"/>
      <c r="B157" s="5612" t="s">
        <v>334</v>
      </c>
      <c r="C157" s="5616"/>
      <c r="D157" s="543"/>
      <c r="E157" s="5169"/>
      <c r="F157" s="2355"/>
      <c r="G157" s="1939"/>
      <c r="H157" s="2355"/>
      <c r="I157" s="5617"/>
      <c r="J157" s="2355"/>
      <c r="K157" s="5617"/>
      <c r="L157" s="2357"/>
      <c r="M157" s="5617"/>
      <c r="N157" s="2355"/>
      <c r="O157" s="5617"/>
      <c r="P157" s="2355"/>
      <c r="Q157" s="5617"/>
      <c r="R157" s="2355"/>
      <c r="S157" s="5617"/>
      <c r="T157" s="2355"/>
      <c r="U157" s="5617"/>
      <c r="V157" s="5618"/>
      <c r="W157" s="5617"/>
      <c r="X157" s="5618"/>
      <c r="Y157" s="5617"/>
      <c r="Z157" s="2357"/>
      <c r="AA157" s="5619"/>
      <c r="AB157" s="2357"/>
      <c r="AC157" s="5617"/>
      <c r="AD157" s="1970" t="str">
        <f t="shared" si="45"/>
        <v/>
      </c>
      <c r="CA157" s="2229" t="str">
        <f t="shared" si="52"/>
        <v/>
      </c>
      <c r="CB157" s="2229" t="str">
        <f t="shared" si="53"/>
        <v/>
      </c>
      <c r="CK157" s="2396">
        <f t="shared" si="54"/>
        <v>0</v>
      </c>
      <c r="CL157" s="2396">
        <f t="shared" si="55"/>
        <v>0</v>
      </c>
    </row>
    <row r="158" spans="1:90" x14ac:dyDescent="0.3">
      <c r="A158" s="6040" t="s">
        <v>340</v>
      </c>
      <c r="B158" s="6041"/>
      <c r="C158" s="5620"/>
      <c r="D158" s="5621"/>
      <c r="E158" s="5622"/>
      <c r="F158" s="5623"/>
      <c r="G158" s="5624"/>
      <c r="H158" s="5623"/>
      <c r="I158" s="5624"/>
      <c r="J158" s="5623"/>
      <c r="K158" s="5624"/>
      <c r="L158" s="5623"/>
      <c r="M158" s="5624"/>
      <c r="N158" s="5623"/>
      <c r="O158" s="5624"/>
      <c r="P158" s="5623"/>
      <c r="Q158" s="5624"/>
      <c r="R158" s="5623"/>
      <c r="S158" s="5624"/>
      <c r="T158" s="5623"/>
      <c r="U158" s="5624"/>
      <c r="V158" s="5623"/>
      <c r="W158" s="5624"/>
      <c r="X158" s="5623"/>
      <c r="Y158" s="5624"/>
      <c r="Z158" s="5623"/>
      <c r="AA158" s="5625"/>
      <c r="AB158" s="5621"/>
      <c r="AC158" s="5624"/>
    </row>
    <row r="159" spans="1:90" ht="18" customHeight="1" x14ac:dyDescent="0.3">
      <c r="A159" s="2416" t="s">
        <v>342</v>
      </c>
      <c r="B159" s="2417"/>
      <c r="C159" s="2417"/>
      <c r="D159" s="2417"/>
      <c r="E159" s="24"/>
      <c r="F159" s="2418"/>
      <c r="G159" s="2418"/>
      <c r="H159" s="2418"/>
      <c r="I159" s="2418"/>
      <c r="J159" s="2418"/>
      <c r="K159" s="2418"/>
      <c r="L159" s="2418"/>
      <c r="M159" s="2418"/>
      <c r="N159" s="2418"/>
      <c r="O159" s="2418"/>
      <c r="P159" s="2418"/>
      <c r="Q159" s="2418"/>
      <c r="R159" s="2418"/>
      <c r="S159" s="2418"/>
      <c r="T159" s="2418"/>
      <c r="U159" s="2418"/>
      <c r="V159" s="2418"/>
      <c r="W159" s="2418"/>
      <c r="X159" s="2418"/>
      <c r="Y159" s="2418"/>
      <c r="Z159" s="2182"/>
      <c r="AA159" s="2182"/>
      <c r="AB159" s="2183"/>
      <c r="AC159" s="2183"/>
      <c r="AD159" s="2183"/>
      <c r="AE159" s="2183"/>
      <c r="AF159" s="2183"/>
      <c r="AG159" s="2183"/>
      <c r="AH159" s="2183"/>
      <c r="AI159" s="2183"/>
      <c r="AJ159" s="2183"/>
      <c r="AK159" s="2183"/>
      <c r="AL159" s="2183"/>
      <c r="AM159" s="2183"/>
    </row>
    <row r="160" spans="1:90" ht="15" customHeight="1" x14ac:dyDescent="0.3">
      <c r="A160" s="5880" t="s">
        <v>251</v>
      </c>
      <c r="B160" s="5881"/>
      <c r="C160" s="5879" t="s">
        <v>77</v>
      </c>
      <c r="D160" s="5880"/>
      <c r="E160" s="5881"/>
      <c r="F160" s="5887" t="s">
        <v>101</v>
      </c>
      <c r="G160" s="5992"/>
      <c r="H160" s="5992"/>
      <c r="I160" s="5992"/>
      <c r="J160" s="5992"/>
      <c r="K160" s="5992"/>
      <c r="L160" s="5992"/>
      <c r="M160" s="5992"/>
      <c r="N160" s="5992"/>
      <c r="O160" s="5992"/>
      <c r="P160" s="5992"/>
      <c r="Q160" s="5992"/>
      <c r="R160" s="5992"/>
      <c r="S160" s="5992"/>
      <c r="T160" s="5992"/>
      <c r="U160" s="5992"/>
      <c r="V160" s="5992"/>
      <c r="W160" s="5992"/>
      <c r="X160" s="5992"/>
      <c r="Y160" s="5992"/>
      <c r="Z160" s="5992"/>
      <c r="AA160" s="5992"/>
      <c r="AB160" s="5992"/>
      <c r="AC160" s="5992"/>
      <c r="AD160" s="5992"/>
      <c r="AE160" s="5992"/>
      <c r="AF160" s="5992"/>
      <c r="AG160" s="5992"/>
      <c r="AH160" s="5992"/>
      <c r="AI160" s="5992"/>
      <c r="AJ160" s="5992"/>
      <c r="AK160" s="5992"/>
      <c r="AL160" s="5992"/>
      <c r="AM160" s="5888"/>
    </row>
    <row r="161" spans="1:39" ht="15" customHeight="1" x14ac:dyDescent="0.3">
      <c r="A161" s="5777"/>
      <c r="B161" s="5759"/>
      <c r="C161" s="5946"/>
      <c r="D161" s="5882"/>
      <c r="E161" s="5760"/>
      <c r="F161" s="5887" t="s">
        <v>343</v>
      </c>
      <c r="G161" s="5888"/>
      <c r="H161" s="5887" t="s">
        <v>326</v>
      </c>
      <c r="I161" s="5888"/>
      <c r="J161" s="5887" t="s">
        <v>94</v>
      </c>
      <c r="K161" s="5888"/>
      <c r="L161" s="5973" t="s">
        <v>44</v>
      </c>
      <c r="M161" s="5958"/>
      <c r="N161" s="5958" t="s">
        <v>45</v>
      </c>
      <c r="O161" s="5974"/>
      <c r="P161" s="5887" t="s">
        <v>46</v>
      </c>
      <c r="Q161" s="5888"/>
      <c r="R161" s="5992" t="s">
        <v>47</v>
      </c>
      <c r="S161" s="5888"/>
      <c r="T161" s="5992" t="s">
        <v>48</v>
      </c>
      <c r="U161" s="5888"/>
      <c r="V161" s="5887" t="s">
        <v>49</v>
      </c>
      <c r="W161" s="5888"/>
      <c r="X161" s="5992" t="s">
        <v>50</v>
      </c>
      <c r="Y161" s="5888"/>
      <c r="Z161" s="6034" t="s">
        <v>51</v>
      </c>
      <c r="AA161" s="6035"/>
      <c r="AB161" s="6034" t="s">
        <v>52</v>
      </c>
      <c r="AC161" s="6035"/>
      <c r="AD161" s="6034" t="s">
        <v>53</v>
      </c>
      <c r="AE161" s="6035"/>
      <c r="AF161" s="6034" t="s">
        <v>54</v>
      </c>
      <c r="AG161" s="6035"/>
      <c r="AH161" s="6034" t="s">
        <v>55</v>
      </c>
      <c r="AI161" s="6035"/>
      <c r="AJ161" s="6034" t="s">
        <v>56</v>
      </c>
      <c r="AK161" s="6035"/>
      <c r="AL161" s="6036" t="s">
        <v>57</v>
      </c>
      <c r="AM161" s="6035"/>
    </row>
    <row r="162" spans="1:39" ht="15" customHeight="1" x14ac:dyDescent="0.3">
      <c r="A162" s="5882"/>
      <c r="B162" s="5760"/>
      <c r="C162" s="2217" t="s">
        <v>79</v>
      </c>
      <c r="D162" s="2420" t="s">
        <v>58</v>
      </c>
      <c r="E162" s="23" t="s">
        <v>59</v>
      </c>
      <c r="F162" s="2199" t="s">
        <v>58</v>
      </c>
      <c r="G162" s="23" t="s">
        <v>59</v>
      </c>
      <c r="H162" s="2199" t="s">
        <v>58</v>
      </c>
      <c r="I162" s="23" t="s">
        <v>59</v>
      </c>
      <c r="J162" s="2199" t="s">
        <v>58</v>
      </c>
      <c r="K162" s="23" t="s">
        <v>59</v>
      </c>
      <c r="L162" s="2197" t="s">
        <v>58</v>
      </c>
      <c r="M162" s="1786" t="s">
        <v>59</v>
      </c>
      <c r="N162" s="2219" t="s">
        <v>58</v>
      </c>
      <c r="O162" s="2388" t="s">
        <v>59</v>
      </c>
      <c r="P162" s="2219" t="s">
        <v>58</v>
      </c>
      <c r="Q162" s="2388" t="s">
        <v>59</v>
      </c>
      <c r="R162" s="2198" t="s">
        <v>58</v>
      </c>
      <c r="S162" s="1776" t="s">
        <v>59</v>
      </c>
      <c r="T162" s="2198" t="s">
        <v>58</v>
      </c>
      <c r="U162" s="1776" t="s">
        <v>59</v>
      </c>
      <c r="V162" s="2197" t="s">
        <v>58</v>
      </c>
      <c r="W162" s="1776" t="s">
        <v>59</v>
      </c>
      <c r="X162" s="2198" t="s">
        <v>58</v>
      </c>
      <c r="Y162" s="1776" t="s">
        <v>59</v>
      </c>
      <c r="Z162" s="2389" t="s">
        <v>58</v>
      </c>
      <c r="AA162" s="2390" t="s">
        <v>59</v>
      </c>
      <c r="AB162" s="2389" t="s">
        <v>58</v>
      </c>
      <c r="AC162" s="2390" t="s">
        <v>59</v>
      </c>
      <c r="AD162" s="2389" t="s">
        <v>58</v>
      </c>
      <c r="AE162" s="2390" t="s">
        <v>59</v>
      </c>
      <c r="AF162" s="2389" t="s">
        <v>58</v>
      </c>
      <c r="AG162" s="2390" t="s">
        <v>59</v>
      </c>
      <c r="AH162" s="2389" t="s">
        <v>58</v>
      </c>
      <c r="AI162" s="2390" t="s">
        <v>59</v>
      </c>
      <c r="AJ162" s="2389" t="s">
        <v>58</v>
      </c>
      <c r="AK162" s="2390" t="s">
        <v>59</v>
      </c>
      <c r="AL162" s="2421" t="s">
        <v>58</v>
      </c>
      <c r="AM162" s="2390" t="s">
        <v>59</v>
      </c>
    </row>
    <row r="163" spans="1:39" ht="15" customHeight="1" x14ac:dyDescent="0.3">
      <c r="A163" s="6037" t="s">
        <v>344</v>
      </c>
      <c r="B163" s="2422" t="s">
        <v>345</v>
      </c>
      <c r="C163" s="2391">
        <f t="shared" ref="C163:C168" si="56">SUM(D163+E163)</f>
        <v>0</v>
      </c>
      <c r="D163" s="2325">
        <f t="shared" ref="D163:E168" si="57">SUM(F163+H163+J163+L163+N163+P163+R163+T163+V163+X163+Z163+AB163+AD163+AF163+AH163+AJ163+AL163)</f>
        <v>0</v>
      </c>
      <c r="E163" s="2255">
        <f t="shared" si="57"/>
        <v>0</v>
      </c>
      <c r="F163" s="2209"/>
      <c r="G163" s="1996"/>
      <c r="H163" s="2209"/>
      <c r="I163" s="1996"/>
      <c r="J163" s="2209"/>
      <c r="K163" s="1996"/>
      <c r="L163" s="2209"/>
      <c r="M163" s="1896"/>
      <c r="N163" s="1896"/>
      <c r="O163" s="1996"/>
      <c r="P163" s="2209"/>
      <c r="Q163" s="1996"/>
      <c r="R163" s="2283"/>
      <c r="S163" s="1996"/>
      <c r="T163" s="2283"/>
      <c r="U163" s="1996"/>
      <c r="V163" s="2209"/>
      <c r="W163" s="1996"/>
      <c r="X163" s="2283"/>
      <c r="Y163" s="1996"/>
      <c r="Z163" s="2423"/>
      <c r="AA163" s="2395"/>
      <c r="AB163" s="2423"/>
      <c r="AC163" s="2395"/>
      <c r="AD163" s="2423"/>
      <c r="AE163" s="2395"/>
      <c r="AF163" s="2423"/>
      <c r="AG163" s="2395"/>
      <c r="AH163" s="2423"/>
      <c r="AI163" s="2395"/>
      <c r="AJ163" s="2423"/>
      <c r="AK163" s="2395"/>
      <c r="AL163" s="2424"/>
      <c r="AM163" s="2395"/>
    </row>
    <row r="164" spans="1:39" ht="15" customHeight="1" x14ac:dyDescent="0.3">
      <c r="A164" s="5962"/>
      <c r="B164" s="344" t="s">
        <v>346</v>
      </c>
      <c r="C164" s="295">
        <f t="shared" si="56"/>
        <v>0</v>
      </c>
      <c r="D164" s="2326">
        <f t="shared" si="57"/>
        <v>0</v>
      </c>
      <c r="E164" s="146">
        <f t="shared" si="57"/>
        <v>0</v>
      </c>
      <c r="F164" s="329"/>
      <c r="G164" s="2003"/>
      <c r="H164" s="329"/>
      <c r="I164" s="2003"/>
      <c r="J164" s="329"/>
      <c r="K164" s="2003"/>
      <c r="L164" s="329"/>
      <c r="M164" s="1973"/>
      <c r="N164" s="1973"/>
      <c r="O164" s="2003"/>
      <c r="P164" s="329"/>
      <c r="Q164" s="2003"/>
      <c r="R164" s="2068"/>
      <c r="S164" s="2003"/>
      <c r="T164" s="2068"/>
      <c r="U164" s="2003"/>
      <c r="V164" s="329"/>
      <c r="W164" s="2003"/>
      <c r="X164" s="2068"/>
      <c r="Y164" s="2003"/>
      <c r="Z164" s="2095"/>
      <c r="AA164" s="2094"/>
      <c r="AB164" s="2095"/>
      <c r="AC164" s="2094"/>
      <c r="AD164" s="2095"/>
      <c r="AE164" s="2094"/>
      <c r="AF164" s="2095"/>
      <c r="AG164" s="2094"/>
      <c r="AH164" s="2095"/>
      <c r="AI164" s="2094"/>
      <c r="AJ164" s="2095"/>
      <c r="AK164" s="2094"/>
      <c r="AL164" s="2093"/>
      <c r="AM164" s="2094"/>
    </row>
    <row r="165" spans="1:39" ht="15" customHeight="1" x14ac:dyDescent="0.3">
      <c r="A165" s="6038"/>
      <c r="B165" s="1783" t="s">
        <v>347</v>
      </c>
      <c r="C165" s="2425">
        <f t="shared" si="56"/>
        <v>0</v>
      </c>
      <c r="D165" s="2426">
        <f t="shared" si="57"/>
        <v>0</v>
      </c>
      <c r="E165" s="2263">
        <f t="shared" si="57"/>
        <v>0</v>
      </c>
      <c r="F165" s="876"/>
      <c r="G165" s="2009"/>
      <c r="H165" s="876"/>
      <c r="I165" s="2009"/>
      <c r="J165" s="876"/>
      <c r="K165" s="2009"/>
      <c r="L165" s="876"/>
      <c r="M165" s="1907"/>
      <c r="N165" s="1907"/>
      <c r="O165" s="2009"/>
      <c r="P165" s="876"/>
      <c r="Q165" s="2009"/>
      <c r="R165" s="1911"/>
      <c r="S165" s="2009"/>
      <c r="T165" s="1911"/>
      <c r="U165" s="2009"/>
      <c r="V165" s="876"/>
      <c r="W165" s="2009"/>
      <c r="X165" s="1911"/>
      <c r="Y165" s="2009"/>
      <c r="Z165" s="2427"/>
      <c r="AA165" s="2400"/>
      <c r="AB165" s="2427"/>
      <c r="AC165" s="2400"/>
      <c r="AD165" s="2427"/>
      <c r="AE165" s="2400"/>
      <c r="AF165" s="2427"/>
      <c r="AG165" s="2400"/>
      <c r="AH165" s="2427"/>
      <c r="AI165" s="2400"/>
      <c r="AJ165" s="2427"/>
      <c r="AK165" s="2400"/>
      <c r="AL165" s="2428"/>
      <c r="AM165" s="2400"/>
    </row>
    <row r="166" spans="1:39" ht="15" customHeight="1" x14ac:dyDescent="0.3">
      <c r="A166" s="6037" t="s">
        <v>348</v>
      </c>
      <c r="B166" s="2422" t="s">
        <v>345</v>
      </c>
      <c r="C166" s="2391">
        <f t="shared" si="56"/>
        <v>0</v>
      </c>
      <c r="D166" s="2325">
        <f t="shared" si="57"/>
        <v>0</v>
      </c>
      <c r="E166" s="2255">
        <f t="shared" si="57"/>
        <v>0</v>
      </c>
      <c r="F166" s="2209"/>
      <c r="G166" s="1996"/>
      <c r="H166" s="2209"/>
      <c r="I166" s="1996"/>
      <c r="J166" s="2209"/>
      <c r="K166" s="1996"/>
      <c r="L166" s="2209"/>
      <c r="M166" s="1896"/>
      <c r="N166" s="1896"/>
      <c r="O166" s="1996"/>
      <c r="P166" s="2209"/>
      <c r="Q166" s="1996"/>
      <c r="R166" s="2283"/>
      <c r="S166" s="1996"/>
      <c r="T166" s="2283"/>
      <c r="U166" s="1996"/>
      <c r="V166" s="2209"/>
      <c r="W166" s="1996"/>
      <c r="X166" s="2283"/>
      <c r="Y166" s="1996"/>
      <c r="Z166" s="2423"/>
      <c r="AA166" s="2395"/>
      <c r="AB166" s="2423"/>
      <c r="AC166" s="2395"/>
      <c r="AD166" s="2423"/>
      <c r="AE166" s="2395"/>
      <c r="AF166" s="2423"/>
      <c r="AG166" s="2395"/>
      <c r="AH166" s="2423"/>
      <c r="AI166" s="2395"/>
      <c r="AJ166" s="2423"/>
      <c r="AK166" s="2395"/>
      <c r="AL166" s="2424"/>
      <c r="AM166" s="2395"/>
    </row>
    <row r="167" spans="1:39" ht="15" customHeight="1" x14ac:dyDescent="0.3">
      <c r="A167" s="5962"/>
      <c r="B167" s="344" t="s">
        <v>346</v>
      </c>
      <c r="C167" s="295">
        <f t="shared" si="56"/>
        <v>0</v>
      </c>
      <c r="D167" s="2326">
        <f t="shared" si="57"/>
        <v>0</v>
      </c>
      <c r="E167" s="146">
        <f t="shared" si="57"/>
        <v>0</v>
      </c>
      <c r="F167" s="329"/>
      <c r="G167" s="2003"/>
      <c r="H167" s="329"/>
      <c r="I167" s="2003"/>
      <c r="J167" s="329"/>
      <c r="K167" s="2003"/>
      <c r="L167" s="329"/>
      <c r="M167" s="1973"/>
      <c r="N167" s="1973"/>
      <c r="O167" s="2003"/>
      <c r="P167" s="329"/>
      <c r="Q167" s="2003"/>
      <c r="R167" s="2068"/>
      <c r="S167" s="2003"/>
      <c r="T167" s="2068"/>
      <c r="U167" s="2003"/>
      <c r="V167" s="329"/>
      <c r="W167" s="2003"/>
      <c r="X167" s="2068"/>
      <c r="Y167" s="2003"/>
      <c r="Z167" s="2095"/>
      <c r="AA167" s="2094"/>
      <c r="AB167" s="2095"/>
      <c r="AC167" s="2094"/>
      <c r="AD167" s="2095"/>
      <c r="AE167" s="2094"/>
      <c r="AF167" s="2095"/>
      <c r="AG167" s="2094"/>
      <c r="AH167" s="2095"/>
      <c r="AI167" s="2094"/>
      <c r="AJ167" s="2095"/>
      <c r="AK167" s="2094"/>
      <c r="AL167" s="2093"/>
      <c r="AM167" s="2094"/>
    </row>
    <row r="168" spans="1:39" ht="15" customHeight="1" x14ac:dyDescent="0.3">
      <c r="A168" s="6038"/>
      <c r="B168" s="1783" t="s">
        <v>347</v>
      </c>
      <c r="C168" s="2425">
        <f t="shared" si="56"/>
        <v>0</v>
      </c>
      <c r="D168" s="2426">
        <f t="shared" si="57"/>
        <v>0</v>
      </c>
      <c r="E168" s="2263">
        <f t="shared" si="57"/>
        <v>0</v>
      </c>
      <c r="F168" s="876"/>
      <c r="G168" s="2009"/>
      <c r="H168" s="876"/>
      <c r="I168" s="2009"/>
      <c r="J168" s="876"/>
      <c r="K168" s="2009"/>
      <c r="L168" s="876"/>
      <c r="M168" s="1907"/>
      <c r="N168" s="1907"/>
      <c r="O168" s="2009"/>
      <c r="P168" s="876"/>
      <c r="Q168" s="2009"/>
      <c r="R168" s="1911"/>
      <c r="S168" s="2009"/>
      <c r="T168" s="1911"/>
      <c r="U168" s="2009"/>
      <c r="V168" s="876"/>
      <c r="W168" s="2009"/>
      <c r="X168" s="1911"/>
      <c r="Y168" s="2009"/>
      <c r="Z168" s="2427"/>
      <c r="AA168" s="2400"/>
      <c r="AB168" s="2427"/>
      <c r="AC168" s="2400"/>
      <c r="AD168" s="2427"/>
      <c r="AE168" s="2400"/>
      <c r="AF168" s="2427"/>
      <c r="AG168" s="2400"/>
      <c r="AH168" s="2427"/>
      <c r="AI168" s="2400"/>
      <c r="AJ168" s="2427"/>
      <c r="AK168" s="2400"/>
      <c r="AL168" s="2428"/>
      <c r="AM168" s="2400"/>
    </row>
    <row r="169" spans="1:39" ht="18" customHeight="1" x14ac:dyDescent="0.3">
      <c r="A169" s="2416" t="s">
        <v>349</v>
      </c>
      <c r="B169" s="2190"/>
      <c r="C169" s="2190"/>
      <c r="D169" s="2190"/>
      <c r="E169" s="2191"/>
      <c r="F169" s="2191"/>
      <c r="G169" s="2191"/>
      <c r="H169" s="2191"/>
      <c r="I169" s="2191"/>
      <c r="J169" s="2191"/>
      <c r="K169" s="2191"/>
      <c r="L169" s="2191"/>
      <c r="M169" s="2429"/>
      <c r="N169" s="2182"/>
      <c r="O169" s="2182"/>
    </row>
    <row r="170" spans="1:39" ht="15" customHeight="1" x14ac:dyDescent="0.3">
      <c r="A170" s="5850" t="s">
        <v>219</v>
      </c>
      <c r="B170" s="5850" t="s">
        <v>220</v>
      </c>
      <c r="C170" s="5879" t="s">
        <v>77</v>
      </c>
      <c r="D170" s="5880"/>
      <c r="E170" s="5881"/>
      <c r="F170" s="5887" t="s">
        <v>101</v>
      </c>
      <c r="G170" s="5992"/>
      <c r="H170" s="5992"/>
      <c r="I170" s="5992"/>
      <c r="J170" s="5992"/>
      <c r="K170" s="5992"/>
      <c r="L170" s="5992"/>
      <c r="M170" s="5992"/>
      <c r="N170" s="5992"/>
      <c r="O170" s="5888"/>
    </row>
    <row r="171" spans="1:39" ht="15" customHeight="1" x14ac:dyDescent="0.3">
      <c r="A171" s="5851"/>
      <c r="B171" s="5851"/>
      <c r="C171" s="5946"/>
      <c r="D171" s="5882"/>
      <c r="E171" s="5760"/>
      <c r="F171" s="5887" t="s">
        <v>53</v>
      </c>
      <c r="G171" s="5888"/>
      <c r="H171" s="5887" t="s">
        <v>54</v>
      </c>
      <c r="I171" s="5888"/>
      <c r="J171" s="5887" t="s">
        <v>55</v>
      </c>
      <c r="K171" s="5888"/>
      <c r="L171" s="5887" t="s">
        <v>56</v>
      </c>
      <c r="M171" s="5888"/>
      <c r="N171" s="5887" t="s">
        <v>57</v>
      </c>
      <c r="O171" s="5888"/>
    </row>
    <row r="172" spans="1:39" ht="15" customHeight="1" x14ac:dyDescent="0.3">
      <c r="A172" s="5825"/>
      <c r="B172" s="5825"/>
      <c r="C172" s="2217" t="s">
        <v>79</v>
      </c>
      <c r="D172" s="2420" t="s">
        <v>58</v>
      </c>
      <c r="E172" s="23" t="s">
        <v>59</v>
      </c>
      <c r="F172" s="2199" t="s">
        <v>58</v>
      </c>
      <c r="G172" s="23" t="s">
        <v>59</v>
      </c>
      <c r="H172" s="2199" t="s">
        <v>58</v>
      </c>
      <c r="I172" s="23" t="s">
        <v>59</v>
      </c>
      <c r="J172" s="2199" t="s">
        <v>58</v>
      </c>
      <c r="K172" s="23" t="s">
        <v>59</v>
      </c>
      <c r="L172" s="2199" t="s">
        <v>58</v>
      </c>
      <c r="M172" s="23" t="s">
        <v>59</v>
      </c>
      <c r="N172" s="2199" t="s">
        <v>58</v>
      </c>
      <c r="O172" s="23" t="s">
        <v>59</v>
      </c>
    </row>
    <row r="173" spans="1:39" ht="15" customHeight="1" x14ac:dyDescent="0.3">
      <c r="A173" s="5843" t="s">
        <v>350</v>
      </c>
      <c r="B173" s="2422" t="s">
        <v>351</v>
      </c>
      <c r="C173" s="2391">
        <f t="shared" ref="C173:C178" si="58">SUM(D173+E173)</f>
        <v>0</v>
      </c>
      <c r="D173" s="2325">
        <f t="shared" ref="D173:E178" si="59">SUM(F173+H173+J173+L173+N173)</f>
        <v>0</v>
      </c>
      <c r="E173" s="2255">
        <f t="shared" si="59"/>
        <v>0</v>
      </c>
      <c r="F173" s="2209"/>
      <c r="G173" s="2239"/>
      <c r="H173" s="2209"/>
      <c r="I173" s="1996"/>
      <c r="J173" s="2283"/>
      <c r="K173" s="2239"/>
      <c r="L173" s="2209"/>
      <c r="M173" s="1996"/>
      <c r="N173" s="2209"/>
      <c r="O173" s="1996"/>
    </row>
    <row r="174" spans="1:39" ht="15" customHeight="1" x14ac:dyDescent="0.3">
      <c r="A174" s="5844"/>
      <c r="B174" s="358" t="s">
        <v>352</v>
      </c>
      <c r="C174" s="195">
        <f t="shared" si="58"/>
        <v>0</v>
      </c>
      <c r="D174" s="2413">
        <f t="shared" si="59"/>
        <v>0</v>
      </c>
      <c r="E174" s="2430">
        <f t="shared" si="59"/>
        <v>0</v>
      </c>
      <c r="F174" s="20"/>
      <c r="G174" s="2431"/>
      <c r="H174" s="20"/>
      <c r="I174" s="30"/>
      <c r="J174" s="2432"/>
      <c r="K174" s="2431"/>
      <c r="L174" s="20"/>
      <c r="M174" s="30"/>
      <c r="N174" s="20"/>
      <c r="O174" s="30"/>
    </row>
    <row r="175" spans="1:39" ht="15" customHeight="1" x14ac:dyDescent="0.3">
      <c r="A175" s="5845"/>
      <c r="B175" s="690" t="s">
        <v>353</v>
      </c>
      <c r="C175" s="196">
        <f t="shared" si="58"/>
        <v>0</v>
      </c>
      <c r="D175" s="486">
        <f t="shared" si="59"/>
        <v>0</v>
      </c>
      <c r="E175" s="62">
        <f t="shared" si="59"/>
        <v>0</v>
      </c>
      <c r="F175" s="212"/>
      <c r="G175" s="1163"/>
      <c r="H175" s="212"/>
      <c r="I175" s="1161"/>
      <c r="J175" s="1162"/>
      <c r="K175" s="1163"/>
      <c r="L175" s="212"/>
      <c r="M175" s="1161"/>
      <c r="N175" s="212"/>
      <c r="O175" s="1161"/>
    </row>
    <row r="176" spans="1:39" ht="15" customHeight="1" x14ac:dyDescent="0.3">
      <c r="A176" s="5843" t="s">
        <v>354</v>
      </c>
      <c r="B176" s="2422" t="s">
        <v>351</v>
      </c>
      <c r="C176" s="2391">
        <f t="shared" si="58"/>
        <v>0</v>
      </c>
      <c r="D176" s="2325">
        <f t="shared" si="59"/>
        <v>0</v>
      </c>
      <c r="E176" s="2255">
        <f t="shared" si="59"/>
        <v>0</v>
      </c>
      <c r="F176" s="2209"/>
      <c r="G176" s="1996"/>
      <c r="H176" s="2209"/>
      <c r="I176" s="2239"/>
      <c r="J176" s="2209"/>
      <c r="K176" s="1996"/>
      <c r="L176" s="2283"/>
      <c r="M176" s="2239"/>
      <c r="N176" s="2209"/>
      <c r="O176" s="1996"/>
    </row>
    <row r="177" spans="1:21" ht="15" customHeight="1" x14ac:dyDescent="0.3">
      <c r="A177" s="5844"/>
      <c r="B177" s="358" t="s">
        <v>352</v>
      </c>
      <c r="C177" s="358">
        <f t="shared" si="58"/>
        <v>0</v>
      </c>
      <c r="D177" s="479">
        <f t="shared" si="59"/>
        <v>0</v>
      </c>
      <c r="E177" s="480">
        <f t="shared" si="59"/>
        <v>0</v>
      </c>
      <c r="F177" s="20"/>
      <c r="G177" s="30"/>
      <c r="H177" s="329"/>
      <c r="I177" s="2235"/>
      <c r="J177" s="329"/>
      <c r="K177" s="2003"/>
      <c r="L177" s="2068"/>
      <c r="M177" s="2235"/>
      <c r="N177" s="329"/>
      <c r="O177" s="2003"/>
    </row>
    <row r="178" spans="1:21" ht="15" customHeight="1" x14ac:dyDescent="0.3">
      <c r="A178" s="5845"/>
      <c r="B178" s="690" t="s">
        <v>353</v>
      </c>
      <c r="C178" s="519">
        <f t="shared" si="58"/>
        <v>0</v>
      </c>
      <c r="D178" s="484">
        <f t="shared" si="59"/>
        <v>0</v>
      </c>
      <c r="E178" s="485">
        <f t="shared" si="59"/>
        <v>0</v>
      </c>
      <c r="F178" s="876"/>
      <c r="G178" s="2009"/>
      <c r="H178" s="876"/>
      <c r="I178" s="2237"/>
      <c r="J178" s="876"/>
      <c r="K178" s="2009"/>
      <c r="L178" s="1911"/>
      <c r="M178" s="2237"/>
      <c r="N178" s="876"/>
      <c r="O178" s="2009"/>
    </row>
    <row r="179" spans="1:21" ht="18" customHeight="1" x14ac:dyDescent="0.3">
      <c r="A179" s="6033" t="s">
        <v>355</v>
      </c>
      <c r="B179" s="6033"/>
      <c r="C179" s="6033"/>
      <c r="D179" s="6033"/>
      <c r="E179" s="6033"/>
      <c r="F179" s="6033"/>
      <c r="G179" s="6033"/>
      <c r="H179" s="6033"/>
      <c r="I179" s="6033"/>
      <c r="J179" s="6033"/>
      <c r="K179" s="6033"/>
      <c r="L179" s="6033"/>
      <c r="M179" s="6033"/>
      <c r="N179" s="6033"/>
      <c r="O179" s="6033"/>
      <c r="P179" s="2182"/>
      <c r="Q179" s="2182"/>
    </row>
    <row r="180" spans="1:21" ht="15" customHeight="1" x14ac:dyDescent="0.3">
      <c r="A180" s="5879" t="s">
        <v>356</v>
      </c>
      <c r="B180" s="5881"/>
      <c r="C180" s="5879" t="s">
        <v>77</v>
      </c>
      <c r="D180" s="5880"/>
      <c r="E180" s="5881"/>
      <c r="F180" s="5887" t="s">
        <v>101</v>
      </c>
      <c r="G180" s="5992"/>
      <c r="H180" s="5992"/>
      <c r="I180" s="5992"/>
      <c r="J180" s="5992"/>
      <c r="K180" s="5992"/>
      <c r="L180" s="5992"/>
      <c r="M180" s="5992"/>
      <c r="N180" s="5992"/>
      <c r="O180" s="5992"/>
      <c r="P180" s="5992"/>
      <c r="Q180" s="5888"/>
    </row>
    <row r="181" spans="1:21" ht="15" customHeight="1" x14ac:dyDescent="0.3">
      <c r="A181" s="5945"/>
      <c r="B181" s="5759"/>
      <c r="C181" s="5946"/>
      <c r="D181" s="5882"/>
      <c r="E181" s="5760"/>
      <c r="F181" s="5887" t="s">
        <v>54</v>
      </c>
      <c r="G181" s="5888"/>
      <c r="H181" s="5887" t="s">
        <v>55</v>
      </c>
      <c r="I181" s="5888"/>
      <c r="J181" s="5887" t="s">
        <v>56</v>
      </c>
      <c r="K181" s="5888"/>
      <c r="L181" s="5887" t="s">
        <v>357</v>
      </c>
      <c r="M181" s="5888"/>
      <c r="N181" s="5887" t="s">
        <v>358</v>
      </c>
      <c r="O181" s="5888"/>
      <c r="P181" s="5887" t="s">
        <v>359</v>
      </c>
      <c r="Q181" s="5888"/>
    </row>
    <row r="182" spans="1:21" ht="15" customHeight="1" x14ac:dyDescent="0.3">
      <c r="A182" s="5946"/>
      <c r="B182" s="5760"/>
      <c r="C182" s="2217" t="s">
        <v>79</v>
      </c>
      <c r="D182" s="2420" t="s">
        <v>58</v>
      </c>
      <c r="E182" s="23" t="s">
        <v>59</v>
      </c>
      <c r="F182" s="2199" t="s">
        <v>58</v>
      </c>
      <c r="G182" s="23" t="s">
        <v>59</v>
      </c>
      <c r="H182" s="2199" t="s">
        <v>58</v>
      </c>
      <c r="I182" s="23" t="s">
        <v>59</v>
      </c>
      <c r="J182" s="2199" t="s">
        <v>58</v>
      </c>
      <c r="K182" s="1778" t="s">
        <v>59</v>
      </c>
      <c r="L182" s="2199" t="s">
        <v>58</v>
      </c>
      <c r="M182" s="23" t="s">
        <v>59</v>
      </c>
      <c r="N182" s="2199" t="s">
        <v>58</v>
      </c>
      <c r="O182" s="23" t="s">
        <v>59</v>
      </c>
      <c r="P182" s="2199" t="s">
        <v>58</v>
      </c>
      <c r="Q182" s="1778" t="s">
        <v>59</v>
      </c>
    </row>
    <row r="183" spans="1:21" ht="15" customHeight="1" x14ac:dyDescent="0.3">
      <c r="A183" s="5965" t="s">
        <v>360</v>
      </c>
      <c r="B183" s="5966"/>
      <c r="C183" s="2391">
        <f>SUM(D183+E183)</f>
        <v>0</v>
      </c>
      <c r="D183" s="2325">
        <f>SUM(F183+H183+J183+L183+N183+P183)</f>
        <v>0</v>
      </c>
      <c r="E183" s="2255">
        <f>SUM(G183+I183+K183+M183+O183+Q183)</f>
        <v>0</v>
      </c>
      <c r="F183" s="2209"/>
      <c r="G183" s="2239"/>
      <c r="H183" s="2209"/>
      <c r="I183" s="1996"/>
      <c r="J183" s="2283"/>
      <c r="K183" s="1996"/>
      <c r="L183" s="2283"/>
      <c r="M183" s="2239"/>
      <c r="N183" s="2209"/>
      <c r="O183" s="1996"/>
      <c r="P183" s="2283"/>
      <c r="Q183" s="1996"/>
    </row>
    <row r="184" spans="1:21" ht="15" customHeight="1" x14ac:dyDescent="0.3">
      <c r="A184" s="5967" t="s">
        <v>361</v>
      </c>
      <c r="B184" s="5968"/>
      <c r="C184" s="358">
        <f>SUM(D184+E184)</f>
        <v>0</v>
      </c>
      <c r="D184" s="479">
        <f t="shared" ref="D184:E185" si="60">SUM(F184+H184+J184+L184+N184+P184)</f>
        <v>0</v>
      </c>
      <c r="E184" s="2430">
        <f t="shared" si="60"/>
        <v>0</v>
      </c>
      <c r="F184" s="20"/>
      <c r="G184" s="2431"/>
      <c r="H184" s="20"/>
      <c r="I184" s="30"/>
      <c r="J184" s="2432"/>
      <c r="K184" s="30"/>
      <c r="L184" s="2432"/>
      <c r="M184" s="2431"/>
      <c r="N184" s="20"/>
      <c r="O184" s="30"/>
      <c r="P184" s="2432"/>
      <c r="Q184" s="30"/>
    </row>
    <row r="185" spans="1:21" ht="15" customHeight="1" x14ac:dyDescent="0.3">
      <c r="A185" s="5969" t="s">
        <v>362</v>
      </c>
      <c r="B185" s="5970"/>
      <c r="C185" s="357">
        <f>SUM(D185+E185)</f>
        <v>0</v>
      </c>
      <c r="D185" s="479">
        <f t="shared" si="60"/>
        <v>0</v>
      </c>
      <c r="E185" s="480">
        <f t="shared" si="60"/>
        <v>0</v>
      </c>
      <c r="F185" s="329"/>
      <c r="G185" s="2235"/>
      <c r="H185" s="329"/>
      <c r="I185" s="2003"/>
      <c r="J185" s="2068"/>
      <c r="K185" s="2003"/>
      <c r="L185" s="2068"/>
      <c r="M185" s="2235"/>
      <c r="N185" s="329"/>
      <c r="O185" s="2003"/>
      <c r="P185" s="2068"/>
      <c r="Q185" s="2003"/>
    </row>
    <row r="186" spans="1:21" ht="15" customHeight="1" x14ac:dyDescent="0.3">
      <c r="A186" s="5887" t="s">
        <v>77</v>
      </c>
      <c r="B186" s="5888"/>
      <c r="C186" s="2306">
        <f t="shared" ref="C186:Q186" si="61">SUM(C183:C185)</f>
        <v>0</v>
      </c>
      <c r="D186" s="2323">
        <f t="shared" si="61"/>
        <v>0</v>
      </c>
      <c r="E186" s="2323">
        <f t="shared" si="61"/>
        <v>0</v>
      </c>
      <c r="F186" s="2269">
        <f t="shared" si="61"/>
        <v>0</v>
      </c>
      <c r="G186" s="2323">
        <f t="shared" si="61"/>
        <v>0</v>
      </c>
      <c r="H186" s="2269">
        <f t="shared" si="61"/>
        <v>0</v>
      </c>
      <c r="I186" s="2323">
        <f t="shared" si="61"/>
        <v>0</v>
      </c>
      <c r="J186" s="2269">
        <f t="shared" si="61"/>
        <v>0</v>
      </c>
      <c r="K186" s="2323">
        <f t="shared" si="61"/>
        <v>0</v>
      </c>
      <c r="L186" s="2269">
        <f t="shared" si="61"/>
        <v>0</v>
      </c>
      <c r="M186" s="2323">
        <f t="shared" si="61"/>
        <v>0</v>
      </c>
      <c r="N186" s="2269">
        <f t="shared" si="61"/>
        <v>0</v>
      </c>
      <c r="O186" s="2323">
        <f t="shared" si="61"/>
        <v>0</v>
      </c>
      <c r="P186" s="2269">
        <f t="shared" si="61"/>
        <v>0</v>
      </c>
      <c r="Q186" s="2274">
        <f t="shared" si="61"/>
        <v>0</v>
      </c>
    </row>
    <row r="187" spans="1:21" ht="15" customHeight="1" x14ac:dyDescent="0.3">
      <c r="A187" s="2184" t="s">
        <v>363</v>
      </c>
    </row>
    <row r="188" spans="1:21" ht="18" customHeight="1" x14ac:dyDescent="0.3">
      <c r="A188" s="3" t="s">
        <v>364</v>
      </c>
      <c r="B188" s="2434"/>
      <c r="C188" s="2434"/>
      <c r="D188" s="2434"/>
      <c r="E188" s="2434"/>
      <c r="F188" s="2182"/>
      <c r="G188" s="2182"/>
      <c r="H188" s="2182"/>
      <c r="I188" s="2182"/>
      <c r="J188" s="2182"/>
      <c r="K188" s="2182"/>
      <c r="L188" s="2182"/>
      <c r="M188" s="2182"/>
      <c r="N188" s="2182"/>
      <c r="O188" s="2182"/>
      <c r="P188" s="2182"/>
      <c r="Q188" s="2182"/>
    </row>
    <row r="189" spans="1:21" ht="15" customHeight="1" x14ac:dyDescent="0.3">
      <c r="A189" s="5879" t="s">
        <v>365</v>
      </c>
      <c r="B189" s="5881"/>
      <c r="C189" s="5947" t="s">
        <v>302</v>
      </c>
      <c r="D189" s="5948"/>
      <c r="E189" s="6031"/>
      <c r="F189" s="6013" t="s">
        <v>101</v>
      </c>
      <c r="G189" s="6032"/>
      <c r="H189" s="6032"/>
      <c r="I189" s="6032"/>
      <c r="J189" s="6032"/>
      <c r="K189" s="6032"/>
      <c r="L189" s="6032"/>
      <c r="M189" s="6032"/>
      <c r="N189" s="6032"/>
      <c r="O189" s="6032"/>
      <c r="P189" s="6032"/>
      <c r="Q189" s="6032"/>
      <c r="R189" s="6032"/>
      <c r="S189" s="6032"/>
      <c r="T189" s="6032"/>
      <c r="U189" s="6014"/>
    </row>
    <row r="190" spans="1:21" ht="15" customHeight="1" x14ac:dyDescent="0.3">
      <c r="A190" s="5945"/>
      <c r="B190" s="5759"/>
      <c r="C190" s="5950"/>
      <c r="D190" s="5951"/>
      <c r="E190" s="5952"/>
      <c r="F190" s="5973" t="s">
        <v>343</v>
      </c>
      <c r="G190" s="5974"/>
      <c r="H190" s="5975" t="s">
        <v>326</v>
      </c>
      <c r="I190" s="5974"/>
      <c r="J190" s="5973" t="s">
        <v>94</v>
      </c>
      <c r="K190" s="5974"/>
      <c r="L190" s="5975" t="s">
        <v>44</v>
      </c>
      <c r="M190" s="5974"/>
      <c r="N190" s="5975" t="s">
        <v>45</v>
      </c>
      <c r="O190" s="5974"/>
      <c r="P190" s="5975" t="s">
        <v>366</v>
      </c>
      <c r="Q190" s="5974"/>
      <c r="R190" s="5975" t="s">
        <v>367</v>
      </c>
      <c r="S190" s="5974"/>
      <c r="T190" s="5837" t="s">
        <v>368</v>
      </c>
      <c r="U190" s="5798"/>
    </row>
    <row r="191" spans="1:21" ht="15" customHeight="1" x14ac:dyDescent="0.3">
      <c r="A191" s="5946"/>
      <c r="B191" s="5760"/>
      <c r="C191" s="2308" t="s">
        <v>79</v>
      </c>
      <c r="D191" s="2198" t="s">
        <v>58</v>
      </c>
      <c r="E191" s="2196" t="s">
        <v>59</v>
      </c>
      <c r="F191" s="2197" t="s">
        <v>58</v>
      </c>
      <c r="G191" s="2388" t="s">
        <v>59</v>
      </c>
      <c r="H191" s="2198" t="s">
        <v>58</v>
      </c>
      <c r="I191" s="2388" t="s">
        <v>59</v>
      </c>
      <c r="J191" s="2197" t="s">
        <v>58</v>
      </c>
      <c r="K191" s="2388" t="s">
        <v>59</v>
      </c>
      <c r="L191" s="2198" t="s">
        <v>58</v>
      </c>
      <c r="M191" s="2388" t="s">
        <v>59</v>
      </c>
      <c r="N191" s="2198" t="s">
        <v>58</v>
      </c>
      <c r="O191" s="2388" t="s">
        <v>59</v>
      </c>
      <c r="P191" s="2198" t="s">
        <v>58</v>
      </c>
      <c r="Q191" s="2388" t="s">
        <v>59</v>
      </c>
      <c r="R191" s="2198" t="s">
        <v>58</v>
      </c>
      <c r="S191" s="2388" t="s">
        <v>59</v>
      </c>
      <c r="T191" s="2198" t="s">
        <v>58</v>
      </c>
      <c r="U191" s="2388" t="s">
        <v>59</v>
      </c>
    </row>
    <row r="192" spans="1:21" ht="15" customHeight="1" x14ac:dyDescent="0.3">
      <c r="A192" s="5959" t="s">
        <v>369</v>
      </c>
      <c r="B192" s="5960"/>
      <c r="C192" s="2436">
        <f>SUM(D192+E192)</f>
        <v>0</v>
      </c>
      <c r="D192" s="140">
        <f>SUM(F192+H192+J192+L192+N192+P192+R192+T192)</f>
        <v>0</v>
      </c>
      <c r="E192" s="224">
        <f t="shared" ref="D192:E194" si="62">SUM(G192+I192+K192+M192+O192+Q192+S192+U192)</f>
        <v>0</v>
      </c>
      <c r="F192" s="2286"/>
      <c r="G192" s="5603"/>
      <c r="H192" s="4024"/>
      <c r="I192" s="5603"/>
      <c r="J192" s="2286"/>
      <c r="K192" s="5603"/>
      <c r="L192" s="44"/>
      <c r="M192" s="905"/>
      <c r="N192" s="44"/>
      <c r="O192" s="905"/>
      <c r="P192" s="44"/>
      <c r="Q192" s="905"/>
      <c r="R192" s="44"/>
      <c r="S192" s="905"/>
      <c r="T192" s="44"/>
      <c r="U192" s="905"/>
    </row>
    <row r="193" spans="1:94" ht="15" customHeight="1" x14ac:dyDescent="0.3">
      <c r="A193" s="5961" t="s">
        <v>370</v>
      </c>
      <c r="B193" s="5962"/>
      <c r="C193" s="2437">
        <f>SUM(D193+E193)</f>
        <v>0</v>
      </c>
      <c r="D193" s="2438">
        <f t="shared" si="62"/>
        <v>0</v>
      </c>
      <c r="E193" s="2439">
        <f t="shared" si="62"/>
        <v>0</v>
      </c>
      <c r="F193" s="2345"/>
      <c r="G193" s="2347"/>
      <c r="H193" s="3814"/>
      <c r="I193" s="2347"/>
      <c r="J193" s="2345"/>
      <c r="K193" s="2347"/>
      <c r="L193" s="1162"/>
      <c r="M193" s="1161"/>
      <c r="N193" s="1162"/>
      <c r="O193" s="1161"/>
      <c r="P193" s="1162"/>
      <c r="Q193" s="1161"/>
      <c r="R193" s="1162"/>
      <c r="S193" s="1161"/>
      <c r="T193" s="1162"/>
      <c r="U193" s="1161"/>
    </row>
    <row r="194" spans="1:94" ht="15" customHeight="1" x14ac:dyDescent="0.3">
      <c r="A194" s="5963" t="s">
        <v>371</v>
      </c>
      <c r="B194" s="5964"/>
      <c r="C194" s="2440">
        <f>SUM(D194+E194)</f>
        <v>0</v>
      </c>
      <c r="D194" s="2268">
        <f t="shared" si="62"/>
        <v>0</v>
      </c>
      <c r="E194" s="2223">
        <f t="shared" si="62"/>
        <v>0</v>
      </c>
      <c r="F194" s="2269">
        <f t="shared" ref="F194:U194" si="63">SUM(F192:F193)</f>
        <v>0</v>
      </c>
      <c r="G194" s="2274">
        <f t="shared" si="63"/>
        <v>0</v>
      </c>
      <c r="H194" s="2323">
        <f t="shared" si="63"/>
        <v>0</v>
      </c>
      <c r="I194" s="2274">
        <f t="shared" si="63"/>
        <v>0</v>
      </c>
      <c r="J194" s="2269">
        <f t="shared" si="63"/>
        <v>0</v>
      </c>
      <c r="K194" s="2274">
        <f t="shared" si="63"/>
        <v>0</v>
      </c>
      <c r="L194" s="2323">
        <f t="shared" si="63"/>
        <v>0</v>
      </c>
      <c r="M194" s="2274">
        <f t="shared" si="63"/>
        <v>0</v>
      </c>
      <c r="N194" s="2323">
        <f t="shared" si="63"/>
        <v>0</v>
      </c>
      <c r="O194" s="2274">
        <f t="shared" si="63"/>
        <v>0</v>
      </c>
      <c r="P194" s="2323">
        <f t="shared" si="63"/>
        <v>0</v>
      </c>
      <c r="Q194" s="2274">
        <f t="shared" si="63"/>
        <v>0</v>
      </c>
      <c r="R194" s="2323">
        <f t="shared" si="63"/>
        <v>0</v>
      </c>
      <c r="S194" s="2274">
        <f t="shared" si="63"/>
        <v>0</v>
      </c>
      <c r="T194" s="2323">
        <f t="shared" si="63"/>
        <v>0</v>
      </c>
      <c r="U194" s="2274">
        <f t="shared" si="63"/>
        <v>0</v>
      </c>
    </row>
    <row r="195" spans="1:94" ht="18" customHeight="1" x14ac:dyDescent="0.3">
      <c r="A195" s="3" t="s">
        <v>372</v>
      </c>
      <c r="B195" s="2434"/>
      <c r="C195" s="2434"/>
      <c r="D195" s="2434"/>
      <c r="E195" s="2434"/>
      <c r="F195" s="2182"/>
      <c r="G195" s="2182"/>
      <c r="H195" s="2182"/>
      <c r="I195" s="2182"/>
      <c r="J195" s="2182"/>
      <c r="K195" s="2182"/>
      <c r="L195" s="2182"/>
      <c r="M195" s="2182"/>
      <c r="N195" s="2182"/>
      <c r="O195" s="2182"/>
      <c r="P195" s="2182"/>
      <c r="Q195" s="2182"/>
      <c r="T195" s="24"/>
      <c r="U195" s="24"/>
    </row>
    <row r="196" spans="1:94" ht="15" customHeight="1" x14ac:dyDescent="0.3">
      <c r="A196" s="5944" t="s">
        <v>365</v>
      </c>
      <c r="B196" s="5832"/>
      <c r="C196" s="5947" t="s">
        <v>302</v>
      </c>
      <c r="D196" s="5948"/>
      <c r="E196" s="5949"/>
      <c r="F196" s="5953" t="s">
        <v>101</v>
      </c>
      <c r="G196" s="5954"/>
      <c r="H196" s="5954"/>
      <c r="I196" s="5954"/>
      <c r="J196" s="5954"/>
      <c r="K196" s="5954"/>
      <c r="L196" s="5954"/>
      <c r="M196" s="5954"/>
      <c r="N196" s="5954"/>
      <c r="O196" s="5955"/>
      <c r="P196" s="5853" t="s">
        <v>373</v>
      </c>
      <c r="Q196" s="5852"/>
      <c r="R196" s="5852"/>
      <c r="S196" s="5852"/>
      <c r="T196" s="24"/>
      <c r="U196" s="24"/>
    </row>
    <row r="197" spans="1:94" ht="15" customHeight="1" x14ac:dyDescent="0.3">
      <c r="A197" s="5945"/>
      <c r="B197" s="5759"/>
      <c r="C197" s="5950"/>
      <c r="D197" s="5951"/>
      <c r="E197" s="5952"/>
      <c r="F197" s="5838" t="s">
        <v>44</v>
      </c>
      <c r="G197" s="5799"/>
      <c r="H197" s="5838" t="s">
        <v>45</v>
      </c>
      <c r="I197" s="5799"/>
      <c r="J197" s="5838" t="s">
        <v>366</v>
      </c>
      <c r="K197" s="5799"/>
      <c r="L197" s="5838" t="s">
        <v>367</v>
      </c>
      <c r="M197" s="5799"/>
      <c r="N197" s="5838" t="s">
        <v>368</v>
      </c>
      <c r="O197" s="5956"/>
      <c r="P197" s="5957" t="s">
        <v>343</v>
      </c>
      <c r="Q197" s="5958" t="s">
        <v>326</v>
      </c>
      <c r="R197" s="5958" t="s">
        <v>94</v>
      </c>
      <c r="S197" s="5853" t="s">
        <v>44</v>
      </c>
      <c r="T197" s="24"/>
      <c r="U197" s="24"/>
    </row>
    <row r="198" spans="1:94" ht="15" customHeight="1" x14ac:dyDescent="0.3">
      <c r="A198" s="5946"/>
      <c r="B198" s="5760"/>
      <c r="C198" s="2308" t="s">
        <v>79</v>
      </c>
      <c r="D198" s="2387" t="s">
        <v>58</v>
      </c>
      <c r="E198" s="2309" t="s">
        <v>59</v>
      </c>
      <c r="F198" s="2387" t="s">
        <v>58</v>
      </c>
      <c r="G198" s="2388" t="s">
        <v>59</v>
      </c>
      <c r="H198" s="2387" t="s">
        <v>58</v>
      </c>
      <c r="I198" s="2388" t="s">
        <v>59</v>
      </c>
      <c r="J198" s="2387" t="s">
        <v>58</v>
      </c>
      <c r="K198" s="2388" t="s">
        <v>59</v>
      </c>
      <c r="L198" s="2387" t="s">
        <v>58</v>
      </c>
      <c r="M198" s="2388" t="s">
        <v>59</v>
      </c>
      <c r="N198" s="2387" t="s">
        <v>58</v>
      </c>
      <c r="O198" s="2280" t="s">
        <v>59</v>
      </c>
      <c r="P198" s="5957"/>
      <c r="Q198" s="5958"/>
      <c r="R198" s="5958"/>
      <c r="S198" s="5853"/>
      <c r="T198" s="24"/>
      <c r="U198" s="24"/>
    </row>
    <row r="199" spans="1:94" ht="15" customHeight="1" x14ac:dyDescent="0.3">
      <c r="A199" s="5959" t="s">
        <v>374</v>
      </c>
      <c r="B199" s="5960"/>
      <c r="C199" s="2436">
        <f>SUM(D199+E199)</f>
        <v>0</v>
      </c>
      <c r="D199" s="140">
        <f>SUM(F199+H199+J199+L199+N199)</f>
        <v>0</v>
      </c>
      <c r="E199" s="224">
        <f>SUM(G199+I199+K199+M199+O199)</f>
        <v>0</v>
      </c>
      <c r="F199" s="44"/>
      <c r="G199" s="905"/>
      <c r="H199" s="44"/>
      <c r="I199" s="905"/>
      <c r="J199" s="44"/>
      <c r="K199" s="905"/>
      <c r="L199" s="44"/>
      <c r="M199" s="905"/>
      <c r="N199" s="44"/>
      <c r="O199" s="1026"/>
      <c r="P199" s="2442"/>
      <c r="Q199" s="1896"/>
      <c r="R199" s="1896"/>
      <c r="S199" s="2443"/>
      <c r="T199" s="24" t="str">
        <f>CA199&amp;CB199&amp;CC199&amp;CD199&amp;CE199&amp;CF199</f>
        <v/>
      </c>
      <c r="U199" s="24"/>
      <c r="CA199" s="2229" t="str">
        <f>IF(AND($C199&lt;&gt;0,P199=""),"* No olvide ingresar la variable Rango Etario NANEAS "&amp;P$197&amp;""&amp;". Digite CERO si no tiene. ",IF(P199&gt;$C199,"* La variable NANEAS de 0 - 4 años no debe ser mayor al Total Ambos Sexos. ",""))</f>
        <v/>
      </c>
      <c r="CB199" s="2229" t="str">
        <f>IF(AND($C199&lt;&gt;0,Q199=""),"* No olvide ingresar la variable Rango Etario NANEAS "&amp;Q$197&amp;""&amp;". Digite CERO si no tiene. ",IF(Q199&gt;$C199,"* La variable NANEAS de 5 - 9 años no debe ser mayor al Total Ambos Sexos. ",""))</f>
        <v/>
      </c>
      <c r="CC199" s="2229" t="str">
        <f>IF(AND($C199&lt;&gt;0,R199=""),"* No olvide ingresar la variable Rango Etario NANEAS "&amp;R$197&amp;""&amp;". Digite CERO si no tiene. ",IF(R199&gt;$C199,"* La variable NANEAS de 10 - 14 años no debe ser mayor al Total Ambos Sexos. ",""))</f>
        <v/>
      </c>
      <c r="CD199" s="2229" t="str">
        <f>IF(AND($C199&lt;&gt;0,S199=""),"* No olvide ingresar la variable Rango Etario NANEAS "&amp;S$197&amp;""&amp;". Digite CERO si no tiene. ",IF(S199&gt;$C199,"* La variable NANEAS de 15 - 19 años no debe ser mayor al Total Ambos Sexos. ",""))</f>
        <v/>
      </c>
      <c r="CE199" s="2229" t="str">
        <f>IF(AND($C199&lt;&gt;0,P199+Q199+R199+S199=0),"* La suma de variable "&amp;P$196&amp;""&amp;" no puede ser 0. ","")</f>
        <v/>
      </c>
      <c r="CF199" s="2229" t="str">
        <f>IF(AND(Q199+R199+S199+P199&gt;$C199),"* La suma de la variable "&amp;P$196&amp;""&amp;" no puede superar el Total Ambos Sexos. ","")</f>
        <v/>
      </c>
      <c r="CG199" s="99"/>
      <c r="CH199" s="99"/>
      <c r="CI199" s="99"/>
      <c r="CK199" s="55">
        <f t="shared" ref="CK199:CN200" si="64">IF(AND($C199&lt;&gt;0,P199=""),1,IF(P199&gt;$C199,1,0))</f>
        <v>0</v>
      </c>
      <c r="CL199" s="55">
        <f t="shared" si="64"/>
        <v>0</v>
      </c>
      <c r="CM199" s="55">
        <f t="shared" si="64"/>
        <v>0</v>
      </c>
      <c r="CN199" s="55">
        <f t="shared" si="64"/>
        <v>0</v>
      </c>
      <c r="CO199" s="2396">
        <f>IF(AND($C199&lt;&gt;0,P199+Q199+R199+S199=0),1,0)</f>
        <v>0</v>
      </c>
      <c r="CP199" s="2396">
        <f>IF(AND(Q199+R199+S199+P199&gt;$C199),1,0)</f>
        <v>0</v>
      </c>
    </row>
    <row r="200" spans="1:94" ht="15" customHeight="1" x14ac:dyDescent="0.3">
      <c r="A200" s="5961" t="s">
        <v>375</v>
      </c>
      <c r="B200" s="5962"/>
      <c r="C200" s="2437">
        <f>SUM(D200+E200)</f>
        <v>0</v>
      </c>
      <c r="D200" s="2438">
        <f>SUM(F200+H200+J200+L200+N200)</f>
        <v>0</v>
      </c>
      <c r="E200" s="2439">
        <f t="shared" ref="E200" si="65">SUM(G200+I200+K200+M200+O200)</f>
        <v>0</v>
      </c>
      <c r="F200" s="1162"/>
      <c r="G200" s="1161"/>
      <c r="H200" s="1162"/>
      <c r="I200" s="1161"/>
      <c r="J200" s="1162"/>
      <c r="K200" s="1161"/>
      <c r="L200" s="1162"/>
      <c r="M200" s="1161"/>
      <c r="N200" s="1162"/>
      <c r="O200" s="2444"/>
      <c r="P200" s="1913"/>
      <c r="Q200" s="1914"/>
      <c r="R200" s="1914"/>
      <c r="S200" s="877"/>
      <c r="T200" s="24" t="str">
        <f>CA200&amp;CB200&amp;CC200&amp;CD200&amp;CE200&amp;CF200</f>
        <v/>
      </c>
      <c r="U200" s="24"/>
      <c r="CA200" s="2229" t="str">
        <f>IF(AND($C200&lt;&gt;0,P200=""),"* No olvide ingresar la variable Rango Etario NANEAS "&amp;P$197&amp;""&amp;". Digite CERO si no tiene. ",IF(P200&gt;$C200,"* La variable NANEAS de 0 - 4 años no debe ser mayor al Total Ambos Sexos. ",""))</f>
        <v/>
      </c>
      <c r="CB200" s="2229" t="str">
        <f>IF(AND($C200&lt;&gt;0,Q200=""),"* No olvide ingresar la variable Rango Etario NANEAS "&amp;Q$197&amp;""&amp;". Digite CERO si no tiene. ",IF(Q200&gt;$C200,"* La variable NANEAS de 5 - 9 años no debe ser mayor al Total Ambos Sexos. ",""))</f>
        <v/>
      </c>
      <c r="CC200" s="2229" t="str">
        <f>IF(AND($C200&lt;&gt;0,R200=""),"* No olvide ingresar la variable Rango Etario NANEAS "&amp;R$197&amp;""&amp;". Digite CERO si no tiene. ",IF(R200&gt;$C200,"* La variable NANEAS de 10 - 14 años no debe ser mayor al Total Ambos Sexos. ",""))</f>
        <v/>
      </c>
      <c r="CD200" s="2229" t="str">
        <f>IF(AND($C200&lt;&gt;0,S200=""),"* No olvide ingresar la variable Rango Etario NANEAS "&amp;S$197&amp;""&amp;". Digite CERO si no tiene. ",IF(S200&gt;$C200,"* La variable NANEAS de 15 - 19 años no debe ser mayor al Total Ambos Sexos. ",""))</f>
        <v/>
      </c>
      <c r="CE200" s="2229" t="str">
        <f>IF(AND($C200&lt;&gt;0,P200+Q200+R200+S200=0),"* La suma de variable "&amp;P$196&amp;""&amp;" no puede ser 0. ","")</f>
        <v/>
      </c>
      <c r="CF200" s="2229" t="str">
        <f>IF(AND(Q200+R200+S200+P200&gt;$C200),"* La suma de la variable "&amp;P$196&amp;""&amp;" no puede superar el Total Ambos Sexos. ","")</f>
        <v/>
      </c>
      <c r="CG200" s="99"/>
      <c r="CH200" s="99"/>
      <c r="CI200" s="99"/>
      <c r="CK200" s="55">
        <f t="shared" si="64"/>
        <v>0</v>
      </c>
      <c r="CL200" s="55">
        <f t="shared" si="64"/>
        <v>0</v>
      </c>
      <c r="CM200" s="55">
        <f t="shared" si="64"/>
        <v>0</v>
      </c>
      <c r="CN200" s="55">
        <f t="shared" si="64"/>
        <v>0</v>
      </c>
      <c r="CO200" s="2396">
        <f>IF(AND($C200&lt;&gt;0,P200+Q200+R200+S200=0),1,0)</f>
        <v>0</v>
      </c>
      <c r="CP200" s="2396">
        <f>IF(AND(Q200+R200+S200+P200&gt;$C200),1,0)</f>
        <v>0</v>
      </c>
    </row>
    <row r="201" spans="1:94" ht="15" customHeight="1" x14ac:dyDescent="0.3">
      <c r="A201" s="6029" t="s">
        <v>376</v>
      </c>
      <c r="B201" s="6030"/>
      <c r="C201" s="2440">
        <f>SUM(D201+E201)</f>
        <v>0</v>
      </c>
      <c r="D201" s="2268">
        <f>SUM(F201+H201+J201+L201+N201)</f>
        <v>0</v>
      </c>
      <c r="E201" s="2223">
        <f>SUM(G201+I201+K201+M201+O201)</f>
        <v>0</v>
      </c>
      <c r="F201" s="2323">
        <f>SUM(F199:F200)</f>
        <v>0</v>
      </c>
      <c r="G201" s="2274">
        <f t="shared" ref="G201:O201" si="66">SUM(G199:G200)</f>
        <v>0</v>
      </c>
      <c r="H201" s="2323">
        <f t="shared" si="66"/>
        <v>0</v>
      </c>
      <c r="I201" s="2274">
        <f t="shared" si="66"/>
        <v>0</v>
      </c>
      <c r="J201" s="2323">
        <f t="shared" si="66"/>
        <v>0</v>
      </c>
      <c r="K201" s="2274">
        <f t="shared" si="66"/>
        <v>0</v>
      </c>
      <c r="L201" s="2323">
        <f t="shared" si="66"/>
        <v>0</v>
      </c>
      <c r="M201" s="2274">
        <f t="shared" si="66"/>
        <v>0</v>
      </c>
      <c r="N201" s="2323">
        <f t="shared" si="66"/>
        <v>0</v>
      </c>
      <c r="O201" s="2445">
        <f t="shared" si="66"/>
        <v>0</v>
      </c>
      <c r="P201" s="2446">
        <f t="shared" ref="P201:S201" si="67">SUM(P199:P200)</f>
        <v>0</v>
      </c>
      <c r="Q201" s="2447">
        <f t="shared" si="67"/>
        <v>0</v>
      </c>
      <c r="R201" s="2447">
        <f t="shared" si="67"/>
        <v>0</v>
      </c>
      <c r="S201" s="2270">
        <f t="shared" si="67"/>
        <v>0</v>
      </c>
      <c r="T201" s="24"/>
      <c r="U201" s="24"/>
    </row>
    <row r="202" spans="1:94" ht="18" customHeight="1" x14ac:dyDescent="0.3">
      <c r="A202" s="3" t="s">
        <v>377</v>
      </c>
      <c r="B202" s="91"/>
      <c r="C202" s="91"/>
      <c r="D202" s="91"/>
      <c r="E202" s="91"/>
      <c r="F202" s="91"/>
      <c r="G202" s="91"/>
      <c r="H202" s="91"/>
      <c r="I202" s="2182"/>
      <c r="J202" s="2182"/>
      <c r="K202" s="2182"/>
      <c r="L202" s="2182"/>
      <c r="M202" s="2182"/>
      <c r="N202" s="2182"/>
      <c r="O202" s="2182"/>
      <c r="P202" s="2182"/>
      <c r="Q202" s="2182"/>
      <c r="R202" s="2184"/>
      <c r="S202" s="2184"/>
      <c r="T202" s="2184"/>
      <c r="U202" s="2184"/>
      <c r="V202" s="2184"/>
      <c r="W202" s="2184"/>
      <c r="X202" s="2184"/>
      <c r="Y202" s="2184"/>
      <c r="Z202" s="2183"/>
      <c r="AA202" s="2183"/>
      <c r="AB202" s="2183"/>
      <c r="AC202" s="2183"/>
      <c r="AD202" s="2183"/>
      <c r="AE202" s="2183"/>
      <c r="AF202" s="2183"/>
      <c r="AG202" s="2183"/>
      <c r="AH202" s="2183"/>
      <c r="AI202" s="2183"/>
    </row>
    <row r="203" spans="1:94" ht="15" customHeight="1" x14ac:dyDescent="0.3">
      <c r="A203" s="5986" t="s">
        <v>378</v>
      </c>
      <c r="B203" s="5987"/>
      <c r="C203" s="6016" t="s">
        <v>77</v>
      </c>
      <c r="D203" s="6017"/>
      <c r="E203" s="6018"/>
      <c r="F203" s="6022" t="s">
        <v>101</v>
      </c>
      <c r="G203" s="6022"/>
      <c r="H203" s="6022"/>
      <c r="I203" s="6022"/>
      <c r="J203" s="6022"/>
      <c r="K203" s="6022"/>
      <c r="L203" s="6022"/>
      <c r="M203" s="6022"/>
      <c r="N203" s="6022"/>
      <c r="O203" s="6022"/>
      <c r="P203" s="6022"/>
      <c r="Q203" s="6022"/>
      <c r="R203" s="6022"/>
      <c r="S203" s="6022"/>
      <c r="T203" s="6022"/>
      <c r="U203" s="6022"/>
      <c r="V203" s="6022"/>
      <c r="W203" s="6022"/>
      <c r="X203" s="6022"/>
      <c r="Y203" s="6022"/>
      <c r="Z203" s="6022"/>
      <c r="AA203" s="6022"/>
      <c r="AB203" s="6022"/>
      <c r="AC203" s="6023"/>
      <c r="AD203" s="6007" t="s">
        <v>34</v>
      </c>
      <c r="AE203" s="5890"/>
      <c r="AF203" s="5889" t="s">
        <v>35</v>
      </c>
      <c r="AG203" s="5890"/>
      <c r="AH203" s="6009" t="s">
        <v>36</v>
      </c>
      <c r="AI203" s="5890" t="s">
        <v>37</v>
      </c>
    </row>
    <row r="204" spans="1:94" ht="15" customHeight="1" x14ac:dyDescent="0.3">
      <c r="A204" s="5988"/>
      <c r="B204" s="5989"/>
      <c r="C204" s="6019"/>
      <c r="D204" s="6020"/>
      <c r="E204" s="6021"/>
      <c r="F204" s="6013" t="s">
        <v>379</v>
      </c>
      <c r="G204" s="6014"/>
      <c r="H204" s="5990" t="s">
        <v>380</v>
      </c>
      <c r="I204" s="5991"/>
      <c r="J204" s="5990" t="s">
        <v>381</v>
      </c>
      <c r="K204" s="5991"/>
      <c r="L204" s="5990" t="s">
        <v>382</v>
      </c>
      <c r="M204" s="5991"/>
      <c r="N204" s="5990" t="s">
        <v>383</v>
      </c>
      <c r="O204" s="5991"/>
      <c r="P204" s="5990" t="s">
        <v>384</v>
      </c>
      <c r="Q204" s="5991"/>
      <c r="R204" s="5990" t="s">
        <v>385</v>
      </c>
      <c r="S204" s="5991"/>
      <c r="T204" s="6024" t="s">
        <v>386</v>
      </c>
      <c r="U204" s="6024"/>
      <c r="V204" s="6024" t="s">
        <v>387</v>
      </c>
      <c r="W204" s="6024"/>
      <c r="X204" s="6024" t="s">
        <v>388</v>
      </c>
      <c r="Y204" s="6024"/>
      <c r="Z204" s="5975" t="s">
        <v>303</v>
      </c>
      <c r="AA204" s="5974"/>
      <c r="AB204" s="5975" t="s">
        <v>304</v>
      </c>
      <c r="AC204" s="6015"/>
      <c r="AD204" s="6008"/>
      <c r="AE204" s="5892"/>
      <c r="AF204" s="5891"/>
      <c r="AG204" s="5892"/>
      <c r="AH204" s="6010"/>
      <c r="AI204" s="6012"/>
    </row>
    <row r="205" spans="1:94" ht="15" customHeight="1" x14ac:dyDescent="0.3">
      <c r="A205" s="5990"/>
      <c r="B205" s="5991"/>
      <c r="C205" s="2449" t="s">
        <v>389</v>
      </c>
      <c r="D205" s="2450" t="s">
        <v>58</v>
      </c>
      <c r="E205" s="2448" t="s">
        <v>59</v>
      </c>
      <c r="F205" s="2451" t="s">
        <v>58</v>
      </c>
      <c r="G205" s="2452" t="s">
        <v>59</v>
      </c>
      <c r="H205" s="2451" t="s">
        <v>58</v>
      </c>
      <c r="I205" s="2452" t="s">
        <v>59</v>
      </c>
      <c r="J205" s="2451" t="s">
        <v>58</v>
      </c>
      <c r="K205" s="2452" t="s">
        <v>59</v>
      </c>
      <c r="L205" s="2451" t="s">
        <v>58</v>
      </c>
      <c r="M205" s="2452" t="s">
        <v>59</v>
      </c>
      <c r="N205" s="2451" t="s">
        <v>58</v>
      </c>
      <c r="O205" s="2452" t="s">
        <v>59</v>
      </c>
      <c r="P205" s="2451" t="s">
        <v>58</v>
      </c>
      <c r="Q205" s="2452" t="s">
        <v>59</v>
      </c>
      <c r="R205" s="2451" t="s">
        <v>58</v>
      </c>
      <c r="S205" s="2452" t="s">
        <v>59</v>
      </c>
      <c r="T205" s="2451" t="s">
        <v>58</v>
      </c>
      <c r="U205" s="2452" t="s">
        <v>59</v>
      </c>
      <c r="V205" s="2451" t="s">
        <v>58</v>
      </c>
      <c r="W205" s="2452" t="s">
        <v>59</v>
      </c>
      <c r="X205" s="2451" t="s">
        <v>58</v>
      </c>
      <c r="Y205" s="2452" t="s">
        <v>59</v>
      </c>
      <c r="Z205" s="2451" t="s">
        <v>58</v>
      </c>
      <c r="AA205" s="2452" t="s">
        <v>59</v>
      </c>
      <c r="AB205" s="2451" t="s">
        <v>58</v>
      </c>
      <c r="AC205" s="2453" t="s">
        <v>59</v>
      </c>
      <c r="AD205" s="2454" t="s">
        <v>58</v>
      </c>
      <c r="AE205" s="2452" t="s">
        <v>59</v>
      </c>
      <c r="AF205" s="2454" t="s">
        <v>58</v>
      </c>
      <c r="AG205" s="2452" t="s">
        <v>59</v>
      </c>
      <c r="AH205" s="6011"/>
      <c r="AI205" s="5892" t="s">
        <v>59</v>
      </c>
    </row>
    <row r="206" spans="1:94" ht="15" customHeight="1" x14ac:dyDescent="0.3">
      <c r="A206" s="6025" t="s">
        <v>390</v>
      </c>
      <c r="B206" s="2455" t="s">
        <v>318</v>
      </c>
      <c r="C206" s="2455">
        <f>SUM(D206+E206)</f>
        <v>0</v>
      </c>
      <c r="D206" s="2456">
        <f>SUM(F206+H206+J206+L206+N206+P206+R206+T206+V206+X206+Z206+AB206)</f>
        <v>0</v>
      </c>
      <c r="E206" s="2457">
        <f>SUM(G206+I206+K206+M206+O206+Q206+S206+U206+W206+Y206+AA206+AC206)</f>
        <v>0</v>
      </c>
      <c r="F206" s="2458"/>
      <c r="G206" s="2459"/>
      <c r="H206" s="2458"/>
      <c r="I206" s="2459"/>
      <c r="J206" s="2458"/>
      <c r="K206" s="2459"/>
      <c r="L206" s="2458"/>
      <c r="M206" s="2459"/>
      <c r="N206" s="2458"/>
      <c r="O206" s="2459"/>
      <c r="P206" s="2458"/>
      <c r="Q206" s="2460"/>
      <c r="R206" s="2458"/>
      <c r="S206" s="2460"/>
      <c r="T206" s="2458"/>
      <c r="U206" s="2459"/>
      <c r="V206" s="2458"/>
      <c r="W206" s="2459"/>
      <c r="X206" s="2458"/>
      <c r="Y206" s="2460"/>
      <c r="Z206" s="2458"/>
      <c r="AA206" s="2460"/>
      <c r="AB206" s="2458"/>
      <c r="AC206" s="2461"/>
      <c r="AD206" s="2459"/>
      <c r="AE206" s="2460"/>
      <c r="AF206" s="2459"/>
      <c r="AG206" s="2460"/>
      <c r="AH206" s="2458"/>
      <c r="AI206" s="2460"/>
      <c r="AJ206" s="1898" t="str">
        <f>$CA206&amp;CB206&amp;CC206&amp;CD206&amp;CE206&amp;CF206</f>
        <v/>
      </c>
      <c r="CA206" s="2229" t="str">
        <f>IF(AND($D206&lt;&gt;0,AD206=""),"* No olvide ingresar la variable "&amp;AD$203&amp;""&amp;"  Hombres (Digite CERO si no tiene).  ",IF(AD206&gt;$D206,"* La variable Niños, Niñas, Adolescentes y Jóvenes SENAME Hombres no puede superar el Total Hombres. ",""))</f>
        <v/>
      </c>
      <c r="CB206" s="2229" t="str">
        <f>IF(AND($E206&lt;&gt;0,AE206=""),"* No olvide ingresar la variable Niños, Niñas, Adolescentes y Jóvenes SENAME  Mujeres (Digite CERO si no tiene).  ",IF(AE206&gt;$E206,"* La variable Niños, Niñas, Adolescentes y Jóvenes SENAME Mujeres no puede superar el Total Mujeres ",""))</f>
        <v/>
      </c>
      <c r="CC206" s="2229" t="str">
        <f>IF(AND($D206&lt;&gt;0,AF206=""),"* No olvide ingresar la variable "&amp;AF$203&amp;""&amp;" Hombres (Digite CERO si no tiene).  ",IF(AF206&gt;$D206,"* La variable Niños, Niñas, Adolescentes y Jóvenes Mejor Niñez Hombres no puede superar el Total Hombres. ",""))</f>
        <v/>
      </c>
      <c r="CD206" s="2229" t="str">
        <f>IF(AND($E206&lt;&gt;0,AG206=""),"* No olvide ingresar la variable Niños, Niñas, Adolescentes y Jóvenes Mejor niñez Mujeres (Digite CERO si no tiene).  ",IF(AG206&gt;$E206,"* La variable de Niños, Niñas, Adolescentes y Jóvenes Mejor Niñez Mujeres no puede superar el Total Mujeres. ",""))</f>
        <v/>
      </c>
      <c r="CE206" s="2229" t="str">
        <f>IF(AND($C206&lt;&gt;0,AH206=""),"* No olvide ingresar la variable "&amp;AH$203&amp;""&amp;" (Digite CERO si no tiene).  ",IF(AH206&gt;$C206,"* La variable Pueblos Originarios no puede superar el Total Ambos Sexos. ",""))</f>
        <v/>
      </c>
      <c r="CF206" s="2229" t="str">
        <f>IF(AND($C206&lt;&gt;0,AI206=""),"* No olvide ingresar la variable "&amp;AI$203&amp;""&amp;" (Digite CERO si no tiene).  ",IF(AI206&gt;$C206,"* La variable Migrantes no puede superar el Total Ambos Sexos. ",""))</f>
        <v/>
      </c>
      <c r="CK206" s="55">
        <f>IF(AND($D206&lt;&gt;0,AD206=""),1,IF(AD206&gt;$D206,1,0))</f>
        <v>0</v>
      </c>
      <c r="CL206" s="55">
        <f>IF(AND($E206&lt;&gt;0,AE206=""),1,IF(AE206&gt;$E206,1,0))</f>
        <v>0</v>
      </c>
      <c r="CM206" s="55">
        <f>IF(AND($D206&lt;&gt;0,AF206=""),1,IF(AF206&gt;$D206,1,0))</f>
        <v>0</v>
      </c>
      <c r="CN206" s="55">
        <f>IF(AND($E206&lt;&gt;0,AG206=""),1,IF(AG206&gt;$E206,1,0))</f>
        <v>0</v>
      </c>
      <c r="CO206" s="55">
        <f>IF(AND($C206&lt;&gt;0,AH206=""),1,IF(AH206&gt;$C206,1,0))</f>
        <v>0</v>
      </c>
      <c r="CP206" s="55">
        <f>IF(AND($C206&lt;&gt;0,AI206=""),1,IF(AI206&gt;$C206,1,0))</f>
        <v>0</v>
      </c>
    </row>
    <row r="207" spans="1:94" ht="15" customHeight="1" x14ac:dyDescent="0.3">
      <c r="A207" s="6026"/>
      <c r="B207" s="2462" t="s">
        <v>391</v>
      </c>
      <c r="C207" s="2463">
        <f>SUM(D207+E207)</f>
        <v>0</v>
      </c>
      <c r="D207" s="2464">
        <f>SUM(F207+H207+J207+L207+N207+P207+R207+T207+V207+X207+Z207+AB207)</f>
        <v>0</v>
      </c>
      <c r="E207" s="2465">
        <f>SUM(G207+I207+K207+M207+O207+Q207+S207+U207+W207+Y207+AA207+AC207)</f>
        <v>0</v>
      </c>
      <c r="F207" s="2466"/>
      <c r="G207" s="2467"/>
      <c r="H207" s="2466"/>
      <c r="I207" s="2467"/>
      <c r="J207" s="2466"/>
      <c r="K207" s="2467"/>
      <c r="L207" s="2466"/>
      <c r="M207" s="2467"/>
      <c r="N207" s="2466"/>
      <c r="O207" s="2467"/>
      <c r="P207" s="2466"/>
      <c r="Q207" s="2468"/>
      <c r="R207" s="2466"/>
      <c r="S207" s="2468"/>
      <c r="T207" s="2466"/>
      <c r="U207" s="2467"/>
      <c r="V207" s="2466"/>
      <c r="W207" s="2467"/>
      <c r="X207" s="2466"/>
      <c r="Y207" s="2468"/>
      <c r="Z207" s="2466"/>
      <c r="AA207" s="2468"/>
      <c r="AB207" s="2466"/>
      <c r="AC207" s="2469"/>
      <c r="AD207" s="2470"/>
      <c r="AE207" s="2468"/>
      <c r="AF207" s="2470"/>
      <c r="AG207" s="2468"/>
      <c r="AH207" s="2466"/>
      <c r="AI207" s="2468"/>
      <c r="AJ207" s="1898" t="str">
        <f>$CA207&amp;CB207&amp;CC207&amp;CE207&amp;CF207&amp;CD207</f>
        <v/>
      </c>
      <c r="CA207" s="2229" t="str">
        <f>IF(AND($D207&lt;&gt;0,AD207=""),"* No olvide ingresar la variable "&amp;AD$203&amp;""&amp;" Hombres (Digite CERO si no tiene).  ",IF(AD207&gt;$D207,"* La variable Niños, Niñas, Adolescentes y Jóvenes SENAME Hombres no puede superar el Total Hombres. ",""))</f>
        <v/>
      </c>
      <c r="CB207" s="2229" t="str">
        <f>IF(AND($E207&lt;&gt;0,AE207=""),"* No olvide ingresar la variable Niños, Niñas, Adolescentes y Jóvenes SENAME  Mujeres (Digite CERO si no tiene).  ",IF(AE207&gt;$E207,"* La variable Niños, Niñas, Adolescentes y Jóvenes SENAME Mujeres no puede superar el Total Mujeres ",""))</f>
        <v/>
      </c>
      <c r="CC207" s="2229" t="str">
        <f>IF(AND($D207&lt;&gt;0,AF207=""),"* No olvide ingresar la variable "&amp;AF$203&amp;""&amp;" Hombres (Digite CERO si no tiene).  ",IF(AF207&gt;$D207,"* La variable Niños, Niñas, Adolescentes y Jóvenes Mejor Niñez Hombres no puede superar el Total Hombres. ",""))</f>
        <v/>
      </c>
      <c r="CD207" s="2229" t="str">
        <f>IF(AND($E207&lt;&gt;0,AG207=""),"* No olvide ingresar la variable Niños, Niñas, Adolescentes y Jóvenes Mejor niñez Mujeres (Digite CERO si no tiene).  ",IF(AG207&gt;$E207,"* La variable de Niños, Niñas, Adolescentes y Jóvenes Mejor Niñez Mujeres no puede superar el Total Mujeres. ",""))</f>
        <v/>
      </c>
      <c r="CE207" s="2229" t="str">
        <f>IF(AND($C207&lt;&gt;0,AH207=""),"* No olvide ingresar la variable "&amp;AH$203&amp;""&amp;" (Digite CERO si no tiene).  ",IF(AH207&gt;$C207,"* La variable Pueblos Originarios no puede superar el Total Ambos Sexos. ",""))</f>
        <v/>
      </c>
      <c r="CF207" s="2229" t="str">
        <f>IF(AND($C207&lt;&gt;0,AI207=""),"* No olvide ingresar la variable "&amp;AI$203&amp;""&amp;" (Digite CERO si no tiene).  ",IF(AI207&gt;$C207,"* La variable Migrantes no puede superar el Total Ambos Sexos. ",""))</f>
        <v/>
      </c>
      <c r="CK207" s="55">
        <f>IF(AND($D207&lt;&gt;0,AD207=""),1,IF(AD207&gt;$D207,1,0))</f>
        <v>0</v>
      </c>
      <c r="CL207" s="55">
        <f>IF(AND($E207&lt;&gt;0,AE207=""),1,IF(AE207&gt;$E207,1,0))</f>
        <v>0</v>
      </c>
      <c r="CM207" s="55">
        <f>IF(AND($D207&lt;&gt;0,AF207=""),1,IF(AF207&gt;$D207,1,0))</f>
        <v>0</v>
      </c>
      <c r="CN207" s="55">
        <f>IF(AND($E207&lt;&gt;0,AG207=""),1,IF(AG207&gt;$E207,1,0))</f>
        <v>0</v>
      </c>
      <c r="CO207" s="55">
        <f>IF(AND($C207&lt;&gt;0,AH207=""),1,IF(AH207&gt;$C207,1,0))</f>
        <v>0</v>
      </c>
      <c r="CP207" s="55">
        <f>IF(AND($C207&lt;&gt;0,AI207=""),1,IF(AI207&gt;$C207,1,0))</f>
        <v>0</v>
      </c>
    </row>
    <row r="208" spans="1:94" ht="15" customHeight="1" x14ac:dyDescent="0.3">
      <c r="A208" s="6027" t="s">
        <v>77</v>
      </c>
      <c r="B208" s="6028"/>
      <c r="C208" s="2471">
        <f>SUM(D208+E208)</f>
        <v>0</v>
      </c>
      <c r="D208" s="2472">
        <f t="shared" ref="D208:AI208" si="68">SUM(D206+D207)</f>
        <v>0</v>
      </c>
      <c r="E208" s="2473">
        <f t="shared" si="68"/>
        <v>0</v>
      </c>
      <c r="F208" s="2474">
        <f t="shared" si="68"/>
        <v>0</v>
      </c>
      <c r="G208" s="2475">
        <f t="shared" si="68"/>
        <v>0</v>
      </c>
      <c r="H208" s="2474">
        <f t="shared" si="68"/>
        <v>0</v>
      </c>
      <c r="I208" s="2475">
        <f t="shared" si="68"/>
        <v>0</v>
      </c>
      <c r="J208" s="2474">
        <f t="shared" si="68"/>
        <v>0</v>
      </c>
      <c r="K208" s="2475">
        <f t="shared" si="68"/>
        <v>0</v>
      </c>
      <c r="L208" s="2474">
        <f t="shared" si="68"/>
        <v>0</v>
      </c>
      <c r="M208" s="2475">
        <f t="shared" si="68"/>
        <v>0</v>
      </c>
      <c r="N208" s="2474">
        <f t="shared" si="68"/>
        <v>0</v>
      </c>
      <c r="O208" s="2475">
        <f t="shared" si="68"/>
        <v>0</v>
      </c>
      <c r="P208" s="2474">
        <f t="shared" si="68"/>
        <v>0</v>
      </c>
      <c r="Q208" s="2475">
        <f t="shared" si="68"/>
        <v>0</v>
      </c>
      <c r="R208" s="2474">
        <f t="shared" si="68"/>
        <v>0</v>
      </c>
      <c r="S208" s="2475">
        <f t="shared" si="68"/>
        <v>0</v>
      </c>
      <c r="T208" s="2474">
        <f t="shared" si="68"/>
        <v>0</v>
      </c>
      <c r="U208" s="2475">
        <f t="shared" si="68"/>
        <v>0</v>
      </c>
      <c r="V208" s="2474">
        <f t="shared" si="68"/>
        <v>0</v>
      </c>
      <c r="W208" s="2475">
        <f t="shared" si="68"/>
        <v>0</v>
      </c>
      <c r="X208" s="2474">
        <f t="shared" si="68"/>
        <v>0</v>
      </c>
      <c r="Y208" s="2475">
        <f t="shared" si="68"/>
        <v>0</v>
      </c>
      <c r="Z208" s="2474">
        <f t="shared" si="68"/>
        <v>0</v>
      </c>
      <c r="AA208" s="2475">
        <f t="shared" si="68"/>
        <v>0</v>
      </c>
      <c r="AB208" s="2474">
        <f t="shared" si="68"/>
        <v>0</v>
      </c>
      <c r="AC208" s="2476">
        <f t="shared" si="68"/>
        <v>0</v>
      </c>
      <c r="AD208" s="2472">
        <f t="shared" si="68"/>
        <v>0</v>
      </c>
      <c r="AE208" s="2475">
        <f t="shared" si="68"/>
        <v>0</v>
      </c>
      <c r="AF208" s="2472">
        <f t="shared" si="68"/>
        <v>0</v>
      </c>
      <c r="AG208" s="2475">
        <f t="shared" si="68"/>
        <v>0</v>
      </c>
      <c r="AH208" s="2474">
        <f t="shared" si="68"/>
        <v>0</v>
      </c>
      <c r="AI208" s="2473">
        <f t="shared" si="68"/>
        <v>0</v>
      </c>
    </row>
    <row r="209" spans="1:90" ht="18" customHeight="1" x14ac:dyDescent="0.3">
      <c r="A209" s="3" t="s">
        <v>392</v>
      </c>
      <c r="B209" s="91"/>
      <c r="C209" s="91"/>
      <c r="D209" s="91"/>
      <c r="E209" s="91"/>
      <c r="F209" s="91"/>
      <c r="G209" s="2184"/>
      <c r="H209" s="2184"/>
      <c r="I209" s="2418"/>
      <c r="J209" s="2418"/>
      <c r="K209" s="2418"/>
      <c r="L209" s="2418"/>
      <c r="M209" s="2418"/>
      <c r="N209" s="2418"/>
      <c r="O209" s="2418"/>
      <c r="P209" s="2418"/>
      <c r="Q209" s="2418"/>
      <c r="R209" s="2184"/>
      <c r="S209" s="2184"/>
      <c r="T209" s="2184"/>
      <c r="U209" s="2184"/>
      <c r="V209" s="2184"/>
      <c r="W209" s="2184"/>
    </row>
    <row r="210" spans="1:90" ht="15" customHeight="1" x14ac:dyDescent="0.3">
      <c r="A210" s="5986" t="s">
        <v>393</v>
      </c>
      <c r="B210" s="5987"/>
      <c r="C210" s="6017" t="s">
        <v>77</v>
      </c>
      <c r="D210" s="6017"/>
      <c r="E210" s="6018"/>
      <c r="F210" s="5914" t="s">
        <v>101</v>
      </c>
      <c r="G210" s="5915"/>
      <c r="H210" s="5915"/>
      <c r="I210" s="5915"/>
      <c r="J210" s="5915"/>
      <c r="K210" s="5915"/>
      <c r="L210" s="5915"/>
      <c r="M210" s="5915"/>
      <c r="N210" s="5915"/>
      <c r="O210" s="5915"/>
      <c r="P210" s="5914" t="s">
        <v>394</v>
      </c>
      <c r="Q210" s="5915"/>
      <c r="R210" s="5916"/>
      <c r="S210" s="5917" t="s">
        <v>36</v>
      </c>
      <c r="T210" s="5920" t="s">
        <v>37</v>
      </c>
      <c r="U210" s="5889" t="s">
        <v>395</v>
      </c>
      <c r="V210" s="5889"/>
      <c r="W210" s="5889"/>
      <c r="X210" s="5889"/>
      <c r="Y210" s="5889"/>
      <c r="Z210" s="5890"/>
      <c r="AA210" s="5893" t="s">
        <v>396</v>
      </c>
      <c r="AB210" s="5889"/>
      <c r="AC210" s="5889"/>
      <c r="AD210" s="5889"/>
      <c r="AE210" s="5889"/>
      <c r="AF210" s="5890"/>
    </row>
    <row r="211" spans="1:90" ht="15" customHeight="1" x14ac:dyDescent="0.3">
      <c r="A211" s="5988"/>
      <c r="B211" s="5989"/>
      <c r="C211" s="6020"/>
      <c r="D211" s="6020"/>
      <c r="E211" s="6021"/>
      <c r="F211" s="5883" t="s">
        <v>397</v>
      </c>
      <c r="G211" s="5883"/>
      <c r="H211" s="5883" t="s">
        <v>223</v>
      </c>
      <c r="I211" s="5883"/>
      <c r="J211" s="5883" t="s">
        <v>324</v>
      </c>
      <c r="K211" s="5883"/>
      <c r="L211" s="5883" t="s">
        <v>398</v>
      </c>
      <c r="M211" s="5883"/>
      <c r="N211" s="5883" t="s">
        <v>399</v>
      </c>
      <c r="O211" s="5887"/>
      <c r="P211" s="5927" t="s">
        <v>400</v>
      </c>
      <c r="Q211" s="5923" t="s">
        <v>401</v>
      </c>
      <c r="R211" s="5925" t="s">
        <v>402</v>
      </c>
      <c r="S211" s="5918"/>
      <c r="T211" s="5921"/>
      <c r="U211" s="5891"/>
      <c r="V211" s="5891"/>
      <c r="W211" s="5891"/>
      <c r="X211" s="5891"/>
      <c r="Y211" s="5891"/>
      <c r="Z211" s="5892"/>
      <c r="AA211" s="5894"/>
      <c r="AB211" s="5891"/>
      <c r="AC211" s="5891"/>
      <c r="AD211" s="5891"/>
      <c r="AE211" s="5891"/>
      <c r="AF211" s="5892"/>
    </row>
    <row r="212" spans="1:90" ht="18.75" customHeight="1" x14ac:dyDescent="0.3">
      <c r="A212" s="5990"/>
      <c r="B212" s="5991"/>
      <c r="C212" s="2449" t="s">
        <v>389</v>
      </c>
      <c r="D212" s="2454" t="s">
        <v>58</v>
      </c>
      <c r="E212" s="2448" t="s">
        <v>59</v>
      </c>
      <c r="F212" s="2451" t="s">
        <v>58</v>
      </c>
      <c r="G212" s="2452" t="s">
        <v>59</v>
      </c>
      <c r="H212" s="2451" t="s">
        <v>58</v>
      </c>
      <c r="I212" s="2452" t="s">
        <v>59</v>
      </c>
      <c r="J212" s="2451" t="s">
        <v>58</v>
      </c>
      <c r="K212" s="2452" t="s">
        <v>59</v>
      </c>
      <c r="L212" s="2451" t="s">
        <v>58</v>
      </c>
      <c r="M212" s="2452" t="s">
        <v>59</v>
      </c>
      <c r="N212" s="2451" t="s">
        <v>58</v>
      </c>
      <c r="O212" s="2477" t="s">
        <v>59</v>
      </c>
      <c r="P212" s="5928"/>
      <c r="Q212" s="5924"/>
      <c r="R212" s="5926"/>
      <c r="S212" s="5919"/>
      <c r="T212" s="5922" t="s">
        <v>59</v>
      </c>
      <c r="U212" s="2478" t="s">
        <v>403</v>
      </c>
      <c r="V212" s="2479" t="s">
        <v>84</v>
      </c>
      <c r="W212" s="2480" t="s">
        <v>404</v>
      </c>
      <c r="X212" s="2480" t="s">
        <v>405</v>
      </c>
      <c r="Y212" s="2480" t="s">
        <v>406</v>
      </c>
      <c r="Z212" s="2481" t="s">
        <v>407</v>
      </c>
      <c r="AA212" s="2482" t="s">
        <v>403</v>
      </c>
      <c r="AB212" s="2479" t="s">
        <v>84</v>
      </c>
      <c r="AC212" s="2480" t="s">
        <v>404</v>
      </c>
      <c r="AD212" s="2480" t="s">
        <v>405</v>
      </c>
      <c r="AE212" s="2480" t="s">
        <v>406</v>
      </c>
      <c r="AF212" s="2483" t="s">
        <v>407</v>
      </c>
    </row>
    <row r="213" spans="1:90" ht="21.75" customHeight="1" x14ac:dyDescent="0.3">
      <c r="A213" s="5929" t="s">
        <v>4334</v>
      </c>
      <c r="B213" s="5930"/>
      <c r="C213" s="2455">
        <f>SUM(D213+E213)</f>
        <v>0</v>
      </c>
      <c r="D213" s="2456">
        <f t="shared" ref="D213:E215" si="69">SUM(F213+H213+J213+L213+N213)</f>
        <v>0</v>
      </c>
      <c r="E213" s="2484">
        <f t="shared" si="69"/>
        <v>0</v>
      </c>
      <c r="F213" s="2458"/>
      <c r="G213" s="2460"/>
      <c r="H213" s="2458"/>
      <c r="I213" s="2460"/>
      <c r="J213" s="2458"/>
      <c r="K213" s="2460"/>
      <c r="L213" s="2458"/>
      <c r="M213" s="2460"/>
      <c r="N213" s="2458"/>
      <c r="O213" s="2485"/>
      <c r="P213" s="2458"/>
      <c r="Q213" s="2486"/>
      <c r="R213" s="2461"/>
      <c r="S213" s="2487"/>
      <c r="T213" s="2461"/>
      <c r="U213" s="2488"/>
      <c r="V213" s="2489"/>
      <c r="W213" s="2489"/>
      <c r="X213" s="2489"/>
      <c r="Y213" s="2489"/>
      <c r="Z213" s="2490"/>
      <c r="AA213" s="2458"/>
      <c r="AB213" s="2486"/>
      <c r="AC213" s="2486"/>
      <c r="AD213" s="2486"/>
      <c r="AE213" s="2486"/>
      <c r="AF213" s="2460"/>
      <c r="AG213" s="24" t="str">
        <f>CA213&amp;CB213</f>
        <v/>
      </c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2228"/>
      <c r="BA213" s="2228"/>
      <c r="BB213" s="2228"/>
      <c r="BC213" s="2228"/>
      <c r="BD213" s="2228"/>
      <c r="BE213" s="2228"/>
      <c r="BF213" s="2228"/>
      <c r="BG213" s="2228"/>
      <c r="BH213" s="2228"/>
      <c r="BI213" s="2228"/>
      <c r="BJ213" s="2228"/>
      <c r="BK213" s="2228"/>
      <c r="BL213" s="2228"/>
      <c r="BM213" s="2228"/>
      <c r="BN213" s="2228"/>
      <c r="BO213" s="2228"/>
      <c r="BP213" s="2228"/>
      <c r="BQ213" s="2228"/>
      <c r="BR213" s="2228"/>
      <c r="BS213" s="2228"/>
      <c r="BT213" s="2228"/>
      <c r="BU213" s="2228"/>
      <c r="BV213" s="2228"/>
      <c r="BW213" s="2228"/>
      <c r="BX213" s="2228"/>
      <c r="BY213" s="2228"/>
      <c r="BZ213" s="2228"/>
      <c r="CA213" s="2229" t="str">
        <f>IF(AND($C213&lt;&gt;0,S213=""),"* No olvide ingresar la variable "&amp;S$210&amp;""&amp;" (Digite CERO si no tiene). ",IF(S213&gt;$C213,"* La variable Pueblos Originarios no puede superar el Total Ambos Sexos. ",""))</f>
        <v/>
      </c>
      <c r="CB213" s="2229" t="str">
        <f>IF(AND($C213&lt;&gt;0,T213=""),"* No olvide ingresar la variable "&amp;T$210&amp;""&amp;" (Digite CERO si no tiene). ",IF(T213&gt;$C213,"* La variable Migrantes no puede superar el Total Ambos Sexos. ",""))</f>
        <v/>
      </c>
      <c r="CD213" s="2228"/>
      <c r="CE213" s="2228"/>
      <c r="CF213" s="99"/>
      <c r="CG213" s="99"/>
      <c r="CH213" s="99"/>
      <c r="CI213" s="99"/>
      <c r="CJ213" s="99"/>
      <c r="CK213" s="55">
        <f>IF(AND($C213&lt;&gt;0,S213=""),1,IF(S213&gt;$C213,1,0))</f>
        <v>0</v>
      </c>
      <c r="CL213" s="55">
        <f>IF(AND($C213&lt;&gt;0,T213=""),1,IF(T213&gt;$C213,1,0))</f>
        <v>0</v>
      </c>
    </row>
    <row r="214" spans="1:90" ht="15" customHeight="1" x14ac:dyDescent="0.3">
      <c r="A214" s="5931" t="s">
        <v>408</v>
      </c>
      <c r="B214" s="5932"/>
      <c r="C214" s="2491">
        <f>SUM(D214+E214)</f>
        <v>0</v>
      </c>
      <c r="D214" s="2492">
        <f t="shared" si="69"/>
        <v>0</v>
      </c>
      <c r="E214" s="2493">
        <f t="shared" si="69"/>
        <v>0</v>
      </c>
      <c r="F214" s="2494"/>
      <c r="G214" s="2495"/>
      <c r="H214" s="2494"/>
      <c r="I214" s="2495"/>
      <c r="J214" s="2494"/>
      <c r="K214" s="2495"/>
      <c r="L214" s="2494"/>
      <c r="M214" s="2495"/>
      <c r="N214" s="2494"/>
      <c r="O214" s="2496"/>
      <c r="P214" s="2494"/>
      <c r="Q214" s="2497"/>
      <c r="R214" s="2498"/>
      <c r="S214" s="2499"/>
      <c r="T214" s="2500"/>
      <c r="U214" s="2499"/>
      <c r="V214" s="2497"/>
      <c r="W214" s="2497"/>
      <c r="X214" s="2497"/>
      <c r="Y214" s="2497"/>
      <c r="Z214" s="2501"/>
      <c r="AA214" s="2494"/>
      <c r="AB214" s="2497"/>
      <c r="AC214" s="2497"/>
      <c r="AD214" s="2497"/>
      <c r="AE214" s="2497"/>
      <c r="AF214" s="2495"/>
      <c r="AG214" s="24" t="str">
        <f t="shared" ref="AG214:AG215" si="70">CA214&amp;CB214</f>
        <v/>
      </c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2228"/>
      <c r="BA214" s="2228"/>
      <c r="BB214" s="2228"/>
      <c r="BC214" s="2228"/>
      <c r="BD214" s="2228"/>
      <c r="BE214" s="2228"/>
      <c r="BF214" s="2228"/>
      <c r="BG214" s="2228"/>
      <c r="BH214" s="2228"/>
      <c r="BI214" s="2228"/>
      <c r="BJ214" s="2228"/>
      <c r="BK214" s="2228"/>
      <c r="BL214" s="2228"/>
      <c r="BM214" s="2228"/>
      <c r="BN214" s="2228"/>
      <c r="BO214" s="2228"/>
      <c r="BP214" s="2228"/>
      <c r="BQ214" s="2228"/>
      <c r="BR214" s="2228"/>
      <c r="BS214" s="2228"/>
      <c r="BT214" s="2228"/>
      <c r="BU214" s="2228"/>
      <c r="BV214" s="2228"/>
      <c r="BW214" s="2228"/>
      <c r="BX214" s="2228"/>
      <c r="BY214" s="2228"/>
      <c r="BZ214" s="2228"/>
      <c r="CA214" s="2229" t="str">
        <f t="shared" ref="CA214:CA215" si="71">IF(AND($C214&lt;&gt;0,S214=""),"* No olvide ingresar la variable "&amp;S$210&amp;""&amp;" (Digite CERO si no tiene). ",IF(S214&gt;$C214,"* La variable Pueblos Originarios no puede superar el Total Ambos Sexos. ",""))</f>
        <v/>
      </c>
      <c r="CB214" s="2229" t="str">
        <f t="shared" ref="CB214:CB215" si="72">IF(AND($C214&lt;&gt;0,T214=""),"* No olvide ingresar la variable "&amp;T$210&amp;""&amp;" (Digite CERO si no tiene). ",IF(T214&gt;$C214,"* La variable Migrantes no puede superar el Total Ambos Sexos. ",""))</f>
        <v/>
      </c>
      <c r="CD214" s="2228"/>
      <c r="CE214" s="2228"/>
      <c r="CF214" s="99"/>
      <c r="CG214" s="99"/>
      <c r="CH214" s="99"/>
      <c r="CI214" s="99"/>
      <c r="CJ214" s="99"/>
      <c r="CK214" s="55">
        <f t="shared" ref="CK214:CL215" si="73">IF(AND($C214&lt;&gt;0,S214=""),1,IF(S214&gt;$C214,1,0))</f>
        <v>0</v>
      </c>
      <c r="CL214" s="55">
        <f t="shared" si="73"/>
        <v>0</v>
      </c>
    </row>
    <row r="215" spans="1:90" ht="15" customHeight="1" x14ac:dyDescent="0.3">
      <c r="A215" s="5933" t="s">
        <v>409</v>
      </c>
      <c r="B215" s="5934"/>
      <c r="C215" s="2462">
        <f>SUM(D215+E215)</f>
        <v>0</v>
      </c>
      <c r="D215" s="2502">
        <f t="shared" si="69"/>
        <v>0</v>
      </c>
      <c r="E215" s="2503">
        <f t="shared" si="69"/>
        <v>0</v>
      </c>
      <c r="F215" s="2466"/>
      <c r="G215" s="2468"/>
      <c r="H215" s="2466"/>
      <c r="I215" s="2468"/>
      <c r="J215" s="2466"/>
      <c r="K215" s="2468"/>
      <c r="L215" s="2466"/>
      <c r="M215" s="2468"/>
      <c r="N215" s="2466"/>
      <c r="O215" s="2504"/>
      <c r="P215" s="2466"/>
      <c r="Q215" s="2505"/>
      <c r="R215" s="2469"/>
      <c r="S215" s="2506"/>
      <c r="T215" s="2469"/>
      <c r="U215" s="2506"/>
      <c r="V215" s="2505"/>
      <c r="W215" s="2505"/>
      <c r="X215" s="2505"/>
      <c r="Y215" s="2505"/>
      <c r="Z215" s="2507"/>
      <c r="AA215" s="2466"/>
      <c r="AB215" s="2505"/>
      <c r="AC215" s="2505"/>
      <c r="AD215" s="2505"/>
      <c r="AE215" s="2505"/>
      <c r="AF215" s="2468"/>
      <c r="AG215" s="24" t="str">
        <f t="shared" si="70"/>
        <v/>
      </c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2228"/>
      <c r="BA215" s="2228"/>
      <c r="BB215" s="2228"/>
      <c r="BC215" s="2228"/>
      <c r="BD215" s="2228"/>
      <c r="BE215" s="2228"/>
      <c r="BF215" s="2228"/>
      <c r="BG215" s="2228"/>
      <c r="BH215" s="2228"/>
      <c r="BI215" s="2228"/>
      <c r="BJ215" s="2228"/>
      <c r="BK215" s="2228"/>
      <c r="BL215" s="2228"/>
      <c r="BM215" s="2228"/>
      <c r="BN215" s="2228"/>
      <c r="BO215" s="2228"/>
      <c r="BP215" s="2228"/>
      <c r="BQ215" s="2228"/>
      <c r="BR215" s="2228"/>
      <c r="BS215" s="2228"/>
      <c r="BT215" s="2228"/>
      <c r="BU215" s="2228"/>
      <c r="BV215" s="2228"/>
      <c r="BW215" s="2228"/>
      <c r="BX215" s="2228"/>
      <c r="BY215" s="2228"/>
      <c r="BZ215" s="2228"/>
      <c r="CA215" s="2229" t="str">
        <f t="shared" si="71"/>
        <v/>
      </c>
      <c r="CB215" s="2229" t="str">
        <f t="shared" si="72"/>
        <v/>
      </c>
      <c r="CD215" s="2228"/>
      <c r="CE215" s="2228"/>
      <c r="CF215" s="99"/>
      <c r="CG215" s="99"/>
      <c r="CH215" s="99"/>
      <c r="CI215" s="99"/>
      <c r="CJ215" s="99"/>
      <c r="CK215" s="55">
        <f t="shared" si="73"/>
        <v>0</v>
      </c>
      <c r="CL215" s="55">
        <f>IF(AND($C215&lt;&gt;0,T215=""),1,IF(T215&gt;$C215,1,0))</f>
        <v>0</v>
      </c>
    </row>
    <row r="216" spans="1:90" ht="18" customHeight="1" x14ac:dyDescent="0.3">
      <c r="A216" s="2508" t="s">
        <v>410</v>
      </c>
      <c r="B216" s="2508"/>
      <c r="C216" s="2508"/>
      <c r="D216" s="2509"/>
      <c r="E216" s="2509"/>
      <c r="F216" s="2509"/>
      <c r="G216" s="2509"/>
      <c r="H216" s="25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90" ht="30" customHeight="1" x14ac:dyDescent="0.3">
      <c r="A217" s="5895" t="s">
        <v>411</v>
      </c>
      <c r="B217" s="5896"/>
      <c r="C217" s="5896"/>
      <c r="D217" s="5897"/>
      <c r="E217" s="5895" t="s">
        <v>58</v>
      </c>
      <c r="F217" s="5935" t="s">
        <v>59</v>
      </c>
      <c r="G217" s="5901" t="s">
        <v>412</v>
      </c>
      <c r="H217" s="5902"/>
      <c r="I217" s="5903" t="s">
        <v>36</v>
      </c>
      <c r="J217" s="5897" t="s">
        <v>37</v>
      </c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90" ht="29.25" customHeight="1" x14ac:dyDescent="0.3">
      <c r="A218" s="5898"/>
      <c r="B218" s="5899"/>
      <c r="C218" s="5899"/>
      <c r="D218" s="5900"/>
      <c r="E218" s="5898"/>
      <c r="F218" s="5936"/>
      <c r="G218" s="2512" t="s">
        <v>413</v>
      </c>
      <c r="H218" s="2511" t="s">
        <v>414</v>
      </c>
      <c r="I218" s="5904"/>
      <c r="J218" s="5900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90" ht="15" customHeight="1" x14ac:dyDescent="0.3">
      <c r="A219" s="5905" t="s">
        <v>415</v>
      </c>
      <c r="B219" s="5906"/>
      <c r="C219" s="5906"/>
      <c r="D219" s="5907"/>
      <c r="E219" s="2513"/>
      <c r="F219" s="2514"/>
      <c r="G219" s="2423"/>
      <c r="H219" s="2515"/>
      <c r="I219" s="2516"/>
      <c r="J219" s="2514"/>
      <c r="K219" s="1898" t="str">
        <f>$CA219&amp;CB219</f>
        <v/>
      </c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CA219" s="2229" t="str">
        <f>IF(AND($E219+F219&lt;&gt;0,I219=""),"* No olvide ingresar la variable "&amp;I$217&amp;""&amp;" (Digite CERO si no tiene). ",IF(I219&gt;$E219+$F219,"* La variable Pueblos Originarios la suma de Hombres + Mujeres.",""))</f>
        <v/>
      </c>
      <c r="CB219" s="2229" t="str">
        <f>IF(AND($E219+F219&lt;&gt;0,J219=""),"* No olvide ingresar la variable "&amp;J$217&amp;""&amp;" (Digite CERO si no tiene). ",IF(J219&gt;$E219+$F219,"* La variable Migrantes no puede superar la suma de Hombres + Mujeres. ",""))</f>
        <v/>
      </c>
      <c r="CD219" s="2228"/>
      <c r="CE219" s="2228"/>
      <c r="CF219" s="99"/>
      <c r="CG219" s="99"/>
      <c r="CH219" s="99"/>
      <c r="CI219" s="99"/>
      <c r="CJ219" s="99"/>
      <c r="CK219" s="55">
        <f>IF(AND($E219+$F219&lt;&gt;0,I219=""),1,IF(I219&gt;$E219+$F219,1,0))</f>
        <v>0</v>
      </c>
      <c r="CL219" s="55">
        <f>IF(AND($E219+$F219&lt;&gt;0,J219=""),1,IF(J219&gt;$E219+$F219,1,0))</f>
        <v>0</v>
      </c>
    </row>
    <row r="220" spans="1:90" ht="15" customHeight="1" x14ac:dyDescent="0.3">
      <c r="A220" s="5908" t="s">
        <v>416</v>
      </c>
      <c r="B220" s="5909"/>
      <c r="C220" s="5909"/>
      <c r="D220" s="5910"/>
      <c r="E220" s="2095"/>
      <c r="F220" s="2517"/>
      <c r="G220" s="2095"/>
      <c r="H220" s="2397"/>
      <c r="I220" s="2518"/>
      <c r="J220" s="2519"/>
      <c r="K220" s="1898" t="str">
        <f t="shared" ref="K220:K226" si="74">$CA220&amp;CB220</f>
        <v/>
      </c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2228"/>
      <c r="AM220" s="2228"/>
      <c r="AN220" s="2228"/>
      <c r="AO220" s="2228"/>
      <c r="AP220" s="2228"/>
      <c r="AQ220" s="2228"/>
      <c r="AR220" s="2228"/>
      <c r="AS220" s="2228"/>
      <c r="AT220" s="2228"/>
      <c r="AU220" s="2228"/>
      <c r="AV220" s="2228"/>
      <c r="AW220" s="2228"/>
      <c r="AX220" s="2228"/>
      <c r="AY220" s="2228"/>
      <c r="AZ220" s="2228"/>
      <c r="BA220" s="2228"/>
      <c r="BB220" s="2228"/>
      <c r="BC220" s="2228"/>
      <c r="BD220" s="2228"/>
      <c r="BE220" s="2228"/>
      <c r="BF220" s="2228"/>
      <c r="BG220" s="2228"/>
      <c r="BH220" s="2228"/>
      <c r="BI220" s="2228"/>
      <c r="BJ220" s="2228"/>
      <c r="BK220" s="2228"/>
      <c r="BL220" s="2228"/>
      <c r="BM220" s="2228"/>
      <c r="BN220" s="2228"/>
      <c r="BO220" s="2228"/>
      <c r="BP220" s="2228"/>
      <c r="BQ220" s="2228"/>
      <c r="BR220" s="2228"/>
      <c r="BS220" s="2228"/>
      <c r="BT220" s="2228"/>
      <c r="BU220" s="2228"/>
      <c r="BV220" s="2228"/>
      <c r="BW220" s="2228"/>
      <c r="BX220" s="2228"/>
      <c r="BY220" s="2228"/>
      <c r="BZ220" s="2228"/>
      <c r="CA220" s="2229" t="str">
        <f>IF(AND($E220+F220&lt;&gt;0,I220=""),"* No olvide ingresar la variable "&amp;I$217&amp;""&amp;" (Digite CERO si no tiene). ",IF(I220&gt;$E220+$F220,"* La variable Pueblos Originarios la suma de Hombres + Mujeres.",""))</f>
        <v/>
      </c>
      <c r="CB220" s="2229" t="str">
        <f>IF(AND($E220+F220&lt;&gt;0,J220=""),"* No olvide ingresar la variable "&amp;J$217&amp;""&amp;" (Digite CERO si no tiene). ",IF(J220&gt;$E220+$F220,"* La variable Migrantes no puede superar la suma de Hombres + Mujeres. ",""))</f>
        <v/>
      </c>
      <c r="CD220" s="2228"/>
      <c r="CE220" s="2228"/>
      <c r="CF220" s="99"/>
      <c r="CG220" s="99"/>
      <c r="CH220" s="99"/>
      <c r="CI220" s="99"/>
      <c r="CJ220" s="99"/>
      <c r="CK220" s="55">
        <f>IF(AND($E220+$F220&lt;&gt;0,I220=""),1,IF(I220&gt;$E220+$F220,1,0))</f>
        <v>0</v>
      </c>
      <c r="CL220" s="55">
        <f>IF(AND($E220+$F220&lt;&gt;0,J220=""),1,IF(J220&gt;$E220+$F220,1,0))</f>
        <v>0</v>
      </c>
    </row>
    <row r="221" spans="1:90" ht="23.25" customHeight="1" x14ac:dyDescent="0.3">
      <c r="A221" s="5911" t="s">
        <v>417</v>
      </c>
      <c r="B221" s="5912"/>
      <c r="C221" s="5912"/>
      <c r="D221" s="5913"/>
      <c r="E221" s="2427"/>
      <c r="F221" s="2520"/>
      <c r="G221" s="2521"/>
      <c r="H221" s="2415"/>
      <c r="I221" s="2522"/>
      <c r="J221" s="2523"/>
      <c r="K221" s="1898" t="str">
        <f t="shared" si="74"/>
        <v/>
      </c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2228"/>
      <c r="AM221" s="2228"/>
      <c r="AN221" s="2228"/>
      <c r="AO221" s="2228"/>
      <c r="AP221" s="2228"/>
      <c r="AQ221" s="2228"/>
      <c r="AR221" s="2228"/>
      <c r="AS221" s="2228"/>
      <c r="AT221" s="2228"/>
      <c r="AU221" s="2228"/>
      <c r="AV221" s="2228"/>
      <c r="AW221" s="2228"/>
      <c r="AX221" s="2228"/>
      <c r="AY221" s="2228"/>
      <c r="AZ221" s="2228"/>
      <c r="BA221" s="2228"/>
      <c r="BB221" s="2228"/>
      <c r="BC221" s="2228"/>
      <c r="BD221" s="2228"/>
      <c r="BE221" s="2228"/>
      <c r="BF221" s="2228"/>
      <c r="BG221" s="2228"/>
      <c r="BH221" s="2228"/>
      <c r="BI221" s="2228"/>
      <c r="BJ221" s="2228"/>
      <c r="BK221" s="2228"/>
      <c r="BL221" s="2228"/>
      <c r="BM221" s="2228"/>
      <c r="BN221" s="2228"/>
      <c r="BO221" s="2228"/>
      <c r="BP221" s="2228"/>
      <c r="BQ221" s="2228"/>
      <c r="BR221" s="2228"/>
      <c r="BS221" s="2228"/>
      <c r="BT221" s="2228"/>
      <c r="BU221" s="2228"/>
      <c r="BV221" s="2228"/>
      <c r="BW221" s="2228"/>
      <c r="BX221" s="2228"/>
      <c r="BY221" s="2228"/>
      <c r="BZ221" s="2228"/>
      <c r="CA221" s="2229" t="str">
        <f t="shared" ref="CA221" si="75">IF(AND($E221+F221&lt;&gt;0,I221=""),"* No olvide ingresar la variable "&amp;I$217&amp;""&amp;" (Digite CERO si no tiene). ",IF(I221&gt;$E221+$F221,"* La variable Pueblos Originarios la suma de Hombres + Mujeres.",""))</f>
        <v/>
      </c>
      <c r="CB221" s="2229" t="str">
        <f t="shared" ref="CB221" si="76">IF(AND($E221+F221&lt;&gt;0,J221=""),"* No olvide ingresar la variable "&amp;J$217&amp;""&amp;" (Digite CERO si no tiene). ",IF(J221&gt;$E221+$F221,"* La variable Migrantes no puede superar la suma de Hombres + Mujeres. ",""))</f>
        <v/>
      </c>
      <c r="CD221" s="2228"/>
      <c r="CE221" s="2228"/>
      <c r="CF221" s="99"/>
      <c r="CG221" s="99"/>
      <c r="CH221" s="99"/>
      <c r="CI221" s="99"/>
      <c r="CJ221" s="99"/>
      <c r="CK221" s="55">
        <f t="shared" ref="CK221:CK226" si="77">IF(AND($E221+$F221&lt;&gt;0,I221=""),1,IF(I221&gt;$E221+$F221,1,0))</f>
        <v>0</v>
      </c>
      <c r="CL221" s="55">
        <f t="shared" ref="CL221:CL226" si="78">IF(AND($E221+$F221&lt;&gt;0,J221=""),1,IF(J221&gt;$E221+$F221,1,0))</f>
        <v>0</v>
      </c>
    </row>
    <row r="222" spans="1:90" ht="18.75" customHeight="1" x14ac:dyDescent="0.3">
      <c r="A222" s="5971" t="s">
        <v>77</v>
      </c>
      <c r="B222" s="6002"/>
      <c r="C222" s="6002"/>
      <c r="D222" s="5972"/>
      <c r="E222" s="2525">
        <f>SUM(E219:E221)</f>
        <v>0</v>
      </c>
      <c r="F222" s="2526">
        <f>SUM(F219:F221)</f>
        <v>0</v>
      </c>
      <c r="G222" s="2527">
        <f t="shared" ref="G222:J222" si="79">SUM(G219:G221)</f>
        <v>0</v>
      </c>
      <c r="H222" s="2528">
        <f t="shared" si="79"/>
        <v>0</v>
      </c>
      <c r="I222" s="2529">
        <f t="shared" si="79"/>
        <v>0</v>
      </c>
      <c r="J222" s="2530">
        <f t="shared" si="79"/>
        <v>0</v>
      </c>
      <c r="K222" s="1898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2228"/>
      <c r="AM222" s="2228"/>
      <c r="AN222" s="2228"/>
      <c r="AO222" s="2228"/>
      <c r="AP222" s="2228"/>
      <c r="AQ222" s="2228"/>
      <c r="AR222" s="2228"/>
      <c r="AS222" s="2228"/>
      <c r="AT222" s="2228"/>
      <c r="AU222" s="2228"/>
      <c r="AV222" s="2228"/>
      <c r="AW222" s="2228"/>
      <c r="AX222" s="2228"/>
      <c r="AY222" s="2228"/>
      <c r="AZ222" s="2228"/>
      <c r="BA222" s="2228"/>
      <c r="BB222" s="2228"/>
      <c r="BC222" s="2228"/>
      <c r="BD222" s="2228"/>
      <c r="BE222" s="2228"/>
      <c r="BF222" s="2228"/>
      <c r="BG222" s="2228"/>
      <c r="BH222" s="2228"/>
      <c r="BI222" s="2228"/>
      <c r="BJ222" s="2228"/>
      <c r="BK222" s="2228"/>
      <c r="BL222" s="2228"/>
      <c r="BM222" s="2228"/>
      <c r="BN222" s="2228"/>
      <c r="BO222" s="2228"/>
      <c r="BP222" s="2228"/>
      <c r="BQ222" s="2228"/>
      <c r="BR222" s="2228"/>
      <c r="BS222" s="2228"/>
      <c r="BT222" s="2228"/>
      <c r="BU222" s="2228"/>
      <c r="BV222" s="2228"/>
      <c r="BW222" s="2228"/>
      <c r="BX222" s="2228"/>
      <c r="BY222" s="2228"/>
      <c r="BZ222" s="2228"/>
      <c r="CA222" s="2228"/>
      <c r="CB222" s="2228"/>
      <c r="CD222" s="2228"/>
      <c r="CE222" s="2228"/>
      <c r="CF222" s="99"/>
      <c r="CG222" s="99"/>
      <c r="CH222" s="99"/>
      <c r="CI222" s="99"/>
      <c r="CJ222" s="99"/>
    </row>
    <row r="223" spans="1:90" ht="15" customHeight="1" x14ac:dyDescent="0.3">
      <c r="A223" s="6001" t="s">
        <v>418</v>
      </c>
      <c r="B223" s="5905" t="s">
        <v>419</v>
      </c>
      <c r="C223" s="5906"/>
      <c r="D223" s="5907"/>
      <c r="E223" s="2531"/>
      <c r="F223" s="2532"/>
      <c r="G223" s="2340"/>
      <c r="H223" s="2533"/>
      <c r="I223" s="2534"/>
      <c r="J223" s="2532"/>
      <c r="K223" s="1898" t="str">
        <f>$CA223&amp;CB223</f>
        <v/>
      </c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2228"/>
      <c r="AM223" s="2228"/>
      <c r="AN223" s="2228"/>
      <c r="AO223" s="2228"/>
      <c r="AP223" s="2228"/>
      <c r="AQ223" s="2228"/>
      <c r="AR223" s="2228"/>
      <c r="AS223" s="2228"/>
      <c r="AT223" s="2228"/>
      <c r="AU223" s="2228"/>
      <c r="AV223" s="2228"/>
      <c r="AW223" s="2228"/>
      <c r="AX223" s="2228"/>
      <c r="AY223" s="2228"/>
      <c r="AZ223" s="2228"/>
      <c r="BA223" s="2228"/>
      <c r="BB223" s="2228"/>
      <c r="BC223" s="2228"/>
      <c r="BD223" s="2228"/>
      <c r="BE223" s="2228"/>
      <c r="BF223" s="2228"/>
      <c r="BG223" s="2228"/>
      <c r="BH223" s="2228"/>
      <c r="BI223" s="2228"/>
      <c r="BJ223" s="2228"/>
      <c r="BK223" s="2228"/>
      <c r="BL223" s="2228"/>
      <c r="BM223" s="2228"/>
      <c r="BN223" s="2228"/>
      <c r="BO223" s="2228"/>
      <c r="BP223" s="2228"/>
      <c r="BQ223" s="2228"/>
      <c r="BR223" s="2228"/>
      <c r="BS223" s="2228"/>
      <c r="BT223" s="2228"/>
      <c r="BU223" s="2228"/>
      <c r="BV223" s="2228"/>
      <c r="BW223" s="2228"/>
      <c r="BX223" s="2228"/>
      <c r="BY223" s="2228"/>
      <c r="BZ223" s="2228"/>
      <c r="CA223" s="2229" t="str">
        <f>IF(AND($E223+F223&lt;&gt;0,I223=""),"* No olvide ingresar la variable "&amp;I$217&amp;""&amp;" (Digite CERO si no tiene). ",IF(I223&gt;$E223+$F223,"* La variable Pueblos Originarios no debe ser mayor a la suma de Hombres + Mujeres.",""))</f>
        <v/>
      </c>
      <c r="CB223" s="2229" t="str">
        <f>IF(AND($E223+F223&lt;&gt;0,J223=""),"* No olvide ingresar la variable "&amp;J$217&amp;""&amp;" (Digite CERO si no tiene). ",IF(J223&gt;$E223+$F223,"* La variable Migrantes no debe ser mayor a la suma de Hombres + Mujeres. ",""))</f>
        <v/>
      </c>
      <c r="CD223" s="2228"/>
      <c r="CE223" s="2228"/>
      <c r="CF223" s="99"/>
      <c r="CG223" s="99"/>
      <c r="CH223" s="99"/>
      <c r="CI223" s="99"/>
      <c r="CJ223" s="99"/>
      <c r="CK223" s="55">
        <f t="shared" si="77"/>
        <v>0</v>
      </c>
      <c r="CL223" s="55">
        <f t="shared" si="78"/>
        <v>0</v>
      </c>
    </row>
    <row r="224" spans="1:90" ht="21" customHeight="1" x14ac:dyDescent="0.3">
      <c r="A224" s="6001"/>
      <c r="B224" s="5855" t="s">
        <v>420</v>
      </c>
      <c r="C224" s="5908" t="s">
        <v>421</v>
      </c>
      <c r="D224" s="5910"/>
      <c r="E224" s="2535"/>
      <c r="F224" s="2536"/>
      <c r="G224" s="2340"/>
      <c r="H224" s="2533"/>
      <c r="I224" s="2537"/>
      <c r="J224" s="2538"/>
      <c r="K224" s="1898" t="str">
        <f t="shared" si="74"/>
        <v/>
      </c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2228"/>
      <c r="AM224" s="2228"/>
      <c r="AN224" s="2228"/>
      <c r="AO224" s="2228"/>
      <c r="AP224" s="2228"/>
      <c r="AQ224" s="2228"/>
      <c r="AR224" s="2228"/>
      <c r="AS224" s="2228"/>
      <c r="AT224" s="2228"/>
      <c r="AU224" s="2228"/>
      <c r="AV224" s="2228"/>
      <c r="AW224" s="2228"/>
      <c r="AX224" s="2228"/>
      <c r="AY224" s="2228"/>
      <c r="AZ224" s="2228"/>
      <c r="BA224" s="2228"/>
      <c r="BB224" s="2228"/>
      <c r="BC224" s="2228"/>
      <c r="BD224" s="2228"/>
      <c r="BE224" s="2228"/>
      <c r="BF224" s="2228"/>
      <c r="BG224" s="2228"/>
      <c r="BH224" s="2228"/>
      <c r="BI224" s="2228"/>
      <c r="BJ224" s="2228"/>
      <c r="BK224" s="2228"/>
      <c r="BL224" s="2228"/>
      <c r="BM224" s="2228"/>
      <c r="BN224" s="2228"/>
      <c r="BO224" s="2228"/>
      <c r="BP224" s="2228"/>
      <c r="BQ224" s="2228"/>
      <c r="BR224" s="2228"/>
      <c r="BS224" s="2228"/>
      <c r="BT224" s="2228"/>
      <c r="BU224" s="2228"/>
      <c r="BV224" s="2228"/>
      <c r="BW224" s="2228"/>
      <c r="BX224" s="2228"/>
      <c r="BY224" s="2228"/>
      <c r="BZ224" s="2228"/>
      <c r="CA224" s="2229" t="str">
        <f t="shared" ref="CA224:CA226" si="80">IF(AND($E224+F224&lt;&gt;0,I224=""),"* No olvide ingresar la variable "&amp;I$217&amp;""&amp;" (Digite CERO si no tiene). ",IF(I224&gt;$E224+$F224,"* La variable Pueblos Originarios no debe ser mayor a la suma de Hombres + Mujeres.",""))</f>
        <v/>
      </c>
      <c r="CB224" s="2229" t="str">
        <f t="shared" ref="CB224:CB226" si="81">IF(AND($E224+F224&lt;&gt;0,J224=""),"* No olvide ingresar la variable "&amp;J$217&amp;""&amp;" (Digite CERO si no tiene). ",IF(J224&gt;$E224+$F224,"* La variable Migrantes no debe ser mayor a la suma de Hombres + Mujeres. ",""))</f>
        <v/>
      </c>
      <c r="CD224" s="2228"/>
      <c r="CE224" s="2228"/>
      <c r="CF224" s="99"/>
      <c r="CG224" s="99"/>
      <c r="CH224" s="99"/>
      <c r="CI224" s="99"/>
      <c r="CJ224" s="99"/>
      <c r="CK224" s="55">
        <f t="shared" si="77"/>
        <v>0</v>
      </c>
      <c r="CL224" s="55">
        <f t="shared" si="78"/>
        <v>0</v>
      </c>
    </row>
    <row r="225" spans="1:90" ht="22.5" customHeight="1" x14ac:dyDescent="0.3">
      <c r="A225" s="6001"/>
      <c r="B225" s="5855"/>
      <c r="C225" s="6003" t="s">
        <v>422</v>
      </c>
      <c r="D225" s="6004"/>
      <c r="E225" s="2539"/>
      <c r="F225" s="2536"/>
      <c r="G225" s="2340"/>
      <c r="H225" s="2533"/>
      <c r="I225" s="2540"/>
      <c r="J225" s="2541"/>
      <c r="K225" s="1898" t="str">
        <f t="shared" si="74"/>
        <v/>
      </c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2228"/>
      <c r="AM225" s="2228"/>
      <c r="AN225" s="2228"/>
      <c r="AO225" s="2228"/>
      <c r="AP225" s="2228"/>
      <c r="AQ225" s="2228"/>
      <c r="AR225" s="2228"/>
      <c r="AS225" s="2228"/>
      <c r="AT225" s="2228"/>
      <c r="AU225" s="2228"/>
      <c r="AV225" s="2228"/>
      <c r="AW225" s="2228"/>
      <c r="AX225" s="2228"/>
      <c r="AY225" s="2228"/>
      <c r="AZ225" s="2228"/>
      <c r="BA225" s="2228"/>
      <c r="BB225" s="2228"/>
      <c r="BC225" s="2228"/>
      <c r="BD225" s="2228"/>
      <c r="BE225" s="2228"/>
      <c r="BF225" s="2228"/>
      <c r="BG225" s="2228"/>
      <c r="BH225" s="2228"/>
      <c r="BI225" s="2228"/>
      <c r="BJ225" s="2228"/>
      <c r="BK225" s="2228"/>
      <c r="BL225" s="2228"/>
      <c r="BM225" s="2228"/>
      <c r="BN225" s="2228"/>
      <c r="BO225" s="2228"/>
      <c r="BP225" s="2228"/>
      <c r="BQ225" s="2228"/>
      <c r="BR225" s="2228"/>
      <c r="BS225" s="2228"/>
      <c r="BT225" s="2228"/>
      <c r="BU225" s="2228"/>
      <c r="BV225" s="2228"/>
      <c r="BW225" s="2228"/>
      <c r="BX225" s="2228"/>
      <c r="BY225" s="2228"/>
      <c r="BZ225" s="2228"/>
      <c r="CA225" s="2229" t="str">
        <f t="shared" si="80"/>
        <v/>
      </c>
      <c r="CB225" s="2229" t="str">
        <f t="shared" si="81"/>
        <v/>
      </c>
      <c r="CD225" s="2228"/>
      <c r="CE225" s="2228"/>
      <c r="CF225" s="99"/>
      <c r="CG225" s="99"/>
      <c r="CH225" s="99"/>
      <c r="CI225" s="99"/>
      <c r="CJ225" s="99"/>
      <c r="CK225" s="55">
        <f t="shared" si="77"/>
        <v>0</v>
      </c>
      <c r="CL225" s="55">
        <f t="shared" si="78"/>
        <v>0</v>
      </c>
    </row>
    <row r="226" spans="1:90" ht="23.25" customHeight="1" x14ac:dyDescent="0.3">
      <c r="A226" s="6001"/>
      <c r="B226" s="2542" t="s">
        <v>423</v>
      </c>
      <c r="C226" s="6005" t="s">
        <v>422</v>
      </c>
      <c r="D226" s="6006"/>
      <c r="E226" s="2543"/>
      <c r="F226" s="2544"/>
      <c r="G226" s="1942"/>
      <c r="H226" s="2545"/>
      <c r="I226" s="2546"/>
      <c r="J226" s="2544"/>
      <c r="K226" s="1898" t="str">
        <f t="shared" si="74"/>
        <v/>
      </c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2228"/>
      <c r="AM226" s="2228"/>
      <c r="AN226" s="2228"/>
      <c r="AO226" s="2228"/>
      <c r="AP226" s="2228"/>
      <c r="AQ226" s="2228"/>
      <c r="AR226" s="2228"/>
      <c r="AS226" s="2228"/>
      <c r="AT226" s="2228"/>
      <c r="AU226" s="2228"/>
      <c r="AV226" s="2228"/>
      <c r="AW226" s="2228"/>
      <c r="AX226" s="2228"/>
      <c r="AY226" s="2228"/>
      <c r="AZ226" s="2228"/>
      <c r="BA226" s="2228"/>
      <c r="BB226" s="2228"/>
      <c r="BC226" s="2228"/>
      <c r="BD226" s="2228"/>
      <c r="BE226" s="2228"/>
      <c r="BF226" s="2228"/>
      <c r="BG226" s="2228"/>
      <c r="BH226" s="2228"/>
      <c r="BI226" s="2228"/>
      <c r="BJ226" s="2228"/>
      <c r="BK226" s="2228"/>
      <c r="BL226" s="2228"/>
      <c r="BM226" s="2228"/>
      <c r="BN226" s="2228"/>
      <c r="BO226" s="2228"/>
      <c r="BP226" s="2228"/>
      <c r="BQ226" s="2228"/>
      <c r="BR226" s="2228"/>
      <c r="BS226" s="2228"/>
      <c r="BT226" s="2228"/>
      <c r="BU226" s="2228"/>
      <c r="BV226" s="2228"/>
      <c r="BW226" s="2228"/>
      <c r="BX226" s="2228"/>
      <c r="BY226" s="2228"/>
      <c r="BZ226" s="2228"/>
      <c r="CA226" s="2229" t="str">
        <f t="shared" si="80"/>
        <v/>
      </c>
      <c r="CB226" s="2229" t="str">
        <f t="shared" si="81"/>
        <v/>
      </c>
      <c r="CD226" s="2228"/>
      <c r="CE226" s="2228"/>
      <c r="CF226" s="99"/>
      <c r="CG226" s="99"/>
      <c r="CH226" s="99"/>
      <c r="CI226" s="99"/>
      <c r="CJ226" s="99"/>
      <c r="CK226" s="55">
        <f t="shared" si="77"/>
        <v>0</v>
      </c>
      <c r="CL226" s="55">
        <f t="shared" si="78"/>
        <v>0</v>
      </c>
    </row>
    <row r="227" spans="1:90" ht="15" customHeight="1" x14ac:dyDescent="0.3">
      <c r="A227" s="5971" t="s">
        <v>77</v>
      </c>
      <c r="B227" s="6002"/>
      <c r="C227" s="6002"/>
      <c r="D227" s="5972"/>
      <c r="E227" s="2525">
        <f>SUM(E223:E226)</f>
        <v>0</v>
      </c>
      <c r="F227" s="2526">
        <f>SUM(F223:F226)</f>
        <v>0</v>
      </c>
      <c r="G227" s="707"/>
      <c r="H227" s="294"/>
      <c r="I227" s="2529">
        <f t="shared" ref="I227:J227" si="82">SUM(I223:I226)</f>
        <v>0</v>
      </c>
      <c r="J227" s="2530">
        <f t="shared" si="82"/>
        <v>0</v>
      </c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2228"/>
      <c r="AM227" s="2228"/>
      <c r="AN227" s="2228"/>
      <c r="AO227" s="2228"/>
      <c r="AP227" s="2228"/>
      <c r="AQ227" s="2228"/>
      <c r="AR227" s="2228"/>
      <c r="AS227" s="2228"/>
      <c r="AT227" s="2228"/>
      <c r="AU227" s="2228"/>
      <c r="AV227" s="2228"/>
      <c r="AW227" s="2228"/>
      <c r="AX227" s="2228"/>
      <c r="AY227" s="2228"/>
      <c r="AZ227" s="2228"/>
      <c r="BA227" s="2228"/>
      <c r="BB227" s="2228"/>
      <c r="BC227" s="2228"/>
      <c r="BD227" s="2228"/>
      <c r="BE227" s="2228"/>
      <c r="BF227" s="2228"/>
      <c r="BG227" s="2228"/>
      <c r="BH227" s="2228"/>
      <c r="BI227" s="2228"/>
      <c r="BJ227" s="2228"/>
      <c r="BK227" s="2228"/>
      <c r="BL227" s="2228"/>
      <c r="BM227" s="2228"/>
      <c r="BN227" s="2228"/>
      <c r="BO227" s="2228"/>
      <c r="BP227" s="2228"/>
      <c r="BQ227" s="2228"/>
      <c r="BR227" s="2228"/>
      <c r="BS227" s="2228"/>
      <c r="BT227" s="2228"/>
      <c r="BU227" s="2228"/>
      <c r="BV227" s="2228"/>
      <c r="BW227" s="2228"/>
      <c r="BX227" s="2228"/>
      <c r="BY227" s="2228"/>
      <c r="BZ227" s="2228"/>
      <c r="CA227" s="2228"/>
      <c r="CB227" s="2228"/>
      <c r="CC227" s="2228"/>
      <c r="CD227" s="2228"/>
    </row>
    <row r="228" spans="1:90" ht="18" customHeight="1" x14ac:dyDescent="0.3">
      <c r="A228" s="144" t="s">
        <v>4413</v>
      </c>
      <c r="B228" s="144"/>
      <c r="C228" s="144"/>
      <c r="D228" s="2547"/>
      <c r="E228" s="2547"/>
      <c r="F228" s="2547"/>
      <c r="G228" s="2548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2228"/>
      <c r="AM228" s="2228"/>
      <c r="AN228" s="2228"/>
      <c r="AO228" s="2228"/>
      <c r="AP228" s="2228"/>
      <c r="AQ228" s="2228"/>
      <c r="AR228" s="2228"/>
      <c r="AS228" s="2228"/>
      <c r="AT228" s="2228"/>
      <c r="AU228" s="2228"/>
      <c r="AV228" s="2228"/>
      <c r="AW228" s="2228"/>
      <c r="AX228" s="2228"/>
      <c r="AY228" s="2228"/>
      <c r="AZ228" s="2228"/>
      <c r="BA228" s="2228"/>
      <c r="BB228" s="2228"/>
      <c r="BC228" s="2228"/>
      <c r="BD228" s="2228"/>
      <c r="BE228" s="2228"/>
      <c r="BF228" s="2228"/>
      <c r="BG228" s="2228"/>
      <c r="BH228" s="2228"/>
      <c r="BI228" s="2228"/>
      <c r="BJ228" s="2228"/>
      <c r="BK228" s="2228"/>
      <c r="BL228" s="2228"/>
      <c r="BM228" s="2228"/>
      <c r="BN228" s="2228"/>
      <c r="BO228" s="2228"/>
      <c r="BP228" s="2228"/>
      <c r="BQ228" s="2228"/>
      <c r="BR228" s="2228"/>
      <c r="BS228" s="2228"/>
      <c r="BT228" s="2228"/>
      <c r="BU228" s="2228"/>
      <c r="BV228" s="2228"/>
      <c r="BW228" s="2228"/>
      <c r="BX228" s="2228"/>
      <c r="BY228" s="2228"/>
      <c r="BZ228" s="2228"/>
      <c r="CA228" s="2228"/>
      <c r="CB228" s="2228"/>
      <c r="CC228" s="2228"/>
      <c r="CD228" s="2228"/>
    </row>
    <row r="229" spans="1:90" ht="24.75" customHeight="1" x14ac:dyDescent="0.3">
      <c r="A229" s="5971" t="s">
        <v>393</v>
      </c>
      <c r="B229" s="5972"/>
      <c r="C229" s="2524" t="s">
        <v>58</v>
      </c>
      <c r="D229" s="2549" t="s">
        <v>59</v>
      </c>
      <c r="E229" s="2550" t="s">
        <v>36</v>
      </c>
      <c r="F229" s="2551" t="s">
        <v>37</v>
      </c>
      <c r="G229" s="2548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2228"/>
      <c r="AM229" s="2228"/>
      <c r="AN229" s="2228"/>
      <c r="AO229" s="2228"/>
      <c r="AP229" s="2228"/>
      <c r="AQ229" s="2228"/>
      <c r="AR229" s="2228"/>
      <c r="AS229" s="2228"/>
      <c r="AT229" s="2228"/>
      <c r="AU229" s="2228"/>
      <c r="AV229" s="2228"/>
      <c r="AW229" s="2228"/>
      <c r="AX229" s="2228"/>
      <c r="AY229" s="2228"/>
      <c r="AZ229" s="2228"/>
      <c r="BA229" s="2228"/>
      <c r="BB229" s="2228"/>
      <c r="BC229" s="2228"/>
      <c r="BD229" s="2228"/>
      <c r="BE229" s="2228"/>
      <c r="BF229" s="2228"/>
      <c r="BG229" s="2228"/>
      <c r="BH229" s="2228"/>
      <c r="BI229" s="2228"/>
      <c r="BJ229" s="2228"/>
      <c r="BK229" s="2228"/>
      <c r="BL229" s="2228"/>
      <c r="BM229" s="2228"/>
      <c r="BN229" s="2228"/>
      <c r="BO229" s="2228"/>
      <c r="BP229" s="2228"/>
      <c r="BQ229" s="2228"/>
      <c r="BR229" s="2228"/>
      <c r="BS229" s="2228"/>
      <c r="BT229" s="2228"/>
      <c r="BU229" s="2228"/>
      <c r="BV229" s="2228"/>
      <c r="BW229" s="2228"/>
      <c r="BX229" s="2228"/>
      <c r="BY229" s="2228"/>
      <c r="BZ229" s="2228"/>
      <c r="CA229" s="2228"/>
      <c r="CB229" s="2228"/>
      <c r="CC229" s="2228"/>
      <c r="CD229" s="2228"/>
    </row>
    <row r="230" spans="1:90" ht="20.399999999999999" x14ac:dyDescent="0.3">
      <c r="A230" s="5854" t="s">
        <v>424</v>
      </c>
      <c r="B230" s="2552" t="s">
        <v>421</v>
      </c>
      <c r="C230" s="2553"/>
      <c r="D230" s="2554"/>
      <c r="E230" s="2555"/>
      <c r="F230" s="2556"/>
      <c r="G230" s="1898" t="str">
        <f>$CB230&amp;CA230</f>
        <v/>
      </c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2228"/>
      <c r="AM230" s="2228"/>
      <c r="AN230" s="2228"/>
      <c r="AO230" s="2228"/>
      <c r="AP230" s="2228"/>
      <c r="AQ230" s="2228"/>
      <c r="AR230" s="2228"/>
      <c r="AS230" s="2228"/>
      <c r="AT230" s="2228"/>
      <c r="AU230" s="2228"/>
      <c r="AV230" s="2228"/>
      <c r="AW230" s="2228"/>
      <c r="AX230" s="2228"/>
      <c r="AY230" s="2228"/>
      <c r="AZ230" s="2228"/>
      <c r="BA230" s="2228"/>
      <c r="BB230" s="2228"/>
      <c r="BC230" s="2228"/>
      <c r="BD230" s="2228"/>
      <c r="BE230" s="2228"/>
      <c r="BF230" s="2228"/>
      <c r="BG230" s="2228"/>
      <c r="BH230" s="2228"/>
      <c r="BI230" s="2228"/>
      <c r="BJ230" s="2228"/>
      <c r="BK230" s="2228"/>
      <c r="BL230" s="2228"/>
      <c r="BM230" s="2228"/>
      <c r="BN230" s="2228"/>
      <c r="BO230" s="2228"/>
      <c r="BP230" s="2228"/>
      <c r="BQ230" s="2228"/>
      <c r="BR230" s="2228"/>
      <c r="BS230" s="2228"/>
      <c r="BT230" s="2228"/>
      <c r="BU230" s="2228"/>
      <c r="BV230" s="2228"/>
      <c r="BW230" s="2228"/>
      <c r="BX230" s="2228"/>
      <c r="BY230" s="2228"/>
      <c r="BZ230" s="2228"/>
      <c r="CA230" s="2229" t="str">
        <f>IF(AND($C230+D230&lt;&gt;0,E230=""),"* No olvide ingresar la variable "&amp;E$229&amp;""&amp;" (Digite CERO si no tiene). ",IF(E230&gt;$C230+$D230,"* La variable Pueblos Originarios no debe ser mayor a la suma de Hombres + Mujeres.",""))</f>
        <v/>
      </c>
      <c r="CB230" s="2229" t="str">
        <f>IF(AND($C230+D230&lt;&gt;0,F230=""),"* No olvide ingresar la variable "&amp;F$229&amp;""&amp;" (Digite CERO si no tiene). ",IF(F230&gt;$C230+$D230,"* La variable Migrantes no debe ser mayor a la suma de Hombres + Mujeres.",""))</f>
        <v/>
      </c>
      <c r="CD230" s="2228"/>
      <c r="CE230" s="2228"/>
      <c r="CF230" s="99"/>
      <c r="CG230" s="99"/>
      <c r="CH230" s="99"/>
      <c r="CI230" s="99"/>
      <c r="CJ230" s="99"/>
      <c r="CK230" s="55">
        <f>IF(AND($C230+$D230&lt;&gt;0,E230=""),1,IF(E230&gt;$C230+$D230,1,0))</f>
        <v>0</v>
      </c>
      <c r="CL230" s="55">
        <f>IF(AND($C230+$D230&lt;&gt;0,F230=""),1,IF(F230&gt;$C230+$D230,1,0))</f>
        <v>0</v>
      </c>
    </row>
    <row r="231" spans="1:90" ht="20.399999999999999" x14ac:dyDescent="0.3">
      <c r="A231" s="5856"/>
      <c r="B231" s="2557" t="s">
        <v>422</v>
      </c>
      <c r="C231" s="2558"/>
      <c r="D231" s="2559"/>
      <c r="E231" s="2560"/>
      <c r="F231" s="2561"/>
      <c r="G231" s="1898" t="str">
        <f>$CB231&amp;CA231</f>
        <v/>
      </c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2228"/>
      <c r="AM231" s="2228"/>
      <c r="AN231" s="2228"/>
      <c r="AO231" s="2228"/>
      <c r="AP231" s="2228"/>
      <c r="AQ231" s="2228"/>
      <c r="AR231" s="2228"/>
      <c r="AS231" s="2228"/>
      <c r="AT231" s="2228"/>
      <c r="AU231" s="2228"/>
      <c r="AV231" s="2228"/>
      <c r="AW231" s="2228"/>
      <c r="AX231" s="2228"/>
      <c r="AY231" s="2228"/>
      <c r="AZ231" s="2228"/>
      <c r="BA231" s="2228"/>
      <c r="BB231" s="2228"/>
      <c r="BC231" s="2228"/>
      <c r="BD231" s="2228"/>
      <c r="BE231" s="2228"/>
      <c r="BF231" s="2228"/>
      <c r="BG231" s="2228"/>
      <c r="BH231" s="2228"/>
      <c r="BI231" s="2228"/>
      <c r="BJ231" s="2228"/>
      <c r="BK231" s="2228"/>
      <c r="BL231" s="2228"/>
      <c r="BM231" s="2228"/>
      <c r="BN231" s="2228"/>
      <c r="BO231" s="2228"/>
      <c r="BP231" s="2228"/>
      <c r="BQ231" s="2228"/>
      <c r="BR231" s="2228"/>
      <c r="BS231" s="2228"/>
      <c r="BT231" s="2228"/>
      <c r="BU231" s="2228"/>
      <c r="BV231" s="2228"/>
      <c r="BW231" s="2228"/>
      <c r="BX231" s="2228"/>
      <c r="BY231" s="2228"/>
      <c r="BZ231" s="2228"/>
      <c r="CA231" s="2229" t="str">
        <f>IF(AND($C231+D231&lt;&gt;0,E231=""),"* No olvide ingresar la variable "&amp;E$229&amp;""&amp;" (Digite CERO si no tiene). ",IF(E231&gt;$C231+$D231,"* La variable Pueblos Originarios no debe ser mayor a la suma de Hombres + Mujeres.",""))</f>
        <v/>
      </c>
      <c r="CB231" s="2229" t="str">
        <f>IF(AND($C231+D231&lt;&gt;0,F231=""),"* No olvide ingresar la variable "&amp;F$229&amp;""&amp;" (Digite CERO si no tiene). ",IF(F231&gt;$C231+$D231,"* La variable Migrantes no debe ser mayor a la suma de Hombres + Mujeres.",""))</f>
        <v/>
      </c>
      <c r="CD231" s="2228"/>
      <c r="CE231" s="2228"/>
      <c r="CF231" s="99"/>
      <c r="CG231" s="99"/>
      <c r="CH231" s="99"/>
      <c r="CI231" s="99"/>
      <c r="CJ231" s="99"/>
      <c r="CK231" s="55">
        <f>IF(AND($C231+$D231&lt;&gt;0,E231=""),1,IF(E231&gt;$C231+$D231,1,0))</f>
        <v>0</v>
      </c>
      <c r="CL231" s="55">
        <f>IF(AND($C231+$D231&lt;&gt;0,F231=""),1,IF(F231&gt;$C231+$D231,1,0))</f>
        <v>0</v>
      </c>
    </row>
    <row r="232" spans="1:90" ht="15" customHeight="1" x14ac:dyDescent="0.3">
      <c r="A232" s="5971" t="s">
        <v>77</v>
      </c>
      <c r="B232" s="5972"/>
      <c r="C232" s="2562">
        <f>SUM(C230:C231)</f>
        <v>0</v>
      </c>
      <c r="D232" s="2563">
        <f t="shared" ref="D232:F232" si="83">SUM(D230:D231)</f>
        <v>0</v>
      </c>
      <c r="E232" s="2564">
        <f t="shared" si="83"/>
        <v>0</v>
      </c>
      <c r="F232" s="2565">
        <f t="shared" si="83"/>
        <v>0</v>
      </c>
      <c r="G232" s="2548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2228"/>
      <c r="AM232" s="2228"/>
      <c r="AN232" s="2228"/>
      <c r="AO232" s="2228"/>
      <c r="AP232" s="2228"/>
      <c r="AQ232" s="2228"/>
      <c r="AR232" s="2228"/>
      <c r="AS232" s="2228"/>
      <c r="AT232" s="2228"/>
      <c r="AU232" s="2228"/>
      <c r="AV232" s="2228"/>
      <c r="AW232" s="2228"/>
      <c r="AX232" s="2228"/>
      <c r="AY232" s="2228"/>
      <c r="AZ232" s="2228"/>
      <c r="BA232" s="2228"/>
      <c r="BB232" s="2228"/>
      <c r="BC232" s="2228"/>
      <c r="BD232" s="2228"/>
      <c r="BE232" s="2228"/>
      <c r="BF232" s="2228"/>
      <c r="BG232" s="2228"/>
      <c r="BH232" s="2228"/>
      <c r="BI232" s="2228"/>
      <c r="BJ232" s="2228"/>
      <c r="BK232" s="2228"/>
      <c r="BL232" s="2228"/>
      <c r="BM232" s="2228"/>
      <c r="BN232" s="2228"/>
      <c r="BO232" s="2228"/>
      <c r="BP232" s="2228"/>
      <c r="BQ232" s="2228"/>
      <c r="BR232" s="2228"/>
      <c r="BS232" s="2228"/>
      <c r="BT232" s="2228"/>
      <c r="BU232" s="2228"/>
      <c r="BV232" s="2228"/>
      <c r="BW232" s="2228"/>
      <c r="BX232" s="2228"/>
      <c r="BY232" s="2228"/>
      <c r="BZ232" s="2228"/>
      <c r="CA232" s="2228"/>
      <c r="CB232" s="2228"/>
      <c r="CC232" s="2228"/>
      <c r="CD232" s="2228"/>
    </row>
    <row r="233" spans="1:90" ht="18" customHeight="1" x14ac:dyDescent="0.3">
      <c r="A233" s="3" t="s">
        <v>425</v>
      </c>
      <c r="B233" s="91"/>
      <c r="C233" s="91"/>
      <c r="D233" s="2184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2228"/>
      <c r="AM233" s="2228"/>
      <c r="AN233" s="2228"/>
      <c r="AO233" s="2228"/>
      <c r="AP233" s="2228"/>
      <c r="AQ233" s="2228"/>
      <c r="AR233" s="2228"/>
      <c r="AS233" s="2228"/>
      <c r="AT233" s="2228"/>
      <c r="AU233" s="2228"/>
      <c r="AV233" s="2228"/>
      <c r="AW233" s="2228"/>
      <c r="AX233" s="2228"/>
      <c r="AY233" s="2228"/>
      <c r="AZ233" s="2228"/>
      <c r="BA233" s="2228"/>
      <c r="BB233" s="2228"/>
      <c r="BC233" s="2228"/>
      <c r="BD233" s="2228"/>
      <c r="BE233" s="2228"/>
      <c r="BF233" s="2228"/>
      <c r="BG233" s="2228"/>
      <c r="BH233" s="2228"/>
      <c r="BI233" s="2228"/>
      <c r="BJ233" s="2228"/>
      <c r="BK233" s="2228"/>
      <c r="BL233" s="2228"/>
      <c r="BM233" s="2228"/>
      <c r="BN233" s="2228"/>
      <c r="BO233" s="2228"/>
      <c r="BP233" s="2228"/>
      <c r="BQ233" s="2228"/>
      <c r="BR233" s="2228"/>
      <c r="BS233" s="2228"/>
      <c r="BT233" s="2228"/>
      <c r="BU233" s="2228"/>
      <c r="BV233" s="2228"/>
      <c r="BW233" s="2228"/>
      <c r="BX233" s="2228"/>
      <c r="BY233" s="2228"/>
      <c r="BZ233" s="2228"/>
      <c r="CA233" s="2228"/>
      <c r="CB233" s="2228"/>
      <c r="CC233" s="2228"/>
      <c r="CD233" s="2228"/>
    </row>
    <row r="234" spans="1:90" ht="21.75" customHeight="1" x14ac:dyDescent="0.3">
      <c r="A234" s="5986" t="s">
        <v>426</v>
      </c>
      <c r="B234" s="5987"/>
      <c r="C234" s="5887" t="s">
        <v>427</v>
      </c>
      <c r="D234" s="5992"/>
      <c r="E234" s="5888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2228"/>
      <c r="AM234" s="2228"/>
      <c r="AN234" s="2228"/>
      <c r="AO234" s="2228"/>
      <c r="AP234" s="2228"/>
      <c r="AQ234" s="2228"/>
      <c r="AR234" s="2228"/>
      <c r="AS234" s="2228"/>
      <c r="AT234" s="2228"/>
      <c r="AU234" s="2228"/>
      <c r="AV234" s="2228"/>
      <c r="AW234" s="2228"/>
      <c r="AX234" s="2228"/>
      <c r="AY234" s="2228"/>
      <c r="AZ234" s="2228"/>
      <c r="BA234" s="2228"/>
      <c r="BB234" s="2228"/>
      <c r="BC234" s="2228"/>
      <c r="BD234" s="2228"/>
      <c r="BE234" s="2228"/>
      <c r="BF234" s="2228"/>
      <c r="BG234" s="2228"/>
      <c r="BH234" s="2228"/>
      <c r="BI234" s="2228"/>
      <c r="BJ234" s="2228"/>
      <c r="BK234" s="2228"/>
      <c r="BL234" s="2228"/>
      <c r="BM234" s="2228"/>
      <c r="BN234" s="2228"/>
      <c r="BO234" s="2228"/>
      <c r="BP234" s="2228"/>
      <c r="BQ234" s="2228"/>
      <c r="BR234" s="2228"/>
      <c r="BS234" s="2228"/>
      <c r="BT234" s="2228"/>
      <c r="BU234" s="2228"/>
      <c r="BV234" s="2228"/>
      <c r="BW234" s="2228"/>
      <c r="BX234" s="2228"/>
      <c r="BY234" s="2228"/>
      <c r="BZ234" s="2228"/>
      <c r="CA234" s="2228"/>
      <c r="CB234" s="2228"/>
      <c r="CC234" s="2228"/>
      <c r="CD234" s="2228"/>
    </row>
    <row r="235" spans="1:90" ht="15" customHeight="1" x14ac:dyDescent="0.3">
      <c r="A235" s="5988"/>
      <c r="B235" s="5989"/>
      <c r="C235" s="5993" t="s">
        <v>428</v>
      </c>
      <c r="D235" s="5887" t="s">
        <v>429</v>
      </c>
      <c r="E235" s="5888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2228"/>
      <c r="AM235" s="2228"/>
      <c r="AN235" s="2228"/>
      <c r="AO235" s="2228"/>
      <c r="AP235" s="2228"/>
      <c r="AQ235" s="2228"/>
      <c r="AR235" s="2228"/>
      <c r="AS235" s="2228"/>
      <c r="AT235" s="2228"/>
      <c r="AU235" s="2228"/>
      <c r="AV235" s="2228"/>
      <c r="AW235" s="2228"/>
      <c r="AX235" s="2228"/>
      <c r="AY235" s="2228"/>
      <c r="AZ235" s="2228"/>
      <c r="BA235" s="2228"/>
      <c r="BB235" s="2228"/>
      <c r="BC235" s="2228"/>
      <c r="BD235" s="2228"/>
      <c r="BE235" s="2228"/>
      <c r="BF235" s="2228"/>
      <c r="BG235" s="2228"/>
      <c r="BH235" s="2228"/>
      <c r="BI235" s="2228"/>
      <c r="BJ235" s="2228"/>
      <c r="BK235" s="2228"/>
      <c r="BL235" s="2228"/>
      <c r="BM235" s="2228"/>
      <c r="BN235" s="2228"/>
      <c r="BO235" s="2228"/>
      <c r="BP235" s="2228"/>
      <c r="BQ235" s="2228"/>
      <c r="BR235" s="2228"/>
      <c r="BS235" s="2228"/>
      <c r="BT235" s="2228"/>
      <c r="BU235" s="2228"/>
      <c r="BV235" s="2228"/>
      <c r="BW235" s="2228"/>
      <c r="BX235" s="2228"/>
      <c r="BY235" s="2228"/>
      <c r="BZ235" s="2228"/>
      <c r="CA235" s="2228"/>
      <c r="CB235" s="2228"/>
      <c r="CC235" s="2228"/>
      <c r="CD235" s="2228"/>
    </row>
    <row r="236" spans="1:90" ht="15" customHeight="1" x14ac:dyDescent="0.3">
      <c r="A236" s="5990"/>
      <c r="B236" s="5991"/>
      <c r="C236" s="5994"/>
      <c r="D236" s="2566" t="s">
        <v>430</v>
      </c>
      <c r="E236" s="2452" t="s">
        <v>431</v>
      </c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2228"/>
      <c r="AM236" s="2228"/>
    </row>
    <row r="237" spans="1:90" ht="15" customHeight="1" x14ac:dyDescent="0.3">
      <c r="A237" s="5995" t="s">
        <v>432</v>
      </c>
      <c r="B237" s="5996"/>
      <c r="C237" s="2567"/>
      <c r="D237" s="2458"/>
      <c r="E237" s="2460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2228"/>
      <c r="AM237" s="2228"/>
    </row>
    <row r="238" spans="1:90" ht="15" customHeight="1" x14ac:dyDescent="0.3">
      <c r="A238" s="5997" t="s">
        <v>433</v>
      </c>
      <c r="B238" s="5998"/>
      <c r="C238" s="2568"/>
      <c r="D238" s="2569"/>
      <c r="E238" s="2501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2228"/>
      <c r="AM238" s="2228"/>
    </row>
    <row r="239" spans="1:90" ht="18" customHeight="1" x14ac:dyDescent="0.3">
      <c r="A239" s="5997" t="s">
        <v>434</v>
      </c>
      <c r="B239" s="5998"/>
      <c r="C239" s="2569"/>
      <c r="D239" s="2569"/>
      <c r="E239" s="2501"/>
    </row>
    <row r="240" spans="1:90" ht="15" customHeight="1" x14ac:dyDescent="0.3">
      <c r="A240" s="5997" t="s">
        <v>435</v>
      </c>
      <c r="B240" s="5998"/>
      <c r="C240" s="2569"/>
      <c r="D240" s="2569"/>
      <c r="E240" s="2501"/>
    </row>
    <row r="241" spans="1:27" ht="15" customHeight="1" x14ac:dyDescent="0.3">
      <c r="A241" s="5999" t="s">
        <v>436</v>
      </c>
      <c r="B241" s="6000"/>
      <c r="C241" s="2570"/>
      <c r="D241" s="2571"/>
      <c r="E241" s="2507"/>
    </row>
    <row r="242" spans="1:27" ht="18" customHeight="1" x14ac:dyDescent="0.3">
      <c r="A242" s="5857" t="s">
        <v>437</v>
      </c>
      <c r="B242" s="5857"/>
      <c r="C242" s="5857"/>
      <c r="D242" s="5857"/>
      <c r="E242" s="5857"/>
      <c r="F242" s="5857"/>
      <c r="G242" s="5857"/>
      <c r="H242" s="5857"/>
      <c r="I242" s="5857"/>
      <c r="J242" s="5857"/>
      <c r="K242" s="5857"/>
      <c r="L242" s="5857"/>
      <c r="M242" s="5857"/>
      <c r="N242" s="2572"/>
      <c r="O242" s="2572"/>
      <c r="P242" s="2572"/>
      <c r="Q242" s="2572"/>
      <c r="R242" s="2572"/>
      <c r="S242" s="2572"/>
      <c r="T242" s="2572"/>
      <c r="U242" s="2572"/>
      <c r="V242" s="2572"/>
      <c r="W242" s="2572"/>
      <c r="X242" s="2572"/>
      <c r="Y242" s="2572"/>
    </row>
    <row r="243" spans="1:27" ht="15" customHeight="1" x14ac:dyDescent="0.3">
      <c r="A243" s="5858" t="s">
        <v>301</v>
      </c>
      <c r="B243" s="5859"/>
      <c r="C243" s="5864" t="s">
        <v>302</v>
      </c>
      <c r="D243" s="5865"/>
      <c r="E243" s="5865"/>
      <c r="F243" s="5869" t="s">
        <v>101</v>
      </c>
      <c r="G243" s="5870"/>
      <c r="H243" s="5870"/>
      <c r="I243" s="5870"/>
      <c r="J243" s="5870"/>
      <c r="K243" s="5870"/>
      <c r="L243" s="5870"/>
      <c r="M243" s="5870"/>
      <c r="N243" s="5870"/>
      <c r="O243" s="5870"/>
      <c r="P243" s="5870"/>
      <c r="Q243" s="5870"/>
      <c r="R243" s="5870"/>
      <c r="S243" s="5870"/>
      <c r="T243" s="5870"/>
      <c r="U243" s="5870"/>
      <c r="V243" s="5870"/>
      <c r="W243" s="5870"/>
      <c r="X243" s="5870"/>
      <c r="Y243" s="5870"/>
      <c r="Z243" s="5870"/>
      <c r="AA243" s="5871"/>
    </row>
    <row r="244" spans="1:27" ht="15" customHeight="1" x14ac:dyDescent="0.3">
      <c r="A244" s="5860"/>
      <c r="B244" s="5861"/>
      <c r="C244" s="5866"/>
      <c r="D244" s="5867"/>
      <c r="E244" s="5868"/>
      <c r="F244" s="5872" t="s">
        <v>326</v>
      </c>
      <c r="G244" s="5868"/>
      <c r="H244" s="5872" t="s">
        <v>94</v>
      </c>
      <c r="I244" s="5868"/>
      <c r="J244" s="5872" t="s">
        <v>44</v>
      </c>
      <c r="K244" s="5868"/>
      <c r="L244" s="5872" t="s">
        <v>45</v>
      </c>
      <c r="M244" s="5868"/>
      <c r="N244" s="5872" t="s">
        <v>46</v>
      </c>
      <c r="O244" s="5868"/>
      <c r="P244" s="5872" t="s">
        <v>438</v>
      </c>
      <c r="Q244" s="5868"/>
      <c r="R244" s="5872" t="s">
        <v>439</v>
      </c>
      <c r="S244" s="5868"/>
      <c r="T244" s="5872" t="s">
        <v>53</v>
      </c>
      <c r="U244" s="5868"/>
      <c r="V244" s="5872" t="s">
        <v>54</v>
      </c>
      <c r="W244" s="5868"/>
      <c r="X244" s="5872" t="s">
        <v>328</v>
      </c>
      <c r="Y244" s="5868"/>
      <c r="Z244" s="5872" t="s">
        <v>57</v>
      </c>
      <c r="AA244" s="5868"/>
    </row>
    <row r="245" spans="1:27" ht="15" customHeight="1" x14ac:dyDescent="0.3">
      <c r="A245" s="5862"/>
      <c r="B245" s="5863"/>
      <c r="C245" s="2573" t="s">
        <v>79</v>
      </c>
      <c r="D245" s="2574" t="s">
        <v>58</v>
      </c>
      <c r="E245" s="2575" t="s">
        <v>59</v>
      </c>
      <c r="F245" s="2576" t="s">
        <v>58</v>
      </c>
      <c r="G245" s="2577" t="s">
        <v>59</v>
      </c>
      <c r="H245" s="2576" t="s">
        <v>58</v>
      </c>
      <c r="I245" s="2578" t="s">
        <v>59</v>
      </c>
      <c r="J245" s="2576" t="s">
        <v>58</v>
      </c>
      <c r="K245" s="2578" t="s">
        <v>59</v>
      </c>
      <c r="L245" s="2576" t="s">
        <v>58</v>
      </c>
      <c r="M245" s="2578" t="s">
        <v>59</v>
      </c>
      <c r="N245" s="2576" t="s">
        <v>58</v>
      </c>
      <c r="O245" s="2578" t="s">
        <v>59</v>
      </c>
      <c r="P245" s="2576" t="s">
        <v>58</v>
      </c>
      <c r="Q245" s="2578" t="s">
        <v>59</v>
      </c>
      <c r="R245" s="2576" t="s">
        <v>58</v>
      </c>
      <c r="S245" s="2578" t="s">
        <v>59</v>
      </c>
      <c r="T245" s="2576" t="s">
        <v>58</v>
      </c>
      <c r="U245" s="2578" t="s">
        <v>59</v>
      </c>
      <c r="V245" s="2576" t="s">
        <v>58</v>
      </c>
      <c r="W245" s="2578" t="s">
        <v>59</v>
      </c>
      <c r="X245" s="2576" t="s">
        <v>58</v>
      </c>
      <c r="Y245" s="2578" t="s">
        <v>59</v>
      </c>
      <c r="Z245" s="2576" t="s">
        <v>58</v>
      </c>
      <c r="AA245" s="2578" t="s">
        <v>59</v>
      </c>
    </row>
    <row r="246" spans="1:27" ht="15" customHeight="1" x14ac:dyDescent="0.3">
      <c r="A246" s="5984" t="s">
        <v>440</v>
      </c>
      <c r="B246" s="5985"/>
      <c r="C246" s="2579">
        <f t="shared" ref="C246:C255" si="84">SUM(D246+E246)</f>
        <v>0</v>
      </c>
      <c r="D246" s="2580">
        <f>+F246</f>
        <v>0</v>
      </c>
      <c r="E246" s="2581">
        <f>+G246</f>
        <v>0</v>
      </c>
      <c r="F246" s="2582"/>
      <c r="G246" s="2583"/>
      <c r="H246" s="2584"/>
      <c r="I246" s="2585"/>
      <c r="J246" s="2584"/>
      <c r="K246" s="2585"/>
      <c r="L246" s="2584"/>
      <c r="M246" s="2585"/>
      <c r="N246" s="2584"/>
      <c r="O246" s="2585"/>
      <c r="P246" s="2584"/>
      <c r="Q246" s="2585"/>
      <c r="R246" s="2584"/>
      <c r="S246" s="2585"/>
      <c r="T246" s="2584"/>
      <c r="U246" s="2585"/>
      <c r="V246" s="2584"/>
      <c r="W246" s="2585"/>
      <c r="X246" s="2584"/>
      <c r="Y246" s="2585"/>
      <c r="Z246" s="2584"/>
      <c r="AA246" s="2585"/>
    </row>
    <row r="247" spans="1:27" ht="15" customHeight="1" x14ac:dyDescent="0.3">
      <c r="A247" s="5979" t="s">
        <v>441</v>
      </c>
      <c r="B247" s="5980"/>
      <c r="C247" s="2586">
        <f t="shared" si="84"/>
        <v>0</v>
      </c>
      <c r="D247" s="2587">
        <f>+H247</f>
        <v>0</v>
      </c>
      <c r="E247" s="2588">
        <f>+I247</f>
        <v>0</v>
      </c>
      <c r="F247" s="2589"/>
      <c r="G247" s="2590"/>
      <c r="H247" s="2591"/>
      <c r="I247" s="2592"/>
      <c r="J247" s="2593"/>
      <c r="K247" s="2590"/>
      <c r="L247" s="2593"/>
      <c r="M247" s="2590"/>
      <c r="N247" s="2593"/>
      <c r="O247" s="2590"/>
      <c r="P247" s="2593"/>
      <c r="Q247" s="2590"/>
      <c r="R247" s="2593"/>
      <c r="S247" s="2590"/>
      <c r="T247" s="2593"/>
      <c r="U247" s="2590"/>
      <c r="V247" s="2593"/>
      <c r="W247" s="2590"/>
      <c r="X247" s="2593"/>
      <c r="Y247" s="2590"/>
      <c r="Z247" s="2593"/>
      <c r="AA247" s="2590"/>
    </row>
    <row r="248" spans="1:27" ht="18" customHeight="1" x14ac:dyDescent="0.3">
      <c r="A248" s="5979" t="s">
        <v>442</v>
      </c>
      <c r="B248" s="5980"/>
      <c r="C248" s="2586">
        <f t="shared" si="84"/>
        <v>0</v>
      </c>
      <c r="D248" s="2587">
        <f>+J248</f>
        <v>0</v>
      </c>
      <c r="E248" s="2588">
        <f>+K248</f>
        <v>0</v>
      </c>
      <c r="F248" s="2589"/>
      <c r="G248" s="2590"/>
      <c r="H248" s="2593"/>
      <c r="I248" s="2590"/>
      <c r="J248" s="2591"/>
      <c r="K248" s="2592"/>
      <c r="L248" s="2593"/>
      <c r="M248" s="2590"/>
      <c r="N248" s="2593"/>
      <c r="O248" s="2590"/>
      <c r="P248" s="2593"/>
      <c r="Q248" s="2590"/>
      <c r="R248" s="2593"/>
      <c r="S248" s="2590"/>
      <c r="T248" s="2593"/>
      <c r="U248" s="2590"/>
      <c r="V248" s="2593"/>
      <c r="W248" s="2590"/>
      <c r="X248" s="2593"/>
      <c r="Y248" s="2590"/>
      <c r="Z248" s="2593"/>
      <c r="AA248" s="2590"/>
    </row>
    <row r="249" spans="1:27" ht="15" customHeight="1" x14ac:dyDescent="0.3">
      <c r="A249" s="5979" t="s">
        <v>443</v>
      </c>
      <c r="B249" s="5980"/>
      <c r="C249" s="2586">
        <f t="shared" si="84"/>
        <v>0</v>
      </c>
      <c r="D249" s="2587">
        <f>(L249+N249+P249+R249+T249)</f>
        <v>0</v>
      </c>
      <c r="E249" s="2588">
        <f>(M249+O249+Q249+S249+U249)</f>
        <v>0</v>
      </c>
      <c r="F249" s="2589"/>
      <c r="G249" s="2590"/>
      <c r="H249" s="2593"/>
      <c r="I249" s="2590"/>
      <c r="J249" s="2593"/>
      <c r="K249" s="2590"/>
      <c r="L249" s="2591"/>
      <c r="M249" s="2592"/>
      <c r="N249" s="2591"/>
      <c r="O249" s="2592"/>
      <c r="P249" s="2591"/>
      <c r="Q249" s="2592"/>
      <c r="R249" s="2591"/>
      <c r="S249" s="2592"/>
      <c r="T249" s="2591"/>
      <c r="U249" s="2592"/>
      <c r="V249" s="2593"/>
      <c r="W249" s="2590"/>
      <c r="X249" s="2593"/>
      <c r="Y249" s="2590"/>
      <c r="Z249" s="2593"/>
      <c r="AA249" s="2590"/>
    </row>
    <row r="250" spans="1:27" ht="15" customHeight="1" x14ac:dyDescent="0.3">
      <c r="A250" s="5979" t="s">
        <v>444</v>
      </c>
      <c r="B250" s="5980"/>
      <c r="C250" s="2586">
        <f>SUM(D250+E250)</f>
        <v>0</v>
      </c>
      <c r="D250" s="2587">
        <f>+H250+J250+L250+N250</f>
        <v>0</v>
      </c>
      <c r="E250" s="2588">
        <f>+I250+K250+M250+O250</f>
        <v>0</v>
      </c>
      <c r="F250" s="2589"/>
      <c r="G250" s="2590"/>
      <c r="H250" s="2591"/>
      <c r="I250" s="2592"/>
      <c r="J250" s="2591"/>
      <c r="K250" s="2592"/>
      <c r="L250" s="2591"/>
      <c r="M250" s="2592"/>
      <c r="N250" s="2591"/>
      <c r="O250" s="2592"/>
      <c r="P250" s="2593"/>
      <c r="Q250" s="2590"/>
      <c r="R250" s="2593"/>
      <c r="S250" s="2590"/>
      <c r="T250" s="2593"/>
      <c r="U250" s="2590"/>
      <c r="V250" s="2593"/>
      <c r="W250" s="2590"/>
      <c r="X250" s="2593"/>
      <c r="Y250" s="2590"/>
      <c r="Z250" s="2593"/>
      <c r="AA250" s="2590"/>
    </row>
    <row r="251" spans="1:27" ht="15" customHeight="1" x14ac:dyDescent="0.3">
      <c r="A251" s="5979" t="s">
        <v>445</v>
      </c>
      <c r="B251" s="5980"/>
      <c r="C251" s="2586">
        <f>SUM(D251+E251)</f>
        <v>0</v>
      </c>
      <c r="D251" s="2587">
        <f>+H251+J251+L251+N251+P251+R251+T251+V251+X251+Z251</f>
        <v>0</v>
      </c>
      <c r="E251" s="2588">
        <f>+I251+K251+M251+O251+Q251+S251+U251+W251+Y251+AA251</f>
        <v>0</v>
      </c>
      <c r="F251" s="2589"/>
      <c r="G251" s="2590"/>
      <c r="H251" s="2591"/>
      <c r="I251" s="2582"/>
      <c r="J251" s="2591"/>
      <c r="K251" s="2592"/>
      <c r="L251" s="2591"/>
      <c r="M251" s="2592"/>
      <c r="N251" s="2591"/>
      <c r="O251" s="2592"/>
      <c r="P251" s="2591"/>
      <c r="Q251" s="2592"/>
      <c r="R251" s="2591"/>
      <c r="S251" s="2592"/>
      <c r="T251" s="2591"/>
      <c r="U251" s="2592"/>
      <c r="V251" s="2591"/>
      <c r="W251" s="2592"/>
      <c r="X251" s="2591"/>
      <c r="Y251" s="2592"/>
      <c r="Z251" s="2591"/>
      <c r="AA251" s="2592"/>
    </row>
    <row r="252" spans="1:27" ht="15" customHeight="1" x14ac:dyDescent="0.3">
      <c r="A252" s="5977" t="s">
        <v>446</v>
      </c>
      <c r="B252" s="5978"/>
      <c r="C252" s="2594">
        <f>SUM(D252+E252)</f>
        <v>0</v>
      </c>
      <c r="D252" s="2595">
        <f>+V252+X252+Z252+T252</f>
        <v>0</v>
      </c>
      <c r="E252" s="2596">
        <f>+W252+Y252+AA252+U252</f>
        <v>0</v>
      </c>
      <c r="F252" s="2597"/>
      <c r="G252" s="2598"/>
      <c r="H252" s="2599"/>
      <c r="I252" s="2597"/>
      <c r="J252" s="2599"/>
      <c r="K252" s="2598"/>
      <c r="L252" s="2599"/>
      <c r="M252" s="2598"/>
      <c r="N252" s="2599"/>
      <c r="O252" s="2598"/>
      <c r="P252" s="2599"/>
      <c r="Q252" s="2598"/>
      <c r="R252" s="2599"/>
      <c r="S252" s="2598"/>
      <c r="T252" s="2600"/>
      <c r="U252" s="2601"/>
      <c r="V252" s="2602"/>
      <c r="W252" s="2603"/>
      <c r="X252" s="2602"/>
      <c r="Y252" s="2603"/>
      <c r="Z252" s="2602"/>
      <c r="AA252" s="2603"/>
    </row>
    <row r="253" spans="1:27" ht="15" customHeight="1" x14ac:dyDescent="0.3">
      <c r="A253" s="5981" t="s">
        <v>317</v>
      </c>
      <c r="B253" s="2604" t="s">
        <v>318</v>
      </c>
      <c r="C253" s="2605">
        <f t="shared" si="84"/>
        <v>0</v>
      </c>
      <c r="D253" s="2606">
        <f>F253+H253+J253+L253+N253+P253+R253+T253+V253+X253+Z253</f>
        <v>0</v>
      </c>
      <c r="E253" s="2607">
        <f>G253+I253+K253+M253+O253+Q253+S253+U253+W253+Y253+AA253</f>
        <v>0</v>
      </c>
      <c r="F253" s="2608"/>
      <c r="G253" s="2583"/>
      <c r="H253" s="2609"/>
      <c r="I253" s="2583"/>
      <c r="J253" s="2609"/>
      <c r="K253" s="2583"/>
      <c r="L253" s="2609"/>
      <c r="M253" s="2583"/>
      <c r="N253" s="2609"/>
      <c r="O253" s="2610"/>
      <c r="P253" s="2609"/>
      <c r="Q253" s="2610"/>
      <c r="R253" s="2611"/>
      <c r="S253" s="2612"/>
      <c r="T253" s="2611"/>
      <c r="U253" s="2612"/>
      <c r="V253" s="2608"/>
      <c r="W253" s="2583"/>
      <c r="X253" s="2609"/>
      <c r="Y253" s="2583"/>
      <c r="Z253" s="2609"/>
      <c r="AA253" s="2583"/>
    </row>
    <row r="254" spans="1:27" ht="15" customHeight="1" x14ac:dyDescent="0.3">
      <c r="A254" s="5982"/>
      <c r="B254" s="2613" t="s">
        <v>420</v>
      </c>
      <c r="C254" s="2614">
        <f t="shared" si="84"/>
        <v>0</v>
      </c>
      <c r="D254" s="2606">
        <f t="shared" ref="D254:E255" si="85">F254+H254+J254+L254+N254+P254+R254+T254+V254+X254+Z254</f>
        <v>0</v>
      </c>
      <c r="E254" s="2607">
        <f t="shared" si="85"/>
        <v>0</v>
      </c>
      <c r="F254" s="2582"/>
      <c r="G254" s="2592"/>
      <c r="H254" s="2591"/>
      <c r="I254" s="2592"/>
      <c r="J254" s="2591"/>
      <c r="K254" s="2592"/>
      <c r="L254" s="2591"/>
      <c r="M254" s="2592"/>
      <c r="N254" s="2591"/>
      <c r="O254" s="2615"/>
      <c r="P254" s="2591"/>
      <c r="Q254" s="2615"/>
      <c r="R254" s="2616"/>
      <c r="S254" s="2617"/>
      <c r="T254" s="2616"/>
      <c r="U254" s="2617"/>
      <c r="V254" s="2582"/>
      <c r="W254" s="2592"/>
      <c r="X254" s="2591"/>
      <c r="Y254" s="2592"/>
      <c r="Z254" s="2591"/>
      <c r="AA254" s="2592"/>
    </row>
    <row r="255" spans="1:27" ht="15" customHeight="1" x14ac:dyDescent="0.3">
      <c r="A255" s="5983"/>
      <c r="B255" s="2618" t="s">
        <v>391</v>
      </c>
      <c r="C255" s="2619">
        <f t="shared" si="84"/>
        <v>0</v>
      </c>
      <c r="D255" s="2620">
        <f t="shared" si="85"/>
        <v>0</v>
      </c>
      <c r="E255" s="2621">
        <f t="shared" si="85"/>
        <v>0</v>
      </c>
      <c r="F255" s="2622"/>
      <c r="G255" s="2603"/>
      <c r="H255" s="2602"/>
      <c r="I255" s="2603"/>
      <c r="J255" s="2602"/>
      <c r="K255" s="2603"/>
      <c r="L255" s="2602"/>
      <c r="M255" s="2603"/>
      <c r="N255" s="2602"/>
      <c r="O255" s="2623"/>
      <c r="P255" s="2602"/>
      <c r="Q255" s="2623"/>
      <c r="R255" s="2624"/>
      <c r="S255" s="2625"/>
      <c r="T255" s="2624"/>
      <c r="U255" s="2625"/>
      <c r="V255" s="2622"/>
      <c r="W255" s="2603"/>
      <c r="X255" s="2602"/>
      <c r="Y255" s="2603"/>
      <c r="Z255" s="2602"/>
      <c r="AA255" s="2603"/>
    </row>
    <row r="256" spans="1:27" ht="18" customHeight="1" x14ac:dyDescent="0.3">
      <c r="A256" s="2508" t="s">
        <v>447</v>
      </c>
      <c r="K256" s="2626"/>
      <c r="L256" s="2626"/>
      <c r="M256" s="2626"/>
      <c r="N256" s="2626"/>
      <c r="O256" s="2626"/>
    </row>
    <row r="257" spans="1:96" ht="15" customHeight="1" x14ac:dyDescent="0.3">
      <c r="A257" s="5873" t="s">
        <v>251</v>
      </c>
      <c r="B257" s="5874"/>
      <c r="C257" s="5879" t="s">
        <v>77</v>
      </c>
      <c r="D257" s="5880"/>
      <c r="E257" s="5881"/>
      <c r="F257" s="5883" t="s">
        <v>101</v>
      </c>
      <c r="G257" s="5883"/>
      <c r="H257" s="5883"/>
      <c r="I257" s="5883"/>
      <c r="J257" s="5883"/>
      <c r="K257" s="5883"/>
      <c r="L257" s="5883"/>
      <c r="M257" s="5883"/>
      <c r="N257" s="5883"/>
      <c r="O257" s="5883"/>
      <c r="P257" s="5884" t="s">
        <v>448</v>
      </c>
      <c r="Q257" s="2627"/>
      <c r="R257" s="2627"/>
    </row>
    <row r="258" spans="1:96" ht="15" customHeight="1" x14ac:dyDescent="0.3">
      <c r="A258" s="5875"/>
      <c r="B258" s="5876"/>
      <c r="C258" s="5796"/>
      <c r="D258" s="5882"/>
      <c r="E258" s="5760"/>
      <c r="F258" s="5887" t="s">
        <v>343</v>
      </c>
      <c r="G258" s="5888"/>
      <c r="H258" s="5887" t="s">
        <v>326</v>
      </c>
      <c r="I258" s="5888"/>
      <c r="J258" s="5887" t="s">
        <v>94</v>
      </c>
      <c r="K258" s="5888"/>
      <c r="L258" s="5973" t="s">
        <v>44</v>
      </c>
      <c r="M258" s="5974"/>
      <c r="N258" s="5975" t="s">
        <v>45</v>
      </c>
      <c r="O258" s="5974"/>
      <c r="P258" s="5885"/>
      <c r="Q258" s="2628"/>
      <c r="R258" s="5976"/>
    </row>
    <row r="259" spans="1:96" ht="15" customHeight="1" x14ac:dyDescent="0.3">
      <c r="A259" s="5877"/>
      <c r="B259" s="5878"/>
      <c r="C259" s="2217" t="s">
        <v>79</v>
      </c>
      <c r="D259" s="2420" t="s">
        <v>58</v>
      </c>
      <c r="E259" s="23" t="s">
        <v>59</v>
      </c>
      <c r="F259" s="2199" t="s">
        <v>58</v>
      </c>
      <c r="G259" s="23" t="s">
        <v>59</v>
      </c>
      <c r="H259" s="2199" t="s">
        <v>58</v>
      </c>
      <c r="I259" s="23" t="s">
        <v>59</v>
      </c>
      <c r="J259" s="2199" t="s">
        <v>58</v>
      </c>
      <c r="K259" s="23" t="s">
        <v>59</v>
      </c>
      <c r="L259" s="2197" t="s">
        <v>58</v>
      </c>
      <c r="M259" s="1785" t="s">
        <v>59</v>
      </c>
      <c r="N259" s="2198" t="s">
        <v>58</v>
      </c>
      <c r="O259" s="2388" t="s">
        <v>59</v>
      </c>
      <c r="P259" s="5886"/>
      <c r="Q259" s="2628"/>
      <c r="R259" s="5976"/>
    </row>
    <row r="260" spans="1:96" ht="15" customHeight="1" x14ac:dyDescent="0.3">
      <c r="A260" s="5854" t="s">
        <v>344</v>
      </c>
      <c r="B260" s="2552" t="s">
        <v>449</v>
      </c>
      <c r="C260" s="2391">
        <f t="shared" ref="C260:C265" si="86">SUM(D260:E260)</f>
        <v>0</v>
      </c>
      <c r="D260" s="2325">
        <f>+F260+H260+J260+L260+N260</f>
        <v>0</v>
      </c>
      <c r="E260" s="2255">
        <f>+G260+I260+K260+M260+O260</f>
        <v>0</v>
      </c>
      <c r="F260" s="2283"/>
      <c r="G260" s="1996"/>
      <c r="H260" s="2209"/>
      <c r="I260" s="1996"/>
      <c r="J260" s="2209"/>
      <c r="K260" s="1996"/>
      <c r="L260" s="2209"/>
      <c r="M260" s="1996"/>
      <c r="N260" s="2283"/>
      <c r="O260" s="1996"/>
      <c r="P260" s="2629"/>
      <c r="Q260" s="1898" t="str">
        <f>$CA260</f>
        <v/>
      </c>
      <c r="R260" s="2630"/>
      <c r="CA260" s="2229" t="str">
        <f>IF(AND($C260&lt;&gt;0,P260=""),"* No olvide ingresar la variable "&amp;P$257&amp;""&amp;" (Digite CERO si no tiene). ",IF(P260&gt;$C260,"* La variable Derivación efectiva no debe ser mayor al Total Ambos Sexos.",""))</f>
        <v/>
      </c>
      <c r="CB260" s="2228"/>
      <c r="CD260" s="2228"/>
      <c r="CE260" s="2228"/>
      <c r="CF260" s="99"/>
      <c r="CG260" s="99"/>
      <c r="CH260" s="99"/>
      <c r="CI260" s="99"/>
      <c r="CJ260" s="99"/>
      <c r="CK260" s="2396">
        <f>IF(AND($C260&lt;&gt;0,P260=""),0,IF(P260&gt;$C260,1,0))</f>
        <v>0</v>
      </c>
    </row>
    <row r="261" spans="1:96" ht="15" customHeight="1" x14ac:dyDescent="0.3">
      <c r="A261" s="5855"/>
      <c r="B261" s="2631" t="s">
        <v>346</v>
      </c>
      <c r="C261" s="295">
        <f t="shared" si="86"/>
        <v>0</v>
      </c>
      <c r="D261" s="2326">
        <f t="shared" ref="D261:E265" si="87">+F261+H261+J261+L261+N261</f>
        <v>0</v>
      </c>
      <c r="E261" s="146">
        <f t="shared" si="87"/>
        <v>0</v>
      </c>
      <c r="F261" s="2068"/>
      <c r="G261" s="2003"/>
      <c r="H261" s="329"/>
      <c r="I261" s="2003"/>
      <c r="J261" s="329"/>
      <c r="K261" s="2003"/>
      <c r="L261" s="329"/>
      <c r="M261" s="2003"/>
      <c r="N261" s="2068"/>
      <c r="O261" s="2003"/>
      <c r="P261" s="2632"/>
      <c r="Q261" s="1898" t="str">
        <f t="shared" ref="Q261:Q262" si="88">$CA261</f>
        <v/>
      </c>
      <c r="R261" s="2630"/>
      <c r="CA261" s="2229" t="str">
        <f>IF(AND($C261&lt;&gt;0,P261=""),"* No olvide ingresar la variable "&amp;P$257&amp;""&amp;" (Digite CERO si no tiene). ",IF(P261&gt;$C261,"* La variable Derivación efectiva no debe ser mayor al Total Ambos Sexos.",""))</f>
        <v/>
      </c>
      <c r="CB261" s="2228"/>
      <c r="CD261" s="2228"/>
      <c r="CE261" s="2228"/>
      <c r="CF261" s="99"/>
      <c r="CG261" s="99"/>
      <c r="CH261" s="99"/>
      <c r="CI261" s="99"/>
      <c r="CJ261" s="99"/>
      <c r="CK261" s="2396">
        <f t="shared" ref="CK261:CK262" si="89">IF(AND($C261&lt;&gt;0,P261=""),0,IF(P261&gt;$C261,1,0))</f>
        <v>0</v>
      </c>
    </row>
    <row r="262" spans="1:96" ht="18" customHeight="1" x14ac:dyDescent="0.3">
      <c r="A262" s="5856"/>
      <c r="B262" s="2557" t="s">
        <v>347</v>
      </c>
      <c r="C262" s="2425">
        <f t="shared" si="86"/>
        <v>0</v>
      </c>
      <c r="D262" s="2426">
        <f t="shared" si="87"/>
        <v>0</v>
      </c>
      <c r="E262" s="2263">
        <f t="shared" si="87"/>
        <v>0</v>
      </c>
      <c r="F262" s="1911"/>
      <c r="G262" s="2009"/>
      <c r="H262" s="876"/>
      <c r="I262" s="2009"/>
      <c r="J262" s="876"/>
      <c r="K262" s="2009"/>
      <c r="L262" s="876"/>
      <c r="M262" s="2009"/>
      <c r="N262" s="1911"/>
      <c r="O262" s="2009"/>
      <c r="P262" s="2633"/>
      <c r="Q262" s="1898" t="str">
        <f t="shared" si="88"/>
        <v/>
      </c>
      <c r="R262" s="2630"/>
      <c r="CA262" s="2229" t="str">
        <f>IF(AND($C262&lt;&gt;0,P262=""),"* No olvide ingresar la variable "&amp;P$257&amp;""&amp;" (Digite CERO si no tiene). ",IF(P262&gt;$C262,"* La variable Derivación efectiva no debe ser mayor al Total Ambos Sexos.",""))</f>
        <v/>
      </c>
      <c r="CB262" s="2228"/>
      <c r="CD262" s="2228"/>
      <c r="CE262" s="2228"/>
      <c r="CF262" s="99"/>
      <c r="CG262" s="99"/>
      <c r="CH262" s="99"/>
      <c r="CI262" s="99"/>
      <c r="CJ262" s="99"/>
      <c r="CK262" s="2396">
        <f t="shared" si="89"/>
        <v>0</v>
      </c>
    </row>
    <row r="263" spans="1:96" ht="15" customHeight="1" x14ac:dyDescent="0.3">
      <c r="A263" s="5854" t="s">
        <v>348</v>
      </c>
      <c r="B263" s="2552" t="s">
        <v>449</v>
      </c>
      <c r="C263" s="2391">
        <f t="shared" si="86"/>
        <v>0</v>
      </c>
      <c r="D263" s="2325">
        <f t="shared" si="87"/>
        <v>0</v>
      </c>
      <c r="E263" s="2255">
        <f t="shared" si="87"/>
        <v>0</v>
      </c>
      <c r="F263" s="2283"/>
      <c r="G263" s="1996"/>
      <c r="H263" s="2209"/>
      <c r="I263" s="1996"/>
      <c r="J263" s="2209"/>
      <c r="K263" s="1996"/>
      <c r="L263" s="2209"/>
      <c r="M263" s="1996"/>
      <c r="N263" s="2283"/>
      <c r="O263" s="1944"/>
      <c r="P263" s="2634"/>
    </row>
    <row r="264" spans="1:96" ht="15" customHeight="1" x14ac:dyDescent="0.3">
      <c r="A264" s="5855"/>
      <c r="B264" s="2631" t="s">
        <v>346</v>
      </c>
      <c r="C264" s="295">
        <f t="shared" si="86"/>
        <v>0</v>
      </c>
      <c r="D264" s="2326">
        <f t="shared" si="87"/>
        <v>0</v>
      </c>
      <c r="E264" s="146">
        <f t="shared" si="87"/>
        <v>0</v>
      </c>
      <c r="F264" s="2068"/>
      <c r="G264" s="2003"/>
      <c r="H264" s="329"/>
      <c r="I264" s="2003"/>
      <c r="J264" s="329"/>
      <c r="K264" s="2003"/>
      <c r="L264" s="329"/>
      <c r="M264" s="2003"/>
      <c r="N264" s="2068"/>
      <c r="O264" s="332"/>
      <c r="P264" s="2352"/>
    </row>
    <row r="265" spans="1:96" ht="15" customHeight="1" x14ac:dyDescent="0.3">
      <c r="A265" s="5856"/>
      <c r="B265" s="2557" t="s">
        <v>347</v>
      </c>
      <c r="C265" s="2425">
        <f t="shared" si="86"/>
        <v>0</v>
      </c>
      <c r="D265" s="2426">
        <f t="shared" si="87"/>
        <v>0</v>
      </c>
      <c r="E265" s="2263">
        <f t="shared" si="87"/>
        <v>0</v>
      </c>
      <c r="F265" s="1911"/>
      <c r="G265" s="2009"/>
      <c r="H265" s="876"/>
      <c r="I265" s="2009"/>
      <c r="J265" s="876"/>
      <c r="K265" s="2009"/>
      <c r="L265" s="876"/>
      <c r="M265" s="2009"/>
      <c r="N265" s="1911"/>
      <c r="O265" s="1953"/>
      <c r="P265" s="1943"/>
    </row>
    <row r="266" spans="1:96" ht="18" customHeight="1" x14ac:dyDescent="0.3">
      <c r="A266" s="3" t="s">
        <v>450</v>
      </c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1:96" x14ac:dyDescent="0.3">
      <c r="A267" s="5850" t="s">
        <v>219</v>
      </c>
      <c r="B267" s="5850" t="s">
        <v>451</v>
      </c>
      <c r="C267" s="5852" t="s">
        <v>452</v>
      </c>
      <c r="D267" s="5852"/>
      <c r="E267" s="5852"/>
      <c r="F267" s="5846" t="s">
        <v>101</v>
      </c>
      <c r="G267" s="5847"/>
      <c r="H267" s="5847"/>
      <c r="I267" s="5847"/>
      <c r="J267" s="5847"/>
      <c r="K267" s="5847"/>
      <c r="L267" s="5847"/>
      <c r="M267" s="5847"/>
      <c r="N267" s="5847"/>
      <c r="O267" s="5847"/>
      <c r="P267" s="5847"/>
      <c r="Q267" s="5847"/>
      <c r="R267" s="5847"/>
      <c r="S267" s="5847"/>
      <c r="T267" s="5847"/>
      <c r="U267" s="5848"/>
      <c r="V267" s="5831" t="s">
        <v>453</v>
      </c>
      <c r="W267" s="5832" t="s">
        <v>454</v>
      </c>
      <c r="X267" s="5836" t="s">
        <v>455</v>
      </c>
      <c r="Y267" s="5832" t="s">
        <v>456</v>
      </c>
      <c r="Z267" s="5839" t="s">
        <v>457</v>
      </c>
      <c r="AA267" s="5840"/>
      <c r="AB267" s="5833" t="s">
        <v>36</v>
      </c>
      <c r="AC267" s="5849" t="s">
        <v>37</v>
      </c>
    </row>
    <row r="268" spans="1:96" x14ac:dyDescent="0.3">
      <c r="A268" s="5851"/>
      <c r="B268" s="5851"/>
      <c r="C268" s="5852"/>
      <c r="D268" s="5852"/>
      <c r="E268" s="5852"/>
      <c r="F268" s="5846" t="s">
        <v>458</v>
      </c>
      <c r="G268" s="5853"/>
      <c r="H268" s="5846" t="s">
        <v>459</v>
      </c>
      <c r="I268" s="5853"/>
      <c r="J268" s="5846" t="s">
        <v>45</v>
      </c>
      <c r="K268" s="5853"/>
      <c r="L268" s="5846" t="s">
        <v>366</v>
      </c>
      <c r="M268" s="5853"/>
      <c r="N268" s="5846" t="s">
        <v>439</v>
      </c>
      <c r="O268" s="5853"/>
      <c r="P268" s="5846" t="s">
        <v>53</v>
      </c>
      <c r="Q268" s="5853"/>
      <c r="R268" s="5846" t="s">
        <v>460</v>
      </c>
      <c r="S268" s="5853"/>
      <c r="T268" s="5846" t="s">
        <v>57</v>
      </c>
      <c r="U268" s="5848"/>
      <c r="V268" s="5766"/>
      <c r="W268" s="5759"/>
      <c r="X268" s="5837"/>
      <c r="Y268" s="5759"/>
      <c r="Z268" s="5841"/>
      <c r="AA268" s="5842"/>
      <c r="AB268" s="5834"/>
      <c r="AC268" s="5798"/>
    </row>
    <row r="269" spans="1:96" x14ac:dyDescent="0.3">
      <c r="A269" s="5825"/>
      <c r="B269" s="5825"/>
      <c r="C269" s="2635" t="s">
        <v>79</v>
      </c>
      <c r="D269" s="2636" t="s">
        <v>58</v>
      </c>
      <c r="E269" s="2309" t="s">
        <v>59</v>
      </c>
      <c r="F269" s="2419" t="s">
        <v>58</v>
      </c>
      <c r="G269" s="2309" t="s">
        <v>59</v>
      </c>
      <c r="H269" s="2419" t="s">
        <v>58</v>
      </c>
      <c r="I269" s="2309" t="s">
        <v>59</v>
      </c>
      <c r="J269" s="2419" t="s">
        <v>58</v>
      </c>
      <c r="K269" s="2309" t="s">
        <v>59</v>
      </c>
      <c r="L269" s="2419" t="s">
        <v>461</v>
      </c>
      <c r="M269" s="2309" t="s">
        <v>59</v>
      </c>
      <c r="N269" s="2419" t="s">
        <v>461</v>
      </c>
      <c r="O269" s="2309" t="s">
        <v>59</v>
      </c>
      <c r="P269" s="2419" t="s">
        <v>461</v>
      </c>
      <c r="Q269" s="2309" t="s">
        <v>59</v>
      </c>
      <c r="R269" s="2419" t="s">
        <v>461</v>
      </c>
      <c r="S269" s="2309" t="s">
        <v>59</v>
      </c>
      <c r="T269" s="2419" t="s">
        <v>461</v>
      </c>
      <c r="U269" s="2279" t="s">
        <v>59</v>
      </c>
      <c r="V269" s="5767"/>
      <c r="W269" s="5760"/>
      <c r="X269" s="5838"/>
      <c r="Y269" s="5760"/>
      <c r="Z269" s="2419" t="s">
        <v>462</v>
      </c>
      <c r="AA269" s="1776" t="s">
        <v>463</v>
      </c>
      <c r="AB269" s="5835"/>
      <c r="AC269" s="5799"/>
    </row>
    <row r="270" spans="1:96" ht="20.399999999999999" x14ac:dyDescent="0.3">
      <c r="A270" s="5843" t="s">
        <v>464</v>
      </c>
      <c r="B270" s="2637" t="s">
        <v>465</v>
      </c>
      <c r="C270" s="2281">
        <f>SUM(D270+E270)</f>
        <v>0</v>
      </c>
      <c r="D270" s="2638">
        <f t="shared" ref="D270:E274" si="90">SUM(F270+H270+J270+L270+N270+P270+R270+T270)</f>
        <v>0</v>
      </c>
      <c r="E270" s="2639">
        <f t="shared" si="90"/>
        <v>0</v>
      </c>
      <c r="F270" s="2209"/>
      <c r="G270" s="2210"/>
      <c r="H270" s="2209"/>
      <c r="I270" s="2210"/>
      <c r="J270" s="2209"/>
      <c r="K270" s="2210"/>
      <c r="L270" s="2209"/>
      <c r="M270" s="2210"/>
      <c r="N270" s="2209"/>
      <c r="O270" s="2210"/>
      <c r="P270" s="2209"/>
      <c r="Q270" s="2210"/>
      <c r="R270" s="2209"/>
      <c r="S270" s="2210"/>
      <c r="T270" s="2209"/>
      <c r="U270" s="2640"/>
      <c r="V270" s="2641"/>
      <c r="W270" s="2642"/>
      <c r="X270" s="2643"/>
      <c r="Y270" s="2642"/>
      <c r="Z270" s="2644"/>
      <c r="AA270" s="2642"/>
      <c r="AB270" s="2644"/>
      <c r="AC270" s="2645"/>
    </row>
    <row r="271" spans="1:96" x14ac:dyDescent="0.3">
      <c r="A271" s="5844"/>
      <c r="B271" s="295" t="s">
        <v>466</v>
      </c>
      <c r="C271" s="2436">
        <f>SUM(D271+E271)</f>
        <v>0</v>
      </c>
      <c r="D271" s="140">
        <f t="shared" si="90"/>
        <v>0</v>
      </c>
      <c r="E271" s="224">
        <f t="shared" si="90"/>
        <v>0</v>
      </c>
      <c r="F271" s="327"/>
      <c r="G271" s="142"/>
      <c r="H271" s="327"/>
      <c r="I271" s="142"/>
      <c r="J271" s="327"/>
      <c r="K271" s="142"/>
      <c r="L271" s="327"/>
      <c r="M271" s="142"/>
      <c r="N271" s="327"/>
      <c r="O271" s="142"/>
      <c r="P271" s="327"/>
      <c r="Q271" s="142"/>
      <c r="R271" s="327"/>
      <c r="S271" s="142"/>
      <c r="T271" s="327"/>
      <c r="U271" s="1918"/>
      <c r="V271" s="337"/>
      <c r="W271" s="142"/>
      <c r="X271" s="44"/>
      <c r="Y271" s="142"/>
      <c r="Z271" s="327"/>
      <c r="AA271" s="142"/>
      <c r="AB271" s="327"/>
      <c r="AC271" s="905"/>
      <c r="AD271" s="24" t="str">
        <f>CA271&amp;CB271&amp;CC271&amp;CD271&amp;CE271&amp;CF271&amp;CG271&amp;CH271</f>
        <v/>
      </c>
      <c r="CA271" s="2229" t="str">
        <f>IF(AND($C271&lt;&gt;0,V271=""),"* No olvide ingresar la variable "&amp;V$267&amp;""&amp;". Digite CERO si no tiene. ",IF(V271&gt;$C271,"* La variable Gestantes no debe ser mayor al Total Ambos Sexos. ",""))</f>
        <v/>
      </c>
      <c r="CB271" s="2229" t="str">
        <f>IF(AND($C271&lt;&gt;0,W271=""),"* No olvide ingresar la variable "&amp;W$267&amp;""&amp;". Digite CERO si no tiene. ",IF(W271&gt;$C271,"* La variable Madre de hijo menor de 5 años no debe ser mayor al Total Ambos Sexos. ",""))</f>
        <v/>
      </c>
      <c r="CC271" s="2229" t="str">
        <f>IF(AND($C271&lt;&gt;0,X271=""),"* No olvide ingresar la variable "&amp;X$267&amp;""&amp;". Digite CERO si no tiene. ",IF(X271&gt;$C271,"* La variable Niños, Niñas, Adolescentes y Jóvenes  SENAME no debe ser mayor al Total Ambos Sexos. ",""))</f>
        <v/>
      </c>
      <c r="CD271" s="2229" t="str">
        <f>IF(AND($C271&lt;&gt;0,Y271=""),"* No olvide ingresar la variable "&amp;Y$267&amp;""&amp;". Digite CERO si no tiene. ",IF(Y271&gt;$C271,"* La variable Niños, Niñas, Adolescentes y Jóvenes  Mejor Niñez no debe ser mayor al Total Ambos Sexos. ",""))</f>
        <v/>
      </c>
      <c r="CE271" s="2229" t="str">
        <f>IF(AND($E271&lt;&gt;0,Z271=""),"* No olvide ingresar la variable "&amp;Z$267&amp;""&amp;" Masculino. Digite CERO si no tiene. ",IF(Z271&gt;$E271,"* La variable TRANS Masculino no debe ser mayor al Total Mujeres. ",""))</f>
        <v/>
      </c>
      <c r="CF271" s="2229" t="str">
        <f>IF(AND($D271&lt;&gt;0,AA271=""),"* No olvide ingresar la variable "&amp;Z$267&amp;""&amp;" Femenino. Digite CERO si no tiene. ",IF(AA271&gt;$D271,"* La variable TRANS Femenino no debe ser mayor al Total Hombres. ",""))</f>
        <v/>
      </c>
      <c r="CG271" s="2229" t="str">
        <f>IF(AND($C271&lt;&gt;0,AB271=""),"* No olvide ingresar la variable "&amp;AB$267&amp;""&amp;". Digite CERO si no tiene. ",IF(AB271&gt;$C271,"* La variable Pueblos Originarios no debe ser mayor al Total Ambos Sexos. ",""))</f>
        <v/>
      </c>
      <c r="CH271" s="2229" t="str">
        <f>IF(AND($C271&lt;&gt;0,AC271=""),"* No olvide ingresar la variable "&amp;AC$267&amp;""&amp;". Digite CERO si no tiene. ",IF(AC271&gt;$C271,"* La variable Migrantes no debe ser mayor al Total Ambos Sexos. ",""))</f>
        <v/>
      </c>
      <c r="CI271" s="99"/>
      <c r="CK271" s="55">
        <f>IF(AND($C271&lt;&gt;0,V271=""),1,IF(V271&gt;$C271,1,0))</f>
        <v>0</v>
      </c>
      <c r="CL271" s="55">
        <f>IF(AND($C271&lt;&gt;0,W271=""),1,IF(W271&gt;$C271,1,0))</f>
        <v>0</v>
      </c>
      <c r="CM271" s="55">
        <f>IF(AND($C271&lt;&gt;0,X271=""),1,IF(X271&gt;$C271,1,0))</f>
        <v>0</v>
      </c>
      <c r="CN271" s="55">
        <f>IF(AND($C271&lt;&gt;0,Y271=""),1,IF(Y271&gt;$C271,1,0))</f>
        <v>0</v>
      </c>
      <c r="CO271" s="55">
        <f>IF(AND($E271&lt;&gt;0,Z271=""),1,IF(Z271&gt;$E271,1,0))</f>
        <v>0</v>
      </c>
      <c r="CP271" s="55">
        <f>IF(AND($D271&lt;&gt;0,AA271=""),1,IF(AA271&gt;$D271,1,0))</f>
        <v>0</v>
      </c>
      <c r="CQ271" s="55">
        <f>IF(AND($C271&lt;&gt;0,AB271=""),1,IF(AB271&gt;$C271,1,0))</f>
        <v>0</v>
      </c>
      <c r="CR271" s="55">
        <f>IF(AND($C271&lt;&gt;0,AC271=""),1,IF(AC271&gt;$C271,1,0))</f>
        <v>0</v>
      </c>
    </row>
    <row r="272" spans="1:96" x14ac:dyDescent="0.3">
      <c r="A272" s="5844"/>
      <c r="B272" s="358" t="s">
        <v>467</v>
      </c>
      <c r="C272" s="2285">
        <f>SUM(D272+E272)</f>
        <v>0</v>
      </c>
      <c r="D272" s="761">
        <f t="shared" si="90"/>
        <v>0</v>
      </c>
      <c r="E272" s="762">
        <f t="shared" si="90"/>
        <v>0</v>
      </c>
      <c r="F272" s="327"/>
      <c r="G272" s="142"/>
      <c r="H272" s="327"/>
      <c r="I272" s="142"/>
      <c r="J272" s="327"/>
      <c r="K272" s="142"/>
      <c r="L272" s="327"/>
      <c r="M272" s="142"/>
      <c r="N272" s="327"/>
      <c r="O272" s="142"/>
      <c r="P272" s="327"/>
      <c r="Q272" s="142"/>
      <c r="R272" s="327"/>
      <c r="S272" s="142"/>
      <c r="T272" s="327"/>
      <c r="U272" s="1918"/>
      <c r="V272" s="337"/>
      <c r="W272" s="142"/>
      <c r="X272" s="44"/>
      <c r="Y272" s="142"/>
      <c r="Z272" s="327"/>
      <c r="AA272" s="142"/>
      <c r="AB272" s="327"/>
      <c r="AC272" s="905"/>
      <c r="AD272" s="24" t="str">
        <f t="shared" ref="AD272:AD274" si="91">CA272&amp;CB272&amp;CC272&amp;CD272&amp;CE272&amp;CF272&amp;CG272&amp;CH272</f>
        <v/>
      </c>
      <c r="CA272" s="2229" t="str">
        <f t="shared" ref="CA272:CA274" si="92">IF(AND($C272&lt;&gt;0,V272=""),"* No olvide ingresar la variable "&amp;V$267&amp;""&amp;". Digite CERO si no tiene. ",IF(V272&gt;$C272,"* La variable Gestantes no debe ser mayor al Total Ambos Sexos. ",""))</f>
        <v/>
      </c>
      <c r="CB272" s="2229" t="str">
        <f t="shared" ref="CB272:CB274" si="93">IF(AND($C272&lt;&gt;0,W272=""),"* No olvide ingresar la variable "&amp;W$267&amp;""&amp;". Digite CERO si no tiene. ",IF(W272&gt;$C272,"* La variable Madre de hijo menor de 5 años no debe ser mayor al Total Ambos Sexos. ",""))</f>
        <v/>
      </c>
      <c r="CC272" s="2229" t="str">
        <f t="shared" ref="CC272:CC274" si="94">IF(AND($C272&lt;&gt;0,X272=""),"* No olvide ingresar la variable "&amp;X$267&amp;""&amp;". Digite CERO si no tiene. ",IF(X272&gt;$C272,"* La variable Niños, Niñas, Adolescentes y Jóvenes  SENAME no debe ser mayor al Total Ambos Sexos. ",""))</f>
        <v/>
      </c>
      <c r="CD272" s="2229" t="str">
        <f t="shared" ref="CD272:CD274" si="95">IF(AND($C272&lt;&gt;0,Y272=""),"* No olvide ingresar la variable "&amp;Y$267&amp;""&amp;". Digite CERO si no tiene. ",IF(Y272&gt;$C272,"* La variable Niños, Niñas, Adolescentes y Jóvenes  Mejor Niñez no debe ser mayor al Total Ambos Sexos. ",""))</f>
        <v/>
      </c>
      <c r="CE272" s="2229" t="str">
        <f t="shared" ref="CE272:CE274" si="96">IF(AND($E272&lt;&gt;0,Z272=""),"* No olvide ingresar la variable "&amp;Z$267&amp;""&amp;" Masculino. Digite CERO si no tiene. ",IF(Z272&gt;$E272,"* La variable TRANS Masculino no debe ser mayor al Total Mujeres. ",""))</f>
        <v/>
      </c>
      <c r="CF272" s="2229" t="str">
        <f t="shared" ref="CF272:CF274" si="97">IF(AND($D272&lt;&gt;0,AA272=""),"* No olvide ingresar la variable "&amp;Z$267&amp;""&amp;" Femenino. Digite CERO si no tiene. ",IF(AA272&gt;$D272,"* La variable TRANS Femenino no debe ser mayor al Total Hombres. ",""))</f>
        <v/>
      </c>
      <c r="CG272" s="2229" t="str">
        <f t="shared" ref="CG272:CG274" si="98">IF(AND($C272&lt;&gt;0,AB272=""),"* No olvide ingresar la variable "&amp;AB$267&amp;""&amp;". Digite CERO si no tiene. ",IF(AB272&gt;$C272,"* La variable Pueblos Originarios no debe ser mayor al Total Ambos Sexos. ",""))</f>
        <v/>
      </c>
      <c r="CH272" s="2229" t="str">
        <f t="shared" ref="CH272:CH274" si="99">IF(AND($C272&lt;&gt;0,AC272=""),"* No olvide ingresar la variable "&amp;AC$267&amp;""&amp;". Digite CERO si no tiene. ",IF(AC272&gt;$C272,"* La variable Migrantes no debe ser mayor al Total Ambos Sexos. ",""))</f>
        <v/>
      </c>
      <c r="CI272" s="99"/>
      <c r="CK272" s="55">
        <f t="shared" ref="CK272:CK274" si="100">IF(AND($C272&lt;&gt;0,V272=""),1,IF(V272&gt;$C272,1,0))</f>
        <v>0</v>
      </c>
      <c r="CL272" s="55">
        <f t="shared" ref="CL272:CL274" si="101">IF(AND($C272&lt;&gt;0,W272=""),1,IF(W272&gt;$C272,1,0))</f>
        <v>0</v>
      </c>
      <c r="CM272" s="55">
        <f t="shared" ref="CM272:CM274" si="102">IF(AND($C272&lt;&gt;0,X272=""),1,IF(X272&gt;$C272,1,0))</f>
        <v>0</v>
      </c>
      <c r="CN272" s="55">
        <f t="shared" ref="CN272:CN274" si="103">IF(AND($C272&lt;&gt;0,Y272=""),1,IF(Y272&gt;$C272,1,0))</f>
        <v>0</v>
      </c>
      <c r="CO272" s="55">
        <f t="shared" ref="CO272:CO274" si="104">IF(AND($E272&lt;&gt;0,Z272=""),1,IF(Z272&gt;$E272,1,0))</f>
        <v>0</v>
      </c>
      <c r="CP272" s="55">
        <f t="shared" ref="CP272:CP274" si="105">IF(AND($D272&lt;&gt;0,AA272=""),1,IF(AA272&gt;$D272,1,0))</f>
        <v>0</v>
      </c>
      <c r="CQ272" s="55">
        <f t="shared" ref="CQ272:CQ274" si="106">IF(AND($C272&lt;&gt;0,AB272=""),1,IF(AB272&gt;$C272,1,0))</f>
        <v>0</v>
      </c>
      <c r="CR272" s="55">
        <f t="shared" ref="CR272:CR273" si="107">IF(AND($C272&lt;&gt;0,AC272=""),1,IF(AC272&gt;$C272,1,0))</f>
        <v>0</v>
      </c>
    </row>
    <row r="273" spans="1:96" x14ac:dyDescent="0.3">
      <c r="A273" s="5844"/>
      <c r="B273" s="357" t="s">
        <v>468</v>
      </c>
      <c r="C273" s="2285">
        <f>SUM(D273+E273)</f>
        <v>0</v>
      </c>
      <c r="D273" s="761">
        <f t="shared" si="90"/>
        <v>0</v>
      </c>
      <c r="E273" s="762">
        <f t="shared" si="90"/>
        <v>0</v>
      </c>
      <c r="F273" s="329"/>
      <c r="G273" s="330"/>
      <c r="H273" s="329"/>
      <c r="I273" s="330"/>
      <c r="J273" s="329"/>
      <c r="K273" s="330"/>
      <c r="L273" s="329"/>
      <c r="M273" s="330"/>
      <c r="N273" s="329"/>
      <c r="O273" s="330"/>
      <c r="P273" s="329"/>
      <c r="Q273" s="330"/>
      <c r="R273" s="329"/>
      <c r="S273" s="330"/>
      <c r="T273" s="329"/>
      <c r="U273" s="2302"/>
      <c r="V273" s="2004"/>
      <c r="W273" s="330"/>
      <c r="X273" s="2068"/>
      <c r="Y273" s="330"/>
      <c r="Z273" s="329"/>
      <c r="AA273" s="330"/>
      <c r="AB273" s="329"/>
      <c r="AC273" s="2003"/>
      <c r="AD273" s="24" t="str">
        <f t="shared" si="91"/>
        <v/>
      </c>
      <c r="CA273" s="2229" t="str">
        <f t="shared" si="92"/>
        <v/>
      </c>
      <c r="CB273" s="2229" t="str">
        <f t="shared" si="93"/>
        <v/>
      </c>
      <c r="CC273" s="2229" t="str">
        <f t="shared" si="94"/>
        <v/>
      </c>
      <c r="CD273" s="2229" t="str">
        <f t="shared" si="95"/>
        <v/>
      </c>
      <c r="CE273" s="2229" t="str">
        <f t="shared" si="96"/>
        <v/>
      </c>
      <c r="CF273" s="2229" t="str">
        <f t="shared" si="97"/>
        <v/>
      </c>
      <c r="CG273" s="2229" t="str">
        <f t="shared" si="98"/>
        <v/>
      </c>
      <c r="CH273" s="2229" t="str">
        <f t="shared" si="99"/>
        <v/>
      </c>
      <c r="CI273" s="99"/>
      <c r="CK273" s="55">
        <f t="shared" si="100"/>
        <v>0</v>
      </c>
      <c r="CL273" s="55">
        <f t="shared" si="101"/>
        <v>0</v>
      </c>
      <c r="CM273" s="55">
        <f t="shared" si="102"/>
        <v>0</v>
      </c>
      <c r="CN273" s="55">
        <f t="shared" si="103"/>
        <v>0</v>
      </c>
      <c r="CO273" s="55">
        <f t="shared" si="104"/>
        <v>0</v>
      </c>
      <c r="CP273" s="55">
        <f t="shared" si="105"/>
        <v>0</v>
      </c>
      <c r="CQ273" s="55">
        <f t="shared" si="106"/>
        <v>0</v>
      </c>
      <c r="CR273" s="55">
        <f t="shared" si="107"/>
        <v>0</v>
      </c>
    </row>
    <row r="274" spans="1:96" x14ac:dyDescent="0.3">
      <c r="A274" s="5845"/>
      <c r="B274" s="519" t="s">
        <v>469</v>
      </c>
      <c r="C274" s="2289">
        <f>SUM(D274+E274)</f>
        <v>0</v>
      </c>
      <c r="D274" s="764">
        <f t="shared" si="90"/>
        <v>0</v>
      </c>
      <c r="E274" s="765">
        <f t="shared" si="90"/>
        <v>0</v>
      </c>
      <c r="F274" s="1940"/>
      <c r="G274" s="2110"/>
      <c r="H274" s="1940"/>
      <c r="I274" s="2110"/>
      <c r="J274" s="1940"/>
      <c r="K274" s="2110"/>
      <c r="L274" s="1940"/>
      <c r="M274" s="2110"/>
      <c r="N274" s="1940"/>
      <c r="O274" s="2110"/>
      <c r="P274" s="1940"/>
      <c r="Q274" s="2110"/>
      <c r="R274" s="1940"/>
      <c r="S274" s="2110"/>
      <c r="T274" s="1940"/>
      <c r="U274" s="2646"/>
      <c r="V274" s="2109"/>
      <c r="W274" s="2110"/>
      <c r="X274" s="2087"/>
      <c r="Y274" s="2110"/>
      <c r="Z274" s="1940"/>
      <c r="AA274" s="2110"/>
      <c r="AB274" s="1940"/>
      <c r="AC274" s="325"/>
      <c r="AD274" s="24" t="str">
        <f t="shared" si="91"/>
        <v/>
      </c>
      <c r="CA274" s="2229" t="str">
        <f t="shared" si="92"/>
        <v/>
      </c>
      <c r="CB274" s="2229" t="str">
        <f t="shared" si="93"/>
        <v/>
      </c>
      <c r="CC274" s="2229" t="str">
        <f t="shared" si="94"/>
        <v/>
      </c>
      <c r="CD274" s="2229" t="str">
        <f t="shared" si="95"/>
        <v/>
      </c>
      <c r="CE274" s="2229" t="str">
        <f t="shared" si="96"/>
        <v/>
      </c>
      <c r="CF274" s="2229" t="str">
        <f t="shared" si="97"/>
        <v/>
      </c>
      <c r="CG274" s="2229" t="str">
        <f t="shared" si="98"/>
        <v/>
      </c>
      <c r="CH274" s="2229" t="str">
        <f t="shared" si="99"/>
        <v/>
      </c>
      <c r="CI274" s="99"/>
      <c r="CK274" s="55">
        <f t="shared" si="100"/>
        <v>0</v>
      </c>
      <c r="CL274" s="55">
        <f t="shared" si="101"/>
        <v>0</v>
      </c>
      <c r="CM274" s="55">
        <f t="shared" si="102"/>
        <v>0</v>
      </c>
      <c r="CN274" s="55">
        <f t="shared" si="103"/>
        <v>0</v>
      </c>
      <c r="CO274" s="55">
        <f t="shared" si="104"/>
        <v>0</v>
      </c>
      <c r="CP274" s="55">
        <f t="shared" si="105"/>
        <v>0</v>
      </c>
      <c r="CQ274" s="55">
        <f t="shared" si="106"/>
        <v>0</v>
      </c>
      <c r="CR274" s="55">
        <f>IF(AND($C274&lt;&gt;0,AC274=""),1,IF(AC274&gt;$C274,1,0))</f>
        <v>0</v>
      </c>
    </row>
    <row r="277" spans="1:96" ht="12" customHeight="1" x14ac:dyDescent="0.3"/>
    <row r="278" spans="1:96" ht="18" hidden="1" customHeight="1" x14ac:dyDescent="0.3">
      <c r="A278" s="2647">
        <f>SUM(C13:C15,C20:C41,B46:B49,B54:B57,C61:C67,B72:B74,B80:B83,B86:F87,C90:G93,C97:C102,C108:C117,C122:C158,C163:C168,C173:C178,C183:C186,C192:C194,C199:C201,C206:C208,C213:C215,E219:H221,E223:F226,C230:D231,C237:E241,C246:C255,C260:C265,C270:C274)</f>
        <v>0</v>
      </c>
      <c r="B278" s="2647">
        <f>SUM(CK20:CR274)</f>
        <v>0</v>
      </c>
    </row>
  </sheetData>
  <sheetProtection algorithmName="SHA-512" hashValue="0LCRmvRQUDGcM8r1OMO0TjfQybDcERHfoVQCtDw2bx9Ng/jtMAWKq3zT9z+Vc5lbwelGelHDqQ2n4P7XN77XNg==" saltValue="lS0kvUrlMOGMCabfBOnG0Q==" spinCount="100000" sheet="1" objects="1" scenarios="1"/>
  <mergeCells count="335">
    <mergeCell ref="AB119:AB121"/>
    <mergeCell ref="AC119:AC121"/>
    <mergeCell ref="Q43:Q45"/>
    <mergeCell ref="R43:R45"/>
    <mergeCell ref="A20:B20"/>
    <mergeCell ref="A21:A24"/>
    <mergeCell ref="A25:A36"/>
    <mergeCell ref="A37:A38"/>
    <mergeCell ref="A59:B60"/>
    <mergeCell ref="A61:B61"/>
    <mergeCell ref="E44:F44"/>
    <mergeCell ref="G44:H44"/>
    <mergeCell ref="I44:J44"/>
    <mergeCell ref="K44:L44"/>
    <mergeCell ref="A69:A71"/>
    <mergeCell ref="B69:D70"/>
    <mergeCell ref="E69:H69"/>
    <mergeCell ref="I69:I71"/>
    <mergeCell ref="J69:J71"/>
    <mergeCell ref="E70:F70"/>
    <mergeCell ref="G70:H70"/>
    <mergeCell ref="A62:B62"/>
    <mergeCell ref="A63:B63"/>
    <mergeCell ref="A64:B64"/>
    <mergeCell ref="B17:B19"/>
    <mergeCell ref="C17:E18"/>
    <mergeCell ref="F17:Q17"/>
    <mergeCell ref="A39:A41"/>
    <mergeCell ref="R17:R19"/>
    <mergeCell ref="C59:C60"/>
    <mergeCell ref="D59:J59"/>
    <mergeCell ref="K59:K60"/>
    <mergeCell ref="L59:L60"/>
    <mergeCell ref="M44:N44"/>
    <mergeCell ref="O44:P44"/>
    <mergeCell ref="A51:A53"/>
    <mergeCell ref="B51:D52"/>
    <mergeCell ref="E51:H51"/>
    <mergeCell ref="I51:I53"/>
    <mergeCell ref="J51:J53"/>
    <mergeCell ref="E52:F52"/>
    <mergeCell ref="G52:H52"/>
    <mergeCell ref="A43:A45"/>
    <mergeCell ref="B43:D44"/>
    <mergeCell ref="E43:P43"/>
    <mergeCell ref="S17:S19"/>
    <mergeCell ref="F18:G18"/>
    <mergeCell ref="H18:I18"/>
    <mergeCell ref="J18:K18"/>
    <mergeCell ref="L18:M18"/>
    <mergeCell ref="X11:Y11"/>
    <mergeCell ref="A13:B13"/>
    <mergeCell ref="A14:A15"/>
    <mergeCell ref="A6:Y6"/>
    <mergeCell ref="A10:B12"/>
    <mergeCell ref="C10:E11"/>
    <mergeCell ref="F10:Y10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N18:O18"/>
    <mergeCell ref="P18:Q18"/>
    <mergeCell ref="A17:A19"/>
    <mergeCell ref="A65:B65"/>
    <mergeCell ref="A66:B66"/>
    <mergeCell ref="A67:B67"/>
    <mergeCell ref="C95:E95"/>
    <mergeCell ref="F95:G95"/>
    <mergeCell ref="H95:I95"/>
    <mergeCell ref="A97:B97"/>
    <mergeCell ref="A98:B98"/>
    <mergeCell ref="A99:B99"/>
    <mergeCell ref="A77:A79"/>
    <mergeCell ref="B77:B78"/>
    <mergeCell ref="A89:B89"/>
    <mergeCell ref="A90:A91"/>
    <mergeCell ref="A92:A93"/>
    <mergeCell ref="A95:B96"/>
    <mergeCell ref="P106:Q106"/>
    <mergeCell ref="R106:S106"/>
    <mergeCell ref="T106:U106"/>
    <mergeCell ref="A100:B100"/>
    <mergeCell ref="A101:B101"/>
    <mergeCell ref="A102:B102"/>
    <mergeCell ref="A103:P103"/>
    <mergeCell ref="A104:Q104"/>
    <mergeCell ref="A105:B107"/>
    <mergeCell ref="C105:E106"/>
    <mergeCell ref="F105:U105"/>
    <mergeCell ref="F106:G106"/>
    <mergeCell ref="H106:I106"/>
    <mergeCell ref="A108:B108"/>
    <mergeCell ref="A109:B109"/>
    <mergeCell ref="A110:B110"/>
    <mergeCell ref="A111:B111"/>
    <mergeCell ref="A112:B112"/>
    <mergeCell ref="A113:B113"/>
    <mergeCell ref="J106:K106"/>
    <mergeCell ref="L106:M106"/>
    <mergeCell ref="N106:O106"/>
    <mergeCell ref="P120:Q120"/>
    <mergeCell ref="R120:S120"/>
    <mergeCell ref="T120:U120"/>
    <mergeCell ref="V120:W120"/>
    <mergeCell ref="X120:Y120"/>
    <mergeCell ref="Z120:AA120"/>
    <mergeCell ref="A119:A121"/>
    <mergeCell ref="B119:B121"/>
    <mergeCell ref="C119:E120"/>
    <mergeCell ref="F119:AA119"/>
    <mergeCell ref="F120:G120"/>
    <mergeCell ref="H120:I120"/>
    <mergeCell ref="J120:K120"/>
    <mergeCell ref="L120:M120"/>
    <mergeCell ref="N120:O120"/>
    <mergeCell ref="A152:B152"/>
    <mergeCell ref="A153:A157"/>
    <mergeCell ref="A158:B158"/>
    <mergeCell ref="A160:B162"/>
    <mergeCell ref="C160:E161"/>
    <mergeCell ref="A122:A126"/>
    <mergeCell ref="A127:A131"/>
    <mergeCell ref="A132:A136"/>
    <mergeCell ref="A137:A141"/>
    <mergeCell ref="A142:A146"/>
    <mergeCell ref="A147:A151"/>
    <mergeCell ref="F160:AM160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V161:W161"/>
    <mergeCell ref="J171:K171"/>
    <mergeCell ref="L171:M171"/>
    <mergeCell ref="N171:O171"/>
    <mergeCell ref="A173:A175"/>
    <mergeCell ref="A176:A178"/>
    <mergeCell ref="A179:O179"/>
    <mergeCell ref="AJ161:AK161"/>
    <mergeCell ref="AL161:AM161"/>
    <mergeCell ref="A163:A165"/>
    <mergeCell ref="A166:A168"/>
    <mergeCell ref="A170:A172"/>
    <mergeCell ref="B170:B172"/>
    <mergeCell ref="C170:E171"/>
    <mergeCell ref="F170:O170"/>
    <mergeCell ref="F171:G171"/>
    <mergeCell ref="H171:I171"/>
    <mergeCell ref="X161:Y161"/>
    <mergeCell ref="Z161:AA161"/>
    <mergeCell ref="AB161:AC161"/>
    <mergeCell ref="AD161:AE161"/>
    <mergeCell ref="AF161:AG161"/>
    <mergeCell ref="AH161:AI161"/>
    <mergeCell ref="A199:B199"/>
    <mergeCell ref="A200:B200"/>
    <mergeCell ref="A201:B201"/>
    <mergeCell ref="A189:B191"/>
    <mergeCell ref="C189:E190"/>
    <mergeCell ref="A180:B182"/>
    <mergeCell ref="C180:E181"/>
    <mergeCell ref="F180:Q180"/>
    <mergeCell ref="F181:G181"/>
    <mergeCell ref="H181:I181"/>
    <mergeCell ref="J181:K181"/>
    <mergeCell ref="L181:M181"/>
    <mergeCell ref="N181:O181"/>
    <mergeCell ref="P181:Q181"/>
    <mergeCell ref="F189:U189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A227:D227"/>
    <mergeCell ref="AD203:AE204"/>
    <mergeCell ref="AF203:AG204"/>
    <mergeCell ref="AH203:AH205"/>
    <mergeCell ref="AI203:AI205"/>
    <mergeCell ref="F204:G204"/>
    <mergeCell ref="H204:I204"/>
    <mergeCell ref="J204:K204"/>
    <mergeCell ref="L204:M204"/>
    <mergeCell ref="N204:O204"/>
    <mergeCell ref="P204:Q204"/>
    <mergeCell ref="Z204:AA204"/>
    <mergeCell ref="AB204:AC204"/>
    <mergeCell ref="A203:B205"/>
    <mergeCell ref="C203:E204"/>
    <mergeCell ref="F203:AC203"/>
    <mergeCell ref="R204:S204"/>
    <mergeCell ref="T204:U204"/>
    <mergeCell ref="V204:W204"/>
    <mergeCell ref="X204:Y204"/>
    <mergeCell ref="A206:A207"/>
    <mergeCell ref="A208:B208"/>
    <mergeCell ref="A210:B212"/>
    <mergeCell ref="C210:E211"/>
    <mergeCell ref="L211:M211"/>
    <mergeCell ref="N211:O211"/>
    <mergeCell ref="A223:A226"/>
    <mergeCell ref="A222:D222"/>
    <mergeCell ref="B223:D223"/>
    <mergeCell ref="B224:B225"/>
    <mergeCell ref="C224:D224"/>
    <mergeCell ref="C225:D225"/>
    <mergeCell ref="C226:D226"/>
    <mergeCell ref="A229:B229"/>
    <mergeCell ref="L258:M258"/>
    <mergeCell ref="N258:O258"/>
    <mergeCell ref="R258:R259"/>
    <mergeCell ref="A252:B252"/>
    <mergeCell ref="A250:B250"/>
    <mergeCell ref="A251:B251"/>
    <mergeCell ref="A253:A255"/>
    <mergeCell ref="A246:B246"/>
    <mergeCell ref="A247:B247"/>
    <mergeCell ref="A248:B248"/>
    <mergeCell ref="A249:B249"/>
    <mergeCell ref="A234:B236"/>
    <mergeCell ref="C234:E234"/>
    <mergeCell ref="C235:C236"/>
    <mergeCell ref="D235:E235"/>
    <mergeCell ref="A237:B237"/>
    <mergeCell ref="A238:B238"/>
    <mergeCell ref="A239:B239"/>
    <mergeCell ref="A240:B240"/>
    <mergeCell ref="A241:B241"/>
    <mergeCell ref="A230:A231"/>
    <mergeCell ref="A232:B232"/>
    <mergeCell ref="V105:V107"/>
    <mergeCell ref="W105:W107"/>
    <mergeCell ref="A114:B114"/>
    <mergeCell ref="A115:A117"/>
    <mergeCell ref="A196:B198"/>
    <mergeCell ref="C196:E197"/>
    <mergeCell ref="F196:O196"/>
    <mergeCell ref="P196:S196"/>
    <mergeCell ref="F197:G197"/>
    <mergeCell ref="H197:I197"/>
    <mergeCell ref="J197:K197"/>
    <mergeCell ref="L197:M197"/>
    <mergeCell ref="N197:O197"/>
    <mergeCell ref="P197:P198"/>
    <mergeCell ref="Q197:Q198"/>
    <mergeCell ref="R197:R198"/>
    <mergeCell ref="S197:S198"/>
    <mergeCell ref="A192:B192"/>
    <mergeCell ref="A193:B193"/>
    <mergeCell ref="A194:B194"/>
    <mergeCell ref="A183:B183"/>
    <mergeCell ref="A184:B184"/>
    <mergeCell ref="A185:B185"/>
    <mergeCell ref="A186:B186"/>
    <mergeCell ref="U210:Z211"/>
    <mergeCell ref="AA210:AF211"/>
    <mergeCell ref="A217:D218"/>
    <mergeCell ref="G217:H217"/>
    <mergeCell ref="I217:I218"/>
    <mergeCell ref="J217:J218"/>
    <mergeCell ref="A219:D219"/>
    <mergeCell ref="A220:D220"/>
    <mergeCell ref="A221:D221"/>
    <mergeCell ref="P210:R210"/>
    <mergeCell ref="S210:S212"/>
    <mergeCell ref="T210:T212"/>
    <mergeCell ref="Q211:Q212"/>
    <mergeCell ref="R211:R212"/>
    <mergeCell ref="P211:P212"/>
    <mergeCell ref="A213:B213"/>
    <mergeCell ref="A214:B214"/>
    <mergeCell ref="A215:B215"/>
    <mergeCell ref="E217:E218"/>
    <mergeCell ref="F217:F218"/>
    <mergeCell ref="F211:G211"/>
    <mergeCell ref="H211:I211"/>
    <mergeCell ref="F210:O210"/>
    <mergeCell ref="J211:K211"/>
    <mergeCell ref="A260:A262"/>
    <mergeCell ref="A263:A265"/>
    <mergeCell ref="A242:M242"/>
    <mergeCell ref="A243:B245"/>
    <mergeCell ref="C243:E244"/>
    <mergeCell ref="F243:AA243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V244:W244"/>
    <mergeCell ref="X244:Y244"/>
    <mergeCell ref="Z244:AA244"/>
    <mergeCell ref="A257:B259"/>
    <mergeCell ref="C257:E258"/>
    <mergeCell ref="F257:O257"/>
    <mergeCell ref="P257:P259"/>
    <mergeCell ref="F258:G258"/>
    <mergeCell ref="H258:I258"/>
    <mergeCell ref="J258:K258"/>
    <mergeCell ref="V267:V269"/>
    <mergeCell ref="W267:W269"/>
    <mergeCell ref="Y267:Y269"/>
    <mergeCell ref="AB267:AB269"/>
    <mergeCell ref="X267:X269"/>
    <mergeCell ref="Z267:AA268"/>
    <mergeCell ref="A270:A274"/>
    <mergeCell ref="F267:U267"/>
    <mergeCell ref="AC267:AC269"/>
    <mergeCell ref="A267:A269"/>
    <mergeCell ref="B267:B269"/>
    <mergeCell ref="C267:E268"/>
    <mergeCell ref="F268:G268"/>
    <mergeCell ref="H268:I268"/>
    <mergeCell ref="J268:K268"/>
    <mergeCell ref="L268:M268"/>
    <mergeCell ref="N268:O268"/>
    <mergeCell ref="P268:Q268"/>
    <mergeCell ref="R268:S268"/>
    <mergeCell ref="T268:U268"/>
  </mergeCells>
  <dataValidations count="9">
    <dataValidation type="whole" operator="greaterThanOrEqual" allowBlank="1" showInputMessage="1" showErrorMessage="1" errorTitle="Error" error="Favor ingresar Números." sqref="F192:U193 C216:F216 F213:AF215 F206:AI207 E46:R49 E227:F227 I227:J227 F183:Q185 R260:R262 B86:F87 E217:F217 C237:E241 E72:J74 E55:J57 B80:B83 F122:AC151 F153:AC157 F163:AM168 F199:S200 C228:F232 F173:O178 F20:S41 F13:Y15 F98:I102" xr:uid="{00000000-0002-0000-0300-000006000000}">
      <formula1>0</formula1>
    </dataValidation>
    <dataValidation type="whole" allowBlank="1" showInputMessage="1" showErrorMessage="1" sqref="F204:AC205 AD205:AG205 AI205 F208:AI208 C203:E208 T212" xr:uid="{00000000-0002-0000-0300-000007000000}">
      <formula1>0</formula1>
      <formula2>1E+29</formula2>
    </dataValidation>
    <dataValidation type="whole" allowBlank="1" showInputMessage="1" showErrorMessage="1" errorTitle="Error" error="Favor ingresar Números." sqref="C72:D74 C256:E265 F152:AC152" xr:uid="{00000000-0002-0000-0300-000008000000}">
      <formula1>0</formula1>
      <formula2>1E+29</formula2>
    </dataValidation>
    <dataValidation operator="greaterThanOrEqual" allowBlank="1" showInputMessage="1" showErrorMessage="1" errorTitle="Error" error="Favor ingresar Números." sqref="G218:H218 C224:C226" xr:uid="{560F2F57-4F94-4D43-B2C8-BCC0A40330E7}"/>
    <dataValidation type="whole" allowBlank="1" showInputMessage="1" showErrorMessage="1" sqref="D61:L67 F246:AA255" xr:uid="{0588CE41-A24A-4492-86E0-4C831DC4D417}">
      <formula1>0</formula1>
      <formula2>9.99999999999999E+31</formula2>
    </dataValidation>
    <dataValidation type="whole" allowBlank="1" showInputMessage="1" showErrorMessage="1" sqref="C90:H93 F260:P265" xr:uid="{A94A532E-39DF-4935-A194-CA72BA0105EA}">
      <formula1>0</formula1>
      <formula2>9.99999999999999E+32</formula2>
    </dataValidation>
    <dataValidation type="whole" allowBlank="1" showInputMessage="1" showErrorMessage="1" sqref="F108:W117" xr:uid="{A6E386FD-DD6C-4D4F-B438-294D01D16634}">
      <formula1>0</formula1>
      <formula2>9.99999999999999E+30</formula2>
    </dataValidation>
    <dataValidation type="whole" allowBlank="1" showInputMessage="1" showErrorMessage="1" sqref="E219:J226 G227:H227" xr:uid="{E49A747E-1624-4263-8078-3A917120145D}">
      <formula1>0</formula1>
      <formula2>9.99999999999999E+39</formula2>
    </dataValidation>
    <dataValidation type="whole" allowBlank="1" showInputMessage="1" showErrorMessage="1" sqref="F270:AC274" xr:uid="{5ED0EAFC-2EF7-47A2-BE5B-176E25769EDC}">
      <formula1>0</formula1>
      <formula2>9.99999999999999E+34</formula2>
    </dataValidation>
  </dataValidations>
  <pageMargins left="0.7" right="0.7" top="0.75" bottom="0.75" header="0.3" footer="0.3"/>
  <pageSetup paperSize="9" orientation="portrait" r:id="rId1"/>
  <ignoredErrors>
    <ignoredError sqref="CB86:CE87 CK86:CO87" unlockedFormula="1"/>
    <ignoredError sqref="CL206:CL20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BZ240"/>
  <sheetViews>
    <sheetView showGridLines="0" zoomScaleNormal="100" workbookViewId="0"/>
  </sheetViews>
  <sheetFormatPr baseColWidth="10" defaultColWidth="11.44140625" defaultRowHeight="14.4" x14ac:dyDescent="0.3"/>
  <cols>
    <col min="1" max="1" width="42.6640625" customWidth="1"/>
    <col min="2" max="2" width="33.5546875" customWidth="1"/>
    <col min="3" max="5" width="14.33203125" customWidth="1"/>
    <col min="6" max="6" width="15.33203125" customWidth="1"/>
    <col min="7" max="7" width="15.109375" customWidth="1"/>
    <col min="8" max="8" width="13.44140625" customWidth="1"/>
    <col min="9" max="9" width="13.33203125" customWidth="1"/>
    <col min="10" max="10" width="12.44140625" customWidth="1"/>
    <col min="11" max="11" width="13.33203125" customWidth="1"/>
    <col min="13" max="13" width="11.88671875" customWidth="1"/>
    <col min="14" max="14" width="13.88671875" customWidth="1"/>
    <col min="15" max="15" width="13.44140625" customWidth="1"/>
    <col min="18" max="18" width="12.5546875" customWidth="1"/>
    <col min="19" max="19" width="13.5546875" customWidth="1"/>
    <col min="41" max="41" width="11.33203125" customWidth="1"/>
    <col min="42" max="42" width="12" customWidth="1"/>
    <col min="66" max="78" width="11.44140625" hidden="1" customWidth="1"/>
    <col min="97" max="97" width="11.33203125" customWidth="1"/>
    <col min="98" max="98" width="11.88671875" customWidth="1"/>
    <col min="99" max="99" width="10.88671875" customWidth="1"/>
    <col min="100" max="151" width="11.44140625" customWidth="1"/>
  </cols>
  <sheetData>
    <row r="1" spans="1:77" x14ac:dyDescent="0.3">
      <c r="A1" s="50" t="s">
        <v>23</v>
      </c>
    </row>
    <row r="2" spans="1:77" x14ac:dyDescent="0.3">
      <c r="A2" s="50" t="str">
        <f>CONCATENATE("COMUNA: ",NOMBRE!B2, " (",NOMBRE!C2,NOMBRE!D2,NOMBRE!E2,NOMBRE!F2,NOMBRE!G2,")")</f>
        <v>COMUNA:  ()</v>
      </c>
    </row>
    <row r="3" spans="1:77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77" x14ac:dyDescent="0.3">
      <c r="A4" s="50" t="str">
        <f>CONCATENATE("MES: ",NOMBRE!B6, " (",NOMBRE!C6,NOMBRE!D6,")")</f>
        <v>MES:  ()</v>
      </c>
    </row>
    <row r="5" spans="1:77" x14ac:dyDescent="0.3">
      <c r="A5" s="50" t="str">
        <f>CONCATENATE("AÑO: ",NOMBRE!B7)</f>
        <v>AÑO: 2025</v>
      </c>
    </row>
    <row r="6" spans="1:77" s="88" customFormat="1" ht="18" customHeight="1" x14ac:dyDescent="0.25">
      <c r="A6" s="6115" t="s">
        <v>470</v>
      </c>
      <c r="B6" s="6115"/>
      <c r="C6" s="6115"/>
      <c r="D6" s="6115"/>
      <c r="E6" s="6115"/>
      <c r="F6" s="6115"/>
      <c r="G6" s="6115"/>
      <c r="H6" s="6115"/>
      <c r="I6" s="6115"/>
      <c r="J6" s="6115"/>
      <c r="K6" s="6115"/>
      <c r="L6" s="6115"/>
      <c r="M6" s="6115"/>
      <c r="N6" s="6115"/>
      <c r="O6" s="6115"/>
      <c r="P6" s="6115"/>
      <c r="Q6" s="6115"/>
      <c r="R6" s="6115"/>
      <c r="S6" s="6115"/>
      <c r="T6" s="6115"/>
      <c r="U6" s="6115"/>
      <c r="V6" s="6115"/>
      <c r="W6" s="6115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8" spans="1:77" ht="18" customHeight="1" x14ac:dyDescent="0.3">
      <c r="A8" s="3" t="s">
        <v>471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2"/>
      <c r="Z8" s="92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88"/>
    </row>
    <row r="9" spans="1:77" x14ac:dyDescent="0.3">
      <c r="A9" s="6081" t="s">
        <v>472</v>
      </c>
      <c r="B9" s="5944" t="s">
        <v>28</v>
      </c>
      <c r="C9" s="5880"/>
      <c r="D9" s="5832"/>
      <c r="E9" s="6013" t="s">
        <v>101</v>
      </c>
      <c r="F9" s="6032"/>
      <c r="G9" s="6032"/>
      <c r="H9" s="6032"/>
      <c r="I9" s="6032"/>
      <c r="J9" s="6032"/>
      <c r="K9" s="6032"/>
      <c r="L9" s="6032"/>
      <c r="M9" s="6032"/>
      <c r="N9" s="6032"/>
      <c r="O9" s="6032"/>
      <c r="P9" s="6032"/>
      <c r="Q9" s="6032"/>
      <c r="R9" s="6032"/>
      <c r="S9" s="6032"/>
      <c r="T9" s="6032"/>
      <c r="U9" s="6032"/>
      <c r="V9" s="6032"/>
      <c r="W9" s="6032"/>
      <c r="X9" s="6032"/>
      <c r="Y9" s="6032"/>
      <c r="Z9" s="6032"/>
      <c r="AA9" s="6032"/>
      <c r="AB9" s="6032"/>
      <c r="AC9" s="6032"/>
      <c r="AD9" s="6032"/>
      <c r="AE9" s="6032"/>
      <c r="AF9" s="6032"/>
      <c r="AG9" s="6032"/>
      <c r="AH9" s="6032"/>
      <c r="AI9" s="6032"/>
      <c r="AJ9" s="6032"/>
      <c r="AK9" s="6032"/>
      <c r="AL9" s="6032"/>
      <c r="AM9" s="6032"/>
      <c r="AN9" s="6046"/>
      <c r="AO9" s="5831" t="s">
        <v>36</v>
      </c>
      <c r="AP9" s="6117" t="s">
        <v>37</v>
      </c>
      <c r="AQ9" s="6117" t="s">
        <v>34</v>
      </c>
      <c r="AR9" s="6117" t="s">
        <v>35</v>
      </c>
      <c r="AS9" s="5832" t="s">
        <v>473</v>
      </c>
    </row>
    <row r="10" spans="1:77" ht="24" customHeight="1" x14ac:dyDescent="0.3">
      <c r="A10" s="6082"/>
      <c r="B10" s="5946"/>
      <c r="C10" s="5882"/>
      <c r="D10" s="5760"/>
      <c r="E10" s="5846" t="s">
        <v>474</v>
      </c>
      <c r="F10" s="6014"/>
      <c r="G10" s="5846" t="s">
        <v>475</v>
      </c>
      <c r="H10" s="5853"/>
      <c r="I10" s="5846" t="s">
        <v>326</v>
      </c>
      <c r="J10" s="5853"/>
      <c r="K10" s="5846" t="s">
        <v>94</v>
      </c>
      <c r="L10" s="5853"/>
      <c r="M10" s="5846" t="s">
        <v>44</v>
      </c>
      <c r="N10" s="5853"/>
      <c r="O10" s="5846" t="s">
        <v>45</v>
      </c>
      <c r="P10" s="5853"/>
      <c r="Q10" s="5846" t="s">
        <v>46</v>
      </c>
      <c r="R10" s="5853"/>
      <c r="S10" s="5846" t="s">
        <v>47</v>
      </c>
      <c r="T10" s="5853"/>
      <c r="U10" s="5846" t="s">
        <v>48</v>
      </c>
      <c r="V10" s="5853"/>
      <c r="W10" s="5846" t="s">
        <v>49</v>
      </c>
      <c r="X10" s="5853"/>
      <c r="Y10" s="5846" t="s">
        <v>50</v>
      </c>
      <c r="Z10" s="5853"/>
      <c r="AA10" s="5846" t="s">
        <v>51</v>
      </c>
      <c r="AB10" s="5853"/>
      <c r="AC10" s="5846" t="s">
        <v>52</v>
      </c>
      <c r="AD10" s="5853"/>
      <c r="AE10" s="5846" t="s">
        <v>53</v>
      </c>
      <c r="AF10" s="5853"/>
      <c r="AG10" s="5846" t="s">
        <v>54</v>
      </c>
      <c r="AH10" s="5853"/>
      <c r="AI10" s="5846" t="s">
        <v>55</v>
      </c>
      <c r="AJ10" s="5853"/>
      <c r="AK10" s="5846" t="s">
        <v>56</v>
      </c>
      <c r="AL10" s="5853"/>
      <c r="AM10" s="6013" t="s">
        <v>476</v>
      </c>
      <c r="AN10" s="6046"/>
      <c r="AO10" s="5766"/>
      <c r="AP10" s="6118"/>
      <c r="AQ10" s="6118"/>
      <c r="AR10" s="6118"/>
      <c r="AS10" s="5759"/>
    </row>
    <row r="11" spans="1:77" x14ac:dyDescent="0.3">
      <c r="A11" s="6116"/>
      <c r="B11" s="2419" t="s">
        <v>79</v>
      </c>
      <c r="C11" s="2387" t="s">
        <v>58</v>
      </c>
      <c r="D11" s="2309" t="s">
        <v>59</v>
      </c>
      <c r="E11" s="2441" t="s">
        <v>58</v>
      </c>
      <c r="F11" s="2435" t="s">
        <v>59</v>
      </c>
      <c r="G11" s="2441" t="s">
        <v>58</v>
      </c>
      <c r="H11" s="2435" t="s">
        <v>59</v>
      </c>
      <c r="I11" s="2441" t="s">
        <v>58</v>
      </c>
      <c r="J11" s="2435" t="s">
        <v>59</v>
      </c>
      <c r="K11" s="2441" t="s">
        <v>58</v>
      </c>
      <c r="L11" s="2435" t="s">
        <v>59</v>
      </c>
      <c r="M11" s="2441" t="s">
        <v>58</v>
      </c>
      <c r="N11" s="2435" t="s">
        <v>59</v>
      </c>
      <c r="O11" s="2441" t="s">
        <v>58</v>
      </c>
      <c r="P11" s="2435" t="s">
        <v>59</v>
      </c>
      <c r="Q11" s="2441" t="s">
        <v>58</v>
      </c>
      <c r="R11" s="2435" t="s">
        <v>59</v>
      </c>
      <c r="S11" s="2441" t="s">
        <v>58</v>
      </c>
      <c r="T11" s="2435" t="s">
        <v>59</v>
      </c>
      <c r="U11" s="2441" t="s">
        <v>58</v>
      </c>
      <c r="V11" s="2435" t="s">
        <v>59</v>
      </c>
      <c r="W11" s="2441" t="s">
        <v>58</v>
      </c>
      <c r="X11" s="2435" t="s">
        <v>59</v>
      </c>
      <c r="Y11" s="2441" t="s">
        <v>58</v>
      </c>
      <c r="Z11" s="2435" t="s">
        <v>59</v>
      </c>
      <c r="AA11" s="2441" t="s">
        <v>58</v>
      </c>
      <c r="AB11" s="2435" t="s">
        <v>59</v>
      </c>
      <c r="AC11" s="2441" t="s">
        <v>58</v>
      </c>
      <c r="AD11" s="2435" t="s">
        <v>59</v>
      </c>
      <c r="AE11" s="2441" t="s">
        <v>58</v>
      </c>
      <c r="AF11" s="2435" t="s">
        <v>59</v>
      </c>
      <c r="AG11" s="2441" t="s">
        <v>58</v>
      </c>
      <c r="AH11" s="2435" t="s">
        <v>59</v>
      </c>
      <c r="AI11" s="2441" t="s">
        <v>58</v>
      </c>
      <c r="AJ11" s="2435" t="s">
        <v>59</v>
      </c>
      <c r="AK11" s="2441" t="s">
        <v>58</v>
      </c>
      <c r="AL11" s="2435" t="s">
        <v>59</v>
      </c>
      <c r="AM11" s="2441" t="s">
        <v>58</v>
      </c>
      <c r="AN11" s="2385" t="s">
        <v>59</v>
      </c>
      <c r="AO11" s="5767"/>
      <c r="AP11" s="5818"/>
      <c r="AQ11" s="5818"/>
      <c r="AR11" s="5818"/>
      <c r="AS11" s="5760"/>
    </row>
    <row r="12" spans="1:77" x14ac:dyDescent="0.3">
      <c r="A12" s="2635" t="s">
        <v>77</v>
      </c>
      <c r="B12" s="2648">
        <f>SUM(B13:B26)</f>
        <v>0</v>
      </c>
      <c r="C12" s="2649">
        <f>SUM(C13:C26)</f>
        <v>0</v>
      </c>
      <c r="D12" s="2439">
        <f>SUM(D13:D26)</f>
        <v>0</v>
      </c>
      <c r="E12" s="2650">
        <f>SUM(E13:E26)</f>
        <v>0</v>
      </c>
      <c r="F12" s="171">
        <f t="shared" ref="F12:AN12" si="0">SUM(F13:F26)</f>
        <v>0</v>
      </c>
      <c r="G12" s="336">
        <f>SUM(G13:G26)</f>
        <v>0</v>
      </c>
      <c r="H12" s="171">
        <f t="shared" si="0"/>
        <v>0</v>
      </c>
      <c r="I12" s="2650">
        <f t="shared" si="0"/>
        <v>0</v>
      </c>
      <c r="J12" s="171">
        <f t="shared" si="0"/>
        <v>0</v>
      </c>
      <c r="K12" s="2650">
        <f t="shared" si="0"/>
        <v>0</v>
      </c>
      <c r="L12" s="171">
        <f t="shared" si="0"/>
        <v>0</v>
      </c>
      <c r="M12" s="2650">
        <f t="shared" si="0"/>
        <v>0</v>
      </c>
      <c r="N12" s="171">
        <f t="shared" si="0"/>
        <v>0</v>
      </c>
      <c r="O12" s="2650">
        <f t="shared" si="0"/>
        <v>0</v>
      </c>
      <c r="P12" s="171">
        <f t="shared" si="0"/>
        <v>0</v>
      </c>
      <c r="Q12" s="2650">
        <f t="shared" si="0"/>
        <v>0</v>
      </c>
      <c r="R12" s="171">
        <f t="shared" si="0"/>
        <v>0</v>
      </c>
      <c r="S12" s="2650">
        <f t="shared" si="0"/>
        <v>0</v>
      </c>
      <c r="T12" s="171">
        <f t="shared" si="0"/>
        <v>0</v>
      </c>
      <c r="U12" s="2650">
        <f>SUM(U13:U26)</f>
        <v>0</v>
      </c>
      <c r="V12" s="171">
        <f>SUM(V13:V26)</f>
        <v>0</v>
      </c>
      <c r="W12" s="2650">
        <f t="shared" si="0"/>
        <v>0</v>
      </c>
      <c r="X12" s="171">
        <f t="shared" si="0"/>
        <v>0</v>
      </c>
      <c r="Y12" s="2650">
        <f t="shared" si="0"/>
        <v>0</v>
      </c>
      <c r="Z12" s="171">
        <f t="shared" si="0"/>
        <v>0</v>
      </c>
      <c r="AA12" s="2650">
        <f t="shared" si="0"/>
        <v>0</v>
      </c>
      <c r="AB12" s="171">
        <f t="shared" si="0"/>
        <v>0</v>
      </c>
      <c r="AC12" s="2650">
        <f t="shared" si="0"/>
        <v>0</v>
      </c>
      <c r="AD12" s="171">
        <f t="shared" si="0"/>
        <v>0</v>
      </c>
      <c r="AE12" s="2650">
        <f t="shared" si="0"/>
        <v>0</v>
      </c>
      <c r="AF12" s="171">
        <f t="shared" si="0"/>
        <v>0</v>
      </c>
      <c r="AG12" s="2650">
        <f t="shared" si="0"/>
        <v>0</v>
      </c>
      <c r="AH12" s="171">
        <f t="shared" si="0"/>
        <v>0</v>
      </c>
      <c r="AI12" s="2650">
        <f t="shared" si="0"/>
        <v>0</v>
      </c>
      <c r="AJ12" s="171">
        <f t="shared" si="0"/>
        <v>0</v>
      </c>
      <c r="AK12" s="2650">
        <f t="shared" si="0"/>
        <v>0</v>
      </c>
      <c r="AL12" s="171">
        <f t="shared" si="0"/>
        <v>0</v>
      </c>
      <c r="AM12" s="2650">
        <f t="shared" si="0"/>
        <v>0</v>
      </c>
      <c r="AN12" s="2651">
        <f t="shared" si="0"/>
        <v>0</v>
      </c>
      <c r="AO12" s="2652">
        <f>SUM(AO13:AO26)</f>
        <v>0</v>
      </c>
      <c r="AP12" s="2653">
        <f>SUM(AP13:AP26)</f>
        <v>0</v>
      </c>
      <c r="AQ12" s="2653">
        <f>SUM(AQ13:AQ26)</f>
        <v>0</v>
      </c>
      <c r="AR12" s="2653">
        <f>SUM(AR13:AR26)</f>
        <v>0</v>
      </c>
      <c r="AS12" s="2654">
        <f>SUM(AS13:AS26)</f>
        <v>0</v>
      </c>
    </row>
    <row r="13" spans="1:77" ht="15" customHeight="1" x14ac:dyDescent="0.3">
      <c r="A13" s="250" t="s">
        <v>477</v>
      </c>
      <c r="B13" s="303">
        <f>SUM(C13:D13)</f>
        <v>0</v>
      </c>
      <c r="C13" s="2333">
        <f>SUM(E13+G13+I13+K13+M13+O13+Q13+S13+U13+W13+Y13+AA13+AC13+AE13+AG13+AI13+AK13+AM13)</f>
        <v>0</v>
      </c>
      <c r="D13" s="2655">
        <f>SUM(F13+H13+J13+L13+N13+P13+R13+T13+V13+X13+Z13+AB13+AD13+AF13+AH13+AJ13+AL13+AN13)</f>
        <v>0</v>
      </c>
      <c r="E13" s="2656"/>
      <c r="F13" s="2657"/>
      <c r="G13" s="2656"/>
      <c r="H13" s="2657"/>
      <c r="I13" s="2656"/>
      <c r="J13" s="2658"/>
      <c r="K13" s="2656"/>
      <c r="L13" s="2657"/>
      <c r="M13" s="2656"/>
      <c r="N13" s="2657"/>
      <c r="O13" s="2656"/>
      <c r="P13" s="2657"/>
      <c r="Q13" s="2656"/>
      <c r="R13" s="2657"/>
      <c r="S13" s="2656"/>
      <c r="T13" s="2657"/>
      <c r="U13" s="2656"/>
      <c r="V13" s="2657"/>
      <c r="W13" s="2656"/>
      <c r="X13" s="2657"/>
      <c r="Y13" s="2656"/>
      <c r="Z13" s="2657"/>
      <c r="AA13" s="2656"/>
      <c r="AB13" s="2657"/>
      <c r="AC13" s="2656"/>
      <c r="AD13" s="2657"/>
      <c r="AE13" s="2656"/>
      <c r="AF13" s="2657"/>
      <c r="AG13" s="2656"/>
      <c r="AH13" s="2657"/>
      <c r="AI13" s="2656"/>
      <c r="AJ13" s="2657"/>
      <c r="AK13" s="2656"/>
      <c r="AL13" s="2657"/>
      <c r="AM13" s="2656"/>
      <c r="AN13" s="2657"/>
      <c r="AO13" s="2659"/>
      <c r="AP13" s="2660"/>
      <c r="AQ13" s="2660"/>
      <c r="AR13" s="2660"/>
      <c r="AS13" s="2661"/>
      <c r="AT13" t="str">
        <f>BO13&amp;BP13&amp;BQ13&amp;BR13&amp;BS13</f>
        <v/>
      </c>
      <c r="BO13" s="83" t="str">
        <f>IF(AND(B13&gt;0,AO13="")," * No olvide digitar la variable Pueblos originarios. Digite Cero si no tiene.",IF(AO13&gt;B13," *  La variable Pueblos originarios No puede ser mayor al Total.",""))</f>
        <v/>
      </c>
      <c r="BP13" s="83" t="str">
        <f>IF(AND(B13&gt;0,AP13="")," * No olvide digitar la variable Migrantes. Digite Cero si no tiene.",IF(AP13&gt;B13," *  La variable Migrantes No puede ser mayor al Total.",""))</f>
        <v/>
      </c>
      <c r="BQ13" s="83" t="str">
        <f>IF(AND(B13&gt;0,AQ13="")," * No olvide digitar la variable Niños, niñas, adolescentes y jóvenes SENAME. Digite Cero si no tiene.",IF(AQ13&gt;B13," *  La variable Niños, niñas, adolescentes y jóvenes SENAME No puede ser mayor al Total.",""))</f>
        <v/>
      </c>
      <c r="BR13" s="83" t="str">
        <f>IF(AND(B13&gt;0,AR13="")," * No olvide digitar la variable Niños, niñas, adolescentes y jóvenes Mejor niñez. Digite Cero si no tiene.",IF(AR13&gt;B13," *  La variable Niños, niñas, adolescentes y jóvenes Mejor Niñez No puede ser mayor al Total.",""))</f>
        <v/>
      </c>
      <c r="BS13" s="83" t="str">
        <f>IF(AND(B13&gt;0,AS13="")," * No olvide digitar la variable Por campaña de invierno. Digite Cero si no tiene.",IF(AS13&gt;B13," *  La variable Por campaña de invierno No puede ser mayor al Total.",""))</f>
        <v/>
      </c>
      <c r="BU13" s="2662">
        <f>IF(AND(B13&gt;0,AO13=""),1,IF(AO13&gt;B13,1,0))</f>
        <v>0</v>
      </c>
      <c r="BV13" s="2662">
        <f>IF(AND(B13&gt;0,AP13=""),1,IF(AP13&gt;B13,1,0))</f>
        <v>0</v>
      </c>
      <c r="BW13" s="2662">
        <f>IF(AND(B13&gt;0,AQ13=""),1,IF(AQ13&gt;B13,1,0))</f>
        <v>0</v>
      </c>
      <c r="BX13" s="2662">
        <f>IF(AND(B13&gt;0,AR13=""),1,IF(AR13&gt;B13,1,0))</f>
        <v>0</v>
      </c>
      <c r="BY13" s="2662">
        <f>IF(AND(B13&gt;0,AS13=""),1,IF(AS13&gt;B13,1,0))</f>
        <v>0</v>
      </c>
    </row>
    <row r="14" spans="1:77" ht="15" customHeight="1" x14ac:dyDescent="0.3">
      <c r="A14" s="344" t="s">
        <v>478</v>
      </c>
      <c r="B14" s="342">
        <f t="shared" ref="B14:B26" si="1">SUM(C14:D14)</f>
        <v>0</v>
      </c>
      <c r="C14" s="2339">
        <f>SUM(E14+G14+I14)</f>
        <v>0</v>
      </c>
      <c r="D14" s="2663">
        <f>SUM(F14+H14+J14)</f>
        <v>0</v>
      </c>
      <c r="E14" s="346"/>
      <c r="F14" s="347"/>
      <c r="G14" s="346"/>
      <c r="H14" s="347"/>
      <c r="I14" s="346"/>
      <c r="J14" s="350"/>
      <c r="K14" s="634"/>
      <c r="L14" s="847"/>
      <c r="M14" s="634"/>
      <c r="N14" s="847"/>
      <c r="O14" s="634"/>
      <c r="P14" s="847"/>
      <c r="Q14" s="634"/>
      <c r="R14" s="847"/>
      <c r="S14" s="634"/>
      <c r="T14" s="847"/>
      <c r="U14" s="634"/>
      <c r="V14" s="847"/>
      <c r="W14" s="634"/>
      <c r="X14" s="847"/>
      <c r="Y14" s="634"/>
      <c r="Z14" s="847"/>
      <c r="AA14" s="634"/>
      <c r="AB14" s="847"/>
      <c r="AC14" s="634"/>
      <c r="AD14" s="847"/>
      <c r="AE14" s="634"/>
      <c r="AF14" s="847"/>
      <c r="AG14" s="634"/>
      <c r="AH14" s="847"/>
      <c r="AI14" s="634"/>
      <c r="AJ14" s="847"/>
      <c r="AK14" s="634"/>
      <c r="AL14" s="847"/>
      <c r="AM14" s="634"/>
      <c r="AN14" s="848"/>
      <c r="AO14" s="834"/>
      <c r="AP14" s="2664"/>
      <c r="AQ14" s="2664"/>
      <c r="AR14" s="2664"/>
      <c r="AS14" s="835"/>
      <c r="AT14" t="str">
        <f t="shared" ref="AT14:AT26" si="2">BO14&amp;BP14&amp;BQ14&amp;BR14&amp;BS14</f>
        <v/>
      </c>
      <c r="BO14" s="83" t="str">
        <f t="shared" ref="BO14:BO26" si="3">IF(AND(B14&gt;0,AO14="")," * No olvide digitar la variable Pueblos originarios. Digite Cero si no tiene.",IF(AO14&gt;B14," *  La variable Pueblos originarios No puede ser mayor al Total.",""))</f>
        <v/>
      </c>
      <c r="BP14" s="83" t="str">
        <f t="shared" ref="BP14:BP26" si="4">IF(AND(B14&gt;0,AP14="")," * No olvide digitar la variable Migrantes. Digite Cero si no tiene.",IF(AP14&gt;B14," *  La variable Migrantes No puede ser mayor al Total.",""))</f>
        <v/>
      </c>
      <c r="BQ14" s="83" t="str">
        <f t="shared" ref="BQ14:BQ26" si="5">IF(AND(B14&gt;0,AQ14="")," * No olvide digitar la variable Niños, niñas, adolescentes y jóvenes SENAME. Digite Cero si no tiene.",IF(AQ14&gt;B14," *  La variable Niños, niñas, adolescentes y jóvenes SENAME No puede ser mayor al Total.",""))</f>
        <v/>
      </c>
      <c r="BR14" s="83" t="str">
        <f t="shared" ref="BR14:BR26" si="6">IF(AND(B14&gt;0,AR14="")," * No olvide digitar la variable Niños, niñas, adolescentes y jóvenes Mejor niñez. Digite Cero si no tiene.",IF(AR14&gt;B14," *  La variable Niños, niñas, adolescentes y jóvenes Mejor Niñez No puede ser mayor al Total.",""))</f>
        <v/>
      </c>
      <c r="BS14" s="83" t="str">
        <f t="shared" ref="BS14:BS26" si="7">IF(AND(B14&gt;0,AS14="")," * No olvide digitar la variable Por campaña de invierno. Digite Cero si no tiene.",IF(AS14&gt;B14," *  La variable Por campaña de invierno No puede ser mayor al Total.",""))</f>
        <v/>
      </c>
      <c r="BU14" s="2662">
        <f t="shared" ref="BU14:BU25" si="8">IF(AND(B14&gt;0,AO14=""),1,IF(AO14&gt;B14,1,0))</f>
        <v>0</v>
      </c>
      <c r="BV14" s="2662">
        <f t="shared" ref="BV14:BV26" si="9">IF(AND(B14&gt;0,AP14=""),1,IF(AP14&gt;B14,1,0))</f>
        <v>0</v>
      </c>
      <c r="BW14" s="2662">
        <f t="shared" ref="BW14:BW26" si="10">IF(AND(B14&gt;0,AQ14=""),1,IF(AQ14&gt;B14,1,0))</f>
        <v>0</v>
      </c>
      <c r="BX14" s="2662">
        <f t="shared" ref="BX14:BX26" si="11">IF(AND(B14&gt;0,AR14=""),1,IF(AR14&gt;B14,1,0))</f>
        <v>0</v>
      </c>
      <c r="BY14" s="2662">
        <f t="shared" ref="BY14:BY26" si="12">IF(AND(B14&gt;0,AS14=""),1,IF(AS14&gt;B14,1,0))</f>
        <v>0</v>
      </c>
    </row>
    <row r="15" spans="1:77" ht="15" customHeight="1" x14ac:dyDescent="0.3">
      <c r="A15" s="2665" t="s">
        <v>479</v>
      </c>
      <c r="B15" s="342">
        <f t="shared" si="1"/>
        <v>0</v>
      </c>
      <c r="C15" s="2339">
        <f>SUM(E15+G15+I15+K15+M15+O15+Q15+S15+U15+W15+Y15+AA15+AC15+AE15+AG15+AI15+AK15+AM15)</f>
        <v>0</v>
      </c>
      <c r="D15" s="2663">
        <f>SUM(F15+H15+J15+L15+N15+P15+R15+T15+V15+X15+Z15+AB15+AD15+AF15+AH15+AJ15+AL15+AN15)</f>
        <v>0</v>
      </c>
      <c r="E15" s="346"/>
      <c r="F15" s="347"/>
      <c r="G15" s="346"/>
      <c r="H15" s="347"/>
      <c r="I15" s="346"/>
      <c r="J15" s="350"/>
      <c r="K15" s="346"/>
      <c r="L15" s="350"/>
      <c r="M15" s="346"/>
      <c r="N15" s="350"/>
      <c r="O15" s="346"/>
      <c r="P15" s="350"/>
      <c r="Q15" s="346"/>
      <c r="R15" s="350"/>
      <c r="S15" s="346"/>
      <c r="T15" s="350"/>
      <c r="U15" s="346"/>
      <c r="V15" s="350"/>
      <c r="W15" s="346"/>
      <c r="X15" s="350"/>
      <c r="Y15" s="346"/>
      <c r="Z15" s="350"/>
      <c r="AA15" s="346"/>
      <c r="AB15" s="350"/>
      <c r="AC15" s="346"/>
      <c r="AD15" s="350"/>
      <c r="AE15" s="346"/>
      <c r="AF15" s="350"/>
      <c r="AG15" s="346"/>
      <c r="AH15" s="350"/>
      <c r="AI15" s="346"/>
      <c r="AJ15" s="350"/>
      <c r="AK15" s="346"/>
      <c r="AL15" s="350"/>
      <c r="AM15" s="351"/>
      <c r="AN15" s="352"/>
      <c r="AO15" s="834"/>
      <c r="AP15" s="2664"/>
      <c r="AQ15" s="2664"/>
      <c r="AR15" s="2664"/>
      <c r="AS15" s="835"/>
      <c r="AT15" t="str">
        <f t="shared" si="2"/>
        <v/>
      </c>
      <c r="BO15" s="83" t="str">
        <f t="shared" si="3"/>
        <v/>
      </c>
      <c r="BP15" s="83" t="str">
        <f t="shared" si="4"/>
        <v/>
      </c>
      <c r="BQ15" s="83" t="str">
        <f t="shared" si="5"/>
        <v/>
      </c>
      <c r="BR15" s="83" t="str">
        <f t="shared" si="6"/>
        <v/>
      </c>
      <c r="BS15" s="83" t="str">
        <f t="shared" si="7"/>
        <v/>
      </c>
      <c r="BU15" s="2662">
        <f t="shared" si="8"/>
        <v>0</v>
      </c>
      <c r="BV15" s="2662">
        <f t="shared" si="9"/>
        <v>0</v>
      </c>
      <c r="BW15" s="2662">
        <f t="shared" si="10"/>
        <v>0</v>
      </c>
      <c r="BX15" s="2662">
        <f t="shared" si="11"/>
        <v>0</v>
      </c>
      <c r="BY15" s="2662">
        <f t="shared" si="12"/>
        <v>0</v>
      </c>
    </row>
    <row r="16" spans="1:77" ht="15" customHeight="1" x14ac:dyDescent="0.3">
      <c r="A16" s="400" t="s">
        <v>480</v>
      </c>
      <c r="B16" s="317">
        <f t="shared" si="1"/>
        <v>0</v>
      </c>
      <c r="C16" s="140">
        <f>SUM(I16+K16+M16+O16+Q16+S16+U16+W16+Y16+AA16+AC16+AE16+AG16+AI16+AK16+AM16)</f>
        <v>0</v>
      </c>
      <c r="D16" s="2666">
        <f>SUM(J16+L16+N16+P16+R16+T16+V16+X16+Z16+AB16+AD16+AF16+AH16+AJ16+AL16+AN16)</f>
        <v>0</v>
      </c>
      <c r="E16" s="634"/>
      <c r="F16" s="847"/>
      <c r="G16" s="2667"/>
      <c r="H16" s="2668"/>
      <c r="I16" s="346"/>
      <c r="J16" s="350"/>
      <c r="K16" s="346"/>
      <c r="L16" s="350"/>
      <c r="M16" s="346"/>
      <c r="N16" s="350"/>
      <c r="O16" s="346"/>
      <c r="P16" s="350"/>
      <c r="Q16" s="346"/>
      <c r="R16" s="350"/>
      <c r="S16" s="346"/>
      <c r="T16" s="350"/>
      <c r="U16" s="346"/>
      <c r="V16" s="350"/>
      <c r="W16" s="346"/>
      <c r="X16" s="350"/>
      <c r="Y16" s="346"/>
      <c r="Z16" s="350"/>
      <c r="AA16" s="346"/>
      <c r="AB16" s="350"/>
      <c r="AC16" s="346"/>
      <c r="AD16" s="350"/>
      <c r="AE16" s="346"/>
      <c r="AF16" s="350"/>
      <c r="AG16" s="346"/>
      <c r="AH16" s="350"/>
      <c r="AI16" s="346"/>
      <c r="AJ16" s="350"/>
      <c r="AK16" s="346"/>
      <c r="AL16" s="350"/>
      <c r="AM16" s="351"/>
      <c r="AN16" s="352"/>
      <c r="AO16" s="834"/>
      <c r="AP16" s="2664"/>
      <c r="AQ16" s="2664"/>
      <c r="AR16" s="2664"/>
      <c r="AS16" s="835"/>
      <c r="AT16" t="str">
        <f t="shared" si="2"/>
        <v/>
      </c>
      <c r="BO16" s="83" t="str">
        <f t="shared" si="3"/>
        <v/>
      </c>
      <c r="BP16" s="83" t="str">
        <f t="shared" si="4"/>
        <v/>
      </c>
      <c r="BQ16" s="83" t="str">
        <f>IF(AND(B16&gt;0,AQ16="")," * No olvide digitar la variable Niños, niñas, adolescentes y jóvenes SENAME. Digite Cero si no tiene.",IF(AQ16&gt;B16," *  La variable Niños, niñas, adolescentes y jóvenes SENAME No puede ser mayor al Total.",""))</f>
        <v/>
      </c>
      <c r="BR16" s="83" t="str">
        <f t="shared" si="6"/>
        <v/>
      </c>
      <c r="BS16" s="83" t="str">
        <f t="shared" si="7"/>
        <v/>
      </c>
      <c r="BU16" s="2662">
        <f t="shared" si="8"/>
        <v>0</v>
      </c>
      <c r="BV16" s="2662">
        <f t="shared" si="9"/>
        <v>0</v>
      </c>
      <c r="BW16" s="2662">
        <f t="shared" si="10"/>
        <v>0</v>
      </c>
      <c r="BX16" s="2662">
        <f t="shared" si="11"/>
        <v>0</v>
      </c>
      <c r="BY16" s="2662">
        <f t="shared" si="12"/>
        <v>0</v>
      </c>
    </row>
    <row r="17" spans="1:77" ht="15" customHeight="1" x14ac:dyDescent="0.3">
      <c r="A17" s="2669" t="s">
        <v>481</v>
      </c>
      <c r="B17" s="342">
        <f t="shared" si="1"/>
        <v>0</v>
      </c>
      <c r="C17" s="2339">
        <f>SUM(U17+W17+Y17+AA17+AC17+AE17+AG17+AI17+AK17+AM17)</f>
        <v>0</v>
      </c>
      <c r="D17" s="2663">
        <f>SUM(V17+X17+Z17+AB17+AD17+AF17+AH17+AJ17+AL17+AN17)</f>
        <v>0</v>
      </c>
      <c r="E17" s="634"/>
      <c r="F17" s="368"/>
      <c r="G17" s="634"/>
      <c r="H17" s="368"/>
      <c r="I17" s="634"/>
      <c r="J17" s="847"/>
      <c r="K17" s="634"/>
      <c r="L17" s="847"/>
      <c r="M17" s="634"/>
      <c r="N17" s="847"/>
      <c r="O17" s="634"/>
      <c r="P17" s="847"/>
      <c r="Q17" s="634"/>
      <c r="R17" s="847"/>
      <c r="S17" s="634"/>
      <c r="T17" s="847"/>
      <c r="U17" s="346"/>
      <c r="V17" s="350"/>
      <c r="W17" s="346"/>
      <c r="X17" s="350"/>
      <c r="Y17" s="346"/>
      <c r="Z17" s="350"/>
      <c r="AA17" s="346"/>
      <c r="AB17" s="350"/>
      <c r="AC17" s="346"/>
      <c r="AD17" s="350"/>
      <c r="AE17" s="346"/>
      <c r="AF17" s="350"/>
      <c r="AG17" s="346"/>
      <c r="AH17" s="350"/>
      <c r="AI17" s="346"/>
      <c r="AJ17" s="350"/>
      <c r="AK17" s="346"/>
      <c r="AL17" s="350"/>
      <c r="AM17" s="351"/>
      <c r="AN17" s="352"/>
      <c r="AO17" s="834"/>
      <c r="AP17" s="2664"/>
      <c r="AQ17" s="2664"/>
      <c r="AR17" s="2664"/>
      <c r="AS17" s="835"/>
      <c r="AT17" t="str">
        <f t="shared" si="2"/>
        <v/>
      </c>
      <c r="BO17" s="83" t="str">
        <f t="shared" si="3"/>
        <v/>
      </c>
      <c r="BP17" s="83" t="str">
        <f t="shared" si="4"/>
        <v/>
      </c>
      <c r="BQ17" s="83" t="str">
        <f t="shared" ref="BQ17:BQ21" si="13">IF(AND(B17&gt;0,AQ17="")," * No olvide digitar la variable Niños, niñas, adolescentes y jóvenes SENAME. Digite Cero si no tiene.",IF(AQ17&gt;B17," *  La variable Niños, niñas, adolescentes y jóvenes SENAME No puede ser mayor al Total.",""))</f>
        <v/>
      </c>
      <c r="BR17" s="83" t="str">
        <f t="shared" si="6"/>
        <v/>
      </c>
      <c r="BS17" s="83" t="str">
        <f t="shared" si="7"/>
        <v/>
      </c>
      <c r="BU17" s="2662">
        <f t="shared" si="8"/>
        <v>0</v>
      </c>
      <c r="BV17" s="2662">
        <f t="shared" si="9"/>
        <v>0</v>
      </c>
      <c r="BW17" s="2662">
        <f t="shared" ref="BW17:BW21" si="14">IF(AND(B17&gt;0,AQ17=""),1,IF(AQ17&gt;B17,1,0))</f>
        <v>0</v>
      </c>
      <c r="BX17" s="2662">
        <f t="shared" ref="BX17:BX21" si="15">IF(AND(B17&gt;0,AR17=""),1,IF(AR17&gt;B17,1,0))</f>
        <v>0</v>
      </c>
      <c r="BY17" s="2662">
        <f t="shared" si="12"/>
        <v>0</v>
      </c>
    </row>
    <row r="18" spans="1:77" ht="15" customHeight="1" x14ac:dyDescent="0.3">
      <c r="A18" s="2433" t="s">
        <v>482</v>
      </c>
      <c r="B18" s="342">
        <f t="shared" si="1"/>
        <v>0</v>
      </c>
      <c r="C18" s="2339">
        <f>SUM(E18+G18+I18+K18+M18+O18+Q18+S18+U18+W18+Y18+AA18+AC18+AE18+AG18+AI18+AK18+AM18)</f>
        <v>0</v>
      </c>
      <c r="D18" s="2663">
        <f>SUM(F18+H18+J18+L18+N18+P18+R18+T18+V18+X18+Z18+AB18+AD18+AF18+AH18+AJ18+AL18+AN18)</f>
        <v>0</v>
      </c>
      <c r="E18" s="346"/>
      <c r="F18" s="347"/>
      <c r="G18" s="346"/>
      <c r="H18" s="347"/>
      <c r="I18" s="346"/>
      <c r="J18" s="350"/>
      <c r="K18" s="290"/>
      <c r="L18" s="350"/>
      <c r="M18" s="346"/>
      <c r="N18" s="350"/>
      <c r="O18" s="346"/>
      <c r="P18" s="350"/>
      <c r="Q18" s="346"/>
      <c r="R18" s="350"/>
      <c r="S18" s="346"/>
      <c r="T18" s="350"/>
      <c r="U18" s="346"/>
      <c r="V18" s="350"/>
      <c r="W18" s="346"/>
      <c r="X18" s="350"/>
      <c r="Y18" s="346"/>
      <c r="Z18" s="350"/>
      <c r="AA18" s="346"/>
      <c r="AB18" s="350"/>
      <c r="AC18" s="346"/>
      <c r="AD18" s="350"/>
      <c r="AE18" s="346"/>
      <c r="AF18" s="350"/>
      <c r="AG18" s="346"/>
      <c r="AH18" s="350"/>
      <c r="AI18" s="346"/>
      <c r="AJ18" s="350"/>
      <c r="AK18" s="346"/>
      <c r="AL18" s="350"/>
      <c r="AM18" s="351"/>
      <c r="AN18" s="352"/>
      <c r="AO18" s="834"/>
      <c r="AP18" s="2664"/>
      <c r="AQ18" s="2664"/>
      <c r="AR18" s="2664"/>
      <c r="AS18" s="835"/>
      <c r="AT18" t="str">
        <f t="shared" si="2"/>
        <v/>
      </c>
      <c r="BO18" s="83" t="str">
        <f t="shared" si="3"/>
        <v/>
      </c>
      <c r="BP18" s="83" t="str">
        <f t="shared" si="4"/>
        <v/>
      </c>
      <c r="BQ18" s="83" t="str">
        <f t="shared" si="13"/>
        <v/>
      </c>
      <c r="BR18" s="83" t="str">
        <f t="shared" si="6"/>
        <v/>
      </c>
      <c r="BS18" s="83" t="str">
        <f t="shared" si="7"/>
        <v/>
      </c>
      <c r="BU18" s="2662">
        <f t="shared" si="8"/>
        <v>0</v>
      </c>
      <c r="BV18" s="2662">
        <f t="shared" si="9"/>
        <v>0</v>
      </c>
      <c r="BW18" s="2662">
        <f t="shared" si="14"/>
        <v>0</v>
      </c>
      <c r="BX18" s="2662">
        <f t="shared" si="15"/>
        <v>0</v>
      </c>
      <c r="BY18" s="2662">
        <f t="shared" si="12"/>
        <v>0</v>
      </c>
    </row>
    <row r="19" spans="1:77" ht="15" customHeight="1" x14ac:dyDescent="0.3">
      <c r="A19" s="2670" t="s">
        <v>483</v>
      </c>
      <c r="B19" s="342">
        <f>SUM(C19:D19)</f>
        <v>0</v>
      </c>
      <c r="C19" s="1925"/>
      <c r="D19" s="2671">
        <f>SUM(L19+N19+P19+R19+T19+V19+X19+Z19+AB19+AD19+AF19)</f>
        <v>0</v>
      </c>
      <c r="E19" s="2667"/>
      <c r="F19" s="2668"/>
      <c r="G19" s="2667"/>
      <c r="H19" s="2668"/>
      <c r="I19" s="2667"/>
      <c r="J19" s="2672"/>
      <c r="K19" s="634"/>
      <c r="L19" s="383"/>
      <c r="M19" s="2673"/>
      <c r="N19" s="383"/>
      <c r="O19" s="2673"/>
      <c r="P19" s="383"/>
      <c r="Q19" s="2673"/>
      <c r="R19" s="383"/>
      <c r="S19" s="2673"/>
      <c r="T19" s="383"/>
      <c r="U19" s="2673"/>
      <c r="V19" s="383"/>
      <c r="W19" s="2673"/>
      <c r="X19" s="383"/>
      <c r="Y19" s="2673"/>
      <c r="Z19" s="383"/>
      <c r="AA19" s="2673"/>
      <c r="AB19" s="383"/>
      <c r="AC19" s="2673"/>
      <c r="AD19" s="383"/>
      <c r="AE19" s="2673"/>
      <c r="AF19" s="383"/>
      <c r="AG19" s="2667"/>
      <c r="AH19" s="2672"/>
      <c r="AI19" s="2667"/>
      <c r="AJ19" s="2672"/>
      <c r="AK19" s="2667"/>
      <c r="AL19" s="2672"/>
      <c r="AM19" s="2674"/>
      <c r="AN19" s="848"/>
      <c r="AO19" s="2675"/>
      <c r="AP19" s="2676"/>
      <c r="AQ19" s="2676"/>
      <c r="AR19" s="2676"/>
      <c r="AS19" s="5628"/>
      <c r="AT19" t="str">
        <f t="shared" si="2"/>
        <v/>
      </c>
      <c r="BO19" s="83" t="str">
        <f t="shared" si="3"/>
        <v/>
      </c>
      <c r="BP19" s="83" t="str">
        <f t="shared" si="4"/>
        <v/>
      </c>
      <c r="BQ19" s="83" t="str">
        <f t="shared" si="13"/>
        <v/>
      </c>
      <c r="BR19" s="83" t="str">
        <f t="shared" si="6"/>
        <v/>
      </c>
      <c r="BS19" s="83"/>
      <c r="BU19" s="2662">
        <f t="shared" si="8"/>
        <v>0</v>
      </c>
      <c r="BV19" s="2662">
        <f t="shared" si="9"/>
        <v>0</v>
      </c>
      <c r="BW19" s="2662">
        <f t="shared" si="14"/>
        <v>0</v>
      </c>
      <c r="BX19" s="2662">
        <f t="shared" si="15"/>
        <v>0</v>
      </c>
      <c r="BY19" s="2662"/>
    </row>
    <row r="20" spans="1:77" ht="15" customHeight="1" x14ac:dyDescent="0.3">
      <c r="A20" s="2670" t="s">
        <v>484</v>
      </c>
      <c r="B20" s="342">
        <f>SUM(C20:D20)</f>
        <v>0</v>
      </c>
      <c r="C20" s="1925"/>
      <c r="D20" s="2663">
        <f>SUM(F20+H20+J20+L20+N20+P20+R20+T20+V20+X20+Z20+AB20+AD20+AF20+AH20+AJ20+AL20+AN20)</f>
        <v>0</v>
      </c>
      <c r="E20" s="2667"/>
      <c r="F20" s="347"/>
      <c r="G20" s="2667"/>
      <c r="H20" s="347"/>
      <c r="I20" s="2667"/>
      <c r="J20" s="383"/>
      <c r="K20" s="2667"/>
      <c r="L20" s="383"/>
      <c r="M20" s="2673"/>
      <c r="N20" s="383"/>
      <c r="O20" s="2673"/>
      <c r="P20" s="383"/>
      <c r="Q20" s="2673"/>
      <c r="R20" s="383"/>
      <c r="S20" s="2673"/>
      <c r="T20" s="383"/>
      <c r="U20" s="2673"/>
      <c r="V20" s="383"/>
      <c r="W20" s="2673"/>
      <c r="X20" s="383"/>
      <c r="Y20" s="2673"/>
      <c r="Z20" s="383"/>
      <c r="AA20" s="2673"/>
      <c r="AB20" s="383"/>
      <c r="AC20" s="2673"/>
      <c r="AD20" s="383"/>
      <c r="AE20" s="2673"/>
      <c r="AF20" s="383"/>
      <c r="AG20" s="2673"/>
      <c r="AH20" s="383"/>
      <c r="AI20" s="2673"/>
      <c r="AJ20" s="383"/>
      <c r="AK20" s="2673"/>
      <c r="AL20" s="383"/>
      <c r="AM20" s="2673"/>
      <c r="AN20" s="384"/>
      <c r="AO20" s="2675"/>
      <c r="AP20" s="2676"/>
      <c r="AQ20" s="2676"/>
      <c r="AR20" s="2676"/>
      <c r="AS20" s="5628"/>
      <c r="AT20" t="str">
        <f t="shared" si="2"/>
        <v/>
      </c>
      <c r="BO20" s="83" t="str">
        <f t="shared" si="3"/>
        <v/>
      </c>
      <c r="BP20" s="83" t="str">
        <f t="shared" si="4"/>
        <v/>
      </c>
      <c r="BQ20" s="83" t="str">
        <f t="shared" si="13"/>
        <v/>
      </c>
      <c r="BR20" s="83" t="str">
        <f t="shared" si="6"/>
        <v/>
      </c>
      <c r="BS20" s="83"/>
      <c r="BU20" s="2662">
        <f t="shared" si="8"/>
        <v>0</v>
      </c>
      <c r="BV20" s="2662">
        <f t="shared" si="9"/>
        <v>0</v>
      </c>
      <c r="BW20" s="2662">
        <f t="shared" si="14"/>
        <v>0</v>
      </c>
      <c r="BX20" s="2662">
        <f t="shared" si="15"/>
        <v>0</v>
      </c>
      <c r="BY20" s="2662"/>
    </row>
    <row r="21" spans="1:77" ht="15" customHeight="1" x14ac:dyDescent="0.3">
      <c r="A21" s="2670" t="s">
        <v>485</v>
      </c>
      <c r="B21" s="199">
        <f t="shared" si="1"/>
        <v>0</v>
      </c>
      <c r="C21" s="1151">
        <f>SUM(O21+Q21+S21+U21+W21+Y21+AA21)</f>
        <v>0</v>
      </c>
      <c r="D21" s="2663">
        <f>SUM(P21+R21+T21+V21+X21+Z21+AB21)</f>
        <v>0</v>
      </c>
      <c r="E21" s="2667"/>
      <c r="F21" s="2668"/>
      <c r="G21" s="2667"/>
      <c r="H21" s="2668"/>
      <c r="I21" s="2667"/>
      <c r="J21" s="2672"/>
      <c r="K21" s="634"/>
      <c r="L21" s="2672"/>
      <c r="M21" s="2667"/>
      <c r="N21" s="2672"/>
      <c r="O21" s="192"/>
      <c r="P21" s="383"/>
      <c r="Q21" s="192"/>
      <c r="R21" s="383"/>
      <c r="S21" s="192"/>
      <c r="T21" s="383"/>
      <c r="U21" s="192"/>
      <c r="V21" s="383"/>
      <c r="W21" s="192"/>
      <c r="X21" s="383"/>
      <c r="Y21" s="192"/>
      <c r="Z21" s="383"/>
      <c r="AA21" s="192"/>
      <c r="AB21" s="383"/>
      <c r="AC21" s="2667"/>
      <c r="AD21" s="2672"/>
      <c r="AE21" s="2667"/>
      <c r="AF21" s="2672"/>
      <c r="AG21" s="2673"/>
      <c r="AH21" s="2672"/>
      <c r="AI21" s="2667"/>
      <c r="AJ21" s="2672"/>
      <c r="AK21" s="2667"/>
      <c r="AL21" s="2672"/>
      <c r="AM21" s="2674"/>
      <c r="AN21" s="848"/>
      <c r="AO21" s="2675"/>
      <c r="AP21" s="2676"/>
      <c r="AQ21" s="2676"/>
      <c r="AR21" s="2676"/>
      <c r="AS21" s="5628"/>
      <c r="AT21" t="str">
        <f t="shared" si="2"/>
        <v/>
      </c>
      <c r="BO21" s="83" t="str">
        <f t="shared" si="3"/>
        <v/>
      </c>
      <c r="BP21" s="83" t="str">
        <f t="shared" si="4"/>
        <v/>
      </c>
      <c r="BQ21" s="83" t="str">
        <f t="shared" si="13"/>
        <v/>
      </c>
      <c r="BR21" s="83" t="str">
        <f t="shared" si="6"/>
        <v/>
      </c>
      <c r="BS21" s="83"/>
      <c r="BU21" s="2662">
        <f t="shared" si="8"/>
        <v>0</v>
      </c>
      <c r="BV21" s="2662">
        <f t="shared" si="9"/>
        <v>0</v>
      </c>
      <c r="BW21" s="2662">
        <f t="shared" si="14"/>
        <v>0</v>
      </c>
      <c r="BX21" s="2662">
        <f t="shared" si="15"/>
        <v>0</v>
      </c>
      <c r="BY21" s="2662"/>
    </row>
    <row r="22" spans="1:77" ht="15" customHeight="1" x14ac:dyDescent="0.3">
      <c r="A22" s="2670" t="s">
        <v>486</v>
      </c>
      <c r="B22" s="199">
        <f t="shared" si="1"/>
        <v>0</v>
      </c>
      <c r="C22" s="1151">
        <f>SUM(E22+G22+I22+K22+M22+O22+Q22+S22+U22+W22+Y22+AA22+AC22+AE22+AG22+AI22+AK22+AM22)</f>
        <v>0</v>
      </c>
      <c r="D22" s="2671">
        <f>SUM(F22+H22+J22+L22+N22+P22+R22+T22+V22+X22+Z22+AB22+AD22+AF22+AH22+AJ22+AL22+AN22)</f>
        <v>0</v>
      </c>
      <c r="E22" s="192"/>
      <c r="F22" s="2"/>
      <c r="G22" s="192"/>
      <c r="H22" s="2"/>
      <c r="I22" s="192"/>
      <c r="J22" s="383"/>
      <c r="K22" s="290"/>
      <c r="L22" s="383"/>
      <c r="M22" s="192"/>
      <c r="N22" s="383"/>
      <c r="O22" s="192"/>
      <c r="P22" s="383"/>
      <c r="Q22" s="192"/>
      <c r="R22" s="383"/>
      <c r="S22" s="192"/>
      <c r="T22" s="383"/>
      <c r="U22" s="192"/>
      <c r="V22" s="383"/>
      <c r="W22" s="192"/>
      <c r="X22" s="383"/>
      <c r="Y22" s="192"/>
      <c r="Z22" s="383"/>
      <c r="AA22" s="192"/>
      <c r="AB22" s="383"/>
      <c r="AC22" s="192"/>
      <c r="AD22" s="383"/>
      <c r="AE22" s="192"/>
      <c r="AF22" s="383"/>
      <c r="AG22" s="192"/>
      <c r="AH22" s="383"/>
      <c r="AI22" s="192"/>
      <c r="AJ22" s="383"/>
      <c r="AK22" s="192"/>
      <c r="AL22" s="383"/>
      <c r="AM22" s="776"/>
      <c r="AN22" s="384"/>
      <c r="AO22" s="2675"/>
      <c r="AP22" s="2676"/>
      <c r="AQ22" s="2676"/>
      <c r="AR22" s="2676"/>
      <c r="AS22" s="5628"/>
      <c r="AT22" t="str">
        <f t="shared" si="2"/>
        <v/>
      </c>
      <c r="BO22" s="83" t="str">
        <f t="shared" si="3"/>
        <v/>
      </c>
      <c r="BP22" s="83" t="str">
        <f t="shared" si="4"/>
        <v/>
      </c>
      <c r="BQ22" s="83" t="str">
        <f t="shared" si="5"/>
        <v/>
      </c>
      <c r="BR22" s="83" t="str">
        <f t="shared" si="6"/>
        <v/>
      </c>
      <c r="BS22" s="83"/>
      <c r="BU22" s="2662">
        <f t="shared" si="8"/>
        <v>0</v>
      </c>
      <c r="BV22" s="2662">
        <f t="shared" si="9"/>
        <v>0</v>
      </c>
      <c r="BW22" s="2662">
        <f t="shared" si="10"/>
        <v>0</v>
      </c>
      <c r="BX22" s="2662">
        <f t="shared" si="11"/>
        <v>0</v>
      </c>
      <c r="BY22" s="2662"/>
    </row>
    <row r="23" spans="1:77" ht="15" customHeight="1" x14ac:dyDescent="0.3">
      <c r="A23" s="2669" t="s">
        <v>487</v>
      </c>
      <c r="B23" s="199">
        <f t="shared" si="1"/>
        <v>0</v>
      </c>
      <c r="C23" s="1151">
        <f>SUM(E23+G23+I23+K23+M23+O23+Q23+S23+U23+W23+Y23+AA23+AC23+AE23+AG23+AI23+AK23+AM23)</f>
        <v>0</v>
      </c>
      <c r="D23" s="2671">
        <f>SUM(F23+H23+J23+L23+N23+P23+R23+T23+V23+X23+Z23+AB23+AD23+AF23+AH23+AJ23+AL23+AN23)</f>
        <v>0</v>
      </c>
      <c r="E23" s="192"/>
      <c r="F23" s="2"/>
      <c r="G23" s="192"/>
      <c r="H23" s="2"/>
      <c r="I23" s="192"/>
      <c r="J23" s="383"/>
      <c r="K23" s="290"/>
      <c r="L23" s="383"/>
      <c r="M23" s="192"/>
      <c r="N23" s="383"/>
      <c r="O23" s="192"/>
      <c r="P23" s="383"/>
      <c r="Q23" s="192"/>
      <c r="R23" s="383"/>
      <c r="S23" s="192"/>
      <c r="T23" s="383"/>
      <c r="U23" s="192"/>
      <c r="V23" s="383"/>
      <c r="W23" s="192"/>
      <c r="X23" s="383"/>
      <c r="Y23" s="192"/>
      <c r="Z23" s="383"/>
      <c r="AA23" s="192"/>
      <c r="AB23" s="383"/>
      <c r="AC23" s="192"/>
      <c r="AD23" s="383"/>
      <c r="AE23" s="192"/>
      <c r="AF23" s="383"/>
      <c r="AG23" s="192"/>
      <c r="AH23" s="383"/>
      <c r="AI23" s="192"/>
      <c r="AJ23" s="383"/>
      <c r="AK23" s="192"/>
      <c r="AL23" s="383"/>
      <c r="AM23" s="776"/>
      <c r="AN23" s="384"/>
      <c r="AO23" s="2675"/>
      <c r="AP23" s="2676"/>
      <c r="AQ23" s="2676"/>
      <c r="AR23" s="2676"/>
      <c r="AS23" s="5628"/>
      <c r="AT23" t="str">
        <f t="shared" si="2"/>
        <v/>
      </c>
      <c r="BO23" s="83" t="str">
        <f t="shared" si="3"/>
        <v/>
      </c>
      <c r="BP23" s="83" t="str">
        <f t="shared" si="4"/>
        <v/>
      </c>
      <c r="BQ23" s="83" t="str">
        <f t="shared" si="5"/>
        <v/>
      </c>
      <c r="BR23" s="83" t="str">
        <f t="shared" si="6"/>
        <v/>
      </c>
      <c r="BS23" s="83"/>
      <c r="BU23" s="2662">
        <f t="shared" si="8"/>
        <v>0</v>
      </c>
      <c r="BV23" s="2662">
        <f t="shared" si="9"/>
        <v>0</v>
      </c>
      <c r="BW23" s="2662">
        <f t="shared" si="10"/>
        <v>0</v>
      </c>
      <c r="BX23" s="2662">
        <f t="shared" si="11"/>
        <v>0</v>
      </c>
      <c r="BY23" s="2662"/>
    </row>
    <row r="24" spans="1:77" ht="15" customHeight="1" x14ac:dyDescent="0.3">
      <c r="A24" s="2669" t="s">
        <v>488</v>
      </c>
      <c r="B24" s="342">
        <f t="shared" si="1"/>
        <v>0</v>
      </c>
      <c r="C24" s="2339">
        <f>SUM(G24+I24+K24+M24+O24+Q24+S24+U24+W24+Y24+AA24+AC24+AE24+AG24+AI24+AK24+AM24)</f>
        <v>0</v>
      </c>
      <c r="D24" s="2663">
        <f>SUM(H24+J24+L24+N24+P24+R24+T24+V24+X24+Z24+AB24+AD24+AF24+AH24+AJ24+AL24+AN24)</f>
        <v>0</v>
      </c>
      <c r="E24" s="634"/>
      <c r="F24" s="847"/>
      <c r="G24" s="192"/>
      <c r="H24" s="2"/>
      <c r="I24" s="192"/>
      <c r="J24" s="383"/>
      <c r="K24" s="290"/>
      <c r="L24" s="383"/>
      <c r="M24" s="192"/>
      <c r="N24" s="383"/>
      <c r="O24" s="192"/>
      <c r="P24" s="383"/>
      <c r="Q24" s="192"/>
      <c r="R24" s="383"/>
      <c r="S24" s="192"/>
      <c r="T24" s="383"/>
      <c r="U24" s="192"/>
      <c r="V24" s="383"/>
      <c r="W24" s="192"/>
      <c r="X24" s="383"/>
      <c r="Y24" s="192"/>
      <c r="Z24" s="383"/>
      <c r="AA24" s="192"/>
      <c r="AB24" s="383"/>
      <c r="AC24" s="192"/>
      <c r="AD24" s="383"/>
      <c r="AE24" s="192"/>
      <c r="AF24" s="383"/>
      <c r="AG24" s="192"/>
      <c r="AH24" s="383"/>
      <c r="AI24" s="192"/>
      <c r="AJ24" s="383"/>
      <c r="AK24" s="192"/>
      <c r="AL24" s="383"/>
      <c r="AM24" s="776"/>
      <c r="AN24" s="384"/>
      <c r="AO24" s="2675"/>
      <c r="AP24" s="2676"/>
      <c r="AQ24" s="2676"/>
      <c r="AR24" s="2676"/>
      <c r="AS24" s="5628"/>
      <c r="AT24" t="str">
        <f t="shared" si="2"/>
        <v/>
      </c>
      <c r="BO24" s="83" t="str">
        <f t="shared" si="3"/>
        <v/>
      </c>
      <c r="BP24" s="83" t="str">
        <f t="shared" si="4"/>
        <v/>
      </c>
      <c r="BQ24" s="83" t="str">
        <f t="shared" si="5"/>
        <v/>
      </c>
      <c r="BR24" s="83" t="str">
        <f t="shared" si="6"/>
        <v/>
      </c>
      <c r="BS24" s="83"/>
      <c r="BU24" s="2662">
        <f t="shared" si="8"/>
        <v>0</v>
      </c>
      <c r="BV24" s="2662">
        <f t="shared" si="9"/>
        <v>0</v>
      </c>
      <c r="BW24" s="2662">
        <f t="shared" si="10"/>
        <v>0</v>
      </c>
      <c r="BX24" s="2662">
        <f t="shared" si="11"/>
        <v>0</v>
      </c>
      <c r="BY24" s="2662"/>
    </row>
    <row r="25" spans="1:77" ht="15" customHeight="1" x14ac:dyDescent="0.3">
      <c r="A25" s="2669" t="s">
        <v>489</v>
      </c>
      <c r="B25" s="342">
        <f t="shared" si="1"/>
        <v>0</v>
      </c>
      <c r="C25" s="2339">
        <f>SUM(M25+O25+Q25+S25+U25+W25+Y25+AA25+AC25+AE25+AG25+AI25+AK25+AM25)</f>
        <v>0</v>
      </c>
      <c r="D25" s="2663">
        <f>SUM(N25+P25+R25+T25+V25+X25+Z25+AB25+AD25+AF25+AH25+AJ25+AL25+AN25)</f>
        <v>0</v>
      </c>
      <c r="E25" s="2678"/>
      <c r="F25" s="2672"/>
      <c r="G25" s="2667"/>
      <c r="H25" s="2668"/>
      <c r="I25" s="2667"/>
      <c r="J25" s="2668"/>
      <c r="K25" s="2667"/>
      <c r="L25" s="2668"/>
      <c r="M25" s="192"/>
      <c r="N25" s="383"/>
      <c r="O25" s="192"/>
      <c r="P25" s="383"/>
      <c r="Q25" s="192"/>
      <c r="R25" s="383"/>
      <c r="S25" s="192"/>
      <c r="T25" s="383"/>
      <c r="U25" s="192"/>
      <c r="V25" s="383"/>
      <c r="W25" s="192"/>
      <c r="X25" s="383"/>
      <c r="Y25" s="192"/>
      <c r="Z25" s="383"/>
      <c r="AA25" s="192"/>
      <c r="AB25" s="383"/>
      <c r="AC25" s="192"/>
      <c r="AD25" s="383"/>
      <c r="AE25" s="192"/>
      <c r="AF25" s="383"/>
      <c r="AG25" s="192"/>
      <c r="AH25" s="383"/>
      <c r="AI25" s="192"/>
      <c r="AJ25" s="383"/>
      <c r="AK25" s="192"/>
      <c r="AL25" s="383"/>
      <c r="AM25" s="776"/>
      <c r="AN25" s="384"/>
      <c r="AO25" s="2675"/>
      <c r="AP25" s="2676"/>
      <c r="AQ25" s="2676"/>
      <c r="AR25" s="2676"/>
      <c r="AS25" s="5628"/>
      <c r="AT25" t="str">
        <f t="shared" si="2"/>
        <v/>
      </c>
      <c r="BO25" s="83" t="str">
        <f t="shared" si="3"/>
        <v/>
      </c>
      <c r="BP25" s="83" t="str">
        <f t="shared" si="4"/>
        <v/>
      </c>
      <c r="BQ25" s="83" t="str">
        <f t="shared" si="5"/>
        <v/>
      </c>
      <c r="BR25" s="83" t="str">
        <f t="shared" si="6"/>
        <v/>
      </c>
      <c r="BS25" s="83"/>
      <c r="BU25" s="2662">
        <f t="shared" si="8"/>
        <v>0</v>
      </c>
      <c r="BV25" s="2662">
        <f t="shared" si="9"/>
        <v>0</v>
      </c>
      <c r="BW25" s="2662">
        <f t="shared" si="10"/>
        <v>0</v>
      </c>
      <c r="BX25" s="2662">
        <f t="shared" si="11"/>
        <v>0</v>
      </c>
      <c r="BY25" s="2662"/>
    </row>
    <row r="26" spans="1:77" ht="15" customHeight="1" x14ac:dyDescent="0.3">
      <c r="A26" s="2318" t="s">
        <v>490</v>
      </c>
      <c r="B26" s="324">
        <f t="shared" si="1"/>
        <v>0</v>
      </c>
      <c r="C26" s="755">
        <f>SUM(E26+G26+I26+K26+M26+O26+Q26+S26+U26+W26+Y26+AA26+AC26+AE26+AG26+AI26+AK26+AM26)</f>
        <v>0</v>
      </c>
      <c r="D26" s="2679">
        <f>SUM(F26+H26+J26+L26+N26+P26+R26+T26+V26+X26+Z26+AB26+AD26+AF26+AH26+AJ26+AL26+AN26)</f>
        <v>0</v>
      </c>
      <c r="E26" s="2680"/>
      <c r="F26" s="389"/>
      <c r="G26" s="380"/>
      <c r="H26" s="388"/>
      <c r="I26" s="380"/>
      <c r="J26" s="389"/>
      <c r="K26" s="373"/>
      <c r="L26" s="389"/>
      <c r="M26" s="380"/>
      <c r="N26" s="389"/>
      <c r="O26" s="380"/>
      <c r="P26" s="389"/>
      <c r="Q26" s="380"/>
      <c r="R26" s="389"/>
      <c r="S26" s="380"/>
      <c r="T26" s="389"/>
      <c r="U26" s="380"/>
      <c r="V26" s="389"/>
      <c r="W26" s="380"/>
      <c r="X26" s="389"/>
      <c r="Y26" s="380"/>
      <c r="Z26" s="389"/>
      <c r="AA26" s="380"/>
      <c r="AB26" s="389"/>
      <c r="AC26" s="380"/>
      <c r="AD26" s="389"/>
      <c r="AE26" s="380"/>
      <c r="AF26" s="389"/>
      <c r="AG26" s="380"/>
      <c r="AH26" s="389"/>
      <c r="AI26" s="380"/>
      <c r="AJ26" s="389"/>
      <c r="AK26" s="380"/>
      <c r="AL26" s="389"/>
      <c r="AM26" s="682"/>
      <c r="AN26" s="390"/>
      <c r="AO26" s="837"/>
      <c r="AP26" s="2681"/>
      <c r="AQ26" s="2681"/>
      <c r="AR26" s="2681"/>
      <c r="AS26" s="838"/>
      <c r="AT26" t="str">
        <f t="shared" si="2"/>
        <v/>
      </c>
      <c r="BO26" s="83" t="str">
        <f t="shared" si="3"/>
        <v/>
      </c>
      <c r="BP26" s="83" t="str">
        <f t="shared" si="4"/>
        <v/>
      </c>
      <c r="BQ26" s="83" t="str">
        <f t="shared" si="5"/>
        <v/>
      </c>
      <c r="BR26" s="83" t="str">
        <f t="shared" si="6"/>
        <v/>
      </c>
      <c r="BS26" s="83" t="str">
        <f t="shared" si="7"/>
        <v/>
      </c>
      <c r="BU26" s="2662">
        <f>IF(AND(B26&gt;0,AO26=""),1,IF(AO26&gt;B26,1,0))</f>
        <v>0</v>
      </c>
      <c r="BV26" s="2662">
        <f t="shared" si="9"/>
        <v>0</v>
      </c>
      <c r="BW26" s="2662">
        <f t="shared" si="10"/>
        <v>0</v>
      </c>
      <c r="BX26" s="2662">
        <f t="shared" si="11"/>
        <v>0</v>
      </c>
      <c r="BY26" s="2662">
        <f t="shared" si="12"/>
        <v>0</v>
      </c>
    </row>
    <row r="27" spans="1:77" ht="18" customHeight="1" x14ac:dyDescent="0.3">
      <c r="A27" s="3" t="s">
        <v>491</v>
      </c>
      <c r="B27" s="91"/>
      <c r="C27" s="91"/>
      <c r="D27" s="91"/>
      <c r="E27" s="91"/>
      <c r="F27" s="2248"/>
      <c r="G27" s="2248" t="s">
        <v>10</v>
      </c>
      <c r="H27" s="2682"/>
      <c r="I27" s="2682"/>
      <c r="J27" s="2248"/>
      <c r="K27" s="2248"/>
      <c r="L27" s="2248"/>
      <c r="M27" s="2248"/>
      <c r="N27" s="2248"/>
      <c r="O27" s="2248"/>
      <c r="P27" s="2248"/>
      <c r="Q27" s="2248"/>
      <c r="R27" s="2248"/>
      <c r="S27" s="2248"/>
      <c r="T27" s="2248"/>
      <c r="U27" s="2248"/>
      <c r="V27" s="2248"/>
      <c r="W27" s="2248"/>
      <c r="X27" s="2248"/>
      <c r="Y27" s="2683"/>
      <c r="Z27" s="2683"/>
      <c r="AA27" s="2683"/>
      <c r="AB27" s="2683"/>
      <c r="AC27" s="2683"/>
      <c r="AD27" s="2683"/>
      <c r="AE27" s="2683"/>
      <c r="AF27" s="2683"/>
      <c r="AG27" s="2683"/>
      <c r="AH27" s="2683"/>
      <c r="AI27" s="2683"/>
      <c r="AJ27" s="2683"/>
      <c r="AK27" s="2683"/>
      <c r="AL27" s="2683"/>
      <c r="AM27" s="2683"/>
      <c r="AN27" s="2683"/>
      <c r="AO27" s="2683"/>
      <c r="AP27" s="2684"/>
      <c r="AQ27" s="2684"/>
      <c r="AR27" s="24"/>
      <c r="AS27" s="88"/>
    </row>
    <row r="28" spans="1:77" ht="18.75" customHeight="1" x14ac:dyDescent="0.3">
      <c r="A28" s="6081" t="s">
        <v>27</v>
      </c>
      <c r="B28" s="5944" t="s">
        <v>28</v>
      </c>
      <c r="C28" s="5880"/>
      <c r="D28" s="5832"/>
      <c r="E28" s="6013" t="s">
        <v>101</v>
      </c>
      <c r="F28" s="6032"/>
      <c r="G28" s="6032"/>
      <c r="H28" s="6032"/>
      <c r="I28" s="6032"/>
      <c r="J28" s="6032"/>
      <c r="K28" s="6032"/>
      <c r="L28" s="6032"/>
      <c r="M28" s="6032"/>
      <c r="N28" s="6032"/>
      <c r="O28" s="6032"/>
      <c r="P28" s="6032"/>
      <c r="Q28" s="6032"/>
      <c r="R28" s="6032"/>
      <c r="S28" s="6032"/>
      <c r="T28" s="6032"/>
      <c r="U28" s="6032"/>
      <c r="V28" s="6032"/>
      <c r="W28" s="6032"/>
      <c r="X28" s="6032"/>
      <c r="Y28" s="6032"/>
      <c r="Z28" s="6032"/>
      <c r="AA28" s="6032"/>
      <c r="AB28" s="6032"/>
      <c r="AC28" s="6032"/>
      <c r="AD28" s="6032"/>
      <c r="AE28" s="6032"/>
      <c r="AF28" s="6032"/>
      <c r="AG28" s="6032"/>
      <c r="AH28" s="6032"/>
      <c r="AI28" s="6032"/>
      <c r="AJ28" s="6032"/>
      <c r="AK28" s="6032"/>
      <c r="AL28" s="6032"/>
      <c r="AM28" s="6032"/>
      <c r="AN28" s="6046"/>
      <c r="AO28" s="5831" t="s">
        <v>36</v>
      </c>
      <c r="AP28" s="6117" t="s">
        <v>37</v>
      </c>
      <c r="AQ28" s="6117" t="s">
        <v>492</v>
      </c>
      <c r="AR28" s="6117" t="s">
        <v>34</v>
      </c>
      <c r="AS28" s="5832" t="s">
        <v>35</v>
      </c>
    </row>
    <row r="29" spans="1:77" ht="15.75" customHeight="1" x14ac:dyDescent="0.3">
      <c r="A29" s="6082"/>
      <c r="B29" s="5946"/>
      <c r="C29" s="5882"/>
      <c r="D29" s="5760"/>
      <c r="E29" s="5846" t="s">
        <v>474</v>
      </c>
      <c r="F29" s="6014"/>
      <c r="G29" s="5846" t="s">
        <v>475</v>
      </c>
      <c r="H29" s="5853"/>
      <c r="I29" s="5846" t="s">
        <v>326</v>
      </c>
      <c r="J29" s="5853"/>
      <c r="K29" s="5846" t="s">
        <v>94</v>
      </c>
      <c r="L29" s="5853"/>
      <c r="M29" s="5846" t="s">
        <v>44</v>
      </c>
      <c r="N29" s="5853"/>
      <c r="O29" s="5846" t="s">
        <v>45</v>
      </c>
      <c r="P29" s="5853"/>
      <c r="Q29" s="5846" t="s">
        <v>46</v>
      </c>
      <c r="R29" s="5853"/>
      <c r="S29" s="5846" t="s">
        <v>47</v>
      </c>
      <c r="T29" s="5853"/>
      <c r="U29" s="5846" t="s">
        <v>48</v>
      </c>
      <c r="V29" s="5853"/>
      <c r="W29" s="5846" t="s">
        <v>49</v>
      </c>
      <c r="X29" s="5853"/>
      <c r="Y29" s="5846" t="s">
        <v>50</v>
      </c>
      <c r="Z29" s="5853"/>
      <c r="AA29" s="5846" t="s">
        <v>51</v>
      </c>
      <c r="AB29" s="5853"/>
      <c r="AC29" s="5846" t="s">
        <v>52</v>
      </c>
      <c r="AD29" s="5853"/>
      <c r="AE29" s="5846" t="s">
        <v>53</v>
      </c>
      <c r="AF29" s="5853"/>
      <c r="AG29" s="5846" t="s">
        <v>54</v>
      </c>
      <c r="AH29" s="5853"/>
      <c r="AI29" s="5846" t="s">
        <v>55</v>
      </c>
      <c r="AJ29" s="5853"/>
      <c r="AK29" s="5846" t="s">
        <v>56</v>
      </c>
      <c r="AL29" s="5853"/>
      <c r="AM29" s="6013" t="s">
        <v>476</v>
      </c>
      <c r="AN29" s="6046"/>
      <c r="AO29" s="5766"/>
      <c r="AP29" s="6118"/>
      <c r="AQ29" s="6118"/>
      <c r="AR29" s="6118"/>
      <c r="AS29" s="5759"/>
    </row>
    <row r="30" spans="1:77" ht="16.5" customHeight="1" x14ac:dyDescent="0.3">
      <c r="A30" s="6116"/>
      <c r="B30" s="2419" t="s">
        <v>79</v>
      </c>
      <c r="C30" s="2387" t="s">
        <v>58</v>
      </c>
      <c r="D30" s="1776" t="s">
        <v>59</v>
      </c>
      <c r="E30" s="2419" t="s">
        <v>58</v>
      </c>
      <c r="F30" s="2250" t="s">
        <v>59</v>
      </c>
      <c r="G30" s="2419" t="s">
        <v>58</v>
      </c>
      <c r="H30" s="2250" t="s">
        <v>59</v>
      </c>
      <c r="I30" s="2419" t="s">
        <v>58</v>
      </c>
      <c r="J30" s="2250" t="s">
        <v>59</v>
      </c>
      <c r="K30" s="2419" t="s">
        <v>58</v>
      </c>
      <c r="L30" s="2250" t="s">
        <v>59</v>
      </c>
      <c r="M30" s="2419" t="s">
        <v>58</v>
      </c>
      <c r="N30" s="2250" t="s">
        <v>59</v>
      </c>
      <c r="O30" s="2419" t="s">
        <v>58</v>
      </c>
      <c r="P30" s="2250" t="s">
        <v>59</v>
      </c>
      <c r="Q30" s="2419" t="s">
        <v>58</v>
      </c>
      <c r="R30" s="2250" t="s">
        <v>59</v>
      </c>
      <c r="S30" s="2419" t="s">
        <v>58</v>
      </c>
      <c r="T30" s="2250" t="s">
        <v>59</v>
      </c>
      <c r="U30" s="2419" t="s">
        <v>58</v>
      </c>
      <c r="V30" s="2250" t="s">
        <v>59</v>
      </c>
      <c r="W30" s="2419" t="s">
        <v>58</v>
      </c>
      <c r="X30" s="2250" t="s">
        <v>59</v>
      </c>
      <c r="Y30" s="2419" t="s">
        <v>58</v>
      </c>
      <c r="Z30" s="2250" t="s">
        <v>59</v>
      </c>
      <c r="AA30" s="2419" t="s">
        <v>58</v>
      </c>
      <c r="AB30" s="2250" t="s">
        <v>59</v>
      </c>
      <c r="AC30" s="2419" t="s">
        <v>58</v>
      </c>
      <c r="AD30" s="2250" t="s">
        <v>59</v>
      </c>
      <c r="AE30" s="2419" t="s">
        <v>58</v>
      </c>
      <c r="AF30" s="2250" t="s">
        <v>59</v>
      </c>
      <c r="AG30" s="2419" t="s">
        <v>58</v>
      </c>
      <c r="AH30" s="2250" t="s">
        <v>59</v>
      </c>
      <c r="AI30" s="2419" t="s">
        <v>58</v>
      </c>
      <c r="AJ30" s="2250" t="s">
        <v>59</v>
      </c>
      <c r="AK30" s="2387" t="s">
        <v>58</v>
      </c>
      <c r="AL30" s="2250" t="s">
        <v>59</v>
      </c>
      <c r="AM30" s="2419" t="s">
        <v>58</v>
      </c>
      <c r="AN30" s="2685" t="s">
        <v>59</v>
      </c>
      <c r="AO30" s="5767"/>
      <c r="AP30" s="5818"/>
      <c r="AQ30" s="5818"/>
      <c r="AR30" s="5818"/>
      <c r="AS30" s="5760"/>
    </row>
    <row r="31" spans="1:77" ht="15" customHeight="1" x14ac:dyDescent="0.3">
      <c r="A31" s="2391" t="s">
        <v>98</v>
      </c>
      <c r="B31" s="2686">
        <f t="shared" ref="B31:B46" si="16">SUM(C31:D31)</f>
        <v>0</v>
      </c>
      <c r="C31" s="2333">
        <f t="shared" ref="C31:D34" si="17">SUM(E31+G31+I31+K31+M31+O31+Q31+S31+U31+W31+Y31+AA31+AC31+AE31+AG31+AI31+AK31+AM31)</f>
        <v>0</v>
      </c>
      <c r="D31" s="2655">
        <f t="shared" si="17"/>
        <v>0</v>
      </c>
      <c r="E31" s="2656"/>
      <c r="F31" s="2657"/>
      <c r="G31" s="2656"/>
      <c r="H31" s="2658"/>
      <c r="I31" s="2656"/>
      <c r="J31" s="2658"/>
      <c r="K31" s="2656"/>
      <c r="L31" s="2658"/>
      <c r="M31" s="2656"/>
      <c r="N31" s="2658"/>
      <c r="O31" s="2656"/>
      <c r="P31" s="2658"/>
      <c r="Q31" s="2687"/>
      <c r="R31" s="2658"/>
      <c r="S31" s="2656"/>
      <c r="T31" s="2658"/>
      <c r="U31" s="2656"/>
      <c r="V31" s="2658"/>
      <c r="W31" s="2656"/>
      <c r="X31" s="2658"/>
      <c r="Y31" s="2656"/>
      <c r="Z31" s="2658"/>
      <c r="AA31" s="2656"/>
      <c r="AB31" s="2658"/>
      <c r="AC31" s="2687"/>
      <c r="AD31" s="2658"/>
      <c r="AE31" s="2656"/>
      <c r="AF31" s="2658"/>
      <c r="AG31" s="2687"/>
      <c r="AH31" s="2658"/>
      <c r="AI31" s="2656"/>
      <c r="AJ31" s="2658"/>
      <c r="AK31" s="2687"/>
      <c r="AL31" s="2658"/>
      <c r="AM31" s="2688"/>
      <c r="AN31" s="496"/>
      <c r="AO31" s="2659"/>
      <c r="AP31" s="2660"/>
      <c r="AQ31" s="2660"/>
      <c r="AR31" s="2660"/>
      <c r="AS31" s="2661"/>
      <c r="AT31" t="str">
        <f>BO31&amp;BP31&amp;BQ31&amp;BR31&amp;BS31</f>
        <v/>
      </c>
      <c r="BO31" s="83" t="str">
        <f>IF(AND(B31&gt;0,AO31="")," * No olvide digitar la variable Pueblos originarios. Digite Cero si no tiene.",IF(AO31&gt;B31," * La variable Pueblos originarios No puede ser mayor al Total.",""))</f>
        <v/>
      </c>
      <c r="BP31" s="83" t="str">
        <f>IF(AND(B31&gt;0,AP31="")," * No olvide digitar la variable Migrantes. Digite Cero si no tiene.",IF(AP31&gt;B31," * La variable Migrantes No puede ser mayor al Total.",""))</f>
        <v/>
      </c>
      <c r="BQ31" s="83" t="str">
        <f>IF(AND(B31&gt;0,AQ31="")," * No olvide digitar la variable Espacios Amigables. Digite Cero si no tiene.",IF(AQ31&gt;B31," * La variable Espacios Amigables No puede ser mayor al Total.",""))</f>
        <v/>
      </c>
      <c r="BR31" s="83" t="str">
        <f>IF(AND(B31&gt;0,AR31="")," * No olvide digitar la variable Niños, Niñas, Adolescentes y Jóvenes SENAME. Digite Cero si no tiene.",IF(AR31&gt;B31," * La variable Niños, Niñas, Adolescentes y Jóvenes SENAME No puede ser mayor al Total.",""))</f>
        <v/>
      </c>
      <c r="BS31" s="83" t="str">
        <f>IF(AND(B31&gt;0,AS31="")," * No olvide digitar la variable Niños, Niñas, Adolescentes y Jóvenes Mejor Niñez. Digite Cero si no tiene.",IF(AS31&gt;B31," * La variable Niños, Niñas, Adolescentes y Jóvenes Mejor Niñez No puede ser mayor al Total.",""))</f>
        <v/>
      </c>
      <c r="BU31" s="2662">
        <f>IF(AND(B31&gt;0,AO31=""),1,IF(AO31&gt;B31,1,0))</f>
        <v>0</v>
      </c>
      <c r="BV31" s="2662">
        <f>IF(AND(B31&gt;0,AP31=""),1,IF(AP31&gt;B31,1,0))</f>
        <v>0</v>
      </c>
      <c r="BW31" s="2662">
        <f>IF(AND(B31&gt;0,AQ31=""),1,IF(AQ31&gt;B31,1,0))</f>
        <v>0</v>
      </c>
      <c r="BX31" s="2662">
        <f>IF(AND(B31&gt;0,AR31=""),1,IF(AR31&gt;B31,1,0))</f>
        <v>0</v>
      </c>
      <c r="BY31" s="2662">
        <f>IF(AND(B31&gt;0,AS31=""),1,IF(AS31&gt;B31,1,0))</f>
        <v>0</v>
      </c>
    </row>
    <row r="32" spans="1:77" ht="15" customHeight="1" x14ac:dyDescent="0.3">
      <c r="A32" s="358" t="s">
        <v>493</v>
      </c>
      <c r="B32" s="342">
        <f t="shared" si="16"/>
        <v>0</v>
      </c>
      <c r="C32" s="2533"/>
      <c r="D32" s="2663">
        <f>SUM(F32+H32+J32+L32+N32+P32+R32+T32+V32+X32+Z32+AB32+AD32+AF32+AH32+AJ32+AL32+AN32)</f>
        <v>0</v>
      </c>
      <c r="E32" s="686"/>
      <c r="F32" s="347"/>
      <c r="G32" s="686"/>
      <c r="H32" s="350"/>
      <c r="I32" s="686"/>
      <c r="J32" s="350"/>
      <c r="K32" s="686"/>
      <c r="L32" s="350"/>
      <c r="M32" s="686"/>
      <c r="N32" s="350"/>
      <c r="O32" s="686"/>
      <c r="P32" s="350"/>
      <c r="Q32" s="542"/>
      <c r="R32" s="350"/>
      <c r="S32" s="686"/>
      <c r="T32" s="350"/>
      <c r="U32" s="686"/>
      <c r="V32" s="350"/>
      <c r="W32" s="686"/>
      <c r="X32" s="350"/>
      <c r="Y32" s="686"/>
      <c r="Z32" s="350"/>
      <c r="AA32" s="686"/>
      <c r="AB32" s="350"/>
      <c r="AC32" s="542"/>
      <c r="AD32" s="350"/>
      <c r="AE32" s="686"/>
      <c r="AF32" s="350"/>
      <c r="AG32" s="542"/>
      <c r="AH32" s="350"/>
      <c r="AI32" s="686"/>
      <c r="AJ32" s="350"/>
      <c r="AK32" s="542"/>
      <c r="AL32" s="350"/>
      <c r="AM32" s="3812"/>
      <c r="AN32" s="352"/>
      <c r="AO32" s="2689"/>
      <c r="AP32" s="2690"/>
      <c r="AQ32" s="2690"/>
      <c r="AR32" s="2690"/>
      <c r="AS32" s="2691"/>
      <c r="AT32" t="str">
        <f t="shared" ref="AT32:AT47" si="18">BO32&amp;BP32&amp;BQ32&amp;BR32&amp;BS32</f>
        <v/>
      </c>
      <c r="BO32" s="83" t="str">
        <f t="shared" ref="BO32:BO47" si="19">IF(AND(B32&gt;0,AO32="")," * No olvide digitar la variable Pueblos originarios. Digite Cero si no tiene.",IF(AO32&gt;B32," * La variable Pueblos originarios No puede ser mayor al Total.",""))</f>
        <v/>
      </c>
      <c r="BP32" s="83" t="str">
        <f t="shared" ref="BP32:BP47" si="20">IF(AND(B32&gt;0,AP32="")," * No olvide digitar la variable Migrantes. Digite Cero si no tiene.",IF(AP32&gt;B32," * La variable Migrantes No puede ser mayor al Total.",""))</f>
        <v/>
      </c>
      <c r="BQ32" s="83" t="str">
        <f t="shared" ref="BQ32:BQ47" si="21">IF(AND(B32&gt;0,AQ32="")," * No olvide digitar la variable Espacios Amigables. Digite Cero si no tiene.",IF(AQ32&gt;B32," * La variable Espacios Amigables No puede ser mayor al Total.",""))</f>
        <v/>
      </c>
      <c r="BR32" s="83" t="str">
        <f t="shared" ref="BR32:BR47" si="22">IF(AND(B32&gt;0,AR32="")," * No olvide digitar la variable Niños, Niñas, Adolescentes y Jóvenes SENAME. Digite Cero si no tiene.",IF(AR32&gt;B32," * La variable Niños, Niñas, Adolescentes y Jóvenes SENAME No puede ser mayor al Total.",""))</f>
        <v/>
      </c>
      <c r="BS32" s="83" t="str">
        <f t="shared" ref="BS32:BS47" si="23">IF(AND(B32&gt;0,AS32="")," * No olvide digitar la variable Niños, Niñas, Adolescentes y Jóvenes Mejor Niñez. Digite Cero si no tiene.",IF(AS32&gt;B32," * La variable Niños, Niñas, Adolescentes y Jóvenes Mejor Niñez No puede ser mayor al Total.",""))</f>
        <v/>
      </c>
      <c r="BU32" s="2662">
        <f t="shared" ref="BU32:BU47" si="24">IF(AND(B32&gt;0,AO32=""),1,IF(AO32&gt;B32,1,0))</f>
        <v>0</v>
      </c>
      <c r="BV32" s="2662">
        <f t="shared" ref="BV32:BV47" si="25">IF(AND(B32&gt;0,AP32=""),1,IF(AP32&gt;B32,1,0))</f>
        <v>0</v>
      </c>
      <c r="BW32" s="2662">
        <f t="shared" ref="BW32:BW47" si="26">IF(AND(B32&gt;0,AQ32=""),1,IF(AQ32&gt;B32,1,0))</f>
        <v>0</v>
      </c>
      <c r="BX32" s="2662">
        <f t="shared" ref="BX32:BX47" si="27">IF(AND(B32&gt;0,AR32=""),1,IF(AR32&gt;B32,1,0))</f>
        <v>0</v>
      </c>
      <c r="BY32" s="2662">
        <f t="shared" ref="BY32:BY47" si="28">IF(AND(B32&gt;0,AS32=""),1,IF(AS32&gt;B32,1,0))</f>
        <v>0</v>
      </c>
    </row>
    <row r="33" spans="1:77" ht="15" customHeight="1" x14ac:dyDescent="0.3">
      <c r="A33" s="295" t="s">
        <v>494</v>
      </c>
      <c r="B33" s="342">
        <f t="shared" ref="B33" si="29">SUM(C33:D33)</f>
        <v>0</v>
      </c>
      <c r="C33" s="2533"/>
      <c r="D33" s="2671">
        <f t="shared" ref="D33" si="30">SUM(F33+H33+J33+L33+N33+P33+R33+T33+V33+X33+Z33+AB33+AD33+AF33+AH33+AJ33+AL33+AN33)</f>
        <v>0</v>
      </c>
      <c r="E33" s="686"/>
      <c r="F33" s="347"/>
      <c r="G33" s="686"/>
      <c r="H33" s="350"/>
      <c r="I33" s="686"/>
      <c r="J33" s="350"/>
      <c r="K33" s="686"/>
      <c r="L33" s="350"/>
      <c r="M33" s="686"/>
      <c r="N33" s="350"/>
      <c r="O33" s="686"/>
      <c r="P33" s="350"/>
      <c r="Q33" s="542"/>
      <c r="R33" s="350"/>
      <c r="S33" s="686"/>
      <c r="T33" s="350"/>
      <c r="U33" s="686"/>
      <c r="V33" s="350"/>
      <c r="W33" s="686"/>
      <c r="X33" s="350"/>
      <c r="Y33" s="686"/>
      <c r="Z33" s="350"/>
      <c r="AA33" s="686"/>
      <c r="AB33" s="350"/>
      <c r="AC33" s="542"/>
      <c r="AD33" s="350"/>
      <c r="AE33" s="686"/>
      <c r="AF33" s="350"/>
      <c r="AG33" s="542"/>
      <c r="AH33" s="350"/>
      <c r="AI33" s="686"/>
      <c r="AJ33" s="350"/>
      <c r="AK33" s="542"/>
      <c r="AL33" s="350"/>
      <c r="AM33" s="3812"/>
      <c r="AN33" s="352"/>
      <c r="AO33" s="2689"/>
      <c r="AP33" s="2690"/>
      <c r="AQ33" s="2690"/>
      <c r="AR33" s="2690"/>
      <c r="AS33" s="2691"/>
      <c r="AT33" t="str">
        <f t="shared" si="18"/>
        <v/>
      </c>
      <c r="BO33" s="83" t="str">
        <f>IF(AND(B33&gt;0,AO33="")," * No olvide digitar la variable Pueblos originarios. Digite Cero si no tiene.",IF(AO33&gt;B33," * La variable Pueblos originarios No puede ser mayor al Total.",""))</f>
        <v/>
      </c>
      <c r="BP33" s="83" t="str">
        <f t="shared" ref="BP33" si="31">IF(AND(B33&gt;0,AP33="")," * No olvide digitar la variable Migrantes. Digite Cero si no tiene.",IF(AP33&gt;B33," * La variable Migrantes No puede ser mayor al Total.",""))</f>
        <v/>
      </c>
      <c r="BQ33" s="83" t="str">
        <f t="shared" ref="BQ33" si="32">IF(AND(B33&gt;0,AQ33="")," * No olvide digitar la variable Espacios Amigables. Digite Cero si no tiene.",IF(AQ33&gt;B33," * La variable Espacios Amigables No puede ser mayor al Total.",""))</f>
        <v/>
      </c>
      <c r="BR33" s="83" t="str">
        <f t="shared" ref="BR33" si="33">IF(AND(B33&gt;0,AR33="")," * No olvide digitar la variable Niños, Niñas, Adolescentes y Jóvenes SENAME. Digite Cero si no tiene.",IF(AR33&gt;B33," * La variable Niños, Niñas, Adolescentes y Jóvenes SENAME No puede ser mayor al Total.",""))</f>
        <v/>
      </c>
      <c r="BS33" s="83" t="str">
        <f t="shared" ref="BS33" si="34">IF(AND(B33&gt;0,AS33="")," * No olvide digitar la variable Niños, Niñas, Adolescentes y Jóvenes Mejor Niñez. Digite Cero si no tiene.",IF(AS33&gt;B33," * La variable Niños, Niñas, Adolescentes y Jóvenes Mejor Niñez No puede ser mayor al Total.",""))</f>
        <v/>
      </c>
      <c r="BU33" s="2662">
        <f t="shared" ref="BU33" si="35">IF(AND(B33&gt;0,AO33=""),1,IF(AO33&gt;B33,1,0))</f>
        <v>0</v>
      </c>
      <c r="BV33" s="2662">
        <f t="shared" ref="BV33" si="36">IF(AND(B33&gt;0,AP33=""),1,IF(AP33&gt;B33,1,0))</f>
        <v>0</v>
      </c>
      <c r="BW33" s="2662">
        <f t="shared" ref="BW33" si="37">IF(AND(B33&gt;0,AQ33=""),1,IF(AQ33&gt;B33,1,0))</f>
        <v>0</v>
      </c>
      <c r="BX33" s="2662">
        <f t="shared" ref="BX33" si="38">IF(AND(B33&gt;0,AR33=""),1,IF(AR33&gt;B33,1,0))</f>
        <v>0</v>
      </c>
      <c r="BY33" s="2662">
        <f t="shared" ref="BY33" si="39">IF(AND(B33&gt;0,AS33=""),1,IF(AS33&gt;B33,1,0))</f>
        <v>0</v>
      </c>
    </row>
    <row r="34" spans="1:77" ht="15" customHeight="1" x14ac:dyDescent="0.3">
      <c r="A34" s="295" t="s">
        <v>495</v>
      </c>
      <c r="B34" s="342">
        <f t="shared" si="16"/>
        <v>0</v>
      </c>
      <c r="C34" s="2339">
        <f t="shared" si="17"/>
        <v>0</v>
      </c>
      <c r="D34" s="2671">
        <f t="shared" si="17"/>
        <v>0</v>
      </c>
      <c r="E34" s="346"/>
      <c r="F34" s="347"/>
      <c r="G34" s="346"/>
      <c r="H34" s="350"/>
      <c r="I34" s="346"/>
      <c r="J34" s="350"/>
      <c r="K34" s="346"/>
      <c r="L34" s="350"/>
      <c r="M34" s="346"/>
      <c r="N34" s="350"/>
      <c r="O34" s="346"/>
      <c r="P34" s="350"/>
      <c r="Q34" s="348"/>
      <c r="R34" s="350"/>
      <c r="S34" s="346"/>
      <c r="T34" s="350"/>
      <c r="U34" s="346"/>
      <c r="V34" s="350"/>
      <c r="W34" s="346"/>
      <c r="X34" s="350"/>
      <c r="Y34" s="346"/>
      <c r="Z34" s="350"/>
      <c r="AA34" s="346"/>
      <c r="AB34" s="350"/>
      <c r="AC34" s="348"/>
      <c r="AD34" s="350"/>
      <c r="AE34" s="346"/>
      <c r="AF34" s="350"/>
      <c r="AG34" s="348"/>
      <c r="AH34" s="350"/>
      <c r="AI34" s="346"/>
      <c r="AJ34" s="350"/>
      <c r="AK34" s="348"/>
      <c r="AL34" s="350"/>
      <c r="AM34" s="561"/>
      <c r="AN34" s="352"/>
      <c r="AO34" s="834"/>
      <c r="AP34" s="2664"/>
      <c r="AQ34" s="2664"/>
      <c r="AR34" s="2664"/>
      <c r="AS34" s="835"/>
      <c r="AT34" t="str">
        <f t="shared" si="18"/>
        <v/>
      </c>
      <c r="BO34" s="83" t="str">
        <f t="shared" si="19"/>
        <v/>
      </c>
      <c r="BP34" s="83" t="str">
        <f t="shared" si="20"/>
        <v/>
      </c>
      <c r="BQ34" s="83" t="str">
        <f t="shared" si="21"/>
        <v/>
      </c>
      <c r="BR34" s="83" t="str">
        <f t="shared" si="22"/>
        <v/>
      </c>
      <c r="BS34" s="83" t="str">
        <f t="shared" si="23"/>
        <v/>
      </c>
      <c r="BU34" s="2662">
        <f t="shared" si="24"/>
        <v>0</v>
      </c>
      <c r="BV34" s="2662">
        <f t="shared" si="25"/>
        <v>0</v>
      </c>
      <c r="BW34" s="2662">
        <f t="shared" si="26"/>
        <v>0</v>
      </c>
      <c r="BX34" s="2662">
        <f t="shared" si="27"/>
        <v>0</v>
      </c>
      <c r="BY34" s="2662">
        <f t="shared" si="28"/>
        <v>0</v>
      </c>
    </row>
    <row r="35" spans="1:77" ht="15" customHeight="1" x14ac:dyDescent="0.3">
      <c r="A35" s="295" t="s">
        <v>496</v>
      </c>
      <c r="B35" s="342">
        <f t="shared" si="16"/>
        <v>0</v>
      </c>
      <c r="C35" s="2339">
        <f>SUM(O35+Q35+S35+U35+W35+Y35+AA35)</f>
        <v>0</v>
      </c>
      <c r="D35" s="2671">
        <f>SUM(P35+R35+T35+V35+X35+Z35+AB35)</f>
        <v>0</v>
      </c>
      <c r="E35" s="2667"/>
      <c r="F35" s="2668"/>
      <c r="G35" s="2667"/>
      <c r="H35" s="2672"/>
      <c r="I35" s="2667"/>
      <c r="J35" s="2672"/>
      <c r="K35" s="2667"/>
      <c r="L35" s="2672"/>
      <c r="M35" s="2667"/>
      <c r="N35" s="2672"/>
      <c r="O35" s="346"/>
      <c r="P35" s="350"/>
      <c r="Q35" s="348"/>
      <c r="R35" s="350"/>
      <c r="S35" s="346"/>
      <c r="T35" s="350"/>
      <c r="U35" s="346"/>
      <c r="V35" s="350"/>
      <c r="W35" s="346"/>
      <c r="X35" s="350"/>
      <c r="Y35" s="346"/>
      <c r="Z35" s="350"/>
      <c r="AA35" s="346"/>
      <c r="AB35" s="383"/>
      <c r="AC35" s="2692"/>
      <c r="AD35" s="2672"/>
      <c r="AE35" s="2667"/>
      <c r="AF35" s="2672"/>
      <c r="AG35" s="2692"/>
      <c r="AH35" s="2672"/>
      <c r="AI35" s="2667"/>
      <c r="AJ35" s="2672"/>
      <c r="AK35" s="2692"/>
      <c r="AL35" s="2672"/>
      <c r="AM35" s="284"/>
      <c r="AN35" s="848"/>
      <c r="AO35" s="834"/>
      <c r="AP35" s="2664"/>
      <c r="AQ35" s="2664"/>
      <c r="AR35" s="2664"/>
      <c r="AS35" s="835"/>
      <c r="AT35" t="str">
        <f t="shared" si="18"/>
        <v/>
      </c>
      <c r="BO35" s="83" t="str">
        <f t="shared" si="19"/>
        <v/>
      </c>
      <c r="BP35" s="83" t="str">
        <f t="shared" si="20"/>
        <v/>
      </c>
      <c r="BQ35" s="83" t="str">
        <f t="shared" ref="BQ35" si="40">IF(AND(B35&gt;0,AQ35="")," * No olvide digitar la variable Espacios Amigables. Digite Cero si no tiene.",IF(AQ35&gt;B35," * La variable Espacios Amigables No puede ser mayor al Total.",""))</f>
        <v/>
      </c>
      <c r="BR35" s="83" t="str">
        <f t="shared" ref="BR35" si="41">IF(AND(B35&gt;0,AR35="")," * No olvide digitar la variable Niños, Niñas, Adolescentes y Jóvenes SENAME. Digite Cero si no tiene.",IF(AR35&gt;B35," * La variable Niños, Niñas, Adolescentes y Jóvenes SENAME No puede ser mayor al Total.",""))</f>
        <v/>
      </c>
      <c r="BS35" s="83" t="str">
        <f t="shared" ref="BS35" si="42">IF(AND(B35&gt;0,AS35="")," * No olvide digitar la variable Niños, Niñas, Adolescentes y Jóvenes Mejor Niñez. Digite Cero si no tiene.",IF(AS35&gt;B35," * La variable Niños, Niñas, Adolescentes y Jóvenes Mejor Niñez No puede ser mayor al Total.",""))</f>
        <v/>
      </c>
      <c r="BU35" s="2662">
        <f t="shared" si="24"/>
        <v>0</v>
      </c>
      <c r="BV35" s="2662">
        <f t="shared" si="25"/>
        <v>0</v>
      </c>
      <c r="BW35" s="2662">
        <f t="shared" ref="BW35" si="43">IF(AND(B35&gt;0,AQ35=""),1,IF(AQ35&gt;B35,1,0))</f>
        <v>0</v>
      </c>
      <c r="BX35" s="2662">
        <f t="shared" ref="BX35" si="44">IF(AND(B35&gt;0,AR35=""),1,IF(AR35&gt;B35,1,0))</f>
        <v>0</v>
      </c>
      <c r="BY35" s="2662">
        <f t="shared" ref="BY35" si="45">IF(AND(B35&gt;0,AS35=""),1,IF(AS35&gt;B35,1,0))</f>
        <v>0</v>
      </c>
    </row>
    <row r="36" spans="1:77" ht="15" customHeight="1" x14ac:dyDescent="0.3">
      <c r="A36" s="295" t="s">
        <v>497</v>
      </c>
      <c r="B36" s="342">
        <f>SUM(C36:D36)</f>
        <v>0</v>
      </c>
      <c r="C36" s="2339">
        <f>SUM(E36+G36+I36+K36+M36+O36+Q36+S36+U36+W36+Y36+AA36+AC36+AE36+AG36+AI36+AK36+AM36)</f>
        <v>0</v>
      </c>
      <c r="D36" s="2671">
        <f>SUM(F36+H36+J36+L36+N36+P36+R36+T36+V36+X36+Z36+AB36+AD36+AF36+AH36+AJ36+AL36+AN36)</f>
        <v>0</v>
      </c>
      <c r="E36" s="346"/>
      <c r="F36" s="347"/>
      <c r="G36" s="346"/>
      <c r="H36" s="350"/>
      <c r="I36" s="346"/>
      <c r="J36" s="350"/>
      <c r="K36" s="346"/>
      <c r="L36" s="350"/>
      <c r="M36" s="346"/>
      <c r="N36" s="350"/>
      <c r="O36" s="346"/>
      <c r="P36" s="350"/>
      <c r="Q36" s="348"/>
      <c r="R36" s="350"/>
      <c r="S36" s="346"/>
      <c r="T36" s="350"/>
      <c r="U36" s="346"/>
      <c r="V36" s="350"/>
      <c r="W36" s="346"/>
      <c r="X36" s="350"/>
      <c r="Y36" s="346"/>
      <c r="Z36" s="350"/>
      <c r="AA36" s="346"/>
      <c r="AB36" s="350"/>
      <c r="AC36" s="348"/>
      <c r="AD36" s="350"/>
      <c r="AE36" s="346"/>
      <c r="AF36" s="350"/>
      <c r="AG36" s="348"/>
      <c r="AH36" s="350"/>
      <c r="AI36" s="346"/>
      <c r="AJ36" s="350"/>
      <c r="AK36" s="348"/>
      <c r="AL36" s="350"/>
      <c r="AM36" s="561"/>
      <c r="AN36" s="352"/>
      <c r="AO36" s="2689"/>
      <c r="AP36" s="2690"/>
      <c r="AQ36" s="2690"/>
      <c r="AR36" s="2690"/>
      <c r="AS36" s="2691"/>
      <c r="AT36" t="str">
        <f t="shared" si="18"/>
        <v/>
      </c>
      <c r="BO36" s="83" t="str">
        <f t="shared" si="19"/>
        <v/>
      </c>
      <c r="BP36" s="83" t="str">
        <f t="shared" si="20"/>
        <v/>
      </c>
      <c r="BQ36" s="83" t="str">
        <f t="shared" si="21"/>
        <v/>
      </c>
      <c r="BR36" s="83" t="str">
        <f t="shared" si="22"/>
        <v/>
      </c>
      <c r="BS36" s="83" t="str">
        <f t="shared" si="23"/>
        <v/>
      </c>
      <c r="BU36" s="2662">
        <f t="shared" si="24"/>
        <v>0</v>
      </c>
      <c r="BV36" s="2662">
        <f t="shared" si="25"/>
        <v>0</v>
      </c>
      <c r="BW36" s="2662">
        <f t="shared" si="26"/>
        <v>0</v>
      </c>
      <c r="BX36" s="2662">
        <f t="shared" si="27"/>
        <v>0</v>
      </c>
      <c r="BY36" s="2662">
        <f t="shared" si="28"/>
        <v>0</v>
      </c>
    </row>
    <row r="37" spans="1:77" ht="15" customHeight="1" x14ac:dyDescent="0.3">
      <c r="A37" s="295" t="s">
        <v>498</v>
      </c>
      <c r="B37" s="342">
        <f>SUM(C37:D37)</f>
        <v>0</v>
      </c>
      <c r="C37" s="2339">
        <f>SUM(K37+M37+O37+Q37+S37+U37+W37+Y37+AA37+AC37+AE37+AG37+AI37+AK37+AM37)</f>
        <v>0</v>
      </c>
      <c r="D37" s="2671">
        <f>SUM(L37+N37+P37+R37+T37+V37+X37+Z37+AB37+AD37+AF37+AH37+AJ37+AL37+AN37)</f>
        <v>0</v>
      </c>
      <c r="E37" s="686"/>
      <c r="F37" s="687"/>
      <c r="G37" s="686"/>
      <c r="H37" s="2693"/>
      <c r="I37" s="686"/>
      <c r="J37" s="2693"/>
      <c r="K37" s="346"/>
      <c r="L37" s="350"/>
      <c r="M37" s="346"/>
      <c r="N37" s="350"/>
      <c r="O37" s="346"/>
      <c r="P37" s="350"/>
      <c r="Q37" s="348"/>
      <c r="R37" s="350"/>
      <c r="S37" s="346"/>
      <c r="T37" s="350"/>
      <c r="U37" s="346"/>
      <c r="V37" s="350"/>
      <c r="W37" s="346"/>
      <c r="X37" s="350"/>
      <c r="Y37" s="346"/>
      <c r="Z37" s="350"/>
      <c r="AA37" s="346"/>
      <c r="AB37" s="350"/>
      <c r="AC37" s="348"/>
      <c r="AD37" s="350"/>
      <c r="AE37" s="346"/>
      <c r="AF37" s="350"/>
      <c r="AG37" s="348"/>
      <c r="AH37" s="350"/>
      <c r="AI37" s="346"/>
      <c r="AJ37" s="350"/>
      <c r="AK37" s="348"/>
      <c r="AL37" s="350"/>
      <c r="AM37" s="561"/>
      <c r="AN37" s="352"/>
      <c r="AO37" s="2689"/>
      <c r="AP37" s="2690"/>
      <c r="AQ37" s="2690"/>
      <c r="AR37" s="2690"/>
      <c r="AS37" s="2691"/>
      <c r="AT37" t="str">
        <f t="shared" si="18"/>
        <v/>
      </c>
      <c r="BO37" s="83" t="str">
        <f t="shared" si="19"/>
        <v/>
      </c>
      <c r="BP37" s="83" t="str">
        <f t="shared" si="20"/>
        <v/>
      </c>
      <c r="BQ37" s="83" t="str">
        <f t="shared" si="21"/>
        <v/>
      </c>
      <c r="BR37" s="83" t="str">
        <f t="shared" si="22"/>
        <v/>
      </c>
      <c r="BS37" s="83" t="str">
        <f t="shared" si="23"/>
        <v/>
      </c>
      <c r="BU37" s="2662">
        <f t="shared" si="24"/>
        <v>0</v>
      </c>
      <c r="BV37" s="2662">
        <f t="shared" si="25"/>
        <v>0</v>
      </c>
      <c r="BW37" s="2662">
        <f t="shared" si="26"/>
        <v>0</v>
      </c>
      <c r="BX37" s="2662">
        <f t="shared" si="27"/>
        <v>0</v>
      </c>
      <c r="BY37" s="2662">
        <f t="shared" si="28"/>
        <v>0</v>
      </c>
    </row>
    <row r="38" spans="1:77" ht="15" customHeight="1" x14ac:dyDescent="0.3">
      <c r="A38" s="295" t="s">
        <v>499</v>
      </c>
      <c r="B38" s="231">
        <f>SUM(C38:D38)</f>
        <v>0</v>
      </c>
      <c r="C38" s="2533"/>
      <c r="D38" s="2671">
        <f>SUM(L38+N38+P38+R38+T38+V38+X38+Z38+AB38+AD38+AF38+AH38+AJ38+AL38+AN38)</f>
        <v>0</v>
      </c>
      <c r="E38" s="686"/>
      <c r="F38" s="687"/>
      <c r="G38" s="686"/>
      <c r="H38" s="2693"/>
      <c r="I38" s="686"/>
      <c r="J38" s="2693"/>
      <c r="K38" s="686"/>
      <c r="L38" s="350"/>
      <c r="M38" s="686"/>
      <c r="N38" s="350"/>
      <c r="O38" s="686"/>
      <c r="P38" s="350"/>
      <c r="Q38" s="542"/>
      <c r="R38" s="350"/>
      <c r="S38" s="686"/>
      <c r="T38" s="350"/>
      <c r="U38" s="686"/>
      <c r="V38" s="350"/>
      <c r="W38" s="686"/>
      <c r="X38" s="350"/>
      <c r="Y38" s="686"/>
      <c r="Z38" s="350"/>
      <c r="AA38" s="686"/>
      <c r="AB38" s="350"/>
      <c r="AC38" s="542"/>
      <c r="AD38" s="350"/>
      <c r="AE38" s="686"/>
      <c r="AF38" s="350"/>
      <c r="AG38" s="542"/>
      <c r="AH38" s="350"/>
      <c r="AI38" s="686"/>
      <c r="AJ38" s="350"/>
      <c r="AK38" s="542"/>
      <c r="AL38" s="350"/>
      <c r="AM38" s="3812"/>
      <c r="AN38" s="352"/>
      <c r="AO38" s="2689"/>
      <c r="AP38" s="2690"/>
      <c r="AQ38" s="2690"/>
      <c r="AR38" s="2690"/>
      <c r="AS38" s="2691"/>
      <c r="AT38" t="str">
        <f t="shared" si="18"/>
        <v/>
      </c>
      <c r="BO38" s="83" t="str">
        <f t="shared" si="19"/>
        <v/>
      </c>
      <c r="BP38" s="83" t="str">
        <f t="shared" si="20"/>
        <v/>
      </c>
      <c r="BQ38" s="83" t="str">
        <f t="shared" si="21"/>
        <v/>
      </c>
      <c r="BR38" s="83" t="str">
        <f t="shared" si="22"/>
        <v/>
      </c>
      <c r="BS38" s="83" t="str">
        <f t="shared" si="23"/>
        <v/>
      </c>
      <c r="BU38" s="2662">
        <f t="shared" si="24"/>
        <v>0</v>
      </c>
      <c r="BV38" s="2662">
        <f t="shared" si="25"/>
        <v>0</v>
      </c>
      <c r="BW38" s="2662">
        <f t="shared" si="26"/>
        <v>0</v>
      </c>
      <c r="BX38" s="2662">
        <f t="shared" si="27"/>
        <v>0</v>
      </c>
      <c r="BY38" s="2662">
        <f t="shared" si="28"/>
        <v>0</v>
      </c>
    </row>
    <row r="39" spans="1:77" ht="15" customHeight="1" x14ac:dyDescent="0.3">
      <c r="A39" s="2669" t="s">
        <v>500</v>
      </c>
      <c r="B39" s="342">
        <f t="shared" si="16"/>
        <v>0</v>
      </c>
      <c r="C39" s="2339">
        <f t="shared" ref="C39:D46" si="46">SUM(E39+G39+I39+K39+M39+O39+Q39+S39+U39+W39+Y39+AA39+AC39+AE39+AG39+AI39+AK39+AM39)</f>
        <v>0</v>
      </c>
      <c r="D39" s="2663">
        <f t="shared" si="46"/>
        <v>0</v>
      </c>
      <c r="E39" s="346"/>
      <c r="F39" s="347"/>
      <c r="G39" s="346"/>
      <c r="H39" s="350"/>
      <c r="I39" s="346"/>
      <c r="J39" s="350"/>
      <c r="K39" s="346"/>
      <c r="L39" s="350"/>
      <c r="M39" s="346"/>
      <c r="N39" s="350"/>
      <c r="O39" s="346"/>
      <c r="P39" s="350"/>
      <c r="Q39" s="348"/>
      <c r="R39" s="350"/>
      <c r="S39" s="346"/>
      <c r="T39" s="350"/>
      <c r="U39" s="346"/>
      <c r="V39" s="350"/>
      <c r="W39" s="346"/>
      <c r="X39" s="350"/>
      <c r="Y39" s="346"/>
      <c r="Z39" s="350"/>
      <c r="AA39" s="346"/>
      <c r="AB39" s="350"/>
      <c r="AC39" s="348"/>
      <c r="AD39" s="350"/>
      <c r="AE39" s="346"/>
      <c r="AF39" s="350"/>
      <c r="AG39" s="348"/>
      <c r="AH39" s="350"/>
      <c r="AI39" s="346"/>
      <c r="AJ39" s="350"/>
      <c r="AK39" s="348"/>
      <c r="AL39" s="350"/>
      <c r="AM39" s="561"/>
      <c r="AN39" s="352"/>
      <c r="AO39" s="834"/>
      <c r="AP39" s="2664"/>
      <c r="AQ39" s="2664"/>
      <c r="AR39" s="2664"/>
      <c r="AS39" s="835"/>
      <c r="AT39" t="str">
        <f t="shared" si="18"/>
        <v/>
      </c>
      <c r="BO39" s="83" t="str">
        <f t="shared" si="19"/>
        <v/>
      </c>
      <c r="BP39" s="83" t="str">
        <f t="shared" si="20"/>
        <v/>
      </c>
      <c r="BQ39" s="83" t="str">
        <f t="shared" si="21"/>
        <v/>
      </c>
      <c r="BR39" s="83" t="str">
        <f t="shared" si="22"/>
        <v/>
      </c>
      <c r="BS39" s="83" t="str">
        <f t="shared" si="23"/>
        <v/>
      </c>
      <c r="BU39" s="2662">
        <f t="shared" si="24"/>
        <v>0</v>
      </c>
      <c r="BV39" s="2662">
        <f t="shared" si="25"/>
        <v>0</v>
      </c>
      <c r="BW39" s="2662">
        <f t="shared" si="26"/>
        <v>0</v>
      </c>
      <c r="BX39" s="2662">
        <f t="shared" si="27"/>
        <v>0</v>
      </c>
      <c r="BY39" s="2662">
        <f t="shared" si="28"/>
        <v>0</v>
      </c>
    </row>
    <row r="40" spans="1:77" ht="15" customHeight="1" x14ac:dyDescent="0.3">
      <c r="A40" s="2669" t="s">
        <v>501</v>
      </c>
      <c r="B40" s="342">
        <f>SUM(C40:D40)</f>
        <v>0</v>
      </c>
      <c r="C40" s="2339">
        <f>SUM(E40+G40+I40+K40+M40+O40+Q40+S40+U40+W40+Y40+AA40+AC40+AE40+AG40+AI40+AK40+AM40)</f>
        <v>0</v>
      </c>
      <c r="D40" s="2663">
        <f>SUM(F40+H40+J40+L40+N40+P40+R40+T40+V40+X40+Z40+AB40+AD40+AF40+AH40+AJ40+AL40+AN40)</f>
        <v>0</v>
      </c>
      <c r="E40" s="346"/>
      <c r="F40" s="347"/>
      <c r="G40" s="346"/>
      <c r="H40" s="350"/>
      <c r="I40" s="346"/>
      <c r="J40" s="350"/>
      <c r="K40" s="346"/>
      <c r="L40" s="350"/>
      <c r="M40" s="346"/>
      <c r="N40" s="350"/>
      <c r="O40" s="346"/>
      <c r="P40" s="350"/>
      <c r="Q40" s="348"/>
      <c r="R40" s="350"/>
      <c r="S40" s="346"/>
      <c r="T40" s="350"/>
      <c r="U40" s="346"/>
      <c r="V40" s="350"/>
      <c r="W40" s="346"/>
      <c r="X40" s="350"/>
      <c r="Y40" s="346"/>
      <c r="Z40" s="350"/>
      <c r="AA40" s="346"/>
      <c r="AB40" s="350"/>
      <c r="AC40" s="348"/>
      <c r="AD40" s="350"/>
      <c r="AE40" s="346"/>
      <c r="AF40" s="350"/>
      <c r="AG40" s="348"/>
      <c r="AH40" s="350"/>
      <c r="AI40" s="346"/>
      <c r="AJ40" s="350"/>
      <c r="AK40" s="348"/>
      <c r="AL40" s="350"/>
      <c r="AM40" s="561"/>
      <c r="AN40" s="352"/>
      <c r="AO40" s="834"/>
      <c r="AP40" s="2664"/>
      <c r="AQ40" s="2664"/>
      <c r="AR40" s="2664"/>
      <c r="AS40" s="835"/>
      <c r="AT40" t="str">
        <f t="shared" si="18"/>
        <v/>
      </c>
      <c r="BO40" s="83" t="str">
        <f t="shared" si="19"/>
        <v/>
      </c>
      <c r="BP40" s="83" t="str">
        <f t="shared" si="20"/>
        <v/>
      </c>
      <c r="BQ40" s="83" t="str">
        <f t="shared" si="21"/>
        <v/>
      </c>
      <c r="BR40" s="83" t="str">
        <f t="shared" si="22"/>
        <v/>
      </c>
      <c r="BS40" s="83" t="str">
        <f t="shared" si="23"/>
        <v/>
      </c>
      <c r="BU40" s="2662">
        <f t="shared" si="24"/>
        <v>0</v>
      </c>
      <c r="BV40" s="2662">
        <f t="shared" si="25"/>
        <v>0</v>
      </c>
      <c r="BW40" s="2662">
        <f t="shared" si="26"/>
        <v>0</v>
      </c>
      <c r="BX40" s="2662">
        <f t="shared" si="27"/>
        <v>0</v>
      </c>
      <c r="BY40" s="2662">
        <f t="shared" si="28"/>
        <v>0</v>
      </c>
    </row>
    <row r="41" spans="1:77" ht="15" customHeight="1" x14ac:dyDescent="0.3">
      <c r="A41" s="2669" t="s">
        <v>502</v>
      </c>
      <c r="B41" s="342">
        <f>SUM(C41:D41)</f>
        <v>0</v>
      </c>
      <c r="C41" s="2339">
        <f>SUM(E41+G41+I41+K41+M41+O41+Q41+S41+U41+W41+Y41+AA41+AC41+AE41+AG41+AI41+AK41+AM41)</f>
        <v>0</v>
      </c>
      <c r="D41" s="2663">
        <f>SUM(F41+H41+J41+L41+N41+P41+R41+T41+V41+X41+Z41+AB41+AD41+AF41+AH41+AJ41+AL41+AN41)</f>
        <v>0</v>
      </c>
      <c r="E41" s="346"/>
      <c r="F41" s="347"/>
      <c r="G41" s="346"/>
      <c r="H41" s="350"/>
      <c r="I41" s="346"/>
      <c r="J41" s="350"/>
      <c r="K41" s="346"/>
      <c r="L41" s="350"/>
      <c r="M41" s="346"/>
      <c r="N41" s="350"/>
      <c r="O41" s="346"/>
      <c r="P41" s="350"/>
      <c r="Q41" s="348"/>
      <c r="R41" s="350"/>
      <c r="S41" s="346"/>
      <c r="T41" s="350"/>
      <c r="U41" s="346"/>
      <c r="V41" s="350"/>
      <c r="W41" s="346"/>
      <c r="X41" s="350"/>
      <c r="Y41" s="346"/>
      <c r="Z41" s="350"/>
      <c r="AA41" s="346"/>
      <c r="AB41" s="350"/>
      <c r="AC41" s="348"/>
      <c r="AD41" s="350"/>
      <c r="AE41" s="346"/>
      <c r="AF41" s="350"/>
      <c r="AG41" s="348"/>
      <c r="AH41" s="350"/>
      <c r="AI41" s="346"/>
      <c r="AJ41" s="350"/>
      <c r="AK41" s="348"/>
      <c r="AL41" s="350"/>
      <c r="AM41" s="561"/>
      <c r="AN41" s="352"/>
      <c r="AO41" s="834"/>
      <c r="AP41" s="2664"/>
      <c r="AQ41" s="2664"/>
      <c r="AR41" s="2664"/>
      <c r="AS41" s="835"/>
      <c r="AT41" t="str">
        <f t="shared" si="18"/>
        <v/>
      </c>
      <c r="BO41" s="83" t="str">
        <f t="shared" si="19"/>
        <v/>
      </c>
      <c r="BP41" s="83" t="str">
        <f t="shared" si="20"/>
        <v/>
      </c>
      <c r="BQ41" s="83" t="str">
        <f t="shared" si="21"/>
        <v/>
      </c>
      <c r="BR41" s="83" t="str">
        <f t="shared" si="22"/>
        <v/>
      </c>
      <c r="BS41" s="83" t="str">
        <f t="shared" si="23"/>
        <v/>
      </c>
      <c r="BU41" s="2662">
        <f t="shared" si="24"/>
        <v>0</v>
      </c>
      <c r="BV41" s="2662">
        <f t="shared" si="25"/>
        <v>0</v>
      </c>
      <c r="BW41" s="2662">
        <f t="shared" si="26"/>
        <v>0</v>
      </c>
      <c r="BX41" s="2662">
        <f t="shared" si="27"/>
        <v>0</v>
      </c>
      <c r="BY41" s="2662">
        <f t="shared" si="28"/>
        <v>0</v>
      </c>
    </row>
    <row r="42" spans="1:77" ht="15" customHeight="1" x14ac:dyDescent="0.3">
      <c r="A42" s="2669" t="s">
        <v>503</v>
      </c>
      <c r="B42" s="342">
        <f t="shared" si="16"/>
        <v>0</v>
      </c>
      <c r="C42" s="2339">
        <f>SUM(E42+G42+I42+K42+M42+O42+Q42+S42+U42+W42+Y42+AA42+AC42+AE42+AG42+AI42+AK42+AM42)</f>
        <v>0</v>
      </c>
      <c r="D42" s="2663">
        <f t="shared" si="46"/>
        <v>0</v>
      </c>
      <c r="E42" s="346"/>
      <c r="F42" s="347"/>
      <c r="G42" s="346"/>
      <c r="H42" s="350"/>
      <c r="I42" s="346"/>
      <c r="J42" s="350"/>
      <c r="K42" s="346"/>
      <c r="L42" s="350"/>
      <c r="M42" s="346"/>
      <c r="N42" s="350"/>
      <c r="O42" s="346"/>
      <c r="P42" s="350"/>
      <c r="Q42" s="348"/>
      <c r="R42" s="350"/>
      <c r="S42" s="346"/>
      <c r="T42" s="350"/>
      <c r="U42" s="346"/>
      <c r="V42" s="350"/>
      <c r="W42" s="346"/>
      <c r="X42" s="350"/>
      <c r="Y42" s="346"/>
      <c r="Z42" s="350"/>
      <c r="AA42" s="346"/>
      <c r="AB42" s="350"/>
      <c r="AC42" s="348"/>
      <c r="AD42" s="350"/>
      <c r="AE42" s="346"/>
      <c r="AF42" s="350"/>
      <c r="AG42" s="348"/>
      <c r="AH42" s="350"/>
      <c r="AI42" s="346"/>
      <c r="AJ42" s="350"/>
      <c r="AK42" s="348"/>
      <c r="AL42" s="350"/>
      <c r="AM42" s="561"/>
      <c r="AN42" s="352"/>
      <c r="AO42" s="834"/>
      <c r="AP42" s="2664"/>
      <c r="AQ42" s="2664"/>
      <c r="AR42" s="2664"/>
      <c r="AS42" s="835"/>
      <c r="AT42" t="str">
        <f t="shared" si="18"/>
        <v/>
      </c>
      <c r="BO42" s="83" t="str">
        <f t="shared" si="19"/>
        <v/>
      </c>
      <c r="BP42" s="83" t="str">
        <f t="shared" si="20"/>
        <v/>
      </c>
      <c r="BQ42" s="83" t="str">
        <f t="shared" si="21"/>
        <v/>
      </c>
      <c r="BR42" s="83" t="str">
        <f t="shared" si="22"/>
        <v/>
      </c>
      <c r="BS42" s="83" t="str">
        <f t="shared" si="23"/>
        <v/>
      </c>
      <c r="BU42" s="2662">
        <f t="shared" si="24"/>
        <v>0</v>
      </c>
      <c r="BV42" s="2662">
        <f t="shared" si="25"/>
        <v>0</v>
      </c>
      <c r="BW42" s="2662">
        <f t="shared" si="26"/>
        <v>0</v>
      </c>
      <c r="BX42" s="2662">
        <f t="shared" si="27"/>
        <v>0</v>
      </c>
      <c r="BY42" s="2662">
        <f t="shared" si="28"/>
        <v>0</v>
      </c>
    </row>
    <row r="43" spans="1:77" ht="15" customHeight="1" x14ac:dyDescent="0.3">
      <c r="A43" s="2669" t="s">
        <v>504</v>
      </c>
      <c r="B43" s="342">
        <f t="shared" si="16"/>
        <v>0</v>
      </c>
      <c r="C43" s="2339">
        <f>SUM(E43+G43+I43+K43+M43+O43+Q43+S43+U43+W43+Y43+AA43+AC43+AE43+AG43+AI43+AK43+AM43)</f>
        <v>0</v>
      </c>
      <c r="D43" s="2663">
        <f t="shared" si="46"/>
        <v>0</v>
      </c>
      <c r="E43" s="346"/>
      <c r="F43" s="347"/>
      <c r="G43" s="346"/>
      <c r="H43" s="350"/>
      <c r="I43" s="346"/>
      <c r="J43" s="350"/>
      <c r="K43" s="346"/>
      <c r="L43" s="350"/>
      <c r="M43" s="346"/>
      <c r="N43" s="350"/>
      <c r="O43" s="346"/>
      <c r="P43" s="350"/>
      <c r="Q43" s="348"/>
      <c r="R43" s="350"/>
      <c r="S43" s="346"/>
      <c r="T43" s="350"/>
      <c r="U43" s="346"/>
      <c r="V43" s="350"/>
      <c r="W43" s="346"/>
      <c r="X43" s="350"/>
      <c r="Y43" s="346"/>
      <c r="Z43" s="350"/>
      <c r="AA43" s="346"/>
      <c r="AB43" s="350"/>
      <c r="AC43" s="348"/>
      <c r="AD43" s="350"/>
      <c r="AE43" s="346"/>
      <c r="AF43" s="350"/>
      <c r="AG43" s="348"/>
      <c r="AH43" s="350"/>
      <c r="AI43" s="346"/>
      <c r="AJ43" s="350"/>
      <c r="AK43" s="348"/>
      <c r="AL43" s="350"/>
      <c r="AM43" s="561"/>
      <c r="AN43" s="352"/>
      <c r="AO43" s="2675"/>
      <c r="AP43" s="2676"/>
      <c r="AQ43" s="2676"/>
      <c r="AR43" s="2676"/>
      <c r="AS43" s="2677"/>
      <c r="AT43" t="str">
        <f t="shared" si="18"/>
        <v/>
      </c>
      <c r="BO43" s="83" t="str">
        <f t="shared" si="19"/>
        <v/>
      </c>
      <c r="BP43" s="83" t="str">
        <f t="shared" si="20"/>
        <v/>
      </c>
      <c r="BQ43" s="83" t="str">
        <f t="shared" si="21"/>
        <v/>
      </c>
      <c r="BR43" s="83" t="str">
        <f t="shared" si="22"/>
        <v/>
      </c>
      <c r="BS43" s="83" t="str">
        <f t="shared" si="23"/>
        <v/>
      </c>
      <c r="BU43" s="2662">
        <f t="shared" si="24"/>
        <v>0</v>
      </c>
      <c r="BV43" s="2662">
        <f t="shared" si="25"/>
        <v>0</v>
      </c>
      <c r="BW43" s="2662">
        <f t="shared" si="26"/>
        <v>0</v>
      </c>
      <c r="BX43" s="2662">
        <f t="shared" si="27"/>
        <v>0</v>
      </c>
      <c r="BY43" s="2662">
        <f t="shared" si="28"/>
        <v>0</v>
      </c>
    </row>
    <row r="44" spans="1:77" ht="15" customHeight="1" x14ac:dyDescent="0.3">
      <c r="A44" s="2669" t="s">
        <v>505</v>
      </c>
      <c r="B44" s="342">
        <f t="shared" si="16"/>
        <v>0</v>
      </c>
      <c r="C44" s="2339">
        <f>SUM(E44+G44+I44+K44+M44+O44+Q44+S44+U44+W44+Y44+AA44+AC44+AE44+AG44+AI44+AK44+AM44)</f>
        <v>0</v>
      </c>
      <c r="D44" s="2663">
        <f t="shared" si="46"/>
        <v>0</v>
      </c>
      <c r="E44" s="346"/>
      <c r="F44" s="347"/>
      <c r="G44" s="346"/>
      <c r="H44" s="350"/>
      <c r="I44" s="346"/>
      <c r="J44" s="350"/>
      <c r="K44" s="346"/>
      <c r="L44" s="350"/>
      <c r="M44" s="346"/>
      <c r="N44" s="350"/>
      <c r="O44" s="346"/>
      <c r="P44" s="350"/>
      <c r="Q44" s="348"/>
      <c r="R44" s="350"/>
      <c r="S44" s="346"/>
      <c r="T44" s="350"/>
      <c r="U44" s="346"/>
      <c r="V44" s="350"/>
      <c r="W44" s="346"/>
      <c r="X44" s="350"/>
      <c r="Y44" s="346"/>
      <c r="Z44" s="350"/>
      <c r="AA44" s="346"/>
      <c r="AB44" s="350"/>
      <c r="AC44" s="348"/>
      <c r="AD44" s="350"/>
      <c r="AE44" s="346"/>
      <c r="AF44" s="350"/>
      <c r="AG44" s="348"/>
      <c r="AH44" s="350"/>
      <c r="AI44" s="346"/>
      <c r="AJ44" s="350"/>
      <c r="AK44" s="348"/>
      <c r="AL44" s="350"/>
      <c r="AM44" s="561"/>
      <c r="AN44" s="352"/>
      <c r="AO44" s="2675"/>
      <c r="AP44" s="2676"/>
      <c r="AQ44" s="2676"/>
      <c r="AR44" s="2676"/>
      <c r="AS44" s="2677"/>
      <c r="AT44" t="str">
        <f t="shared" si="18"/>
        <v/>
      </c>
      <c r="BO44" s="83" t="str">
        <f t="shared" si="19"/>
        <v/>
      </c>
      <c r="BP44" s="83" t="str">
        <f t="shared" si="20"/>
        <v/>
      </c>
      <c r="BQ44" s="83" t="str">
        <f t="shared" si="21"/>
        <v/>
      </c>
      <c r="BR44" s="83" t="str">
        <f t="shared" si="22"/>
        <v/>
      </c>
      <c r="BS44" s="83" t="str">
        <f t="shared" si="23"/>
        <v/>
      </c>
      <c r="BU44" s="2662">
        <f t="shared" si="24"/>
        <v>0</v>
      </c>
      <c r="BV44" s="2662">
        <f t="shared" si="25"/>
        <v>0</v>
      </c>
      <c r="BW44" s="2662">
        <f t="shared" si="26"/>
        <v>0</v>
      </c>
      <c r="BX44" s="2662">
        <f t="shared" si="27"/>
        <v>0</v>
      </c>
      <c r="BY44" s="2662">
        <f t="shared" si="28"/>
        <v>0</v>
      </c>
    </row>
    <row r="45" spans="1:77" ht="15" customHeight="1" x14ac:dyDescent="0.3">
      <c r="A45" s="2669" t="s">
        <v>506</v>
      </c>
      <c r="B45" s="342">
        <f t="shared" si="16"/>
        <v>0</v>
      </c>
      <c r="C45" s="2339">
        <f t="shared" si="46"/>
        <v>0</v>
      </c>
      <c r="D45" s="2663">
        <f t="shared" si="46"/>
        <v>0</v>
      </c>
      <c r="E45" s="346"/>
      <c r="F45" s="347"/>
      <c r="G45" s="346"/>
      <c r="H45" s="350"/>
      <c r="I45" s="346"/>
      <c r="J45" s="350"/>
      <c r="K45" s="346"/>
      <c r="L45" s="350"/>
      <c r="M45" s="346"/>
      <c r="N45" s="350"/>
      <c r="O45" s="346"/>
      <c r="P45" s="350"/>
      <c r="Q45" s="348"/>
      <c r="R45" s="350"/>
      <c r="S45" s="346"/>
      <c r="T45" s="350"/>
      <c r="U45" s="346"/>
      <c r="V45" s="350"/>
      <c r="W45" s="346"/>
      <c r="X45" s="350"/>
      <c r="Y45" s="346"/>
      <c r="Z45" s="350"/>
      <c r="AA45" s="346"/>
      <c r="AB45" s="350"/>
      <c r="AC45" s="348"/>
      <c r="AD45" s="350"/>
      <c r="AE45" s="346"/>
      <c r="AF45" s="350"/>
      <c r="AG45" s="348"/>
      <c r="AH45" s="350"/>
      <c r="AI45" s="346"/>
      <c r="AJ45" s="350"/>
      <c r="AK45" s="348"/>
      <c r="AL45" s="350"/>
      <c r="AM45" s="561"/>
      <c r="AN45" s="352"/>
      <c r="AO45" s="2675"/>
      <c r="AP45" s="2676"/>
      <c r="AQ45" s="2676"/>
      <c r="AR45" s="2676"/>
      <c r="AS45" s="2677"/>
      <c r="AT45" t="str">
        <f t="shared" si="18"/>
        <v/>
      </c>
      <c r="BO45" s="83" t="str">
        <f t="shared" si="19"/>
        <v/>
      </c>
      <c r="BP45" s="83" t="str">
        <f t="shared" si="20"/>
        <v/>
      </c>
      <c r="BQ45" s="83" t="str">
        <f t="shared" si="21"/>
        <v/>
      </c>
      <c r="BR45" s="83" t="str">
        <f t="shared" si="22"/>
        <v/>
      </c>
      <c r="BS45" s="83" t="str">
        <f t="shared" si="23"/>
        <v/>
      </c>
      <c r="BU45" s="2662">
        <f t="shared" si="24"/>
        <v>0</v>
      </c>
      <c r="BV45" s="2662">
        <f t="shared" si="25"/>
        <v>0</v>
      </c>
      <c r="BW45" s="2662">
        <f t="shared" si="26"/>
        <v>0</v>
      </c>
      <c r="BX45" s="2662">
        <f t="shared" si="27"/>
        <v>0</v>
      </c>
      <c r="BY45" s="2662">
        <f t="shared" si="28"/>
        <v>0</v>
      </c>
    </row>
    <row r="46" spans="1:77" ht="15" customHeight="1" x14ac:dyDescent="0.3">
      <c r="A46" s="2670" t="s">
        <v>507</v>
      </c>
      <c r="B46" s="342">
        <f t="shared" si="16"/>
        <v>0</v>
      </c>
      <c r="C46" s="2339">
        <f t="shared" si="46"/>
        <v>0</v>
      </c>
      <c r="D46" s="2663">
        <f t="shared" si="46"/>
        <v>0</v>
      </c>
      <c r="E46" s="192"/>
      <c r="F46" s="2"/>
      <c r="G46" s="192"/>
      <c r="H46" s="383"/>
      <c r="I46" s="192"/>
      <c r="J46" s="383"/>
      <c r="K46" s="192"/>
      <c r="L46" s="383"/>
      <c r="M46" s="192"/>
      <c r="N46" s="383"/>
      <c r="O46" s="192"/>
      <c r="P46" s="383"/>
      <c r="Q46" s="482"/>
      <c r="R46" s="383"/>
      <c r="S46" s="192"/>
      <c r="T46" s="383"/>
      <c r="U46" s="192"/>
      <c r="V46" s="383"/>
      <c r="W46" s="192"/>
      <c r="X46" s="383"/>
      <c r="Y46" s="192"/>
      <c r="Z46" s="383"/>
      <c r="AA46" s="192"/>
      <c r="AB46" s="383"/>
      <c r="AC46" s="482"/>
      <c r="AD46" s="383"/>
      <c r="AE46" s="346"/>
      <c r="AF46" s="350"/>
      <c r="AG46" s="348"/>
      <c r="AH46" s="350"/>
      <c r="AI46" s="346"/>
      <c r="AJ46" s="350"/>
      <c r="AK46" s="348"/>
      <c r="AL46" s="350"/>
      <c r="AM46" s="348"/>
      <c r="AN46" s="384"/>
      <c r="AO46" s="2675"/>
      <c r="AP46" s="2676"/>
      <c r="AQ46" s="2676"/>
      <c r="AR46" s="2676"/>
      <c r="AS46" s="2677"/>
      <c r="AT46" t="str">
        <f t="shared" si="18"/>
        <v/>
      </c>
      <c r="BO46" s="83" t="str">
        <f t="shared" si="19"/>
        <v/>
      </c>
      <c r="BP46" s="83" t="str">
        <f t="shared" si="20"/>
        <v/>
      </c>
      <c r="BQ46" s="83" t="str">
        <f t="shared" si="21"/>
        <v/>
      </c>
      <c r="BR46" s="83" t="str">
        <f t="shared" si="22"/>
        <v/>
      </c>
      <c r="BS46" s="83" t="str">
        <f t="shared" si="23"/>
        <v/>
      </c>
      <c r="BU46" s="2662">
        <f t="shared" si="24"/>
        <v>0</v>
      </c>
      <c r="BV46" s="2662">
        <f t="shared" si="25"/>
        <v>0</v>
      </c>
      <c r="BW46" s="2662">
        <f t="shared" si="26"/>
        <v>0</v>
      </c>
      <c r="BX46" s="2662">
        <f t="shared" si="27"/>
        <v>0</v>
      </c>
      <c r="BY46" s="2662">
        <f t="shared" si="28"/>
        <v>0</v>
      </c>
    </row>
    <row r="47" spans="1:77" ht="15" customHeight="1" x14ac:dyDescent="0.3">
      <c r="A47" s="2669" t="s">
        <v>508</v>
      </c>
      <c r="B47" s="342">
        <f>SUM(C47:D47)</f>
        <v>0</v>
      </c>
      <c r="C47" s="2339">
        <f>SUM(E47+G47+I47)</f>
        <v>0</v>
      </c>
      <c r="D47" s="2663">
        <f>SUM(F47+H47+J47)</f>
        <v>0</v>
      </c>
      <c r="E47" s="346"/>
      <c r="F47" s="347"/>
      <c r="G47" s="346"/>
      <c r="H47" s="350"/>
      <c r="I47" s="346"/>
      <c r="J47" s="350"/>
      <c r="K47" s="686"/>
      <c r="L47" s="2693"/>
      <c r="M47" s="686"/>
      <c r="N47" s="2693"/>
      <c r="O47" s="686"/>
      <c r="P47" s="2693"/>
      <c r="Q47" s="686"/>
      <c r="R47" s="687"/>
      <c r="S47" s="686"/>
      <c r="T47" s="687"/>
      <c r="U47" s="686"/>
      <c r="V47" s="687"/>
      <c r="W47" s="686"/>
      <c r="X47" s="687"/>
      <c r="Y47" s="686"/>
      <c r="Z47" s="687"/>
      <c r="AA47" s="686"/>
      <c r="AB47" s="687"/>
      <c r="AC47" s="686"/>
      <c r="AD47" s="687"/>
      <c r="AE47" s="314"/>
      <c r="AF47" s="130"/>
      <c r="AG47" s="314"/>
      <c r="AH47" s="130"/>
      <c r="AI47" s="314"/>
      <c r="AJ47" s="130"/>
      <c r="AK47" s="314"/>
      <c r="AL47" s="130"/>
      <c r="AM47" s="314"/>
      <c r="AN47" s="3083"/>
      <c r="AO47" s="834"/>
      <c r="AP47" s="2664"/>
      <c r="AQ47" s="2664"/>
      <c r="AR47" s="2664"/>
      <c r="AS47" s="835"/>
      <c r="AT47" t="str">
        <f t="shared" si="18"/>
        <v/>
      </c>
      <c r="BO47" s="83" t="str">
        <f t="shared" si="19"/>
        <v/>
      </c>
      <c r="BP47" s="83" t="str">
        <f t="shared" si="20"/>
        <v/>
      </c>
      <c r="BQ47" s="83" t="str">
        <f t="shared" si="21"/>
        <v/>
      </c>
      <c r="BR47" s="83" t="str">
        <f t="shared" si="22"/>
        <v/>
      </c>
      <c r="BS47" s="83" t="str">
        <f t="shared" si="23"/>
        <v/>
      </c>
      <c r="BU47" s="2662">
        <f t="shared" si="24"/>
        <v>0</v>
      </c>
      <c r="BV47" s="2662">
        <f t="shared" si="25"/>
        <v>0</v>
      </c>
      <c r="BW47" s="2662">
        <f t="shared" si="26"/>
        <v>0</v>
      </c>
      <c r="BX47" s="2662">
        <f t="shared" si="27"/>
        <v>0</v>
      </c>
      <c r="BY47" s="2662">
        <f t="shared" si="28"/>
        <v>0</v>
      </c>
    </row>
    <row r="48" spans="1:77" ht="15" customHeight="1" x14ac:dyDescent="0.3">
      <c r="A48" s="1794" t="s">
        <v>509</v>
      </c>
      <c r="B48" s="343">
        <f>SUM(C48:D48)</f>
        <v>0</v>
      </c>
      <c r="C48" s="2211">
        <f>SUM(E48+G48+I48+K48+M48+O48+Q48+S48+U48+W48+Y48+AA48+AC48+AE48+AG48+AI48+AK48+AM48)</f>
        <v>0</v>
      </c>
      <c r="D48" s="2679">
        <f>SUM(F48+H48+J48+L48+N48+P48+R48+T48+V48+X48+Z48+AB48+AD48+AF48+AH48+AJ48+AL48+AN48)</f>
        <v>0</v>
      </c>
      <c r="E48" s="373"/>
      <c r="F48" s="530"/>
      <c r="G48" s="373"/>
      <c r="H48" s="530"/>
      <c r="I48" s="373"/>
      <c r="J48" s="530"/>
      <c r="K48" s="373"/>
      <c r="L48" s="530"/>
      <c r="M48" s="373"/>
      <c r="N48" s="530"/>
      <c r="O48" s="373"/>
      <c r="P48" s="530"/>
      <c r="Q48" s="373"/>
      <c r="R48" s="530"/>
      <c r="S48" s="373"/>
      <c r="T48" s="530"/>
      <c r="U48" s="373"/>
      <c r="V48" s="530"/>
      <c r="W48" s="373"/>
      <c r="X48" s="530"/>
      <c r="Y48" s="373"/>
      <c r="Z48" s="530"/>
      <c r="AA48" s="373"/>
      <c r="AB48" s="530"/>
      <c r="AC48" s="373"/>
      <c r="AD48" s="530"/>
      <c r="AE48" s="373"/>
      <c r="AF48" s="530"/>
      <c r="AG48" s="373"/>
      <c r="AH48" s="530"/>
      <c r="AI48" s="373"/>
      <c r="AJ48" s="530"/>
      <c r="AK48" s="373"/>
      <c r="AL48" s="530"/>
      <c r="AM48" s="373"/>
      <c r="AN48" s="2694"/>
      <c r="AO48" s="320"/>
      <c r="AP48" s="321"/>
      <c r="AQ48" s="321"/>
      <c r="AR48" s="321"/>
      <c r="AS48" s="2695"/>
      <c r="AT48" t="str">
        <f>BO48&amp;BP48&amp;BQ48&amp;BR48&amp;BS48</f>
        <v/>
      </c>
      <c r="BO48" s="83" t="str">
        <f t="shared" ref="BO48" si="47">IF(AND(B48&gt;0,AO48="")," * No olvide digitar la variable Pueblos originarios. Digite Cero si no tiene.",IF(AO48&gt;B48," * La variable Pueblos originarios No puede ser mayor al Total.",""))</f>
        <v/>
      </c>
      <c r="BP48" s="83" t="str">
        <f>IF(AND(B48&gt;0,AP48="")," * No olvide digitar la variable Migrantes. Digite Cero si no tiene.",IF(AP48&gt;B48," * La variable Migrantes No puede ser mayor al Total.",""))</f>
        <v/>
      </c>
      <c r="BQ48" s="83" t="str">
        <f t="shared" ref="BQ48" si="48">IF(AND(B48&gt;0,AQ48="")," * No olvide digitar la variable Espacios Amigables. Digite Cero si no tiene.",IF(AQ48&gt;B48," * La variable Espacios Amigables No puede ser mayor al Total.",""))</f>
        <v/>
      </c>
      <c r="BR48" s="83" t="str">
        <f t="shared" ref="BR48" si="49">IF(AND(B48&gt;0,AR48="")," * No olvide digitar la variable Niños, Niñas, Adolescentes y Jóvenes SENAME. Digite Cero si no tiene.",IF(AR48&gt;B48," * La variable Niños, Niñas, Adolescentes y Jóvenes SENAME No puede ser mayor al Total.",""))</f>
        <v/>
      </c>
      <c r="BS48" s="83" t="str">
        <f t="shared" ref="BS48" si="50">IF(AND(B48&gt;0,AS48="")," * No olvide digitar la variable Niños, Niñas, Adolescentes y Jóvenes Mejor Niñez. Digite Cero si no tiene.",IF(AS48&gt;B48," * La variable Niños, Niñas, Adolescentes y Jóvenes Mejor Niñez No puede ser mayor al Total.",""))</f>
        <v/>
      </c>
      <c r="BU48" s="2662">
        <f>IF(AND(B48&gt;0,AO48=""),1,IF(AO48&gt;B48,1,0))</f>
        <v>0</v>
      </c>
      <c r="BV48" s="2662">
        <f t="shared" ref="BV48" si="51">IF(AND(B48&gt;0,AP48=""),1,IF(AP48&gt;B48,1,0))</f>
        <v>0</v>
      </c>
      <c r="BW48" s="2662">
        <f t="shared" ref="BW48" si="52">IF(AND(B48&gt;0,AQ48=""),1,IF(AQ48&gt;B48,1,0))</f>
        <v>0</v>
      </c>
      <c r="BX48" s="2662">
        <f t="shared" ref="BX48" si="53">IF(AND(B48&gt;0,AR48=""),1,IF(AR48&gt;B48,1,0))</f>
        <v>0</v>
      </c>
      <c r="BY48" s="2662">
        <f t="shared" ref="BY48" si="54">IF(AND(B48&gt;0,AS48=""),1,IF(AS48&gt;B48,1,0))</f>
        <v>0</v>
      </c>
    </row>
    <row r="49" spans="1:75" ht="18" customHeight="1" x14ac:dyDescent="0.3">
      <c r="A49" s="3" t="s">
        <v>510</v>
      </c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</row>
    <row r="50" spans="1:75" ht="18" customHeight="1" x14ac:dyDescent="0.3">
      <c r="A50" s="5895" t="s">
        <v>27</v>
      </c>
      <c r="B50" s="6126" t="s">
        <v>389</v>
      </c>
      <c r="C50" s="6119" t="s">
        <v>461</v>
      </c>
      <c r="D50" s="5897" t="s">
        <v>59</v>
      </c>
      <c r="E50" s="6198" t="s">
        <v>511</v>
      </c>
      <c r="F50" s="6199"/>
      <c r="G50" s="6199"/>
      <c r="H50" s="6199"/>
      <c r="I50" s="6199"/>
      <c r="J50" s="6199"/>
      <c r="K50" s="6199"/>
      <c r="L50" s="6200"/>
      <c r="M50" s="5896" t="s">
        <v>389</v>
      </c>
      <c r="N50" s="6126" t="s">
        <v>461</v>
      </c>
      <c r="O50" s="5897" t="s">
        <v>59</v>
      </c>
      <c r="P50" s="5901" t="s">
        <v>512</v>
      </c>
      <c r="Q50" s="6202"/>
      <c r="R50" s="6202"/>
      <c r="S50" s="6202"/>
      <c r="T50" s="6202"/>
      <c r="U50" s="6202"/>
      <c r="V50" s="6202"/>
      <c r="W50" s="5902"/>
      <c r="X50" s="6124" t="s">
        <v>513</v>
      </c>
      <c r="Y50" s="6125"/>
      <c r="Z50" s="6126" t="s">
        <v>38</v>
      </c>
      <c r="AA50" s="5897" t="s">
        <v>33</v>
      </c>
      <c r="AB50" s="6119" t="s">
        <v>36</v>
      </c>
      <c r="AC50" s="5935" t="s">
        <v>37</v>
      </c>
    </row>
    <row r="51" spans="1:75" ht="14.4" customHeight="1" x14ac:dyDescent="0.3">
      <c r="A51" s="6197"/>
      <c r="B51" s="6127"/>
      <c r="C51" s="6120"/>
      <c r="D51" s="6123"/>
      <c r="E51" s="6203" t="s">
        <v>94</v>
      </c>
      <c r="F51" s="6204"/>
      <c r="G51" s="6203" t="s">
        <v>44</v>
      </c>
      <c r="H51" s="6204"/>
      <c r="I51" s="6198" t="s">
        <v>45</v>
      </c>
      <c r="J51" s="6200"/>
      <c r="K51" s="6198" t="s">
        <v>514</v>
      </c>
      <c r="L51" s="6200"/>
      <c r="M51" s="6201"/>
      <c r="N51" s="6127"/>
      <c r="O51" s="6123"/>
      <c r="P51" s="6124" t="s">
        <v>94</v>
      </c>
      <c r="Q51" s="6125"/>
      <c r="R51" s="6124" t="s">
        <v>44</v>
      </c>
      <c r="S51" s="6125"/>
      <c r="T51" s="5901" t="s">
        <v>45</v>
      </c>
      <c r="U51" s="6205"/>
      <c r="V51" s="5901" t="s">
        <v>514</v>
      </c>
      <c r="W51" s="5902"/>
      <c r="X51" s="6126" t="s">
        <v>60</v>
      </c>
      <c r="Y51" s="5935" t="s">
        <v>62</v>
      </c>
      <c r="Z51" s="6127"/>
      <c r="AA51" s="6123"/>
      <c r="AB51" s="6120"/>
      <c r="AC51" s="6122"/>
    </row>
    <row r="52" spans="1:75" ht="21.6" customHeight="1" x14ac:dyDescent="0.3">
      <c r="A52" s="5898"/>
      <c r="B52" s="6128"/>
      <c r="C52" s="6121"/>
      <c r="D52" s="5900"/>
      <c r="E52" s="2512" t="s">
        <v>58</v>
      </c>
      <c r="F52" s="2696" t="s">
        <v>59</v>
      </c>
      <c r="G52" s="2512" t="s">
        <v>58</v>
      </c>
      <c r="H52" s="2696" t="s">
        <v>59</v>
      </c>
      <c r="I52" s="2512" t="s">
        <v>58</v>
      </c>
      <c r="J52" s="2696" t="s">
        <v>59</v>
      </c>
      <c r="K52" s="2512" t="s">
        <v>58</v>
      </c>
      <c r="L52" s="5652" t="s">
        <v>59</v>
      </c>
      <c r="M52" s="5899"/>
      <c r="N52" s="6128"/>
      <c r="O52" s="5900"/>
      <c r="P52" s="2512" t="s">
        <v>58</v>
      </c>
      <c r="Q52" s="2696" t="s">
        <v>59</v>
      </c>
      <c r="R52" s="2512" t="s">
        <v>58</v>
      </c>
      <c r="S52" s="2696" t="s">
        <v>59</v>
      </c>
      <c r="T52" s="2512" t="s">
        <v>58</v>
      </c>
      <c r="U52" s="2696" t="s">
        <v>59</v>
      </c>
      <c r="V52" s="2512" t="s">
        <v>58</v>
      </c>
      <c r="W52" s="2511" t="s">
        <v>59</v>
      </c>
      <c r="X52" s="6128"/>
      <c r="Y52" s="5936"/>
      <c r="Z52" s="6128"/>
      <c r="AA52" s="5900"/>
      <c r="AB52" s="6121"/>
      <c r="AC52" s="5936"/>
    </row>
    <row r="53" spans="1:75" ht="15" customHeight="1" x14ac:dyDescent="0.3">
      <c r="A53" s="2697" t="s">
        <v>64</v>
      </c>
      <c r="B53" s="2698">
        <f>SUM(C53:D53)</f>
        <v>0</v>
      </c>
      <c r="C53" s="2699">
        <f>+E53+G53+I53+K53</f>
        <v>0</v>
      </c>
      <c r="D53" s="2700">
        <f>+F53+H53+J53+L53</f>
        <v>0</v>
      </c>
      <c r="E53" s="2701"/>
      <c r="F53" s="2702"/>
      <c r="G53" s="2701"/>
      <c r="H53" s="2702"/>
      <c r="I53" s="2701"/>
      <c r="J53" s="2702"/>
      <c r="K53" s="2701"/>
      <c r="L53" s="5653"/>
      <c r="M53" s="2700">
        <f>SUM(N53:O53)</f>
        <v>0</v>
      </c>
      <c r="N53" s="2698">
        <f>+P53+R53+T53+V53</f>
        <v>0</v>
      </c>
      <c r="O53" s="2700">
        <f>+Q53+S53+U53+W53</f>
        <v>0</v>
      </c>
      <c r="P53" s="2701"/>
      <c r="Q53" s="2702"/>
      <c r="R53" s="2701"/>
      <c r="S53" s="2702"/>
      <c r="T53" s="2701"/>
      <c r="U53" s="2702"/>
      <c r="V53" s="2701"/>
      <c r="W53" s="2703"/>
      <c r="X53" s="2704"/>
      <c r="Y53" s="2702"/>
      <c r="Z53" s="2704"/>
      <c r="AA53" s="2702"/>
      <c r="AB53" s="2705"/>
      <c r="AC53" s="2706"/>
      <c r="AD53" t="str">
        <f>BO53&amp;BP53&amp;BQ53</f>
        <v/>
      </c>
      <c r="BO53" s="83" t="str">
        <f>IF(AND(B53&gt;0,AB53=""),"  * No olvide digitar la variable Pueblos originarios. Digite Cero si no tiene.",IF(AB53&gt;B53,"  * La variable Pueblos originarios No puede ser mayor al Total.",""))</f>
        <v/>
      </c>
      <c r="BP53" s="83" t="str">
        <f>IF(AND(B53&gt;0,AC53=""),"  * No olvide digitar la variable Migrantes. Digite Cero si no tiene.",IF(AC53&gt;B53,"  * La variable Migrantes No puede ser mayor al Total.",""))</f>
        <v/>
      </c>
      <c r="BQ53" s="83" t="str">
        <f>IF(AND(B53&gt;0,AA53=""),"  * No olvide digitar la variable Espacios Amigables/Adolescentes. Digite Cero si no tiene.",IF(AA53&gt;B53,"  * La variable Espacios Amigables/Adolescentes No puede ser mayor al Total.",""))</f>
        <v/>
      </c>
      <c r="BR53" s="2707"/>
      <c r="BS53" s="2707"/>
      <c r="BU53" s="2662">
        <f>IF(AND(B53&gt;0,AB53=""),1,IF(AB53&gt;B53,1,0))</f>
        <v>0</v>
      </c>
      <c r="BV53" s="2662">
        <f>IF(AND(B53&gt;0,AC53=""),1,IF(AC53&gt;B53,1,0))</f>
        <v>0</v>
      </c>
      <c r="BW53" s="2662">
        <f>IF(AND(B53&gt;0,AA53=""),1,IF(AA53&gt;B53,1,0))</f>
        <v>0</v>
      </c>
    </row>
    <row r="54" spans="1:75" ht="15" customHeight="1" x14ac:dyDescent="0.3">
      <c r="A54" s="2708" t="s">
        <v>65</v>
      </c>
      <c r="B54" s="2709">
        <f>SUM(C54:D54)</f>
        <v>0</v>
      </c>
      <c r="C54" s="5655">
        <f>+E54+G54+I54+K54</f>
        <v>0</v>
      </c>
      <c r="D54" s="2711">
        <f>+F54+H54+J54+L54</f>
        <v>0</v>
      </c>
      <c r="E54" s="2712"/>
      <c r="F54" s="2713"/>
      <c r="G54" s="2712"/>
      <c r="H54" s="2713"/>
      <c r="I54" s="2712"/>
      <c r="J54" s="2713"/>
      <c r="K54" s="2712"/>
      <c r="L54" s="5654"/>
      <c r="M54" s="2711">
        <f>SUM(N54:O54)</f>
        <v>0</v>
      </c>
      <c r="N54" s="2709">
        <f>+P54+R54+T54+V54</f>
        <v>0</v>
      </c>
      <c r="O54" s="2711">
        <f>+Q54+S54+U54+W54</f>
        <v>0</v>
      </c>
      <c r="P54" s="2712"/>
      <c r="Q54" s="2713"/>
      <c r="R54" s="2712"/>
      <c r="S54" s="2713"/>
      <c r="T54" s="2712"/>
      <c r="U54" s="2713"/>
      <c r="V54" s="2712"/>
      <c r="W54" s="2714"/>
      <c r="X54" s="2712"/>
      <c r="Y54" s="2713"/>
      <c r="Z54" s="2712"/>
      <c r="AA54" s="2713"/>
      <c r="AB54" s="2715"/>
      <c r="AC54" s="2716"/>
      <c r="AD54" t="str">
        <f>BO54&amp;BP54&amp;BQ54</f>
        <v/>
      </c>
      <c r="BO54" s="83" t="str">
        <f>IF(AND(B54&gt;0,AB54=""),"  * No olvide digitar la variable Pueblos originarios. Digite Cero si no tiene.",IF(AB54&gt;B54,"  * La variable Pueblos originarios No puede ser mayor al Total.",""))</f>
        <v/>
      </c>
      <c r="BP54" s="83" t="str">
        <f>IF(AND(B54&gt;0,AC54=""),"  * No olvide digitar la variable Migrantes. Digite Cero si no tiene.",IF(AC54&gt;B54,"  * La variable Migrantes No puede ser mayor al Total.",""))</f>
        <v/>
      </c>
      <c r="BQ54" s="83" t="str">
        <f>IF(AND(B54&gt;0,AA54=""),"  * No olvide digitar la variable Espacios Amigables/Adolescentes. Digite Cero si no tiene.",IF(AA54&gt;B54,"  * La variable Espacios Amigables/Adolescentes No puede ser mayor al Total.",""))</f>
        <v/>
      </c>
      <c r="BR54" s="2707"/>
      <c r="BS54" s="2707"/>
      <c r="BU54" s="2662">
        <f>IF(AND(B54&gt;0,AB54=""),1,IF(AB54&gt;B54,1,0))</f>
        <v>0</v>
      </c>
      <c r="BV54" s="2662">
        <f>IF(AND(B54&gt;0,AC54=""),1,IF(AC54&gt;B54,1,0))</f>
        <v>0</v>
      </c>
      <c r="BW54" s="2662">
        <f>IF(AND(B54&gt;0,AA54=""),1,IF(AA54&gt;B54,1,0))</f>
        <v>0</v>
      </c>
    </row>
    <row r="55" spans="1:75" ht="18" customHeight="1" x14ac:dyDescent="0.3">
      <c r="A55" s="2189" t="s">
        <v>515</v>
      </c>
      <c r="B55" s="2375"/>
      <c r="C55" s="2375"/>
      <c r="D55" s="2375"/>
      <c r="E55" s="2375"/>
      <c r="F55" s="2375"/>
      <c r="G55" s="2717"/>
      <c r="H55" s="2717"/>
      <c r="I55" s="2717"/>
      <c r="J55" s="2717"/>
      <c r="K55" s="2717"/>
      <c r="L55" s="2717"/>
      <c r="M55" s="2717"/>
      <c r="N55" s="2717"/>
      <c r="O55" s="2718"/>
      <c r="P55" s="2375"/>
      <c r="Q55" s="2717"/>
      <c r="R55" s="2717"/>
      <c r="S55" s="2718"/>
      <c r="T55" s="2375"/>
      <c r="U55" s="2717"/>
      <c r="V55" s="2718"/>
      <c r="W55" s="2719"/>
      <c r="X55" s="24"/>
    </row>
    <row r="56" spans="1:75" x14ac:dyDescent="0.3">
      <c r="A56" s="6147" t="s">
        <v>516</v>
      </c>
      <c r="B56" s="6148" t="s">
        <v>77</v>
      </c>
      <c r="C56" s="5880"/>
      <c r="D56" s="5832"/>
      <c r="E56" s="6013" t="s">
        <v>29</v>
      </c>
      <c r="F56" s="6032"/>
      <c r="G56" s="6032"/>
      <c r="H56" s="6032"/>
      <c r="I56" s="6032"/>
      <c r="J56" s="6032"/>
      <c r="K56" s="6032"/>
      <c r="L56" s="6032"/>
      <c r="M56" s="6032"/>
      <c r="N56" s="6032"/>
      <c r="O56" s="6032"/>
      <c r="P56" s="6032"/>
      <c r="Q56" s="6032"/>
      <c r="R56" s="6032"/>
      <c r="S56" s="6032"/>
      <c r="T56" s="6032"/>
      <c r="U56" s="6032"/>
      <c r="V56" s="6046"/>
      <c r="W56" s="5831" t="s">
        <v>36</v>
      </c>
      <c r="X56" s="5832" t="s">
        <v>37</v>
      </c>
    </row>
    <row r="57" spans="1:75" x14ac:dyDescent="0.3">
      <c r="A57" s="6082"/>
      <c r="B57" s="5946"/>
      <c r="C57" s="5882"/>
      <c r="D57" s="5760"/>
      <c r="E57" s="6136" t="s">
        <v>474</v>
      </c>
      <c r="F57" s="6136" t="s">
        <v>475</v>
      </c>
      <c r="G57" s="5832" t="s">
        <v>326</v>
      </c>
      <c r="H57" s="6081" t="s">
        <v>94</v>
      </c>
      <c r="I57" s="6081" t="s">
        <v>44</v>
      </c>
      <c r="J57" s="5832" t="s">
        <v>45</v>
      </c>
      <c r="K57" s="5832" t="s">
        <v>46</v>
      </c>
      <c r="L57" s="5832" t="s">
        <v>47</v>
      </c>
      <c r="M57" s="5832" t="s">
        <v>48</v>
      </c>
      <c r="N57" s="5832" t="s">
        <v>49</v>
      </c>
      <c r="O57" s="5832" t="s">
        <v>50</v>
      </c>
      <c r="P57" s="5832" t="s">
        <v>51</v>
      </c>
      <c r="Q57" s="5832" t="s">
        <v>52</v>
      </c>
      <c r="R57" s="5832" t="s">
        <v>53</v>
      </c>
      <c r="S57" s="5832" t="s">
        <v>54</v>
      </c>
      <c r="T57" s="5832" t="s">
        <v>55</v>
      </c>
      <c r="U57" s="5832" t="s">
        <v>56</v>
      </c>
      <c r="V57" s="6141" t="s">
        <v>476</v>
      </c>
      <c r="W57" s="5766"/>
      <c r="X57" s="5759"/>
    </row>
    <row r="58" spans="1:75" x14ac:dyDescent="0.3">
      <c r="A58" s="6116"/>
      <c r="B58" s="2419" t="s">
        <v>79</v>
      </c>
      <c r="C58" s="2387" t="s">
        <v>58</v>
      </c>
      <c r="D58" s="2309" t="s">
        <v>59</v>
      </c>
      <c r="E58" s="5825"/>
      <c r="F58" s="5825"/>
      <c r="G58" s="5760"/>
      <c r="H58" s="6116"/>
      <c r="I58" s="6116"/>
      <c r="J58" s="5760"/>
      <c r="K58" s="5760"/>
      <c r="L58" s="5760"/>
      <c r="M58" s="5760"/>
      <c r="N58" s="5760"/>
      <c r="O58" s="5760"/>
      <c r="P58" s="5760"/>
      <c r="Q58" s="5760"/>
      <c r="R58" s="5760"/>
      <c r="S58" s="5760"/>
      <c r="T58" s="5760"/>
      <c r="U58" s="5760"/>
      <c r="V58" s="6142"/>
      <c r="W58" s="5767"/>
      <c r="X58" s="5760"/>
    </row>
    <row r="59" spans="1:75" ht="15" customHeight="1" x14ac:dyDescent="0.3">
      <c r="A59" s="2720" t="s">
        <v>517</v>
      </c>
      <c r="B59" s="2648">
        <f>SUM(B60:B61)</f>
        <v>0</v>
      </c>
      <c r="C59" s="2649">
        <f>SUM(C60:C61)</f>
        <v>0</v>
      </c>
      <c r="D59" s="2721">
        <f t="shared" ref="D59:V59" si="55">SUM(D60:D61)</f>
        <v>0</v>
      </c>
      <c r="E59" s="2722">
        <f t="shared" si="55"/>
        <v>0</v>
      </c>
      <c r="F59" s="2722">
        <f t="shared" si="55"/>
        <v>0</v>
      </c>
      <c r="G59" s="2723">
        <f t="shared" si="55"/>
        <v>0</v>
      </c>
      <c r="H59" s="2722">
        <f t="shared" si="55"/>
        <v>0</v>
      </c>
      <c r="I59" s="2722">
        <f t="shared" si="55"/>
        <v>0</v>
      </c>
      <c r="J59" s="2683">
        <f t="shared" si="55"/>
        <v>0</v>
      </c>
      <c r="K59" s="2722">
        <f t="shared" si="55"/>
        <v>0</v>
      </c>
      <c r="L59" s="2683">
        <f t="shared" si="55"/>
        <v>0</v>
      </c>
      <c r="M59" s="2722">
        <f t="shared" si="55"/>
        <v>0</v>
      </c>
      <c r="N59" s="2683">
        <f t="shared" si="55"/>
        <v>0</v>
      </c>
      <c r="O59" s="2722">
        <f t="shared" si="55"/>
        <v>0</v>
      </c>
      <c r="P59" s="2683">
        <f t="shared" si="55"/>
        <v>0</v>
      </c>
      <c r="Q59" s="2722">
        <f t="shared" si="55"/>
        <v>0</v>
      </c>
      <c r="R59" s="2683">
        <f t="shared" si="55"/>
        <v>0</v>
      </c>
      <c r="S59" s="2722">
        <f t="shared" si="55"/>
        <v>0</v>
      </c>
      <c r="T59" s="2683">
        <f t="shared" si="55"/>
        <v>0</v>
      </c>
      <c r="U59" s="2722">
        <f t="shared" si="55"/>
        <v>0</v>
      </c>
      <c r="V59" s="2724">
        <f t="shared" si="55"/>
        <v>0</v>
      </c>
      <c r="W59" s="2725">
        <f>SUM(W60:W61)</f>
        <v>0</v>
      </c>
      <c r="X59" s="2723">
        <f>SUM(X60:X61)</f>
        <v>0</v>
      </c>
    </row>
    <row r="60" spans="1:75" ht="15" customHeight="1" x14ac:dyDescent="0.3">
      <c r="A60" s="2726" t="s">
        <v>64</v>
      </c>
      <c r="B60" s="303">
        <f>SUM(C60:D60)</f>
        <v>0</v>
      </c>
      <c r="C60" s="2727"/>
      <c r="D60" s="2728"/>
      <c r="E60" s="2729"/>
      <c r="F60" s="65"/>
      <c r="G60" s="2729"/>
      <c r="H60" s="65"/>
      <c r="I60" s="2729"/>
      <c r="J60" s="65"/>
      <c r="K60" s="2729"/>
      <c r="L60" s="65"/>
      <c r="M60" s="2729"/>
      <c r="N60" s="65"/>
      <c r="O60" s="2729"/>
      <c r="P60" s="65"/>
      <c r="Q60" s="2729"/>
      <c r="R60" s="65"/>
      <c r="S60" s="2729"/>
      <c r="T60" s="65"/>
      <c r="U60" s="2729"/>
      <c r="V60" s="371"/>
      <c r="W60" s="296"/>
      <c r="X60" s="107"/>
      <c r="Y60" t="str">
        <f>BO60&amp;BP60&amp;BQ60</f>
        <v/>
      </c>
      <c r="BO60" s="83" t="str">
        <f>IF(AND(B60&gt;0,W60="")," * No olvide digitar la variable Pueblos originarios. Digite Cero si no tiene.",IF(W60&gt;B60,"  * La variable Pueblos originarios No puede ser mayor al Total.",""))</f>
        <v/>
      </c>
      <c r="BP60" s="83" t="str">
        <f>IF(AND(B60&gt;0,X60="")," * No olvide digitar la variable Migrantes. Digite Cero si no tiene.",IF(X60&gt;B60,"  * La variable Migrantes No puede ser mayor al Total.",""))</f>
        <v/>
      </c>
      <c r="BQ60" s="2707" t="str">
        <f>IF((C60+D60)&lt;&gt;SUM(E60:V60)," * Los datos desglosados por edad debe ser igual al total de ambos sexos.","")</f>
        <v/>
      </c>
      <c r="BR60" s="2707"/>
      <c r="BS60" s="2707"/>
      <c r="BU60" s="2662">
        <f>IF(AND(B60&gt;0,W60=""),1,IF(W60&gt;B60,1,0))</f>
        <v>0</v>
      </c>
      <c r="BV60" s="2662">
        <f>IF(AND(B60&gt;0,X60=""),1,IF(X60&gt;B60,1,0))</f>
        <v>0</v>
      </c>
      <c r="BW60" s="2662">
        <f>IF((C60+D60)&lt;&gt;SUM(E60:V60),1,0)</f>
        <v>0</v>
      </c>
    </row>
    <row r="61" spans="1:75" ht="15" customHeight="1" x14ac:dyDescent="0.3">
      <c r="A61" s="2730" t="s">
        <v>518</v>
      </c>
      <c r="B61" s="638">
        <f>SUM(C61:D61)</f>
        <v>0</v>
      </c>
      <c r="C61" s="2731"/>
      <c r="D61" s="2732"/>
      <c r="E61" s="799"/>
      <c r="F61" s="564"/>
      <c r="G61" s="799"/>
      <c r="H61" s="564"/>
      <c r="I61" s="799"/>
      <c r="J61" s="564"/>
      <c r="K61" s="799"/>
      <c r="L61" s="564"/>
      <c r="M61" s="799"/>
      <c r="N61" s="564"/>
      <c r="O61" s="799"/>
      <c r="P61" s="564"/>
      <c r="Q61" s="799"/>
      <c r="R61" s="564"/>
      <c r="S61" s="799"/>
      <c r="T61" s="564"/>
      <c r="U61" s="799"/>
      <c r="V61" s="2733"/>
      <c r="W61" s="379"/>
      <c r="X61" s="388"/>
      <c r="Y61" t="str">
        <f>BO61&amp;BP61&amp;BQ61</f>
        <v/>
      </c>
      <c r="BO61" s="83" t="str">
        <f>IF(AND(B61&gt;0,W61="")," * No olvide digitar la variable Pueblos originarios. Digite Cero si no tiene.",IF(W61&gt;B61,"  * La variable Pueblos originarios No puede ser mayor al Total.",""))</f>
        <v/>
      </c>
      <c r="BP61" s="83" t="str">
        <f>IF(AND(B61&gt;0,X61="")," * No olvide digitar la variable Migrantes. Digite Cero si no tiene.",IF(X61&gt;B61,"  * La variable Migrantes No puede ser mayor al Total.",""))</f>
        <v/>
      </c>
      <c r="BQ61" s="2707" t="str">
        <f>IF((C61+D61)&lt;&gt;SUM(E61:V61)," * Los datos desglosados por edad debe ser igual al total de ambos sexos.","")</f>
        <v/>
      </c>
      <c r="BR61" s="2707"/>
      <c r="BS61" s="2707"/>
      <c r="BU61" s="2662">
        <f>IF(AND(B61&gt;0,W61=""),1,IF(W61&gt;B61,1,0))</f>
        <v>0</v>
      </c>
      <c r="BV61" s="2662">
        <f>IF(AND(B61&gt;0,X61=""),1,IF(X61&gt;B61,1,0))</f>
        <v>0</v>
      </c>
      <c r="BW61" s="2662">
        <f>IF((C61+D61)&lt;&gt;SUM(E61:V61),1,0)</f>
        <v>0</v>
      </c>
    </row>
    <row r="62" spans="1:75" ht="15" customHeight="1" x14ac:dyDescent="0.3">
      <c r="A62" s="2734" t="s">
        <v>519</v>
      </c>
      <c r="B62" s="2735">
        <f>SUM(B63:B64)</f>
        <v>0</v>
      </c>
      <c r="C62" s="2736">
        <f>SUM(C63:C64)</f>
        <v>0</v>
      </c>
      <c r="D62" s="2721">
        <f t="shared" ref="D62:V62" si="56">SUM(D63:D64)</f>
        <v>0</v>
      </c>
      <c r="E62" s="2722">
        <f t="shared" si="56"/>
        <v>0</v>
      </c>
      <c r="F62" s="2683">
        <f t="shared" si="56"/>
        <v>0</v>
      </c>
      <c r="G62" s="2722">
        <f t="shared" si="56"/>
        <v>0</v>
      </c>
      <c r="H62" s="2683">
        <f t="shared" si="56"/>
        <v>0</v>
      </c>
      <c r="I62" s="2722">
        <f t="shared" si="56"/>
        <v>0</v>
      </c>
      <c r="J62" s="2683">
        <f t="shared" si="56"/>
        <v>0</v>
      </c>
      <c r="K62" s="2722">
        <f t="shared" si="56"/>
        <v>0</v>
      </c>
      <c r="L62" s="2683">
        <f t="shared" si="56"/>
        <v>0</v>
      </c>
      <c r="M62" s="2722">
        <f t="shared" si="56"/>
        <v>0</v>
      </c>
      <c r="N62" s="2683">
        <f t="shared" si="56"/>
        <v>0</v>
      </c>
      <c r="O62" s="2722">
        <f t="shared" si="56"/>
        <v>0</v>
      </c>
      <c r="P62" s="2683">
        <f t="shared" si="56"/>
        <v>0</v>
      </c>
      <c r="Q62" s="2722">
        <f t="shared" si="56"/>
        <v>0</v>
      </c>
      <c r="R62" s="2683">
        <f t="shared" si="56"/>
        <v>0</v>
      </c>
      <c r="S62" s="2722">
        <f t="shared" si="56"/>
        <v>0</v>
      </c>
      <c r="T62" s="2683">
        <f t="shared" si="56"/>
        <v>0</v>
      </c>
      <c r="U62" s="2722">
        <f t="shared" si="56"/>
        <v>0</v>
      </c>
      <c r="V62" s="2724">
        <f t="shared" si="56"/>
        <v>0</v>
      </c>
      <c r="W62" s="2725">
        <f>SUM(W63:W64)</f>
        <v>0</v>
      </c>
      <c r="X62" s="2723">
        <f>SUM(X63:X64)</f>
        <v>0</v>
      </c>
    </row>
    <row r="63" spans="1:75" ht="15" customHeight="1" x14ac:dyDescent="0.3">
      <c r="A63" s="2726" t="s">
        <v>64</v>
      </c>
      <c r="B63" s="303">
        <f>SUM(C63:D63)</f>
        <v>0</v>
      </c>
      <c r="C63" s="2727"/>
      <c r="D63" s="2728"/>
      <c r="E63" s="2729"/>
      <c r="F63" s="65"/>
      <c r="G63" s="2729"/>
      <c r="H63" s="65"/>
      <c r="I63" s="2729"/>
      <c r="J63" s="65"/>
      <c r="K63" s="2729"/>
      <c r="L63" s="65"/>
      <c r="M63" s="2729"/>
      <c r="N63" s="65"/>
      <c r="O63" s="2729"/>
      <c r="P63" s="65"/>
      <c r="Q63" s="2729"/>
      <c r="R63" s="65"/>
      <c r="S63" s="2729"/>
      <c r="T63" s="65"/>
      <c r="U63" s="2729"/>
      <c r="V63" s="371"/>
      <c r="W63" s="296"/>
      <c r="X63" s="107"/>
      <c r="Y63" t="str">
        <f t="shared" ref="Y63:Y64" si="57">BO63&amp;BP63&amp;BQ63</f>
        <v/>
      </c>
      <c r="BO63" s="83" t="str">
        <f t="shared" ref="BO63:BO64" si="58">IF(AND(B63&gt;0,W63="")," * No olvide digitar la variable Pueblos originarios. Digite Cero si no tiene.",IF(W63&gt;B63,"  * La variable Pueblos originarios No puede ser mayor al Total.",""))</f>
        <v/>
      </c>
      <c r="BP63" s="83" t="str">
        <f t="shared" ref="BP63:BP64" si="59">IF(AND(B63&gt;0,X63="")," * No olvide digitar la variable Migrantes. Digite Cero si no tiene.",IF(X63&gt;B63,"  * La variable Migrantes No puede ser mayor al Total.",""))</f>
        <v/>
      </c>
      <c r="BQ63" s="2707" t="str">
        <f>IF((C63+D63)&lt;&gt;SUM(E63:V63)," * Los datos desglosados por edad debe ser igual al total de ambos sexos.","")</f>
        <v/>
      </c>
      <c r="BR63" s="2707"/>
      <c r="BS63" s="2707"/>
      <c r="BU63" s="2662">
        <f t="shared" ref="BU63:BU64" si="60">IF(AND(B63&gt;0,W63=""),1,IF(W63&gt;B63,1,0))</f>
        <v>0</v>
      </c>
      <c r="BV63" s="2662">
        <f t="shared" ref="BV63:BV64" si="61">IF(AND(B63&gt;0,X63=""),1,IF(X63&gt;B63,1,0))</f>
        <v>0</v>
      </c>
      <c r="BW63" s="2662">
        <f t="shared" ref="BW63:BW64" si="62">IF((C63+D63)&lt;&gt;SUM(E63:V63),1,0)</f>
        <v>0</v>
      </c>
    </row>
    <row r="64" spans="1:75" ht="15" customHeight="1" x14ac:dyDescent="0.3">
      <c r="A64" s="2730" t="s">
        <v>518</v>
      </c>
      <c r="B64" s="638">
        <f>SUM(C64:D64)</f>
        <v>0</v>
      </c>
      <c r="C64" s="2731"/>
      <c r="D64" s="2732"/>
      <c r="E64" s="799"/>
      <c r="F64" s="564"/>
      <c r="G64" s="799"/>
      <c r="H64" s="564"/>
      <c r="I64" s="799"/>
      <c r="J64" s="564"/>
      <c r="K64" s="799"/>
      <c r="L64" s="564"/>
      <c r="M64" s="799"/>
      <c r="N64" s="564"/>
      <c r="O64" s="799"/>
      <c r="P64" s="564"/>
      <c r="Q64" s="799"/>
      <c r="R64" s="564"/>
      <c r="S64" s="799"/>
      <c r="T64" s="564"/>
      <c r="U64" s="799"/>
      <c r="V64" s="2733"/>
      <c r="W64" s="379"/>
      <c r="X64" s="388"/>
      <c r="Y64" t="str">
        <f t="shared" si="57"/>
        <v/>
      </c>
      <c r="BO64" s="83" t="str">
        <f t="shared" si="58"/>
        <v/>
      </c>
      <c r="BP64" s="83" t="str">
        <f t="shared" si="59"/>
        <v/>
      </c>
      <c r="BQ64" s="2707" t="str">
        <f>IF((C64+D64)&lt;&gt;SUM(E64:V64)," * Los datos desglosados por edad debe ser igual al total de ambos sexos.","")</f>
        <v/>
      </c>
      <c r="BR64" s="2707"/>
      <c r="BS64" s="2707"/>
      <c r="BU64" s="2662">
        <f t="shared" si="60"/>
        <v>0</v>
      </c>
      <c r="BV64" s="2662">
        <f t="shared" si="61"/>
        <v>0</v>
      </c>
      <c r="BW64" s="2662">
        <f t="shared" si="62"/>
        <v>0</v>
      </c>
    </row>
    <row r="65" spans="1:77" ht="18" customHeight="1" x14ac:dyDescent="0.3">
      <c r="A65" s="2189" t="s">
        <v>520</v>
      </c>
      <c r="B65" s="91"/>
    </row>
    <row r="66" spans="1:77" ht="15" customHeight="1" x14ac:dyDescent="0.3">
      <c r="A66" s="2737" t="s">
        <v>27</v>
      </c>
      <c r="B66" s="2737" t="s">
        <v>77</v>
      </c>
    </row>
    <row r="67" spans="1:77" ht="15" customHeight="1" x14ac:dyDescent="0.3">
      <c r="A67" s="2726" t="s">
        <v>64</v>
      </c>
      <c r="B67" s="2738"/>
    </row>
    <row r="68" spans="1:77" ht="15" customHeight="1" x14ac:dyDescent="0.3">
      <c r="A68" s="2318" t="s">
        <v>65</v>
      </c>
      <c r="B68" s="2739"/>
    </row>
    <row r="69" spans="1:77" ht="18" customHeight="1" x14ac:dyDescent="0.3">
      <c r="A69" s="3" t="s">
        <v>521</v>
      </c>
      <c r="B69" s="91"/>
      <c r="C69" s="2740"/>
      <c r="D69" s="2740"/>
      <c r="E69" s="24"/>
      <c r="F69" s="24"/>
      <c r="G69" s="24"/>
      <c r="H69" s="24"/>
      <c r="I69" s="24"/>
      <c r="J69" s="2741"/>
      <c r="K69" s="2741"/>
      <c r="L69" s="2741"/>
      <c r="M69" s="2741"/>
      <c r="N69" s="2741"/>
      <c r="O69" s="2741"/>
      <c r="P69" s="2741"/>
      <c r="Q69" s="2741"/>
      <c r="R69" s="2741"/>
      <c r="S69" s="2741"/>
      <c r="T69" s="2742"/>
      <c r="U69" s="2742"/>
    </row>
    <row r="70" spans="1:77" ht="15" customHeight="1" x14ac:dyDescent="0.3">
      <c r="A70" s="6129" t="s">
        <v>301</v>
      </c>
      <c r="B70" s="6130"/>
      <c r="C70" s="6137" t="s">
        <v>77</v>
      </c>
      <c r="D70" s="6139"/>
      <c r="E70" s="6138"/>
      <c r="F70" s="6133" t="s">
        <v>101</v>
      </c>
      <c r="G70" s="6134"/>
      <c r="H70" s="6134"/>
      <c r="I70" s="6134"/>
      <c r="J70" s="6134"/>
      <c r="K70" s="6134"/>
      <c r="L70" s="6134"/>
      <c r="M70" s="6134"/>
      <c r="N70" s="6134"/>
      <c r="O70" s="6134"/>
      <c r="P70" s="6134"/>
      <c r="Q70" s="6134"/>
      <c r="R70" s="6134"/>
      <c r="S70" s="6134"/>
      <c r="T70" s="6134"/>
      <c r="U70" s="6134"/>
      <c r="V70" s="6134"/>
      <c r="W70" s="6134"/>
      <c r="X70" s="6134"/>
      <c r="Y70" s="6134"/>
      <c r="Z70" s="6134"/>
      <c r="AA70" s="6134"/>
      <c r="AB70" s="6134"/>
      <c r="AC70" s="6134"/>
      <c r="AD70" s="6134"/>
      <c r="AE70" s="6134"/>
      <c r="AF70" s="6134"/>
      <c r="AG70" s="6134"/>
      <c r="AH70" s="6134"/>
      <c r="AI70" s="6134"/>
      <c r="AJ70" s="6134"/>
      <c r="AK70" s="6134"/>
      <c r="AL70" s="6134"/>
      <c r="AM70" s="6135"/>
    </row>
    <row r="71" spans="1:77" ht="15" customHeight="1" x14ac:dyDescent="0.3">
      <c r="A71" s="6131"/>
      <c r="B71" s="6063"/>
      <c r="C71" s="6140" t="s">
        <v>79</v>
      </c>
      <c r="D71" s="6225" t="s">
        <v>522</v>
      </c>
      <c r="E71" s="5759" t="s">
        <v>523</v>
      </c>
      <c r="F71" s="6137" t="s">
        <v>343</v>
      </c>
      <c r="G71" s="6138"/>
      <c r="H71" s="6139" t="s">
        <v>524</v>
      </c>
      <c r="I71" s="6139"/>
      <c r="J71" s="6137" t="s">
        <v>94</v>
      </c>
      <c r="K71" s="6138"/>
      <c r="L71" s="6139" t="s">
        <v>44</v>
      </c>
      <c r="M71" s="6139"/>
      <c r="N71" s="6137" t="s">
        <v>45</v>
      </c>
      <c r="O71" s="6138"/>
      <c r="P71" s="6139" t="s">
        <v>46</v>
      </c>
      <c r="Q71" s="6139"/>
      <c r="R71" s="6137" t="s">
        <v>47</v>
      </c>
      <c r="S71" s="6138"/>
      <c r="T71" s="6139" t="s">
        <v>48</v>
      </c>
      <c r="U71" s="6139"/>
      <c r="V71" s="6137" t="s">
        <v>49</v>
      </c>
      <c r="W71" s="6138"/>
      <c r="X71" s="6139" t="s">
        <v>50</v>
      </c>
      <c r="Y71" s="6139"/>
      <c r="Z71" s="6137" t="s">
        <v>51</v>
      </c>
      <c r="AA71" s="6138"/>
      <c r="AB71" s="6139" t="s">
        <v>52</v>
      </c>
      <c r="AC71" s="6139"/>
      <c r="AD71" s="6137" t="s">
        <v>53</v>
      </c>
      <c r="AE71" s="6138"/>
      <c r="AF71" s="6139" t="s">
        <v>54</v>
      </c>
      <c r="AG71" s="6139"/>
      <c r="AH71" s="6137" t="s">
        <v>55</v>
      </c>
      <c r="AI71" s="6138"/>
      <c r="AJ71" s="6137" t="s">
        <v>56</v>
      </c>
      <c r="AK71" s="6138"/>
      <c r="AL71" s="6137" t="s">
        <v>476</v>
      </c>
      <c r="AM71" s="6138"/>
    </row>
    <row r="72" spans="1:77" ht="15" customHeight="1" x14ac:dyDescent="0.3">
      <c r="A72" s="6132"/>
      <c r="B72" s="5842"/>
      <c r="C72" s="5835"/>
      <c r="D72" s="6226"/>
      <c r="E72" s="5760"/>
      <c r="F72" s="468" t="s">
        <v>522</v>
      </c>
      <c r="G72" s="469" t="s">
        <v>523</v>
      </c>
      <c r="H72" s="554" t="s">
        <v>522</v>
      </c>
      <c r="I72" s="2743" t="s">
        <v>523</v>
      </c>
      <c r="J72" s="468" t="s">
        <v>522</v>
      </c>
      <c r="K72" s="469" t="s">
        <v>523</v>
      </c>
      <c r="L72" s="554" t="s">
        <v>522</v>
      </c>
      <c r="M72" s="2743" t="s">
        <v>523</v>
      </c>
      <c r="N72" s="468" t="s">
        <v>522</v>
      </c>
      <c r="O72" s="469" t="s">
        <v>523</v>
      </c>
      <c r="P72" s="554" t="s">
        <v>522</v>
      </c>
      <c r="Q72" s="2743" t="s">
        <v>523</v>
      </c>
      <c r="R72" s="468" t="s">
        <v>522</v>
      </c>
      <c r="S72" s="469" t="s">
        <v>523</v>
      </c>
      <c r="T72" s="554" t="s">
        <v>522</v>
      </c>
      <c r="U72" s="2743" t="s">
        <v>523</v>
      </c>
      <c r="V72" s="468" t="s">
        <v>522</v>
      </c>
      <c r="W72" s="469" t="s">
        <v>523</v>
      </c>
      <c r="X72" s="554" t="s">
        <v>522</v>
      </c>
      <c r="Y72" s="2743" t="s">
        <v>523</v>
      </c>
      <c r="Z72" s="468" t="s">
        <v>522</v>
      </c>
      <c r="AA72" s="469" t="s">
        <v>523</v>
      </c>
      <c r="AB72" s="554" t="s">
        <v>522</v>
      </c>
      <c r="AC72" s="2743" t="s">
        <v>523</v>
      </c>
      <c r="AD72" s="468" t="s">
        <v>522</v>
      </c>
      <c r="AE72" s="469" t="s">
        <v>523</v>
      </c>
      <c r="AF72" s="554" t="s">
        <v>522</v>
      </c>
      <c r="AG72" s="2743" t="s">
        <v>523</v>
      </c>
      <c r="AH72" s="468" t="s">
        <v>522</v>
      </c>
      <c r="AI72" s="469" t="s">
        <v>523</v>
      </c>
      <c r="AJ72" s="468" t="s">
        <v>522</v>
      </c>
      <c r="AK72" s="469" t="s">
        <v>523</v>
      </c>
      <c r="AL72" s="468" t="s">
        <v>522</v>
      </c>
      <c r="AM72" s="469" t="s">
        <v>523</v>
      </c>
    </row>
    <row r="73" spans="1:77" ht="15" customHeight="1" x14ac:dyDescent="0.3">
      <c r="A73" s="6220" t="s">
        <v>525</v>
      </c>
      <c r="B73" s="2744" t="s">
        <v>322</v>
      </c>
      <c r="C73" s="2745">
        <f>SUM(D73,E73)</f>
        <v>0</v>
      </c>
      <c r="D73" s="2746">
        <f>SUM(F73,H73,J73,L73,N73,P73,R73,T73,V73,X73,Z73,AB73,AD73,AF73,AH73,AJ73,AL73)</f>
        <v>0</v>
      </c>
      <c r="E73" s="2747">
        <f>SUM(G73,I73,K73,M73,O73,Q73,S73,U73,W73,Y73,AA73,AC73,AE73,,AG73,AI73,AK73,AM73)</f>
        <v>0</v>
      </c>
      <c r="F73" s="2748"/>
      <c r="G73" s="2749"/>
      <c r="H73" s="2748"/>
      <c r="I73" s="2750"/>
      <c r="J73" s="2748"/>
      <c r="K73" s="2750"/>
      <c r="L73" s="2748"/>
      <c r="M73" s="2750"/>
      <c r="N73" s="2751"/>
      <c r="O73" s="2752"/>
      <c r="P73" s="2748"/>
      <c r="Q73" s="2750"/>
      <c r="R73" s="2751"/>
      <c r="S73" s="2752"/>
      <c r="T73" s="2748"/>
      <c r="U73" s="2752"/>
      <c r="V73" s="2748"/>
      <c r="W73" s="2750"/>
      <c r="X73" s="2751"/>
      <c r="Y73" s="2752"/>
      <c r="Z73" s="2748"/>
      <c r="AA73" s="2750"/>
      <c r="AB73" s="2751"/>
      <c r="AC73" s="2752"/>
      <c r="AD73" s="2748"/>
      <c r="AE73" s="2750"/>
      <c r="AF73" s="2751"/>
      <c r="AG73" s="2752"/>
      <c r="AH73" s="2748"/>
      <c r="AI73" s="2750"/>
      <c r="AJ73" s="2748"/>
      <c r="AK73" s="2750"/>
      <c r="AL73" s="2748"/>
      <c r="AM73" s="2750"/>
    </row>
    <row r="74" spans="1:77" ht="15" customHeight="1" x14ac:dyDescent="0.3">
      <c r="A74" s="5825"/>
      <c r="B74" s="1776" t="s">
        <v>526</v>
      </c>
      <c r="C74" s="2753">
        <f>SUM(D74,E74)</f>
        <v>0</v>
      </c>
      <c r="D74" s="2754">
        <f>SUM(F74,H74,J74,L74,N74,P74,R74,T74,V74,X74,Z74,AB74,AD74,AF74,AH74,AJ74,AL74)</f>
        <v>0</v>
      </c>
      <c r="E74" s="2755">
        <f>SUM(G74,I74,K74,M74,O74,Q74,S74,U74,W74,Y74,AA74,AC74,AE74,,AG74,AI74,AK74,AM74)</f>
        <v>0</v>
      </c>
      <c r="F74" s="2756"/>
      <c r="G74" s="2757"/>
      <c r="H74" s="2756"/>
      <c r="I74" s="2758"/>
      <c r="J74" s="2756"/>
      <c r="K74" s="2758"/>
      <c r="L74" s="2756"/>
      <c r="M74" s="2758"/>
      <c r="N74" s="2759"/>
      <c r="O74" s="2760"/>
      <c r="P74" s="2756"/>
      <c r="Q74" s="2758"/>
      <c r="R74" s="2759"/>
      <c r="S74" s="2760"/>
      <c r="T74" s="2756"/>
      <c r="U74" s="2760"/>
      <c r="V74" s="2756"/>
      <c r="W74" s="2758"/>
      <c r="X74" s="2759"/>
      <c r="Y74" s="2760"/>
      <c r="Z74" s="2756"/>
      <c r="AA74" s="2758"/>
      <c r="AB74" s="2759"/>
      <c r="AC74" s="2760"/>
      <c r="AD74" s="2756"/>
      <c r="AE74" s="2758"/>
      <c r="AF74" s="2759"/>
      <c r="AG74" s="2760"/>
      <c r="AH74" s="2756"/>
      <c r="AI74" s="2758"/>
      <c r="AJ74" s="2756"/>
      <c r="AK74" s="2758"/>
      <c r="AL74" s="2756"/>
      <c r="AM74" s="2758"/>
    </row>
    <row r="75" spans="1:77" ht="15" customHeight="1" x14ac:dyDescent="0.3">
      <c r="A75" s="6151" t="s">
        <v>77</v>
      </c>
      <c r="B75" s="6151"/>
      <c r="C75" s="2761">
        <f>SUM(D75:E75)</f>
        <v>0</v>
      </c>
      <c r="D75" s="2754">
        <f>SUM(F75,H75,J75,L75,N75,P75,R75,T75,V75,X75,Z75,AB75,AD75,AF75,AH75,AJ75,AL75)</f>
        <v>0</v>
      </c>
      <c r="E75" s="413">
        <f>SUM(G75,I75,K75,M75,O75,Q75,S75,U75,W75,Y75,AA75,AC75,AE75,,AG75,AI75,AK75,AM75)</f>
        <v>0</v>
      </c>
      <c r="F75" s="2762">
        <f t="shared" ref="F75:AM75" si="63">SUM(F73:F74)</f>
        <v>0</v>
      </c>
      <c r="G75" s="2763">
        <f t="shared" si="63"/>
        <v>0</v>
      </c>
      <c r="H75" s="2762">
        <f t="shared" si="63"/>
        <v>0</v>
      </c>
      <c r="I75" s="2763">
        <f t="shared" si="63"/>
        <v>0</v>
      </c>
      <c r="J75" s="2762">
        <f t="shared" si="63"/>
        <v>0</v>
      </c>
      <c r="K75" s="2763">
        <f t="shared" si="63"/>
        <v>0</v>
      </c>
      <c r="L75" s="2762">
        <f t="shared" si="63"/>
        <v>0</v>
      </c>
      <c r="M75" s="2763">
        <f t="shared" si="63"/>
        <v>0</v>
      </c>
      <c r="N75" s="2762">
        <f t="shared" si="63"/>
        <v>0</v>
      </c>
      <c r="O75" s="2763">
        <f t="shared" si="63"/>
        <v>0</v>
      </c>
      <c r="P75" s="2762">
        <f t="shared" si="63"/>
        <v>0</v>
      </c>
      <c r="Q75" s="2763">
        <f t="shared" si="63"/>
        <v>0</v>
      </c>
      <c r="R75" s="2762">
        <f t="shared" si="63"/>
        <v>0</v>
      </c>
      <c r="S75" s="2763">
        <f t="shared" si="63"/>
        <v>0</v>
      </c>
      <c r="T75" s="2762">
        <f t="shared" si="63"/>
        <v>0</v>
      </c>
      <c r="U75" s="2763">
        <f t="shared" si="63"/>
        <v>0</v>
      </c>
      <c r="V75" s="2762">
        <f t="shared" si="63"/>
        <v>0</v>
      </c>
      <c r="W75" s="2763">
        <f t="shared" si="63"/>
        <v>0</v>
      </c>
      <c r="X75" s="2762">
        <f t="shared" si="63"/>
        <v>0</v>
      </c>
      <c r="Y75" s="2763">
        <f t="shared" si="63"/>
        <v>0</v>
      </c>
      <c r="Z75" s="2762">
        <f t="shared" si="63"/>
        <v>0</v>
      </c>
      <c r="AA75" s="2763">
        <f t="shared" si="63"/>
        <v>0</v>
      </c>
      <c r="AB75" s="2762">
        <f t="shared" si="63"/>
        <v>0</v>
      </c>
      <c r="AC75" s="2763">
        <f t="shared" si="63"/>
        <v>0</v>
      </c>
      <c r="AD75" s="2762">
        <f t="shared" si="63"/>
        <v>0</v>
      </c>
      <c r="AE75" s="2763">
        <f t="shared" si="63"/>
        <v>0</v>
      </c>
      <c r="AF75" s="2762">
        <f t="shared" si="63"/>
        <v>0</v>
      </c>
      <c r="AG75" s="2763">
        <f t="shared" si="63"/>
        <v>0</v>
      </c>
      <c r="AH75" s="2762">
        <f t="shared" si="63"/>
        <v>0</v>
      </c>
      <c r="AI75" s="2763">
        <f t="shared" si="63"/>
        <v>0</v>
      </c>
      <c r="AJ75" s="2762">
        <f t="shared" si="63"/>
        <v>0</v>
      </c>
      <c r="AK75" s="2763">
        <f t="shared" si="63"/>
        <v>0</v>
      </c>
      <c r="AL75" s="2762">
        <f t="shared" si="63"/>
        <v>0</v>
      </c>
      <c r="AM75" s="2763">
        <f t="shared" si="63"/>
        <v>0</v>
      </c>
      <c r="BO75" s="19"/>
      <c r="BP75" s="19"/>
    </row>
    <row r="76" spans="1:77" ht="18" customHeight="1" x14ac:dyDescent="0.3">
      <c r="A76" s="6146" t="s">
        <v>527</v>
      </c>
      <c r="B76" s="6146"/>
      <c r="C76" s="6146"/>
      <c r="D76" s="6146"/>
      <c r="E76" s="6146"/>
      <c r="F76" s="6146"/>
      <c r="G76" s="6146"/>
      <c r="H76" s="91"/>
      <c r="I76" s="91"/>
      <c r="J76" s="91"/>
      <c r="K76" s="91"/>
      <c r="L76" s="91"/>
      <c r="M76" s="91"/>
      <c r="N76" s="24"/>
      <c r="O76" s="24"/>
      <c r="P76" s="24"/>
      <c r="Q76" s="2764"/>
      <c r="R76" s="2764"/>
      <c r="S76" s="2764"/>
      <c r="T76" s="2764"/>
      <c r="U76" s="2764"/>
      <c r="V76" s="2764"/>
      <c r="W76" s="24"/>
      <c r="X76" s="2764"/>
      <c r="Y76" s="2764"/>
      <c r="Z76" s="2764"/>
      <c r="AA76" s="2765"/>
      <c r="AB76" s="2765"/>
      <c r="AC76" s="2765"/>
      <c r="AD76" s="2765"/>
      <c r="AE76" s="2766"/>
      <c r="AF76" s="2766"/>
      <c r="AG76" s="2766"/>
      <c r="AH76" s="2767"/>
      <c r="AI76" s="2768"/>
      <c r="AJ76" s="2768"/>
      <c r="AK76" s="2768"/>
      <c r="AL76" s="2768"/>
      <c r="AM76" s="2768"/>
      <c r="AN76" s="2768"/>
    </row>
    <row r="77" spans="1:77" ht="15" customHeight="1" x14ac:dyDescent="0.3">
      <c r="A77" s="6147" t="s">
        <v>27</v>
      </c>
      <c r="B77" s="6148" t="s">
        <v>528</v>
      </c>
      <c r="C77" s="6148" t="s">
        <v>77</v>
      </c>
      <c r="D77" s="5880"/>
      <c r="E77" s="5832"/>
      <c r="F77" s="6143" t="s">
        <v>101</v>
      </c>
      <c r="G77" s="6032"/>
      <c r="H77" s="6032"/>
      <c r="I77" s="6032"/>
      <c r="J77" s="6032"/>
      <c r="K77" s="6032"/>
      <c r="L77" s="6032"/>
      <c r="M77" s="6032"/>
      <c r="N77" s="6032"/>
      <c r="O77" s="6032"/>
      <c r="P77" s="6032"/>
      <c r="Q77" s="6032"/>
      <c r="R77" s="6032"/>
      <c r="S77" s="6032"/>
      <c r="T77" s="6032"/>
      <c r="U77" s="6032"/>
      <c r="V77" s="6032"/>
      <c r="W77" s="6032"/>
      <c r="X77" s="6032"/>
      <c r="Y77" s="6032"/>
      <c r="Z77" s="6032"/>
      <c r="AA77" s="6032"/>
      <c r="AB77" s="6032"/>
      <c r="AC77" s="6032"/>
      <c r="AD77" s="6032"/>
      <c r="AE77" s="6032"/>
      <c r="AF77" s="6032"/>
      <c r="AG77" s="6032"/>
      <c r="AH77" s="6032"/>
      <c r="AI77" s="6046"/>
      <c r="AJ77" s="5831" t="s">
        <v>453</v>
      </c>
      <c r="AK77" s="6117" t="s">
        <v>67</v>
      </c>
      <c r="AL77" s="6117" t="s">
        <v>36</v>
      </c>
      <c r="AM77" s="6117" t="s">
        <v>37</v>
      </c>
      <c r="AN77" s="5832" t="s">
        <v>33</v>
      </c>
    </row>
    <row r="78" spans="1:77" ht="15" customHeight="1" x14ac:dyDescent="0.3">
      <c r="A78" s="6082"/>
      <c r="B78" s="5945"/>
      <c r="C78" s="5946"/>
      <c r="D78" s="5882"/>
      <c r="E78" s="5760"/>
      <c r="F78" s="6143" t="s">
        <v>529</v>
      </c>
      <c r="G78" s="6144"/>
      <c r="H78" s="6143" t="s">
        <v>325</v>
      </c>
      <c r="I78" s="6144"/>
      <c r="J78" s="6137" t="s">
        <v>326</v>
      </c>
      <c r="K78" s="6145"/>
      <c r="L78" s="6137" t="s">
        <v>94</v>
      </c>
      <c r="M78" s="6145"/>
      <c r="N78" s="6143" t="s">
        <v>530</v>
      </c>
      <c r="O78" s="6144"/>
      <c r="P78" s="6143" t="s">
        <v>531</v>
      </c>
      <c r="Q78" s="6144"/>
      <c r="R78" s="6137" t="s">
        <v>45</v>
      </c>
      <c r="S78" s="6145"/>
      <c r="T78" s="6137" t="s">
        <v>46</v>
      </c>
      <c r="U78" s="6145"/>
      <c r="V78" s="6137" t="s">
        <v>47</v>
      </c>
      <c r="W78" s="6145"/>
      <c r="X78" s="6137" t="s">
        <v>48</v>
      </c>
      <c r="Y78" s="6145"/>
      <c r="Z78" s="6137" t="s">
        <v>49</v>
      </c>
      <c r="AA78" s="6145"/>
      <c r="AB78" s="6137" t="s">
        <v>50</v>
      </c>
      <c r="AC78" s="6145"/>
      <c r="AD78" s="6137" t="s">
        <v>51</v>
      </c>
      <c r="AE78" s="6145"/>
      <c r="AF78" s="6137" t="s">
        <v>52</v>
      </c>
      <c r="AG78" s="6145"/>
      <c r="AH78" s="6137" t="s">
        <v>53</v>
      </c>
      <c r="AI78" s="6145"/>
      <c r="AJ78" s="5766"/>
      <c r="AK78" s="6118"/>
      <c r="AL78" s="6118"/>
      <c r="AM78" s="6118"/>
      <c r="AN78" s="5759"/>
    </row>
    <row r="79" spans="1:77" ht="15" customHeight="1" x14ac:dyDescent="0.3">
      <c r="A79" s="6116"/>
      <c r="B79" s="5946"/>
      <c r="C79" s="468" t="s">
        <v>79</v>
      </c>
      <c r="D79" s="554" t="s">
        <v>58</v>
      </c>
      <c r="E79" s="2769" t="s">
        <v>59</v>
      </c>
      <c r="F79" s="468" t="s">
        <v>58</v>
      </c>
      <c r="G79" s="2769" t="s">
        <v>59</v>
      </c>
      <c r="H79" s="554" t="s">
        <v>58</v>
      </c>
      <c r="I79" s="2769" t="s">
        <v>59</v>
      </c>
      <c r="J79" s="468" t="s">
        <v>58</v>
      </c>
      <c r="K79" s="2769" t="s">
        <v>59</v>
      </c>
      <c r="L79" s="468" t="s">
        <v>58</v>
      </c>
      <c r="M79" s="2769" t="s">
        <v>59</v>
      </c>
      <c r="N79" s="468" t="s">
        <v>58</v>
      </c>
      <c r="O79" s="2769" t="s">
        <v>59</v>
      </c>
      <c r="P79" s="468" t="s">
        <v>58</v>
      </c>
      <c r="Q79" s="2769" t="s">
        <v>59</v>
      </c>
      <c r="R79" s="468" t="s">
        <v>58</v>
      </c>
      <c r="S79" s="2769" t="s">
        <v>59</v>
      </c>
      <c r="T79" s="468" t="s">
        <v>58</v>
      </c>
      <c r="U79" s="2769" t="s">
        <v>59</v>
      </c>
      <c r="V79" s="468" t="s">
        <v>58</v>
      </c>
      <c r="W79" s="2769" t="s">
        <v>59</v>
      </c>
      <c r="X79" s="468" t="s">
        <v>58</v>
      </c>
      <c r="Y79" s="2769" t="s">
        <v>59</v>
      </c>
      <c r="Z79" s="468" t="s">
        <v>58</v>
      </c>
      <c r="AA79" s="2769" t="s">
        <v>59</v>
      </c>
      <c r="AB79" s="468" t="s">
        <v>58</v>
      </c>
      <c r="AC79" s="2769" t="s">
        <v>59</v>
      </c>
      <c r="AD79" s="468" t="s">
        <v>58</v>
      </c>
      <c r="AE79" s="2769" t="s">
        <v>59</v>
      </c>
      <c r="AF79" s="468" t="s">
        <v>58</v>
      </c>
      <c r="AG79" s="2769" t="s">
        <v>59</v>
      </c>
      <c r="AH79" s="468" t="s">
        <v>58</v>
      </c>
      <c r="AI79" s="466" t="s">
        <v>59</v>
      </c>
      <c r="AJ79" s="5767"/>
      <c r="AK79" s="5818"/>
      <c r="AL79" s="5818"/>
      <c r="AM79" s="5818"/>
      <c r="AN79" s="5760"/>
    </row>
    <row r="80" spans="1:77" ht="15" customHeight="1" x14ac:dyDescent="0.3">
      <c r="A80" s="2770" t="s">
        <v>532</v>
      </c>
      <c r="B80" s="2771" t="s">
        <v>533</v>
      </c>
      <c r="C80" s="624">
        <f>SUM(D80:E80)</f>
        <v>0</v>
      </c>
      <c r="D80" s="2772">
        <f>SUM(F80,H80,J80,L80,N80,P80,R80,T80,V80,X80,Z80,AB80,AD80,AF80,AH80)</f>
        <v>0</v>
      </c>
      <c r="E80" s="2721">
        <f>SUM(G80,I80,K80,M80,O80,Q80,S80,U80,W80,Y80,AA80,AC80,AE80,AG80,AI80)</f>
        <v>0</v>
      </c>
      <c r="F80" s="1940"/>
      <c r="G80" s="2773"/>
      <c r="H80" s="2087"/>
      <c r="I80" s="2773"/>
      <c r="J80" s="1940"/>
      <c r="K80" s="325"/>
      <c r="L80" s="1940"/>
      <c r="M80" s="325"/>
      <c r="N80" s="1940"/>
      <c r="O80" s="325"/>
      <c r="P80" s="1940"/>
      <c r="Q80" s="325"/>
      <c r="R80" s="1940"/>
      <c r="S80" s="325"/>
      <c r="T80" s="1940"/>
      <c r="U80" s="325"/>
      <c r="V80" s="1940"/>
      <c r="W80" s="325"/>
      <c r="X80" s="1940"/>
      <c r="Y80" s="325"/>
      <c r="Z80" s="1940"/>
      <c r="AA80" s="325"/>
      <c r="AB80" s="1940"/>
      <c r="AC80" s="325"/>
      <c r="AD80" s="1940"/>
      <c r="AE80" s="325"/>
      <c r="AF80" s="1940"/>
      <c r="AG80" s="325"/>
      <c r="AH80" s="1940"/>
      <c r="AI80" s="326"/>
      <c r="AJ80" s="2109"/>
      <c r="AK80" s="1914"/>
      <c r="AL80" s="1914"/>
      <c r="AM80" s="1914"/>
      <c r="AN80" s="2773"/>
      <c r="AO80" t="str">
        <f>BO80&amp;BP80&amp;BQ80&amp;BR80&amp;BS80</f>
        <v/>
      </c>
      <c r="BO80" s="83" t="str">
        <f>IF(AND(E80&gt;0,AJ80="")," *  No olvide digitar la variable Gestantes. Digite Cero si no tiene.",IF(AJ80&gt;E80,"  * La variable Gestantes No puede ser mayor al Total Mujeres.",""))</f>
        <v/>
      </c>
      <c r="BP80" s="83" t="str">
        <f>IF(AND(E80&gt;0,AK80="")," *  No olvide digitar la variable Postparto. Digite Cero si no tiene.",IF(AK80&gt;E80,"  * La variable Postparto No puede ser mayor al Total Mujeres.",""))</f>
        <v/>
      </c>
      <c r="BQ80" s="83" t="str">
        <f>IF(AND(C80&gt;0,AL80="")," *  No olvide digitar la variable Pueblos originarios. Digite Cero si no tiene.",IF(AL80&gt;C80,"  * La variable Pueblos originarios No puede ser mayor al Total.",""))</f>
        <v/>
      </c>
      <c r="BR80" s="83" t="str">
        <f>IF(AND(C80&gt;0,AM80="")," *  No olvide digitar la variable Migrantes. Digite Cero si no tiene.",IF(AM80&gt;C80,"  * La variable Migrantes No puede ser mayor al Total.",""))</f>
        <v/>
      </c>
      <c r="BS80" s="83" t="str">
        <f>IF(AND(C80&gt;0,AN80="")," *  No olvide digitar la variable Espacios Amigables/adolescentes. Digite Cero si no tiene.",IF(AN80&gt;C80,"  * La variable Espacios Amigables/adolescentes No puede ser mayor al Total.",""))</f>
        <v/>
      </c>
      <c r="BU80" s="2662">
        <f>IF(AND(E80&gt;0,AJ80=""),1,IF(AJ80&gt;E80,1,0))</f>
        <v>0</v>
      </c>
      <c r="BV80" s="2662">
        <f>IF(AND(E80&gt;0,AK80=""),1,IF(AK80&gt;E80,1,0))</f>
        <v>0</v>
      </c>
      <c r="BW80" s="2662">
        <f>IF(AND(C80&gt;0,AL80=""),1,IF(AL80&gt;C80,1,0))</f>
        <v>0</v>
      </c>
      <c r="BX80" s="2662">
        <f>IF(AND(C80&gt;0,AM80=""),1,IF(AM80&gt;C80,1,0))</f>
        <v>0</v>
      </c>
      <c r="BY80" s="2662">
        <f>IF(AND(C80&gt;0,AN80=""),1,IF(AN80&gt;C80,1,0))</f>
        <v>0</v>
      </c>
    </row>
    <row r="81" spans="1:77" ht="15" customHeight="1" x14ac:dyDescent="0.3">
      <c r="A81" s="6153" t="s">
        <v>534</v>
      </c>
      <c r="B81" s="2775" t="s">
        <v>535</v>
      </c>
      <c r="C81" s="303">
        <f>SUM(D81:E81)</f>
        <v>0</v>
      </c>
      <c r="D81" s="41">
        <f t="shared" ref="D81:E83" si="64">SUM(F81,H81,J81,L81,N81,P81,R81,T81,V81,X81,Z81,AB81,AD81,AF81,AH81)</f>
        <v>0</v>
      </c>
      <c r="E81" s="630">
        <f t="shared" si="64"/>
        <v>0</v>
      </c>
      <c r="F81" s="327"/>
      <c r="G81" s="142"/>
      <c r="H81" s="44"/>
      <c r="I81" s="142"/>
      <c r="J81" s="327"/>
      <c r="K81" s="905"/>
      <c r="L81" s="327"/>
      <c r="M81" s="905"/>
      <c r="N81" s="327"/>
      <c r="O81" s="905"/>
      <c r="P81" s="327"/>
      <c r="Q81" s="905"/>
      <c r="R81" s="327"/>
      <c r="S81" s="905"/>
      <c r="T81" s="327"/>
      <c r="U81" s="905"/>
      <c r="V81" s="327"/>
      <c r="W81" s="905"/>
      <c r="X81" s="327"/>
      <c r="Y81" s="905"/>
      <c r="Z81" s="327"/>
      <c r="AA81" s="905"/>
      <c r="AB81" s="327"/>
      <c r="AC81" s="905"/>
      <c r="AD81" s="327"/>
      <c r="AE81" s="905"/>
      <c r="AF81" s="327"/>
      <c r="AG81" s="905"/>
      <c r="AH81" s="327"/>
      <c r="AI81" s="1026"/>
      <c r="AJ81" s="337"/>
      <c r="AK81" s="1039"/>
      <c r="AL81" s="1039"/>
      <c r="AM81" s="1039"/>
      <c r="AN81" s="142"/>
      <c r="AO81" t="str">
        <f t="shared" ref="AO81:AO83" si="65">BO81&amp;BP81&amp;BQ81&amp;BR81&amp;BS81</f>
        <v/>
      </c>
      <c r="BO81" s="83" t="str">
        <f t="shared" ref="BO81:BO82" si="66">IF(AND(E81&gt;0,AJ81="")," *  No olvide digitar la variable Gestantes. Digite Cero si no tiene.",IF(AJ81&gt;E81,"  * La variable Gestantes No puede ser mayor al Total Mujeres.",""))</f>
        <v/>
      </c>
      <c r="BP81" s="83" t="str">
        <f t="shared" ref="BP81:BP83" si="67">IF(AND(E81&gt;0,AK81="")," *  No olvide digitar la variable Postparto. Digite Cero si no tiene.",IF(AK81&gt;E81,"  * La variable Postparto No puede ser mayor al Total Mujeres.",""))</f>
        <v/>
      </c>
      <c r="BQ81" s="83" t="str">
        <f t="shared" ref="BQ81:BQ83" si="68">IF(AND(C81&gt;0,AL81="")," *  No olvide digitar la variable Pueblos originarios. Digite Cero si no tiene.",IF(AL81&gt;C81,"  * La variable Pueblos originarios No puede ser mayor al Total.",""))</f>
        <v/>
      </c>
      <c r="BR81" s="83" t="str">
        <f t="shared" ref="BR81:BR83" si="69">IF(AND(C81&gt;0,AM81="")," *  No olvide digitar la variable Migrantes. Digite Cero si no tiene.",IF(AM81&gt;C81,"  * La variable Migrantes No puede ser mayor al Total.",""))</f>
        <v/>
      </c>
      <c r="BS81" s="83" t="str">
        <f t="shared" ref="BS81:BS83" si="70">IF(AND(C81&gt;0,AN81="")," *  No olvide digitar la variable Espacios Amigables/adolescentes. Digite Cero si no tiene.",IF(AN81&gt;C81,"  * La variable Espacios Amigables/adolescentes No puede ser mayor al Total.",""))</f>
        <v/>
      </c>
      <c r="BU81" s="2662">
        <f t="shared" ref="BU81:BU83" si="71">IF(AND(E81&gt;0,AJ81=""),1,IF(AJ81&gt;E81,1,0))</f>
        <v>0</v>
      </c>
      <c r="BV81" s="2662">
        <f t="shared" ref="BV81:BV83" si="72">IF(AND(E81&gt;0,AK81=""),1,IF(AK81&gt;E81,1,0))</f>
        <v>0</v>
      </c>
      <c r="BW81" s="2662">
        <f t="shared" ref="BW81:BW83" si="73">IF(AND(C81&gt;0,AL81=""),1,IF(AL81&gt;C81,1,0))</f>
        <v>0</v>
      </c>
      <c r="BX81" s="2662">
        <f t="shared" ref="BX81:BX83" si="74">IF(AND(C81&gt;0,AM81=""),1,IF(AM81&gt;C81,1,0))</f>
        <v>0</v>
      </c>
      <c r="BY81" s="2662">
        <f t="shared" ref="BY81:BY83" si="75">IF(AND(C81&gt;0,AN81=""),1,IF(AN81&gt;C81,1,0))</f>
        <v>0</v>
      </c>
    </row>
    <row r="82" spans="1:77" ht="15" customHeight="1" x14ac:dyDescent="0.3">
      <c r="A82" s="6153"/>
      <c r="B82" s="361" t="s">
        <v>536</v>
      </c>
      <c r="C82" s="199">
        <f>SUM(D82:E82)</f>
        <v>0</v>
      </c>
      <c r="D82" s="41">
        <f t="shared" si="64"/>
        <v>0</v>
      </c>
      <c r="E82" s="630">
        <f t="shared" si="64"/>
        <v>0</v>
      </c>
      <c r="F82" s="212"/>
      <c r="G82" s="34"/>
      <c r="H82" s="1162"/>
      <c r="I82" s="34"/>
      <c r="J82" s="212"/>
      <c r="K82" s="1161"/>
      <c r="L82" s="212"/>
      <c r="M82" s="1161"/>
      <c r="N82" s="212"/>
      <c r="O82" s="1161"/>
      <c r="P82" s="212"/>
      <c r="Q82" s="1161"/>
      <c r="R82" s="212"/>
      <c r="S82" s="1161"/>
      <c r="T82" s="212"/>
      <c r="U82" s="1161"/>
      <c r="V82" s="212"/>
      <c r="W82" s="1161"/>
      <c r="X82" s="212"/>
      <c r="Y82" s="1161"/>
      <c r="Z82" s="212"/>
      <c r="AA82" s="1161"/>
      <c r="AB82" s="212"/>
      <c r="AC82" s="1161"/>
      <c r="AD82" s="212"/>
      <c r="AE82" s="1161"/>
      <c r="AF82" s="212"/>
      <c r="AG82" s="1161"/>
      <c r="AH82" s="212"/>
      <c r="AI82" s="2444"/>
      <c r="AJ82" s="1017"/>
      <c r="AK82" s="1018"/>
      <c r="AL82" s="1018"/>
      <c r="AM82" s="1018"/>
      <c r="AN82" s="34"/>
      <c r="AO82" t="str">
        <f t="shared" si="65"/>
        <v/>
      </c>
      <c r="BO82" s="83" t="str">
        <f t="shared" si="66"/>
        <v/>
      </c>
      <c r="BP82" s="83" t="str">
        <f t="shared" si="67"/>
        <v/>
      </c>
      <c r="BQ82" s="83" t="str">
        <f t="shared" si="68"/>
        <v/>
      </c>
      <c r="BR82" s="83" t="str">
        <f t="shared" si="69"/>
        <v/>
      </c>
      <c r="BS82" s="83" t="str">
        <f t="shared" si="70"/>
        <v/>
      </c>
      <c r="BU82" s="2662">
        <f t="shared" si="71"/>
        <v>0</v>
      </c>
      <c r="BV82" s="2662">
        <f t="shared" si="72"/>
        <v>0</v>
      </c>
      <c r="BW82" s="2662">
        <f t="shared" si="73"/>
        <v>0</v>
      </c>
      <c r="BX82" s="2662">
        <f t="shared" si="74"/>
        <v>0</v>
      </c>
      <c r="BY82" s="2662">
        <f t="shared" si="75"/>
        <v>0</v>
      </c>
    </row>
    <row r="83" spans="1:77" ht="15" customHeight="1" x14ac:dyDescent="0.3">
      <c r="A83" s="2774" t="s">
        <v>503</v>
      </c>
      <c r="B83" s="2776" t="s">
        <v>537</v>
      </c>
      <c r="C83" s="624">
        <f>SUM(D83:E83)</f>
        <v>0</v>
      </c>
      <c r="D83" s="2772">
        <f t="shared" si="64"/>
        <v>0</v>
      </c>
      <c r="E83" s="2721">
        <f t="shared" si="64"/>
        <v>0</v>
      </c>
      <c r="F83" s="2777"/>
      <c r="G83" s="2778"/>
      <c r="H83" s="911"/>
      <c r="I83" s="2778"/>
      <c r="J83" s="2777"/>
      <c r="K83" s="912"/>
      <c r="L83" s="2777"/>
      <c r="M83" s="912"/>
      <c r="N83" s="2777"/>
      <c r="O83" s="912"/>
      <c r="P83" s="2777"/>
      <c r="Q83" s="912"/>
      <c r="R83" s="2777"/>
      <c r="S83" s="912"/>
      <c r="T83" s="2777"/>
      <c r="U83" s="912"/>
      <c r="V83" s="2777"/>
      <c r="W83" s="912"/>
      <c r="X83" s="2777"/>
      <c r="Y83" s="912"/>
      <c r="Z83" s="2777"/>
      <c r="AA83" s="912"/>
      <c r="AB83" s="2777"/>
      <c r="AC83" s="912"/>
      <c r="AD83" s="2777"/>
      <c r="AE83" s="912"/>
      <c r="AF83" s="2777"/>
      <c r="AG83" s="912"/>
      <c r="AH83" s="2777"/>
      <c r="AI83" s="2779"/>
      <c r="AJ83" s="2780"/>
      <c r="AK83" s="901"/>
      <c r="AL83" s="901"/>
      <c r="AM83" s="901"/>
      <c r="AN83" s="2778"/>
      <c r="AO83" t="str">
        <f t="shared" si="65"/>
        <v/>
      </c>
      <c r="BO83" s="83" t="str">
        <f>IF(AND(E83&gt;0,AJ83="")," *  No olvide digitar la variable Gestantes. Digite Cero si no tiene.",IF(AJ83&gt;E83,"  * La variable Gestantes No puede ser mayor al Total Mujeres.",""))</f>
        <v/>
      </c>
      <c r="BP83" s="83" t="str">
        <f t="shared" si="67"/>
        <v/>
      </c>
      <c r="BQ83" s="83" t="str">
        <f t="shared" si="68"/>
        <v/>
      </c>
      <c r="BR83" s="83" t="str">
        <f t="shared" si="69"/>
        <v/>
      </c>
      <c r="BS83" s="83" t="str">
        <f t="shared" si="70"/>
        <v/>
      </c>
      <c r="BU83" s="2662">
        <f t="shared" si="71"/>
        <v>0</v>
      </c>
      <c r="BV83" s="2662">
        <f t="shared" si="72"/>
        <v>0</v>
      </c>
      <c r="BW83" s="2662">
        <f t="shared" si="73"/>
        <v>0</v>
      </c>
      <c r="BX83" s="2662">
        <f t="shared" si="74"/>
        <v>0</v>
      </c>
      <c r="BY83" s="2662">
        <f t="shared" si="75"/>
        <v>0</v>
      </c>
    </row>
    <row r="84" spans="1:77" ht="18" customHeight="1" x14ac:dyDescent="0.3">
      <c r="A84" s="3" t="s">
        <v>538</v>
      </c>
      <c r="B84" s="24"/>
      <c r="C84" s="24"/>
      <c r="D84" s="24"/>
      <c r="E84" s="24"/>
      <c r="F84" s="24"/>
    </row>
    <row r="85" spans="1:77" ht="31.2" customHeight="1" x14ac:dyDescent="0.3">
      <c r="A85" s="6149" t="s">
        <v>301</v>
      </c>
      <c r="B85" s="6150"/>
      <c r="C85" s="6151" t="s">
        <v>539</v>
      </c>
      <c r="D85" s="6152" t="s">
        <v>540</v>
      </c>
      <c r="E85" s="6145" t="s">
        <v>541</v>
      </c>
      <c r="F85" s="6151" t="s">
        <v>542</v>
      </c>
    </row>
    <row r="86" spans="1:77" ht="24.6" customHeight="1" x14ac:dyDescent="0.3">
      <c r="A86" s="6149"/>
      <c r="B86" s="6150"/>
      <c r="C86" s="6151"/>
      <c r="D86" s="6152"/>
      <c r="E86" s="6145"/>
      <c r="F86" s="6151"/>
    </row>
    <row r="87" spans="1:77" ht="15" customHeight="1" x14ac:dyDescent="0.3">
      <c r="A87" s="6163" t="s">
        <v>543</v>
      </c>
      <c r="B87" s="6164"/>
      <c r="C87" s="6164"/>
      <c r="D87" s="6164"/>
      <c r="E87" s="6164"/>
      <c r="F87" s="6165"/>
    </row>
    <row r="88" spans="1:77" ht="15" customHeight="1" x14ac:dyDescent="0.3">
      <c r="A88" s="2775" t="s">
        <v>544</v>
      </c>
      <c r="B88" s="5596"/>
      <c r="C88" s="2782"/>
      <c r="D88" s="5604"/>
      <c r="E88" s="475"/>
      <c r="F88" s="2782"/>
    </row>
    <row r="89" spans="1:77" ht="15" customHeight="1" x14ac:dyDescent="0.3">
      <c r="A89" s="935" t="s">
        <v>545</v>
      </c>
      <c r="B89" s="5597"/>
      <c r="C89" s="813"/>
      <c r="D89" s="5605"/>
      <c r="E89" s="347"/>
      <c r="F89" s="813"/>
    </row>
    <row r="90" spans="1:77" ht="15" customHeight="1" x14ac:dyDescent="0.3">
      <c r="A90" s="935" t="s">
        <v>546</v>
      </c>
      <c r="B90" s="5597"/>
      <c r="C90" s="813"/>
      <c r="D90" s="5605"/>
      <c r="E90" s="347"/>
      <c r="F90" s="813"/>
    </row>
    <row r="91" spans="1:77" ht="15" customHeight="1" x14ac:dyDescent="0.3">
      <c r="A91" s="935" t="s">
        <v>547</v>
      </c>
      <c r="B91" s="5597"/>
      <c r="C91" s="813"/>
      <c r="D91" s="5605"/>
      <c r="E91" s="347"/>
      <c r="F91" s="813"/>
    </row>
    <row r="92" spans="1:77" ht="15" customHeight="1" x14ac:dyDescent="0.3">
      <c r="A92" s="1814" t="s">
        <v>548</v>
      </c>
      <c r="B92" s="5598"/>
      <c r="C92" s="2729"/>
      <c r="D92" s="5606"/>
      <c r="E92" s="107"/>
      <c r="F92" s="2729"/>
    </row>
    <row r="93" spans="1:77" ht="15" customHeight="1" x14ac:dyDescent="0.3">
      <c r="A93" s="6163" t="s">
        <v>549</v>
      </c>
      <c r="B93" s="6164"/>
      <c r="C93" s="6164"/>
      <c r="D93" s="6164"/>
      <c r="E93" s="6164"/>
      <c r="F93" s="6165"/>
    </row>
    <row r="94" spans="1:77" ht="15" customHeight="1" x14ac:dyDescent="0.3">
      <c r="A94" s="2785" t="s">
        <v>550</v>
      </c>
      <c r="B94" s="5599"/>
      <c r="C94" s="2782"/>
      <c r="D94" s="5604"/>
      <c r="E94" s="475"/>
      <c r="F94" s="2782"/>
    </row>
    <row r="95" spans="1:77" ht="15" customHeight="1" x14ac:dyDescent="0.3">
      <c r="A95" s="361" t="s">
        <v>551</v>
      </c>
      <c r="B95" s="5600"/>
      <c r="C95" s="813"/>
      <c r="D95" s="5605"/>
      <c r="E95" s="347"/>
      <c r="F95" s="813"/>
    </row>
    <row r="96" spans="1:77" ht="21.6" customHeight="1" x14ac:dyDescent="0.3">
      <c r="A96" s="398" t="s">
        <v>552</v>
      </c>
      <c r="B96" s="1915"/>
      <c r="C96" s="2787"/>
      <c r="D96" s="5606"/>
      <c r="E96" s="530"/>
      <c r="F96" s="2787"/>
    </row>
    <row r="97" spans="1:18" ht="21.6" customHeight="1" x14ac:dyDescent="0.3">
      <c r="A97" s="3" t="s">
        <v>553</v>
      </c>
      <c r="B97" s="24"/>
      <c r="C97" s="24"/>
      <c r="D97" s="24"/>
      <c r="E97" s="24"/>
    </row>
    <row r="98" spans="1:18" ht="21.6" customHeight="1" x14ac:dyDescent="0.3">
      <c r="A98" s="6149" t="s">
        <v>301</v>
      </c>
      <c r="B98" s="6151" t="s">
        <v>77</v>
      </c>
      <c r="C98" s="6151" t="s">
        <v>539</v>
      </c>
      <c r="D98" s="6151" t="s">
        <v>540</v>
      </c>
      <c r="E98" s="6138" t="s">
        <v>554</v>
      </c>
    </row>
    <row r="99" spans="1:18" ht="21.6" customHeight="1" x14ac:dyDescent="0.3">
      <c r="A99" s="6149"/>
      <c r="B99" s="6151"/>
      <c r="C99" s="6151"/>
      <c r="D99" s="6151"/>
      <c r="E99" s="6138"/>
    </row>
    <row r="100" spans="1:18" ht="15" customHeight="1" x14ac:dyDescent="0.3">
      <c r="A100" s="2788" t="s">
        <v>543</v>
      </c>
      <c r="B100" s="2789"/>
      <c r="C100" s="2789"/>
      <c r="D100" s="2789"/>
      <c r="E100" s="2790"/>
    </row>
    <row r="101" spans="1:18" ht="15" customHeight="1" x14ac:dyDescent="0.3">
      <c r="A101" s="2775" t="s">
        <v>544</v>
      </c>
      <c r="B101" s="2781">
        <f>SUM(C101:E101)</f>
        <v>0</v>
      </c>
      <c r="C101" s="2782"/>
      <c r="D101" s="2782"/>
      <c r="E101" s="475"/>
    </row>
    <row r="102" spans="1:18" ht="15" customHeight="1" x14ac:dyDescent="0.3">
      <c r="A102" s="935" t="s">
        <v>545</v>
      </c>
      <c r="B102" s="2783">
        <f t="shared" ref="B102:B105" si="76">SUM(C102:E102)</f>
        <v>0</v>
      </c>
      <c r="C102" s="813"/>
      <c r="D102" s="813"/>
      <c r="E102" s="347"/>
    </row>
    <row r="103" spans="1:18" ht="15" customHeight="1" x14ac:dyDescent="0.3">
      <c r="A103" s="935" t="s">
        <v>546</v>
      </c>
      <c r="B103" s="2783">
        <f t="shared" si="76"/>
        <v>0</v>
      </c>
      <c r="C103" s="813"/>
      <c r="D103" s="813"/>
      <c r="E103" s="347"/>
    </row>
    <row r="104" spans="1:18" ht="15" customHeight="1" x14ac:dyDescent="0.3">
      <c r="A104" s="935" t="s">
        <v>547</v>
      </c>
      <c r="B104" s="2783">
        <f t="shared" si="76"/>
        <v>0</v>
      </c>
      <c r="C104" s="813"/>
      <c r="D104" s="813"/>
      <c r="E104" s="347"/>
    </row>
    <row r="105" spans="1:18" ht="15" customHeight="1" x14ac:dyDescent="0.3">
      <c r="A105" s="1814" t="s">
        <v>548</v>
      </c>
      <c r="B105" s="798">
        <f t="shared" si="76"/>
        <v>0</v>
      </c>
      <c r="C105" s="2729"/>
      <c r="D105" s="2787"/>
      <c r="E105" s="107"/>
    </row>
    <row r="106" spans="1:18" ht="15" customHeight="1" x14ac:dyDescent="0.3">
      <c r="A106" s="2788" t="s">
        <v>549</v>
      </c>
      <c r="B106" s="2789"/>
      <c r="C106" s="2789"/>
      <c r="D106" s="2789"/>
      <c r="E106" s="2790"/>
    </row>
    <row r="107" spans="1:18" ht="15" customHeight="1" x14ac:dyDescent="0.3">
      <c r="A107" s="2785" t="s">
        <v>550</v>
      </c>
      <c r="B107" s="2781">
        <f>SUM(C107:E107)</f>
        <v>0</v>
      </c>
      <c r="C107" s="2782"/>
      <c r="D107" s="2782"/>
      <c r="E107" s="475"/>
    </row>
    <row r="108" spans="1:18" ht="15" customHeight="1" x14ac:dyDescent="0.3">
      <c r="A108" s="361" t="s">
        <v>551</v>
      </c>
      <c r="B108" s="2783">
        <f t="shared" ref="B108:B109" si="77">SUM(C108:E108)</f>
        <v>0</v>
      </c>
      <c r="C108" s="813"/>
      <c r="D108" s="813"/>
      <c r="E108" s="347"/>
    </row>
    <row r="109" spans="1:18" ht="20.25" customHeight="1" x14ac:dyDescent="0.3">
      <c r="A109" s="398" t="s">
        <v>552</v>
      </c>
      <c r="B109" s="427">
        <f t="shared" si="77"/>
        <v>0</v>
      </c>
      <c r="C109" s="2787"/>
      <c r="D109" s="2787"/>
      <c r="E109" s="2791"/>
    </row>
    <row r="110" spans="1:18" ht="18" customHeight="1" x14ac:dyDescent="0.3">
      <c r="A110" s="6166" t="s">
        <v>4329</v>
      </c>
      <c r="B110" s="6166"/>
      <c r="C110" s="6166"/>
      <c r="D110" s="6166"/>
      <c r="E110" s="6166"/>
      <c r="F110" s="6167"/>
      <c r="G110" s="2792"/>
      <c r="H110" s="2792"/>
      <c r="I110" s="2792"/>
      <c r="J110" s="2792"/>
      <c r="K110" s="2792"/>
      <c r="L110" s="2792"/>
      <c r="M110" s="2792"/>
      <c r="N110" s="2792"/>
      <c r="O110" s="2792"/>
    </row>
    <row r="111" spans="1:18" ht="24" customHeight="1" x14ac:dyDescent="0.3">
      <c r="A111" s="6168" t="s">
        <v>555</v>
      </c>
      <c r="B111" s="6154" t="s">
        <v>556</v>
      </c>
      <c r="C111" s="6107"/>
      <c r="D111" s="6108"/>
      <c r="E111" s="6154" t="s">
        <v>557</v>
      </c>
      <c r="F111" s="6108"/>
      <c r="G111" s="6154" t="s">
        <v>558</v>
      </c>
      <c r="H111" s="6096"/>
      <c r="I111" s="6155" t="s">
        <v>559</v>
      </c>
      <c r="J111" s="6156"/>
      <c r="K111" s="6099" t="s">
        <v>560</v>
      </c>
      <c r="L111" s="6159" t="s">
        <v>561</v>
      </c>
      <c r="M111" s="6160"/>
      <c r="N111" s="6099"/>
      <c r="O111" s="6159" t="s">
        <v>562</v>
      </c>
      <c r="P111" s="6099"/>
      <c r="Q111" s="6159" t="s">
        <v>563</v>
      </c>
      <c r="R111" s="6099"/>
    </row>
    <row r="112" spans="1:18" ht="21" customHeight="1" x14ac:dyDescent="0.3">
      <c r="A112" s="6169"/>
      <c r="B112" s="6097"/>
      <c r="C112" s="6109"/>
      <c r="D112" s="6110"/>
      <c r="E112" s="6097"/>
      <c r="F112" s="6110"/>
      <c r="G112" s="6097"/>
      <c r="H112" s="6098"/>
      <c r="I112" s="6157"/>
      <c r="J112" s="6158"/>
      <c r="K112" s="6100"/>
      <c r="L112" s="6161"/>
      <c r="M112" s="6162"/>
      <c r="N112" s="6101"/>
      <c r="O112" s="6161"/>
      <c r="P112" s="6101"/>
      <c r="Q112" s="6161"/>
      <c r="R112" s="6101"/>
    </row>
    <row r="113" spans="1:20" ht="41.25" customHeight="1" x14ac:dyDescent="0.3">
      <c r="A113" s="6170"/>
      <c r="B113" s="2793" t="s">
        <v>564</v>
      </c>
      <c r="C113" s="2793" t="s">
        <v>565</v>
      </c>
      <c r="D113" s="2794" t="s">
        <v>566</v>
      </c>
      <c r="E113" s="2795" t="s">
        <v>567</v>
      </c>
      <c r="F113" s="2796" t="s">
        <v>568</v>
      </c>
      <c r="G113" s="2795" t="s">
        <v>569</v>
      </c>
      <c r="H113" s="2797" t="s">
        <v>570</v>
      </c>
      <c r="I113" s="2798" t="s">
        <v>567</v>
      </c>
      <c r="J113" s="2799" t="s">
        <v>568</v>
      </c>
      <c r="K113" s="6101"/>
      <c r="L113" s="2793" t="s">
        <v>571</v>
      </c>
      <c r="M113" s="2800" t="s">
        <v>565</v>
      </c>
      <c r="N113" s="2801" t="s">
        <v>572</v>
      </c>
      <c r="O113" s="2793" t="s">
        <v>569</v>
      </c>
      <c r="P113" s="2802" t="s">
        <v>570</v>
      </c>
      <c r="Q113" s="2793" t="s">
        <v>573</v>
      </c>
      <c r="R113" s="2802" t="s">
        <v>574</v>
      </c>
    </row>
    <row r="114" spans="1:20" ht="15" customHeight="1" x14ac:dyDescent="0.3">
      <c r="A114" s="2803" t="s">
        <v>575</v>
      </c>
      <c r="B114" s="2804">
        <f>SUM(C114:D114)</f>
        <v>0</v>
      </c>
      <c r="C114" s="2805"/>
      <c r="D114" s="2806"/>
      <c r="E114" s="2805"/>
      <c r="F114" s="2806"/>
      <c r="G114" s="2805"/>
      <c r="H114" s="2807"/>
      <c r="I114" s="2808"/>
      <c r="J114" s="2809"/>
      <c r="K114" s="2806"/>
      <c r="L114" s="2805"/>
      <c r="M114" s="2810"/>
      <c r="N114" s="2811"/>
      <c r="O114" s="2805"/>
      <c r="P114" s="2811"/>
      <c r="Q114" s="2812"/>
      <c r="R114" s="2813"/>
    </row>
    <row r="115" spans="1:20" ht="15" customHeight="1" x14ac:dyDescent="0.3">
      <c r="A115" s="2814" t="s">
        <v>576</v>
      </c>
      <c r="B115" s="2804">
        <f>SUM(C115:D115)</f>
        <v>0</v>
      </c>
      <c r="C115" s="2815"/>
      <c r="D115" s="2816"/>
      <c r="E115" s="2815"/>
      <c r="F115" s="2816"/>
      <c r="G115" s="2815"/>
      <c r="H115" s="2817"/>
      <c r="I115" s="2818"/>
      <c r="J115" s="2819"/>
      <c r="K115" s="2816"/>
      <c r="L115" s="2812"/>
      <c r="M115" s="2820"/>
      <c r="N115" s="2813"/>
      <c r="O115" s="2812"/>
      <c r="P115" s="2813"/>
      <c r="Q115" s="2805"/>
      <c r="R115" s="2811"/>
    </row>
    <row r="116" spans="1:20" ht="15" customHeight="1" x14ac:dyDescent="0.3">
      <c r="A116" s="2814" t="s">
        <v>577</v>
      </c>
      <c r="B116" s="2821">
        <f>SUM(C116:D116)</f>
        <v>0</v>
      </c>
      <c r="C116" s="2822"/>
      <c r="D116" s="2823"/>
      <c r="E116" s="2824"/>
      <c r="F116" s="2823"/>
      <c r="G116" s="2822"/>
      <c r="H116" s="2825"/>
      <c r="I116" s="2826"/>
      <c r="J116" s="2827"/>
      <c r="K116" s="2823"/>
      <c r="L116" s="2828"/>
      <c r="M116" s="2829"/>
      <c r="N116" s="2830"/>
      <c r="O116" s="2831"/>
      <c r="P116" s="2830"/>
      <c r="Q116" s="2822"/>
      <c r="R116" s="2832"/>
    </row>
    <row r="117" spans="1:20" ht="15" customHeight="1" x14ac:dyDescent="0.3">
      <c r="A117" s="2833" t="s">
        <v>77</v>
      </c>
      <c r="B117" s="2834">
        <f>SUM(C117:D117)</f>
        <v>0</v>
      </c>
      <c r="C117" s="2834">
        <f t="shared" ref="C117:K117" si="78">SUM(C114:C116)</f>
        <v>0</v>
      </c>
      <c r="D117" s="2835">
        <f t="shared" si="78"/>
        <v>0</v>
      </c>
      <c r="E117" s="2834">
        <f t="shared" si="78"/>
        <v>0</v>
      </c>
      <c r="F117" s="2835">
        <f t="shared" si="78"/>
        <v>0</v>
      </c>
      <c r="G117" s="2834">
        <f t="shared" si="78"/>
        <v>0</v>
      </c>
      <c r="H117" s="2836">
        <f t="shared" si="78"/>
        <v>0</v>
      </c>
      <c r="I117" s="2837">
        <f t="shared" si="78"/>
        <v>0</v>
      </c>
      <c r="J117" s="2838">
        <f t="shared" si="78"/>
        <v>0</v>
      </c>
      <c r="K117" s="2835">
        <f t="shared" si="78"/>
        <v>0</v>
      </c>
      <c r="L117" s="2834">
        <f>SUM(L114)</f>
        <v>0</v>
      </c>
      <c r="M117" s="2839">
        <f t="shared" ref="M117:P117" si="79">SUM(M114)</f>
        <v>0</v>
      </c>
      <c r="N117" s="2840">
        <f>SUM(N114)</f>
        <v>0</v>
      </c>
      <c r="O117" s="2834">
        <f t="shared" si="79"/>
        <v>0</v>
      </c>
      <c r="P117" s="2840">
        <f t="shared" si="79"/>
        <v>0</v>
      </c>
      <c r="Q117" s="2834">
        <f>SUM(Q115:Q116)</f>
        <v>0</v>
      </c>
      <c r="R117" s="2839">
        <f>SUM(R115:R116)</f>
        <v>0</v>
      </c>
    </row>
    <row r="118" spans="1:20" ht="15" customHeight="1" x14ac:dyDescent="0.3">
      <c r="A118" s="6102" t="s">
        <v>4426</v>
      </c>
      <c r="B118" s="6102"/>
      <c r="C118" s="6102"/>
      <c r="D118" s="6102"/>
      <c r="E118" s="6102"/>
      <c r="F118" s="6103"/>
      <c r="G118" s="2841"/>
      <c r="H118" s="2841"/>
      <c r="I118" s="2841"/>
      <c r="J118" s="2841"/>
      <c r="K118" s="2841"/>
      <c r="L118" s="2842"/>
      <c r="M118" s="2842"/>
      <c r="N118" s="2842"/>
      <c r="O118" s="2842"/>
      <c r="P118" s="2842"/>
      <c r="Q118" s="2842"/>
      <c r="R118" s="2842"/>
    </row>
    <row r="119" spans="1:20" ht="15" customHeight="1" x14ac:dyDescent="0.3">
      <c r="A119" s="6104" t="s">
        <v>555</v>
      </c>
      <c r="B119" s="6095" t="s">
        <v>556</v>
      </c>
      <c r="C119" s="6107"/>
      <c r="D119" s="6108"/>
      <c r="E119" s="6095" t="s">
        <v>557</v>
      </c>
      <c r="F119" s="6107"/>
      <c r="G119" s="6107"/>
      <c r="H119" s="6108"/>
      <c r="I119" s="6095" t="s">
        <v>558</v>
      </c>
      <c r="J119" s="6096"/>
      <c r="K119" s="6099" t="s">
        <v>4416</v>
      </c>
      <c r="L119" s="6111" t="s">
        <v>4421</v>
      </c>
      <c r="M119" s="6112"/>
      <c r="N119" s="2842"/>
      <c r="O119" s="2842"/>
      <c r="P119" s="2842"/>
      <c r="Q119" s="2842"/>
      <c r="R119" s="2842"/>
      <c r="S119" s="2842"/>
      <c r="T119" s="2842"/>
    </row>
    <row r="120" spans="1:20" ht="15" customHeight="1" x14ac:dyDescent="0.3">
      <c r="A120" s="6105"/>
      <c r="B120" s="6097"/>
      <c r="C120" s="6109"/>
      <c r="D120" s="6110"/>
      <c r="E120" s="6097"/>
      <c r="F120" s="6109"/>
      <c r="G120" s="6109"/>
      <c r="H120" s="6110"/>
      <c r="I120" s="6097"/>
      <c r="J120" s="6098"/>
      <c r="K120" s="6100"/>
      <c r="L120" s="6113"/>
      <c r="M120" s="6114"/>
      <c r="N120" s="2842"/>
      <c r="O120" s="2842"/>
      <c r="P120" s="2842"/>
      <c r="Q120" s="2842"/>
      <c r="R120" s="2842"/>
      <c r="S120" s="2842"/>
      <c r="T120" s="2842"/>
    </row>
    <row r="121" spans="1:20" ht="63.75" customHeight="1" x14ac:dyDescent="0.3">
      <c r="A121" s="6106"/>
      <c r="B121" s="2793" t="s">
        <v>564</v>
      </c>
      <c r="C121" s="2793" t="s">
        <v>565</v>
      </c>
      <c r="D121" s="2843" t="s">
        <v>566</v>
      </c>
      <c r="E121" s="2795" t="s">
        <v>567</v>
      </c>
      <c r="F121" s="2844" t="s">
        <v>568</v>
      </c>
      <c r="G121" s="2795" t="s">
        <v>578</v>
      </c>
      <c r="H121" s="2844" t="s">
        <v>579</v>
      </c>
      <c r="I121" s="2795" t="s">
        <v>569</v>
      </c>
      <c r="J121" s="2797" t="s">
        <v>570</v>
      </c>
      <c r="K121" s="6101"/>
      <c r="L121" s="5669" t="s">
        <v>4422</v>
      </c>
      <c r="M121" s="5670" t="s">
        <v>4423</v>
      </c>
      <c r="N121" s="2842"/>
      <c r="O121" s="2842"/>
      <c r="P121" s="2842"/>
      <c r="Q121" s="2842"/>
      <c r="R121" s="2842"/>
      <c r="S121" s="2842"/>
      <c r="T121" s="2842"/>
    </row>
    <row r="122" spans="1:20" ht="15" customHeight="1" x14ac:dyDescent="0.3">
      <c r="A122" s="2803" t="s">
        <v>580</v>
      </c>
      <c r="B122" s="2804">
        <f>SUM(C122:D122)</f>
        <v>0</v>
      </c>
      <c r="C122" s="2805"/>
      <c r="D122" s="2806"/>
      <c r="E122" s="2845"/>
      <c r="F122" s="2846"/>
      <c r="G122" s="2845"/>
      <c r="H122" s="2846"/>
      <c r="I122" s="2805"/>
      <c r="J122" s="2807"/>
      <c r="K122" s="2846"/>
      <c r="L122" s="2805"/>
      <c r="M122" s="5629"/>
      <c r="N122" s="2842"/>
      <c r="O122" s="2842"/>
      <c r="P122" s="2842"/>
      <c r="Q122" s="2842"/>
      <c r="R122" s="2842"/>
      <c r="S122" s="2842"/>
      <c r="T122" s="2842"/>
    </row>
    <row r="123" spans="1:20" ht="15" customHeight="1" x14ac:dyDescent="0.3">
      <c r="A123" s="2814" t="s">
        <v>581</v>
      </c>
      <c r="B123" s="2804">
        <f t="shared" ref="B123:B124" si="80">SUM(C123:D123)</f>
        <v>0</v>
      </c>
      <c r="C123" s="2815"/>
      <c r="D123" s="2816"/>
      <c r="E123" s="2815"/>
      <c r="F123" s="2816"/>
      <c r="G123" s="2815"/>
      <c r="H123" s="2816"/>
      <c r="I123" s="2815"/>
      <c r="J123" s="2817"/>
      <c r="K123" s="2816"/>
      <c r="L123" s="2815"/>
      <c r="M123" s="5630"/>
      <c r="N123" s="2842"/>
      <c r="O123" s="2842"/>
      <c r="P123" s="2842"/>
      <c r="Q123" s="2842"/>
      <c r="R123" s="2842"/>
      <c r="S123" s="2842"/>
      <c r="T123" s="2842"/>
    </row>
    <row r="124" spans="1:20" ht="15" customHeight="1" x14ac:dyDescent="0.3">
      <c r="A124" s="2847" t="s">
        <v>554</v>
      </c>
      <c r="B124" s="2821">
        <f t="shared" si="80"/>
        <v>0</v>
      </c>
      <c r="C124" s="2822"/>
      <c r="D124" s="2848"/>
      <c r="E124" s="2828"/>
      <c r="F124" s="2849"/>
      <c r="G124" s="2828"/>
      <c r="H124" s="2849"/>
      <c r="I124" s="2822"/>
      <c r="J124" s="2850"/>
      <c r="K124" s="2849"/>
      <c r="L124" s="2822"/>
      <c r="M124" s="5631"/>
      <c r="N124" s="2842"/>
      <c r="O124" s="2842"/>
      <c r="P124" s="2842"/>
      <c r="Q124" s="2842"/>
      <c r="R124" s="2842"/>
      <c r="S124" s="2842"/>
      <c r="T124" s="2842"/>
    </row>
    <row r="125" spans="1:20" ht="18" customHeight="1" x14ac:dyDescent="0.3">
      <c r="A125" s="2189" t="s">
        <v>582</v>
      </c>
      <c r="B125" s="2851"/>
      <c r="C125" s="2851"/>
      <c r="D125" s="2852"/>
      <c r="E125" s="2853"/>
      <c r="F125" s="2853"/>
      <c r="G125" s="2853"/>
      <c r="H125" s="2853"/>
      <c r="I125" s="2854"/>
      <c r="J125" s="88"/>
      <c r="K125" s="2854"/>
      <c r="L125" s="88"/>
      <c r="M125" s="7"/>
    </row>
    <row r="126" spans="1:20" ht="15" customHeight="1" x14ac:dyDescent="0.3">
      <c r="A126" s="6171" t="s">
        <v>583</v>
      </c>
      <c r="B126" s="6168" t="s">
        <v>584</v>
      </c>
      <c r="C126" s="6173" t="s">
        <v>585</v>
      </c>
      <c r="D126" s="6174"/>
      <c r="E126" s="6174"/>
      <c r="F126" s="6174"/>
      <c r="G126" s="6174"/>
      <c r="H126" s="6174"/>
      <c r="I126" s="6174"/>
      <c r="J126" s="6174"/>
      <c r="K126" s="6174"/>
      <c r="L126" s="6175"/>
      <c r="M126" s="6168" t="s">
        <v>586</v>
      </c>
    </row>
    <row r="127" spans="1:20" ht="38.4" customHeight="1" x14ac:dyDescent="0.3">
      <c r="A127" s="6172"/>
      <c r="B127" s="6170"/>
      <c r="C127" s="2441" t="s">
        <v>64</v>
      </c>
      <c r="D127" s="491" t="s">
        <v>587</v>
      </c>
      <c r="E127" s="491" t="s">
        <v>98</v>
      </c>
      <c r="F127" s="491" t="s">
        <v>65</v>
      </c>
      <c r="G127" s="491" t="s">
        <v>105</v>
      </c>
      <c r="H127" s="555" t="s">
        <v>194</v>
      </c>
      <c r="I127" s="555" t="s">
        <v>588</v>
      </c>
      <c r="J127" s="491" t="s">
        <v>589</v>
      </c>
      <c r="K127" s="555" t="s">
        <v>590</v>
      </c>
      <c r="L127" s="2855" t="s">
        <v>591</v>
      </c>
      <c r="M127" s="6170"/>
    </row>
    <row r="128" spans="1:20" ht="15" customHeight="1" x14ac:dyDescent="0.3">
      <c r="A128" s="492" t="s">
        <v>592</v>
      </c>
      <c r="B128" s="2806"/>
      <c r="C128" s="2805"/>
      <c r="D128" s="2856"/>
      <c r="E128" s="2856"/>
      <c r="F128" s="2856"/>
      <c r="G128" s="2856"/>
      <c r="H128" s="2856"/>
      <c r="I128" s="2856"/>
      <c r="J128" s="2856"/>
      <c r="K128" s="2856"/>
      <c r="L128" s="2806"/>
      <c r="M128" s="2857"/>
    </row>
    <row r="129" spans="1:76" ht="15" customHeight="1" x14ac:dyDescent="0.3">
      <c r="A129" s="358" t="s">
        <v>593</v>
      </c>
      <c r="B129" s="2823"/>
      <c r="C129" s="2824"/>
      <c r="D129" s="2858"/>
      <c r="E129" s="2858"/>
      <c r="F129" s="2858"/>
      <c r="G129" s="2858"/>
      <c r="H129" s="2858"/>
      <c r="I129" s="2858"/>
      <c r="J129" s="2858"/>
      <c r="K129" s="2858"/>
      <c r="L129" s="2823"/>
      <c r="M129" s="2859"/>
    </row>
    <row r="130" spans="1:76" ht="15" customHeight="1" x14ac:dyDescent="0.3">
      <c r="A130" s="519" t="s">
        <v>594</v>
      </c>
      <c r="B130" s="2848"/>
      <c r="C130" s="2822"/>
      <c r="D130" s="2860"/>
      <c r="E130" s="2860"/>
      <c r="F130" s="2860"/>
      <c r="G130" s="2860"/>
      <c r="H130" s="2860"/>
      <c r="I130" s="2860"/>
      <c r="J130" s="2860"/>
      <c r="K130" s="2860"/>
      <c r="L130" s="2848"/>
      <c r="M130" s="2861"/>
    </row>
    <row r="131" spans="1:76" ht="18" customHeight="1" x14ac:dyDescent="0.3">
      <c r="A131" s="3" t="s">
        <v>595</v>
      </c>
      <c r="B131" s="2862"/>
      <c r="C131" s="2862"/>
      <c r="D131" s="2862"/>
      <c r="E131" s="2862"/>
      <c r="F131" s="2862"/>
      <c r="G131" s="2862"/>
      <c r="H131" s="2862"/>
      <c r="I131" s="2862"/>
      <c r="J131" s="2862"/>
      <c r="K131" s="2862"/>
      <c r="L131" s="2862"/>
      <c r="M131" s="2862"/>
      <c r="N131" s="2862"/>
      <c r="O131" s="2862"/>
      <c r="P131" s="2862"/>
      <c r="Q131" s="2862"/>
      <c r="R131" s="2862"/>
      <c r="S131" s="2862"/>
      <c r="T131" s="2862"/>
      <c r="U131" s="2862"/>
      <c r="V131" s="2862"/>
      <c r="W131" s="2862"/>
      <c r="X131" s="2862"/>
      <c r="Y131" s="2862"/>
      <c r="Z131" s="2862"/>
      <c r="AA131" s="2862"/>
      <c r="AB131" s="2862"/>
      <c r="AC131" s="2862"/>
      <c r="AD131" s="2862"/>
      <c r="AE131" s="2862"/>
      <c r="AF131" s="2862"/>
      <c r="AG131" s="2862"/>
      <c r="AH131" s="2862"/>
      <c r="AI131" s="2862"/>
      <c r="AJ131" s="2862"/>
      <c r="AK131" s="2862"/>
      <c r="AL131" s="2862"/>
      <c r="AM131" s="2862"/>
      <c r="AN131" s="2862"/>
      <c r="AO131" s="2863"/>
      <c r="AP131" s="2863"/>
      <c r="AQ131" s="2764"/>
      <c r="AR131" s="2764"/>
    </row>
    <row r="132" spans="1:76" ht="15" customHeight="1" x14ac:dyDescent="0.3">
      <c r="A132" s="6176" t="s">
        <v>596</v>
      </c>
      <c r="B132" s="6177" t="s">
        <v>28</v>
      </c>
      <c r="C132" s="5880"/>
      <c r="D132" s="5832"/>
      <c r="E132" s="6143" t="s">
        <v>101</v>
      </c>
      <c r="F132" s="6178"/>
      <c r="G132" s="6178"/>
      <c r="H132" s="6178"/>
      <c r="I132" s="6178"/>
      <c r="J132" s="6178"/>
      <c r="K132" s="6178"/>
      <c r="L132" s="6178"/>
      <c r="M132" s="6178"/>
      <c r="N132" s="6178"/>
      <c r="O132" s="6178"/>
      <c r="P132" s="6178"/>
      <c r="Q132" s="6178"/>
      <c r="R132" s="6178"/>
      <c r="S132" s="6178"/>
      <c r="T132" s="6178"/>
      <c r="U132" s="6178"/>
      <c r="V132" s="6178"/>
      <c r="W132" s="6178"/>
      <c r="X132" s="6178"/>
      <c r="Y132" s="6178"/>
      <c r="Z132" s="6178"/>
      <c r="AA132" s="6178"/>
      <c r="AB132" s="6178"/>
      <c r="AC132" s="6178"/>
      <c r="AD132" s="6178"/>
      <c r="AE132" s="6178"/>
      <c r="AF132" s="6178"/>
      <c r="AG132" s="6178"/>
      <c r="AH132" s="6178"/>
      <c r="AI132" s="6178"/>
      <c r="AJ132" s="6178"/>
      <c r="AK132" s="6178"/>
      <c r="AL132" s="6178"/>
      <c r="AM132" s="6178"/>
      <c r="AN132" s="6179"/>
      <c r="AO132" s="5831" t="s">
        <v>597</v>
      </c>
      <c r="AP132" s="6117" t="s">
        <v>453</v>
      </c>
      <c r="AQ132" s="6117" t="s">
        <v>34</v>
      </c>
      <c r="AR132" s="5832" t="s">
        <v>35</v>
      </c>
    </row>
    <row r="133" spans="1:76" ht="21" customHeight="1" x14ac:dyDescent="0.3">
      <c r="A133" s="6082"/>
      <c r="B133" s="5946"/>
      <c r="C133" s="5882"/>
      <c r="D133" s="5760"/>
      <c r="E133" s="6137" t="s">
        <v>474</v>
      </c>
      <c r="F133" s="6180"/>
      <c r="G133" s="6143" t="s">
        <v>475</v>
      </c>
      <c r="H133" s="6180"/>
      <c r="I133" s="6143" t="s">
        <v>326</v>
      </c>
      <c r="J133" s="6180"/>
      <c r="K133" s="6143" t="s">
        <v>94</v>
      </c>
      <c r="L133" s="6180"/>
      <c r="M133" s="6143" t="s">
        <v>44</v>
      </c>
      <c r="N133" s="6180"/>
      <c r="O133" s="6143" t="s">
        <v>45</v>
      </c>
      <c r="P133" s="6180"/>
      <c r="Q133" s="6178" t="s">
        <v>46</v>
      </c>
      <c r="R133" s="6180"/>
      <c r="S133" s="6143" t="s">
        <v>47</v>
      </c>
      <c r="T133" s="6180"/>
      <c r="U133" s="6143" t="s">
        <v>48</v>
      </c>
      <c r="V133" s="6180"/>
      <c r="W133" s="6143" t="s">
        <v>49</v>
      </c>
      <c r="X133" s="6180"/>
      <c r="Y133" s="6143" t="s">
        <v>50</v>
      </c>
      <c r="Z133" s="6180"/>
      <c r="AA133" s="6143" t="s">
        <v>51</v>
      </c>
      <c r="AB133" s="6180"/>
      <c r="AC133" s="6143" t="s">
        <v>52</v>
      </c>
      <c r="AD133" s="6180"/>
      <c r="AE133" s="6143" t="s">
        <v>53</v>
      </c>
      <c r="AF133" s="6180"/>
      <c r="AG133" s="6143" t="s">
        <v>54</v>
      </c>
      <c r="AH133" s="6180"/>
      <c r="AI133" s="6143" t="s">
        <v>55</v>
      </c>
      <c r="AJ133" s="6180"/>
      <c r="AK133" s="6143" t="s">
        <v>56</v>
      </c>
      <c r="AL133" s="6180"/>
      <c r="AM133" s="6178" t="s">
        <v>476</v>
      </c>
      <c r="AN133" s="6179"/>
      <c r="AO133" s="5766"/>
      <c r="AP133" s="6118"/>
      <c r="AQ133" s="6118"/>
      <c r="AR133" s="5759"/>
    </row>
    <row r="134" spans="1:76" ht="15" customHeight="1" x14ac:dyDescent="0.3">
      <c r="A134" s="6116"/>
      <c r="B134" s="1757" t="s">
        <v>79</v>
      </c>
      <c r="C134" s="554" t="s">
        <v>58</v>
      </c>
      <c r="D134" s="1776" t="s">
        <v>59</v>
      </c>
      <c r="E134" s="468" t="s">
        <v>58</v>
      </c>
      <c r="F134" s="465" t="s">
        <v>59</v>
      </c>
      <c r="G134" s="468" t="s">
        <v>58</v>
      </c>
      <c r="H134" s="465" t="s">
        <v>59</v>
      </c>
      <c r="I134" s="468" t="s">
        <v>58</v>
      </c>
      <c r="J134" s="465" t="s">
        <v>59</v>
      </c>
      <c r="K134" s="468" t="s">
        <v>58</v>
      </c>
      <c r="L134" s="465" t="s">
        <v>59</v>
      </c>
      <c r="M134" s="468" t="s">
        <v>58</v>
      </c>
      <c r="N134" s="465" t="s">
        <v>59</v>
      </c>
      <c r="O134" s="468" t="s">
        <v>58</v>
      </c>
      <c r="P134" s="465" t="s">
        <v>59</v>
      </c>
      <c r="Q134" s="468" t="s">
        <v>58</v>
      </c>
      <c r="R134" s="465" t="s">
        <v>59</v>
      </c>
      <c r="S134" s="468" t="s">
        <v>58</v>
      </c>
      <c r="T134" s="465" t="s">
        <v>59</v>
      </c>
      <c r="U134" s="468" t="s">
        <v>58</v>
      </c>
      <c r="V134" s="465" t="s">
        <v>59</v>
      </c>
      <c r="W134" s="468" t="s">
        <v>58</v>
      </c>
      <c r="X134" s="465" t="s">
        <v>59</v>
      </c>
      <c r="Y134" s="468" t="s">
        <v>58</v>
      </c>
      <c r="Z134" s="465" t="s">
        <v>59</v>
      </c>
      <c r="AA134" s="468" t="s">
        <v>58</v>
      </c>
      <c r="AB134" s="465" t="s">
        <v>59</v>
      </c>
      <c r="AC134" s="468" t="s">
        <v>58</v>
      </c>
      <c r="AD134" s="465" t="s">
        <v>59</v>
      </c>
      <c r="AE134" s="468" t="s">
        <v>58</v>
      </c>
      <c r="AF134" s="465" t="s">
        <v>59</v>
      </c>
      <c r="AG134" s="468" t="s">
        <v>58</v>
      </c>
      <c r="AH134" s="465" t="s">
        <v>59</v>
      </c>
      <c r="AI134" s="468" t="s">
        <v>58</v>
      </c>
      <c r="AJ134" s="465" t="s">
        <v>59</v>
      </c>
      <c r="AK134" s="468" t="s">
        <v>58</v>
      </c>
      <c r="AL134" s="465" t="s">
        <v>59</v>
      </c>
      <c r="AM134" s="468" t="s">
        <v>58</v>
      </c>
      <c r="AN134" s="466" t="s">
        <v>59</v>
      </c>
      <c r="AO134" s="5767"/>
      <c r="AP134" s="5818"/>
      <c r="AQ134" s="5818"/>
      <c r="AR134" s="5760"/>
    </row>
    <row r="135" spans="1:76" ht="24.75" customHeight="1" x14ac:dyDescent="0.3">
      <c r="A135" s="500" t="s">
        <v>599</v>
      </c>
      <c r="B135" s="2864">
        <f>SUM(C135:D135)</f>
        <v>0</v>
      </c>
      <c r="C135" s="479">
        <f>SUM(E135+G135+I135+K135+M135+O135+Q135+S135+U135+W135+Y135+AA135+AC135+AE135+AG135+AI135+AK135+AM135)</f>
        <v>0</v>
      </c>
      <c r="D135" s="2865">
        <f t="shared" ref="C135:D137" si="81">SUM(F135+H135+J135+L135+N135+P135+R135+T135+V135+X135+Z135+AB135+AD135+AF135+AH135+AJ135+AL135+AN135)</f>
        <v>0</v>
      </c>
      <c r="E135" s="290"/>
      <c r="F135" s="107"/>
      <c r="G135" s="290"/>
      <c r="H135" s="637"/>
      <c r="I135" s="290"/>
      <c r="J135" s="637"/>
      <c r="K135" s="290"/>
      <c r="L135" s="637"/>
      <c r="M135" s="290"/>
      <c r="N135" s="637"/>
      <c r="O135" s="290"/>
      <c r="P135" s="637"/>
      <c r="Q135" s="22"/>
      <c r="R135" s="637"/>
      <c r="S135" s="290"/>
      <c r="T135" s="637"/>
      <c r="U135" s="290"/>
      <c r="V135" s="637"/>
      <c r="W135" s="290"/>
      <c r="X135" s="637"/>
      <c r="Y135" s="290"/>
      <c r="Z135" s="637"/>
      <c r="AA135" s="290"/>
      <c r="AB135" s="637"/>
      <c r="AC135" s="290"/>
      <c r="AD135" s="637"/>
      <c r="AE135" s="290"/>
      <c r="AF135" s="637"/>
      <c r="AG135" s="290"/>
      <c r="AH135" s="637"/>
      <c r="AI135" s="290"/>
      <c r="AJ135" s="637"/>
      <c r="AK135" s="290"/>
      <c r="AL135" s="637"/>
      <c r="AM135" s="65"/>
      <c r="AN135" s="431"/>
      <c r="AO135" s="2689"/>
      <c r="AP135" s="2690"/>
      <c r="AQ135" s="2660"/>
      <c r="AR135" s="2866"/>
      <c r="AS135" t="str">
        <f>BO135&amp;BP135&amp;BQ135&amp;BR135&amp;BS135</f>
        <v/>
      </c>
      <c r="BO135" s="83" t="str">
        <f>IF(AND(B135&gt;0,AO135="")," * No olvide digitar la variable Beneficiarios. Digite Cero si no tiene.",IF(AO135&gt;B135,"  * La variable Beneficiarios No puede ser mayor al Total.",""))</f>
        <v/>
      </c>
      <c r="BP135" s="83" t="str">
        <f>IF(AND(D135&gt;0,AP135="")," * No olvide digitar la variable Gestantes. Digite Cero si no tiene.",IF(AP135&gt;D135,"  * La variable Gestantes No puede ser mayor al Total Mujeres.",""))</f>
        <v/>
      </c>
      <c r="BQ135" s="83" t="str">
        <f>IF(AND(B135&gt;0,AQ135="")," * No olvide digitar la variable Niños, Niñas, adolescentes y jóvenes SENAME. Digite Cero si no tiene.",IF(AQ135&gt;B135,"  * La variable Niños, Niñas, adolescentes y jóvenes SENAME No puede ser mayor al Total.",""))</f>
        <v/>
      </c>
      <c r="BR135" s="83" t="str">
        <f>IF(AND(B135&gt;0,AR135="")," * No olvide digitar la variable Niños, Niñas, adolescentes y jóvenes Mejor niñez. Digite Cero si no tiene.",IF(AR135&gt;B135,"  * La variable Niños, Niñas, adolescentes y jóvenes Mejor Niñez No puede ser mayor al Total.",""))</f>
        <v/>
      </c>
      <c r="BU135" s="2662">
        <f>IF(AND(B135&gt;0,AO135=""),1,IF(AO135&gt;B135,1,0))</f>
        <v>0</v>
      </c>
      <c r="BV135" s="2662">
        <f>IF(AND(D135&gt;0,AP135=""),1,IF(AP135&gt;D135,1,0))</f>
        <v>0</v>
      </c>
      <c r="BW135" s="2662">
        <f>IF(AND(B135&gt;0,AQ135=""),1,IF(AQ135&gt;B135,1,0))</f>
        <v>0</v>
      </c>
      <c r="BX135" s="2662">
        <f>IF(AND(B135&gt;0,AR135=""),1,IF(AR135&gt;B135,1,0))</f>
        <v>0</v>
      </c>
    </row>
    <row r="136" spans="1:76" ht="15" customHeight="1" x14ac:dyDescent="0.3">
      <c r="A136" s="480" t="s">
        <v>600</v>
      </c>
      <c r="B136" s="2864">
        <f>SUM(C136:D136)</f>
        <v>0</v>
      </c>
      <c r="C136" s="479">
        <f t="shared" si="81"/>
        <v>0</v>
      </c>
      <c r="D136" s="2865">
        <f t="shared" si="81"/>
        <v>0</v>
      </c>
      <c r="E136" s="346"/>
      <c r="F136" s="347"/>
      <c r="G136" s="346"/>
      <c r="H136" s="350"/>
      <c r="I136" s="346"/>
      <c r="J136" s="350"/>
      <c r="K136" s="346"/>
      <c r="L136" s="350"/>
      <c r="M136" s="346"/>
      <c r="N136" s="350"/>
      <c r="O136" s="346"/>
      <c r="P136" s="350"/>
      <c r="Q136" s="348"/>
      <c r="R136" s="350"/>
      <c r="S136" s="346"/>
      <c r="T136" s="350"/>
      <c r="U136" s="346"/>
      <c r="V136" s="350"/>
      <c r="W136" s="346"/>
      <c r="X136" s="350"/>
      <c r="Y136" s="346"/>
      <c r="Z136" s="350"/>
      <c r="AA136" s="346"/>
      <c r="AB136" s="350"/>
      <c r="AC136" s="346"/>
      <c r="AD136" s="350"/>
      <c r="AE136" s="346"/>
      <c r="AF136" s="350"/>
      <c r="AG136" s="346"/>
      <c r="AH136" s="350"/>
      <c r="AI136" s="346"/>
      <c r="AJ136" s="350"/>
      <c r="AK136" s="346"/>
      <c r="AL136" s="350"/>
      <c r="AM136" s="561"/>
      <c r="AN136" s="352"/>
      <c r="AO136" s="834"/>
      <c r="AP136" s="2664"/>
      <c r="AQ136" s="2690"/>
      <c r="AR136" s="2691"/>
      <c r="AS136" t="str">
        <f t="shared" ref="AS136:AS137" si="82">BO136&amp;BP136&amp;BQ136&amp;BR136&amp;BS136</f>
        <v/>
      </c>
      <c r="BO136" s="83" t="str">
        <f t="shared" ref="BO136:BO137" si="83">IF(AND(B136&gt;0,AO136="")," * No olvide digitar la variable Beneficiarios. Digite Cero si no tiene.",IF(AO136&gt;B136,"  * La variable Beneficiarios No puede ser mayor al Total.",""))</f>
        <v/>
      </c>
      <c r="BP136" s="83" t="str">
        <f t="shared" ref="BP136:BP137" si="84">IF(AND(D136&gt;0,AP136="")," * No olvide digitar la variable Gestantes. Digite Cero si no tiene.",IF(AP136&gt;D136,"  * La variable Gestantes No puede ser mayor al Total Mujeres.",""))</f>
        <v/>
      </c>
      <c r="BQ136" s="83" t="str">
        <f t="shared" ref="BQ136:BQ137" si="85">IF(AND(B136&gt;0,AQ136="")," * No olvide digitar la variable Niños, Niñas, adolescentes y jóvenes SENAME. Digite Cero si no tiene.",IF(AQ136&gt;B136,"  * La variable Niños, Niñas, adolescentes y jóvenes SENAME No puede ser mayor al Total.",""))</f>
        <v/>
      </c>
      <c r="BR136" s="83" t="str">
        <f t="shared" ref="BR136:BR137" si="86">IF(AND(B136&gt;0,AR136="")," * No olvide digitar la variable Niños, Niñas, adolescentes y jóvenes Mejor niñez. Digite Cero si no tiene.",IF(AR136&gt;B136,"  * La variable Niños, Niñas, adolescentes y jóvenes Mejor Niñez No puede ser mayor al Total.",""))</f>
        <v/>
      </c>
      <c r="BU136" s="2662">
        <f t="shared" ref="BU136:BU137" si="87">IF(AND(B136&gt;0,AO136=""),1,IF(AO136&gt;B136,1,0))</f>
        <v>0</v>
      </c>
      <c r="BV136" s="2662">
        <f t="shared" ref="BV136:BV137" si="88">IF(AND(D136&gt;0,AP136=""),1,IF(AP136&gt;D136,1,0))</f>
        <v>0</v>
      </c>
      <c r="BW136" s="2662">
        <f t="shared" ref="BW136:BW137" si="89">IF(AND(B136&gt;0,AQ136=""),1,IF(AQ136&gt;B136,1,0))</f>
        <v>0</v>
      </c>
      <c r="BX136" s="2662">
        <f t="shared" ref="BX136:BX137" si="90">IF(AND(B136&gt;0,AR136=""),1,IF(AR136&gt;B136,1,0))</f>
        <v>0</v>
      </c>
    </row>
    <row r="137" spans="1:76" ht="15" customHeight="1" x14ac:dyDescent="0.3">
      <c r="A137" s="2867" t="s">
        <v>601</v>
      </c>
      <c r="B137" s="2868">
        <f>SUM(C137:D137)</f>
        <v>0</v>
      </c>
      <c r="C137" s="484">
        <f t="shared" si="81"/>
        <v>0</v>
      </c>
      <c r="D137" s="402">
        <f t="shared" si="81"/>
        <v>0</v>
      </c>
      <c r="E137" s="380"/>
      <c r="F137" s="388"/>
      <c r="G137" s="380"/>
      <c r="H137" s="389"/>
      <c r="I137" s="380"/>
      <c r="J137" s="389"/>
      <c r="K137" s="380"/>
      <c r="L137" s="389"/>
      <c r="M137" s="380"/>
      <c r="N137" s="389"/>
      <c r="O137" s="380"/>
      <c r="P137" s="389"/>
      <c r="Q137" s="429"/>
      <c r="R137" s="389"/>
      <c r="S137" s="380"/>
      <c r="T137" s="389"/>
      <c r="U137" s="380"/>
      <c r="V137" s="389"/>
      <c r="W137" s="380"/>
      <c r="X137" s="389"/>
      <c r="Y137" s="380"/>
      <c r="Z137" s="389"/>
      <c r="AA137" s="380"/>
      <c r="AB137" s="389"/>
      <c r="AC137" s="380"/>
      <c r="AD137" s="389"/>
      <c r="AE137" s="380"/>
      <c r="AF137" s="389"/>
      <c r="AG137" s="380"/>
      <c r="AH137" s="389"/>
      <c r="AI137" s="380"/>
      <c r="AJ137" s="389"/>
      <c r="AK137" s="380"/>
      <c r="AL137" s="389"/>
      <c r="AM137" s="564"/>
      <c r="AN137" s="390"/>
      <c r="AO137" s="837"/>
      <c r="AP137" s="2681"/>
      <c r="AQ137" s="2681"/>
      <c r="AR137" s="838"/>
      <c r="AS137" t="str">
        <f t="shared" si="82"/>
        <v/>
      </c>
      <c r="BO137" s="83" t="str">
        <f t="shared" si="83"/>
        <v/>
      </c>
      <c r="BP137" s="83" t="str">
        <f t="shared" si="84"/>
        <v/>
      </c>
      <c r="BQ137" s="83" t="str">
        <f t="shared" si="85"/>
        <v/>
      </c>
      <c r="BR137" s="83" t="str">
        <f t="shared" si="86"/>
        <v/>
      </c>
      <c r="BU137" s="2662">
        <f t="shared" si="87"/>
        <v>0</v>
      </c>
      <c r="BV137" s="2662">
        <f t="shared" si="88"/>
        <v>0</v>
      </c>
      <c r="BW137" s="2662">
        <f t="shared" si="89"/>
        <v>0</v>
      </c>
      <c r="BX137" s="2662">
        <f t="shared" si="90"/>
        <v>0</v>
      </c>
    </row>
    <row r="138" spans="1:76" ht="18" customHeight="1" x14ac:dyDescent="0.3">
      <c r="A138" s="3" t="s">
        <v>602</v>
      </c>
      <c r="B138" s="2869"/>
      <c r="C138" s="2869"/>
      <c r="D138" s="24"/>
      <c r="E138" s="2869"/>
      <c r="F138" s="24"/>
      <c r="G138" s="24"/>
      <c r="H138" s="24"/>
      <c r="I138" s="24"/>
      <c r="J138" s="24"/>
      <c r="K138" s="24"/>
    </row>
    <row r="139" spans="1:76" ht="15" customHeight="1" x14ac:dyDescent="0.3">
      <c r="A139" s="5839" t="s">
        <v>603</v>
      </c>
      <c r="B139" s="5840"/>
      <c r="C139" s="6176" t="s">
        <v>77</v>
      </c>
      <c r="D139" s="6143" t="s">
        <v>29</v>
      </c>
      <c r="E139" s="6178"/>
      <c r="F139" s="6178"/>
      <c r="G139" s="6178"/>
      <c r="H139" s="6180"/>
      <c r="I139" s="5839" t="s">
        <v>453</v>
      </c>
      <c r="J139" s="5831" t="s">
        <v>36</v>
      </c>
      <c r="K139" s="5840" t="s">
        <v>37</v>
      </c>
    </row>
    <row r="140" spans="1:76" ht="35.4" customHeight="1" x14ac:dyDescent="0.3">
      <c r="A140" s="6181"/>
      <c r="B140" s="6182"/>
      <c r="C140" s="6116"/>
      <c r="D140" s="2870" t="s">
        <v>604</v>
      </c>
      <c r="E140" s="555" t="s">
        <v>605</v>
      </c>
      <c r="F140" s="555" t="s">
        <v>606</v>
      </c>
      <c r="G140" s="555" t="s">
        <v>607</v>
      </c>
      <c r="H140" s="2855" t="s">
        <v>608</v>
      </c>
      <c r="I140" s="6181"/>
      <c r="J140" s="5767"/>
      <c r="K140" s="6182"/>
    </row>
    <row r="141" spans="1:76" ht="15" customHeight="1" x14ac:dyDescent="0.3">
      <c r="A141" s="6184" t="s">
        <v>609</v>
      </c>
      <c r="B141" s="2871" t="s">
        <v>610</v>
      </c>
      <c r="C141" s="471">
        <f>SUM(D141:H141)</f>
        <v>0</v>
      </c>
      <c r="D141" s="2872"/>
      <c r="E141" s="2873"/>
      <c r="F141" s="2873"/>
      <c r="G141" s="2873"/>
      <c r="H141" s="2874"/>
      <c r="I141" s="2875"/>
      <c r="J141" s="2876"/>
      <c r="K141" s="2877"/>
      <c r="L141" t="str">
        <f>BO141&amp;BP141&amp;BQ141</f>
        <v/>
      </c>
      <c r="BO141" s="19"/>
      <c r="BP141" s="2707" t="str">
        <f>IF(AND(C141&gt;0,J141="")," * No olvide digitar la variable Pueblos originarios. Digite Cero si no tiene.",IF(J141&gt;C141," * La variable Pueblos originarios No puede ser mayor al Total.",""))</f>
        <v/>
      </c>
      <c r="BQ141" s="2707" t="str">
        <f>IF(AND(C141&gt;0,K141="")," * No olvide digitar la variable Migrantes. Digite Cero si no tiene.",IF(K141&gt;C141," * La variable Migrantes No puede ser mayor al Total.",""))</f>
        <v/>
      </c>
      <c r="BV141" s="2662">
        <f>IF(AND(C141&gt;0,J141=""),1,IF(J141&gt;C141,1,0))</f>
        <v>0</v>
      </c>
      <c r="BW141" s="2662">
        <f>IF(AND(C141&gt;0,K141=""),1,IF(K141&gt;C141,1,0))</f>
        <v>0</v>
      </c>
    </row>
    <row r="142" spans="1:76" ht="24" customHeight="1" x14ac:dyDescent="0.3">
      <c r="A142" s="5844"/>
      <c r="B142" s="2284" t="s">
        <v>611</v>
      </c>
      <c r="C142" s="478">
        <f>SUM(D142:H142)</f>
        <v>0</v>
      </c>
      <c r="D142" s="2878"/>
      <c r="E142" s="2879"/>
      <c r="F142" s="2879"/>
      <c r="G142" s="2879"/>
      <c r="H142" s="2880"/>
      <c r="I142" s="2875"/>
      <c r="J142" s="2881"/>
      <c r="K142" s="2882"/>
      <c r="L142" t="str">
        <f t="shared" ref="L142:L145" si="91">BO142&amp;BP142&amp;BQ142</f>
        <v/>
      </c>
      <c r="BO142" s="19"/>
      <c r="BP142" s="2707" t="str">
        <f t="shared" ref="BP142:BP149" si="92">IF(AND(C142&gt;0,J142="")," * No olvide digitar la variable Pueblos originarios. Digite Cero si no tiene.",IF(J142&gt;C142," * La variable Pueblos originarios No puede ser mayor al Total.",""))</f>
        <v/>
      </c>
      <c r="BQ142" s="2707" t="str">
        <f t="shared" ref="BQ142:BQ149" si="93">IF(AND(C142&gt;0,K142="")," * No olvide digitar la variable Migrantes. Digite Cero si no tiene.",IF(K142&gt;C142," * La variable Migrantes No puede ser mayor al Total.",""))</f>
        <v/>
      </c>
      <c r="BV142" s="2662">
        <f t="shared" ref="BV142:BV149" si="94">IF(AND(C142&gt;0,J142=""),1,IF(J142&gt;C142,1,0))</f>
        <v>0</v>
      </c>
      <c r="BW142" s="2662">
        <f t="shared" ref="BW142:BW149" si="95">IF(AND(C142&gt;0,K142=""),1,IF(K142&gt;C142,1,0))</f>
        <v>0</v>
      </c>
    </row>
    <row r="143" spans="1:76" ht="15" customHeight="1" x14ac:dyDescent="0.3">
      <c r="A143" s="5791"/>
      <c r="B143" s="2019" t="s">
        <v>612</v>
      </c>
      <c r="C143" s="562">
        <f>SUM(D143:H143)</f>
        <v>0</v>
      </c>
      <c r="D143" s="2883"/>
      <c r="E143" s="2884"/>
      <c r="F143" s="2884"/>
      <c r="G143" s="2884"/>
      <c r="H143" s="2885"/>
      <c r="I143" s="2875"/>
      <c r="J143" s="2886"/>
      <c r="K143" s="2887"/>
      <c r="L143" t="str">
        <f t="shared" si="91"/>
        <v/>
      </c>
      <c r="BO143" s="19"/>
      <c r="BP143" s="2707" t="str">
        <f t="shared" si="92"/>
        <v/>
      </c>
      <c r="BQ143" s="2707" t="str">
        <f t="shared" si="93"/>
        <v/>
      </c>
      <c r="BV143" s="2662">
        <f t="shared" si="94"/>
        <v>0</v>
      </c>
      <c r="BW143" s="2662">
        <f t="shared" si="95"/>
        <v>0</v>
      </c>
    </row>
    <row r="144" spans="1:76" ht="23.25" customHeight="1" x14ac:dyDescent="0.3">
      <c r="A144" s="6185" t="s">
        <v>613</v>
      </c>
      <c r="B144" s="2888" t="s">
        <v>614</v>
      </c>
      <c r="C144" s="471">
        <f>SUM(I144)</f>
        <v>0</v>
      </c>
      <c r="D144" s="2845"/>
      <c r="E144" s="2889"/>
      <c r="F144" s="2889"/>
      <c r="G144" s="2889"/>
      <c r="H144" s="2890"/>
      <c r="I144" s="2891"/>
      <c r="J144" s="2892"/>
      <c r="K144" s="2893"/>
      <c r="L144" t="str">
        <f t="shared" si="91"/>
        <v/>
      </c>
      <c r="BO144" s="83" t="str">
        <f>IF(AND(C144&gt;0,I144="")," * No olvide digitar la variable Gestantes. Digite Cero si no tiene.",IF(I144&gt;C144,"  * La variable Pueblos Gestantes No puede ser mayor al Total.",""))</f>
        <v/>
      </c>
      <c r="BP144" s="2707" t="str">
        <f t="shared" si="92"/>
        <v/>
      </c>
      <c r="BQ144" s="2707" t="str">
        <f t="shared" si="93"/>
        <v/>
      </c>
      <c r="BU144" s="2662">
        <f>IF(AND(C144&gt;0,I144=""),1,IF(I144&gt;C144,1,0))</f>
        <v>0</v>
      </c>
      <c r="BV144" s="2662">
        <f t="shared" si="94"/>
        <v>0</v>
      </c>
      <c r="BW144" s="2662">
        <f t="shared" si="95"/>
        <v>0</v>
      </c>
    </row>
    <row r="145" spans="1:75" ht="25.5" customHeight="1" x14ac:dyDescent="0.3">
      <c r="A145" s="5791"/>
      <c r="B145" s="2894" t="s">
        <v>615</v>
      </c>
      <c r="C145" s="562">
        <f>SUM(D145:H145)</f>
        <v>0</v>
      </c>
      <c r="D145" s="2895"/>
      <c r="E145" s="2896"/>
      <c r="F145" s="2896"/>
      <c r="G145" s="2896"/>
      <c r="H145" s="2897"/>
      <c r="I145" s="2898"/>
      <c r="J145" s="2886"/>
      <c r="K145" s="2887"/>
      <c r="L145" t="str">
        <f t="shared" si="91"/>
        <v/>
      </c>
      <c r="BO145" s="19"/>
      <c r="BP145" s="2707" t="str">
        <f t="shared" si="92"/>
        <v/>
      </c>
      <c r="BQ145" s="2707" t="str">
        <f t="shared" si="93"/>
        <v/>
      </c>
      <c r="BV145" s="2662">
        <f t="shared" si="94"/>
        <v>0</v>
      </c>
      <c r="BW145" s="2662">
        <f t="shared" si="95"/>
        <v>0</v>
      </c>
    </row>
    <row r="146" spans="1:75" ht="15" customHeight="1" x14ac:dyDescent="0.3">
      <c r="A146" s="5844" t="s">
        <v>616</v>
      </c>
      <c r="B146" s="250" t="s">
        <v>64</v>
      </c>
      <c r="C146" s="300">
        <f>SUM(D146:I146)</f>
        <v>0</v>
      </c>
      <c r="D146" s="2899"/>
      <c r="E146" s="2900"/>
      <c r="F146" s="2900"/>
      <c r="G146" s="2900"/>
      <c r="H146" s="2874"/>
      <c r="I146" s="2901"/>
      <c r="J146" s="2902"/>
      <c r="K146" s="2903"/>
      <c r="L146" t="str">
        <f>BO146&amp;BP146&amp;BQ146</f>
        <v/>
      </c>
      <c r="BO146" s="2707" t="str">
        <f>IF(AND(C146&gt;0,I146="")," * No olvide digitar la variable Gestantes. Digite Cero si no tiene.",IF(I146&gt;C146," * La variable Gestantes No puede ser mayor al Total.",""))</f>
        <v/>
      </c>
      <c r="BP146" s="2707" t="str">
        <f t="shared" si="92"/>
        <v/>
      </c>
      <c r="BQ146" s="2707" t="str">
        <f t="shared" si="93"/>
        <v/>
      </c>
      <c r="BR146" t="str">
        <f>IF(AND(C146&gt;0,I146="")," * No olvide digitar la variable Gestantes. Digite Cero si no tiene.",IF(I146&gt;C146," * La variable Gestantes No puede ser mayor al Total.",""))</f>
        <v/>
      </c>
      <c r="BU146" s="2662">
        <f>IF(AND(C146&gt;0,I146=""),1,IF(I146&gt;C146,1,0))</f>
        <v>0</v>
      </c>
      <c r="BV146" s="2662">
        <f>IF(AND(C146&gt;0,J146=""),1,IF(J146&gt;C146,1,0))</f>
        <v>0</v>
      </c>
      <c r="BW146" s="2662">
        <f>IF(AND(C146&gt;0,K146=""),1,IF(K146&gt;C146,1,0))</f>
        <v>0</v>
      </c>
    </row>
    <row r="147" spans="1:75" ht="15" customHeight="1" x14ac:dyDescent="0.3">
      <c r="A147" s="5844"/>
      <c r="B147" s="250" t="s">
        <v>65</v>
      </c>
      <c r="C147" s="300">
        <f>SUM(D147:I147)</f>
        <v>0</v>
      </c>
      <c r="D147" s="2899"/>
      <c r="E147" s="2900"/>
      <c r="F147" s="2900"/>
      <c r="G147" s="2900"/>
      <c r="H147" s="2904"/>
      <c r="I147" s="2901"/>
      <c r="J147" s="2902"/>
      <c r="K147" s="2903"/>
      <c r="L147" t="str">
        <f t="shared" ref="L147:L149" si="96">BO147&amp;BP147&amp;BQ147</f>
        <v/>
      </c>
      <c r="BO147" s="2707" t="str">
        <f t="shared" ref="BO147:BO149" si="97">IF(AND(C147&gt;0,I147="")," * No olvide digitar la variable Gestantes. Digite Cero si no tiene.",IF(I147&gt;C147," * La variable Gestantes No puede ser mayor al Total.",""))</f>
        <v/>
      </c>
      <c r="BP147" s="2707" t="str">
        <f t="shared" si="92"/>
        <v/>
      </c>
      <c r="BQ147" s="2707" t="str">
        <f t="shared" si="93"/>
        <v/>
      </c>
      <c r="BU147" s="2662">
        <f>IF(AND(C147&gt;0,I147=""),1,IF(I147&gt;C147,1,0))</f>
        <v>0</v>
      </c>
      <c r="BV147" s="2662">
        <f t="shared" si="94"/>
        <v>0</v>
      </c>
      <c r="BW147" s="2662">
        <f t="shared" si="95"/>
        <v>0</v>
      </c>
    </row>
    <row r="148" spans="1:75" ht="15" customHeight="1" x14ac:dyDescent="0.3">
      <c r="A148" s="5844"/>
      <c r="B148" s="344" t="s">
        <v>98</v>
      </c>
      <c r="C148" s="300">
        <f>SUM(D148:I148)</f>
        <v>0</v>
      </c>
      <c r="D148" s="2878"/>
      <c r="E148" s="2879"/>
      <c r="F148" s="2879"/>
      <c r="G148" s="2879"/>
      <c r="H148" s="2880"/>
      <c r="I148" s="2905"/>
      <c r="J148" s="2881"/>
      <c r="K148" s="2882"/>
      <c r="L148" t="str">
        <f t="shared" si="96"/>
        <v/>
      </c>
      <c r="BO148" s="2707" t="str">
        <f t="shared" si="97"/>
        <v/>
      </c>
      <c r="BP148" s="2707" t="str">
        <f t="shared" si="92"/>
        <v/>
      </c>
      <c r="BQ148" s="2707" t="str">
        <f t="shared" si="93"/>
        <v/>
      </c>
      <c r="BU148" s="2662">
        <f>IF(AND(C148&gt;0,I148=""),1,IF(I148&gt;C148,1,0))</f>
        <v>0</v>
      </c>
      <c r="BV148" s="2662">
        <f t="shared" si="94"/>
        <v>0</v>
      </c>
      <c r="BW148" s="2662">
        <f t="shared" si="95"/>
        <v>0</v>
      </c>
    </row>
    <row r="149" spans="1:75" ht="15" customHeight="1" x14ac:dyDescent="0.3">
      <c r="A149" s="5791"/>
      <c r="B149" s="518" t="s">
        <v>534</v>
      </c>
      <c r="C149" s="519">
        <f>SUM(D149:I149)</f>
        <v>0</v>
      </c>
      <c r="D149" s="2883"/>
      <c r="E149" s="2884"/>
      <c r="F149" s="2884"/>
      <c r="G149" s="2884"/>
      <c r="H149" s="2885"/>
      <c r="I149" s="2906"/>
      <c r="J149" s="2886"/>
      <c r="K149" s="2887"/>
      <c r="L149" t="str">
        <f t="shared" si="96"/>
        <v/>
      </c>
      <c r="BO149" s="2707" t="str">
        <f t="shared" si="97"/>
        <v/>
      </c>
      <c r="BP149" s="2707" t="str">
        <f t="shared" si="92"/>
        <v/>
      </c>
      <c r="BQ149" s="2707" t="str">
        <f t="shared" si="93"/>
        <v/>
      </c>
      <c r="BU149" s="2662">
        <f>IF(AND(C149&gt;0,I149=""),1,IF(I149&gt;C149,1,0))</f>
        <v>0</v>
      </c>
      <c r="BV149" s="2662">
        <f t="shared" si="94"/>
        <v>0</v>
      </c>
      <c r="BW149" s="2662">
        <f t="shared" si="95"/>
        <v>0</v>
      </c>
    </row>
    <row r="150" spans="1:75" ht="18" customHeight="1" x14ac:dyDescent="0.3">
      <c r="A150" s="3" t="s">
        <v>617</v>
      </c>
      <c r="AN150" s="88"/>
      <c r="AO150" s="88"/>
    </row>
    <row r="151" spans="1:75" ht="15" customHeight="1" x14ac:dyDescent="0.3">
      <c r="A151" s="5874" t="s">
        <v>27</v>
      </c>
      <c r="B151" s="5874" t="s">
        <v>618</v>
      </c>
      <c r="C151" s="6186" t="s">
        <v>79</v>
      </c>
      <c r="D151" s="5836" t="s">
        <v>58</v>
      </c>
      <c r="E151" s="5840" t="s">
        <v>59</v>
      </c>
      <c r="F151" s="6193" t="s">
        <v>101</v>
      </c>
      <c r="G151" s="6194"/>
      <c r="H151" s="6194"/>
      <c r="I151" s="6194"/>
      <c r="J151" s="6194"/>
      <c r="K151" s="6194"/>
      <c r="L151" s="6194"/>
      <c r="M151" s="6194"/>
      <c r="N151" s="6194"/>
      <c r="O151" s="6194"/>
      <c r="P151" s="6194"/>
      <c r="Q151" s="6194"/>
      <c r="R151" s="6194"/>
      <c r="S151" s="6194"/>
      <c r="T151" s="6194"/>
      <c r="U151" s="6194"/>
      <c r="V151" s="6194"/>
      <c r="W151" s="6194"/>
      <c r="X151" s="6194"/>
      <c r="Y151" s="6194"/>
      <c r="Z151" s="6194"/>
      <c r="AA151" s="6194"/>
      <c r="AB151" s="6194"/>
      <c r="AC151" s="6194"/>
      <c r="AD151" s="6194"/>
      <c r="AE151" s="6194"/>
      <c r="AF151" s="6194"/>
      <c r="AG151" s="6194"/>
      <c r="AH151" s="6194"/>
      <c r="AI151" s="6194"/>
      <c r="AJ151" s="6194"/>
      <c r="AK151" s="6194"/>
      <c r="AL151" s="6194"/>
      <c r="AM151" s="6195"/>
      <c r="AN151" s="5836" t="s">
        <v>36</v>
      </c>
      <c r="AO151" s="5840" t="s">
        <v>37</v>
      </c>
    </row>
    <row r="152" spans="1:75" ht="15" customHeight="1" x14ac:dyDescent="0.3">
      <c r="A152" s="5876"/>
      <c r="B152" s="5876"/>
      <c r="C152" s="5834"/>
      <c r="D152" s="5837"/>
      <c r="E152" s="6063"/>
      <c r="F152" s="6137" t="s">
        <v>343</v>
      </c>
      <c r="G152" s="6183"/>
      <c r="H152" s="6137" t="s">
        <v>326</v>
      </c>
      <c r="I152" s="6183"/>
      <c r="J152" s="6137" t="s">
        <v>94</v>
      </c>
      <c r="K152" s="6183"/>
      <c r="L152" s="6137" t="s">
        <v>44</v>
      </c>
      <c r="M152" s="6183"/>
      <c r="N152" s="6137" t="s">
        <v>45</v>
      </c>
      <c r="O152" s="6183"/>
      <c r="P152" s="6188" t="s">
        <v>46</v>
      </c>
      <c r="Q152" s="6183"/>
      <c r="R152" s="6137" t="s">
        <v>47</v>
      </c>
      <c r="S152" s="6183"/>
      <c r="T152" s="6137" t="s">
        <v>48</v>
      </c>
      <c r="U152" s="6183"/>
      <c r="V152" s="6137" t="s">
        <v>49</v>
      </c>
      <c r="W152" s="6183"/>
      <c r="X152" s="6137" t="s">
        <v>50</v>
      </c>
      <c r="Y152" s="6183"/>
      <c r="Z152" s="6137" t="s">
        <v>51</v>
      </c>
      <c r="AA152" s="6183"/>
      <c r="AB152" s="6137" t="s">
        <v>52</v>
      </c>
      <c r="AC152" s="6183"/>
      <c r="AD152" s="6137" t="s">
        <v>53</v>
      </c>
      <c r="AE152" s="6183"/>
      <c r="AF152" s="6137" t="s">
        <v>54</v>
      </c>
      <c r="AG152" s="6183"/>
      <c r="AH152" s="6137" t="s">
        <v>55</v>
      </c>
      <c r="AI152" s="6183"/>
      <c r="AJ152" s="6137" t="s">
        <v>56</v>
      </c>
      <c r="AK152" s="6183"/>
      <c r="AL152" s="6137" t="s">
        <v>57</v>
      </c>
      <c r="AM152" s="6187"/>
      <c r="AN152" s="5837"/>
      <c r="AO152" s="6063"/>
    </row>
    <row r="153" spans="1:75" ht="15" customHeight="1" x14ac:dyDescent="0.3">
      <c r="A153" s="5878"/>
      <c r="B153" s="5878"/>
      <c r="C153" s="5835"/>
      <c r="D153" s="5838"/>
      <c r="E153" s="5842"/>
      <c r="F153" s="468" t="s">
        <v>461</v>
      </c>
      <c r="G153" s="469" t="s">
        <v>59</v>
      </c>
      <c r="H153" s="468" t="s">
        <v>461</v>
      </c>
      <c r="I153" s="469" t="s">
        <v>59</v>
      </c>
      <c r="J153" s="468" t="s">
        <v>461</v>
      </c>
      <c r="K153" s="469" t="s">
        <v>59</v>
      </c>
      <c r="L153" s="468" t="s">
        <v>461</v>
      </c>
      <c r="M153" s="469" t="s">
        <v>59</v>
      </c>
      <c r="N153" s="468" t="s">
        <v>461</v>
      </c>
      <c r="O153" s="469" t="s">
        <v>59</v>
      </c>
      <c r="P153" s="468" t="s">
        <v>461</v>
      </c>
      <c r="Q153" s="469" t="s">
        <v>59</v>
      </c>
      <c r="R153" s="468" t="s">
        <v>461</v>
      </c>
      <c r="S153" s="469" t="s">
        <v>59</v>
      </c>
      <c r="T153" s="468" t="s">
        <v>461</v>
      </c>
      <c r="U153" s="469" t="s">
        <v>59</v>
      </c>
      <c r="V153" s="468" t="s">
        <v>461</v>
      </c>
      <c r="W153" s="469" t="s">
        <v>59</v>
      </c>
      <c r="X153" s="468" t="s">
        <v>461</v>
      </c>
      <c r="Y153" s="469" t="s">
        <v>59</v>
      </c>
      <c r="Z153" s="468" t="s">
        <v>461</v>
      </c>
      <c r="AA153" s="469" t="s">
        <v>59</v>
      </c>
      <c r="AB153" s="468" t="s">
        <v>461</v>
      </c>
      <c r="AC153" s="469" t="s">
        <v>59</v>
      </c>
      <c r="AD153" s="468" t="s">
        <v>461</v>
      </c>
      <c r="AE153" s="469" t="s">
        <v>59</v>
      </c>
      <c r="AF153" s="468" t="s">
        <v>461</v>
      </c>
      <c r="AG153" s="469" t="s">
        <v>59</v>
      </c>
      <c r="AH153" s="468" t="s">
        <v>461</v>
      </c>
      <c r="AI153" s="469" t="s">
        <v>59</v>
      </c>
      <c r="AJ153" s="468" t="s">
        <v>461</v>
      </c>
      <c r="AK153" s="469" t="s">
        <v>59</v>
      </c>
      <c r="AL153" s="468" t="s">
        <v>461</v>
      </c>
      <c r="AM153" s="470" t="s">
        <v>59</v>
      </c>
      <c r="AN153" s="5838"/>
      <c r="AO153" s="5842"/>
    </row>
    <row r="154" spans="1:75" ht="15" customHeight="1" x14ac:dyDescent="0.3">
      <c r="A154" s="6185" t="s">
        <v>64</v>
      </c>
      <c r="B154" s="492" t="s">
        <v>619</v>
      </c>
      <c r="C154" s="471">
        <f>SUM(D154:E154)</f>
        <v>0</v>
      </c>
      <c r="D154" s="472">
        <f>+F154+H154+J154+L154+N154+P154+R154+T154+V154+X154+Z154+AB154+AD154+AF154+AH154+AJ154+AL154</f>
        <v>0</v>
      </c>
      <c r="E154" s="473">
        <f>+G154+I154+K154+M154+O154+Q154+S154+U154+W154+Y154+AA154+AC154+AE154+AG154+AI154+AK154+AM154</f>
        <v>0</v>
      </c>
      <c r="F154" s="474"/>
      <c r="G154" s="475"/>
      <c r="H154" s="474"/>
      <c r="I154" s="475"/>
      <c r="J154" s="474"/>
      <c r="K154" s="475"/>
      <c r="L154" s="474"/>
      <c r="M154" s="475"/>
      <c r="N154" s="474"/>
      <c r="O154" s="475"/>
      <c r="P154" s="474"/>
      <c r="Q154" s="475"/>
      <c r="R154" s="474"/>
      <c r="S154" s="475"/>
      <c r="T154" s="474"/>
      <c r="U154" s="475"/>
      <c r="V154" s="474"/>
      <c r="W154" s="475"/>
      <c r="X154" s="474"/>
      <c r="Y154" s="475"/>
      <c r="Z154" s="474"/>
      <c r="AA154" s="475"/>
      <c r="AB154" s="474"/>
      <c r="AC154" s="475"/>
      <c r="AD154" s="474"/>
      <c r="AE154" s="475"/>
      <c r="AF154" s="474"/>
      <c r="AG154" s="475"/>
      <c r="AH154" s="474"/>
      <c r="AI154" s="475"/>
      <c r="AJ154" s="474"/>
      <c r="AK154" s="475"/>
      <c r="AL154" s="474"/>
      <c r="AM154" s="476"/>
      <c r="AN154" s="477"/>
      <c r="AO154" s="475"/>
      <c r="AP154" t="str">
        <f>BO154&amp;BP154</f>
        <v/>
      </c>
      <c r="BO154" s="83" t="str">
        <f>IF(AND(C154&gt;0,AN154=""),"  * No olvide digitar la variable Pueblos originarios. Digite Cero si no tiene.",IF(AN154&gt;C154,"  * La variable Pueblos originarios No puede ser mayor al Total.",""))</f>
        <v/>
      </c>
      <c r="BP154" s="83" t="str">
        <f>IF(AND(C154&gt;0,AO154=""),"  * No olvide digitar la variable Migrantes. Digite Cero si no tiene.",IF(AO154&gt;C154,"  * La variable Migrantes No puede ser mayor al Total.",""))</f>
        <v/>
      </c>
      <c r="BQ154" s="2707"/>
      <c r="BR154" s="2707"/>
      <c r="BS154" s="2707"/>
      <c r="BU154" s="2662">
        <f>IF(AND(C154&gt;0,AN154=""),1,IF(AN154&gt;C154,1,0))</f>
        <v>0</v>
      </c>
      <c r="BV154" s="2662">
        <f>IF(AND(C154&gt;0,AO154=""),1,IF(AO154&gt;C154,1,0))</f>
        <v>0</v>
      </c>
    </row>
    <row r="155" spans="1:75" ht="15" customHeight="1" x14ac:dyDescent="0.3">
      <c r="A155" s="5844"/>
      <c r="B155" s="358" t="s">
        <v>620</v>
      </c>
      <c r="C155" s="478">
        <f>SUM(D155:E155)</f>
        <v>0</v>
      </c>
      <c r="D155" s="479">
        <f t="shared" ref="D155:E167" si="98">+F155+H155+J155+L155+N155+P155+R155+T155+V155+X155+Z155+AB155+AD155+AF155+AH155+AJ155+AL155</f>
        <v>0</v>
      </c>
      <c r="E155" s="480">
        <f t="shared" si="98"/>
        <v>0</v>
      </c>
      <c r="F155" s="290"/>
      <c r="G155" s="107"/>
      <c r="H155" s="290"/>
      <c r="I155" s="107"/>
      <c r="J155" s="290"/>
      <c r="K155" s="107"/>
      <c r="L155" s="290"/>
      <c r="M155" s="107"/>
      <c r="N155" s="290"/>
      <c r="O155" s="107"/>
      <c r="P155" s="290"/>
      <c r="Q155" s="107"/>
      <c r="R155" s="290"/>
      <c r="S155" s="107"/>
      <c r="T155" s="290"/>
      <c r="U155" s="107"/>
      <c r="V155" s="290"/>
      <c r="W155" s="107"/>
      <c r="X155" s="290"/>
      <c r="Y155" s="107"/>
      <c r="Z155" s="290"/>
      <c r="AA155" s="107"/>
      <c r="AB155" s="290"/>
      <c r="AC155" s="107"/>
      <c r="AD155" s="290"/>
      <c r="AE155" s="107"/>
      <c r="AF155" s="290"/>
      <c r="AG155" s="107"/>
      <c r="AH155" s="290"/>
      <c r="AI155" s="107"/>
      <c r="AJ155" s="290"/>
      <c r="AK155" s="107"/>
      <c r="AL155" s="290"/>
      <c r="AM155" s="61"/>
      <c r="AN155" s="22"/>
      <c r="AO155" s="107"/>
      <c r="AP155" t="str">
        <f t="shared" ref="AP155:AP167" si="99">BO155&amp;BP155</f>
        <v/>
      </c>
      <c r="BO155" s="83" t="str">
        <f t="shared" ref="BO155:BO167" si="100">IF(AND(C155&gt;0,AN155=""),"  * No olvide digitar la variable Pueblos originarios. Digite Cero si no tiene.",IF(AN155&gt;C155,"  * La variable Pueblos originarios No puede ser mayor al Total.",""))</f>
        <v/>
      </c>
      <c r="BP155" s="83" t="str">
        <f t="shared" ref="BP155:BP167" si="101">IF(AND(C155&gt;0,AO155=""),"  * No olvide digitar la variable Migrantes. Digite Cero si no tiene.",IF(AO155&gt;C155,"  * La variable Migrantes No puede ser mayor al Total.",""))</f>
        <v/>
      </c>
      <c r="BQ155" s="2707"/>
      <c r="BR155" s="2707"/>
      <c r="BS155" s="2707"/>
      <c r="BU155" s="2662">
        <f t="shared" ref="BU155:BU167" si="102">IF(AND(C155&gt;0,AN155=""),1,IF(AN155&gt;C155,1,0))</f>
        <v>0</v>
      </c>
      <c r="BV155" s="2662">
        <f t="shared" ref="BV155:BV167" si="103">IF(AND(C155&gt;0,AO155=""),1,IF(AO155&gt;C155,1,0))</f>
        <v>0</v>
      </c>
    </row>
    <row r="156" spans="1:75" ht="15" customHeight="1" x14ac:dyDescent="0.3">
      <c r="A156" s="5844"/>
      <c r="B156" s="358" t="s">
        <v>621</v>
      </c>
      <c r="C156" s="478">
        <f t="shared" ref="C156:C167" si="104">SUM(D156:E156)</f>
        <v>0</v>
      </c>
      <c r="D156" s="479">
        <f t="shared" si="98"/>
        <v>0</v>
      </c>
      <c r="E156" s="480">
        <f t="shared" si="98"/>
        <v>0</v>
      </c>
      <c r="F156" s="346"/>
      <c r="G156" s="347"/>
      <c r="H156" s="346"/>
      <c r="I156" s="347"/>
      <c r="J156" s="346"/>
      <c r="K156" s="347"/>
      <c r="L156" s="346"/>
      <c r="M156" s="347"/>
      <c r="N156" s="346"/>
      <c r="O156" s="347"/>
      <c r="P156" s="346"/>
      <c r="Q156" s="347"/>
      <c r="R156" s="346"/>
      <c r="S156" s="347"/>
      <c r="T156" s="346"/>
      <c r="U156" s="347"/>
      <c r="V156" s="346"/>
      <c r="W156" s="347"/>
      <c r="X156" s="346"/>
      <c r="Y156" s="347"/>
      <c r="Z156" s="346"/>
      <c r="AA156" s="347"/>
      <c r="AB156" s="346"/>
      <c r="AC156" s="347"/>
      <c r="AD156" s="346"/>
      <c r="AE156" s="347"/>
      <c r="AF156" s="346"/>
      <c r="AG156" s="347"/>
      <c r="AH156" s="346"/>
      <c r="AI156" s="347"/>
      <c r="AJ156" s="346"/>
      <c r="AK156" s="347"/>
      <c r="AL156" s="346"/>
      <c r="AM156" s="481"/>
      <c r="AN156" s="348"/>
      <c r="AO156" s="347"/>
      <c r="AP156" t="str">
        <f t="shared" si="99"/>
        <v/>
      </c>
      <c r="BO156" s="83" t="str">
        <f t="shared" si="100"/>
        <v/>
      </c>
      <c r="BP156" s="83" t="str">
        <f t="shared" si="101"/>
        <v/>
      </c>
      <c r="BQ156" s="2707"/>
      <c r="BR156" s="2707"/>
      <c r="BS156" s="2707"/>
      <c r="BU156" s="2662">
        <f t="shared" si="102"/>
        <v>0</v>
      </c>
      <c r="BV156" s="2662">
        <f t="shared" si="103"/>
        <v>0</v>
      </c>
    </row>
    <row r="157" spans="1:75" ht="15" customHeight="1" x14ac:dyDescent="0.3">
      <c r="A157" s="5844"/>
      <c r="B157" s="358" t="s">
        <v>622</v>
      </c>
      <c r="C157" s="478">
        <f>SUM(D157:E157)</f>
        <v>0</v>
      </c>
      <c r="D157" s="479">
        <f t="shared" si="98"/>
        <v>0</v>
      </c>
      <c r="E157" s="480">
        <f t="shared" si="98"/>
        <v>0</v>
      </c>
      <c r="F157" s="346"/>
      <c r="G157" s="347"/>
      <c r="H157" s="346"/>
      <c r="I157" s="347"/>
      <c r="J157" s="346"/>
      <c r="K157" s="347"/>
      <c r="L157" s="346"/>
      <c r="M157" s="347"/>
      <c r="N157" s="346"/>
      <c r="O157" s="347"/>
      <c r="P157" s="346"/>
      <c r="Q157" s="347"/>
      <c r="R157" s="346"/>
      <c r="S157" s="347"/>
      <c r="T157" s="346"/>
      <c r="U157" s="347"/>
      <c r="V157" s="346"/>
      <c r="W157" s="347"/>
      <c r="X157" s="346"/>
      <c r="Y157" s="347"/>
      <c r="Z157" s="346"/>
      <c r="AA157" s="347"/>
      <c r="AB157" s="346"/>
      <c r="AC157" s="347"/>
      <c r="AD157" s="346"/>
      <c r="AE157" s="347"/>
      <c r="AF157" s="346"/>
      <c r="AG157" s="347"/>
      <c r="AH157" s="346"/>
      <c r="AI157" s="347"/>
      <c r="AJ157" s="346"/>
      <c r="AK157" s="347"/>
      <c r="AL157" s="346"/>
      <c r="AM157" s="481"/>
      <c r="AN157" s="348"/>
      <c r="AO157" s="347"/>
      <c r="AP157" t="str">
        <f t="shared" si="99"/>
        <v/>
      </c>
      <c r="BO157" s="83" t="str">
        <f t="shared" si="100"/>
        <v/>
      </c>
      <c r="BP157" s="83" t="str">
        <f t="shared" si="101"/>
        <v/>
      </c>
      <c r="BQ157" s="2707"/>
      <c r="BR157" s="2707"/>
      <c r="BS157" s="2707"/>
      <c r="BU157" s="2662">
        <f t="shared" si="102"/>
        <v>0</v>
      </c>
      <c r="BV157" s="2662">
        <f t="shared" si="103"/>
        <v>0</v>
      </c>
    </row>
    <row r="158" spans="1:75" ht="15" customHeight="1" x14ac:dyDescent="0.3">
      <c r="A158" s="5844"/>
      <c r="B158" s="358" t="s">
        <v>623</v>
      </c>
      <c r="C158" s="478">
        <f t="shared" si="104"/>
        <v>0</v>
      </c>
      <c r="D158" s="479">
        <f t="shared" si="98"/>
        <v>0</v>
      </c>
      <c r="E158" s="480">
        <f t="shared" si="98"/>
        <v>0</v>
      </c>
      <c r="F158" s="346"/>
      <c r="G158" s="347"/>
      <c r="H158" s="346"/>
      <c r="I158" s="347"/>
      <c r="J158" s="346"/>
      <c r="K158" s="347"/>
      <c r="L158" s="346"/>
      <c r="M158" s="347"/>
      <c r="N158" s="346"/>
      <c r="O158" s="347"/>
      <c r="P158" s="346"/>
      <c r="Q158" s="347"/>
      <c r="R158" s="346"/>
      <c r="S158" s="347"/>
      <c r="T158" s="346"/>
      <c r="U158" s="347"/>
      <c r="V158" s="346"/>
      <c r="W158" s="347"/>
      <c r="X158" s="346"/>
      <c r="Y158" s="347"/>
      <c r="Z158" s="346"/>
      <c r="AA158" s="347"/>
      <c r="AB158" s="346"/>
      <c r="AC158" s="347"/>
      <c r="AD158" s="346"/>
      <c r="AE158" s="347"/>
      <c r="AF158" s="346"/>
      <c r="AG158" s="347"/>
      <c r="AH158" s="346"/>
      <c r="AI158" s="347"/>
      <c r="AJ158" s="346"/>
      <c r="AK158" s="347"/>
      <c r="AL158" s="346"/>
      <c r="AM158" s="481"/>
      <c r="AN158" s="348"/>
      <c r="AO158" s="347"/>
      <c r="AP158" t="str">
        <f t="shared" si="99"/>
        <v/>
      </c>
      <c r="BO158" s="83" t="str">
        <f t="shared" si="100"/>
        <v/>
      </c>
      <c r="BP158" s="83" t="str">
        <f t="shared" si="101"/>
        <v/>
      </c>
      <c r="BQ158" s="2707"/>
      <c r="BR158" s="2707"/>
      <c r="BS158" s="2707"/>
      <c r="BU158" s="2662">
        <f t="shared" si="102"/>
        <v>0</v>
      </c>
      <c r="BV158" s="2662">
        <f t="shared" si="103"/>
        <v>0</v>
      </c>
    </row>
    <row r="159" spans="1:75" ht="15" customHeight="1" x14ac:dyDescent="0.3">
      <c r="A159" s="5844"/>
      <c r="B159" s="358" t="s">
        <v>624</v>
      </c>
      <c r="C159" s="478">
        <f t="shared" si="104"/>
        <v>0</v>
      </c>
      <c r="D159" s="479">
        <f t="shared" si="98"/>
        <v>0</v>
      </c>
      <c r="E159" s="480">
        <f t="shared" si="98"/>
        <v>0</v>
      </c>
      <c r="F159" s="192"/>
      <c r="G159" s="2"/>
      <c r="H159" s="192"/>
      <c r="I159" s="2"/>
      <c r="J159" s="192"/>
      <c r="K159" s="2"/>
      <c r="L159" s="192"/>
      <c r="M159" s="2"/>
      <c r="N159" s="192"/>
      <c r="O159" s="2"/>
      <c r="P159" s="192"/>
      <c r="Q159" s="2"/>
      <c r="R159" s="192"/>
      <c r="S159" s="2"/>
      <c r="T159" s="192"/>
      <c r="U159" s="2"/>
      <c r="V159" s="192"/>
      <c r="W159" s="2"/>
      <c r="X159" s="192"/>
      <c r="Y159" s="2"/>
      <c r="Z159" s="192"/>
      <c r="AA159" s="2"/>
      <c r="AB159" s="192"/>
      <c r="AC159" s="2"/>
      <c r="AD159" s="192"/>
      <c r="AE159" s="2"/>
      <c r="AF159" s="192"/>
      <c r="AG159" s="2"/>
      <c r="AH159" s="192"/>
      <c r="AI159" s="2"/>
      <c r="AJ159" s="192"/>
      <c r="AK159" s="2"/>
      <c r="AL159" s="192"/>
      <c r="AM159" s="376"/>
      <c r="AN159" s="482"/>
      <c r="AO159" s="2"/>
      <c r="AP159" t="str">
        <f t="shared" si="99"/>
        <v/>
      </c>
      <c r="BO159" s="83" t="str">
        <f t="shared" si="100"/>
        <v/>
      </c>
      <c r="BP159" s="83" t="str">
        <f t="shared" si="101"/>
        <v/>
      </c>
      <c r="BQ159" s="2707"/>
      <c r="BR159" s="2707"/>
      <c r="BS159" s="2707"/>
      <c r="BU159" s="2662">
        <f t="shared" si="102"/>
        <v>0</v>
      </c>
      <c r="BV159" s="2662">
        <f t="shared" si="103"/>
        <v>0</v>
      </c>
    </row>
    <row r="160" spans="1:75" ht="15" customHeight="1" x14ac:dyDescent="0.3">
      <c r="A160" s="5844"/>
      <c r="B160" s="358" t="s">
        <v>625</v>
      </c>
      <c r="C160" s="478">
        <f t="shared" si="104"/>
        <v>0</v>
      </c>
      <c r="D160" s="479">
        <f t="shared" si="98"/>
        <v>0</v>
      </c>
      <c r="E160" s="480">
        <f t="shared" si="98"/>
        <v>0</v>
      </c>
      <c r="F160" s="192"/>
      <c r="G160" s="2"/>
      <c r="H160" s="192"/>
      <c r="I160" s="2"/>
      <c r="J160" s="192"/>
      <c r="K160" s="2"/>
      <c r="L160" s="192"/>
      <c r="M160" s="2"/>
      <c r="N160" s="192"/>
      <c r="O160" s="2"/>
      <c r="P160" s="192"/>
      <c r="Q160" s="2"/>
      <c r="R160" s="192"/>
      <c r="S160" s="2"/>
      <c r="T160" s="192"/>
      <c r="U160" s="2"/>
      <c r="V160" s="192"/>
      <c r="W160" s="2"/>
      <c r="X160" s="192"/>
      <c r="Y160" s="2"/>
      <c r="Z160" s="192"/>
      <c r="AA160" s="2"/>
      <c r="AB160" s="192"/>
      <c r="AC160" s="2"/>
      <c r="AD160" s="192"/>
      <c r="AE160" s="2"/>
      <c r="AF160" s="192"/>
      <c r="AG160" s="2"/>
      <c r="AH160" s="192"/>
      <c r="AI160" s="2"/>
      <c r="AJ160" s="192"/>
      <c r="AK160" s="2"/>
      <c r="AL160" s="192"/>
      <c r="AM160" s="376"/>
      <c r="AN160" s="482"/>
      <c r="AO160" s="2"/>
      <c r="AP160" t="str">
        <f t="shared" si="99"/>
        <v/>
      </c>
      <c r="BO160" s="83" t="str">
        <f t="shared" si="100"/>
        <v/>
      </c>
      <c r="BP160" s="83" t="str">
        <f t="shared" si="101"/>
        <v/>
      </c>
      <c r="BQ160" s="2707"/>
      <c r="BR160" s="2707"/>
      <c r="BS160" s="2707"/>
      <c r="BU160" s="2662">
        <f t="shared" si="102"/>
        <v>0</v>
      </c>
      <c r="BV160" s="2662">
        <f t="shared" si="103"/>
        <v>0</v>
      </c>
    </row>
    <row r="161" spans="1:74" ht="15" customHeight="1" x14ac:dyDescent="0.3">
      <c r="A161" s="5791"/>
      <c r="B161" s="519" t="s">
        <v>626</v>
      </c>
      <c r="C161" s="483">
        <f t="shared" si="104"/>
        <v>0</v>
      </c>
      <c r="D161" s="484">
        <f t="shared" si="98"/>
        <v>0</v>
      </c>
      <c r="E161" s="485">
        <f t="shared" si="98"/>
        <v>0</v>
      </c>
      <c r="F161" s="380"/>
      <c r="G161" s="388"/>
      <c r="H161" s="380"/>
      <c r="I161" s="388"/>
      <c r="J161" s="380"/>
      <c r="K161" s="388"/>
      <c r="L161" s="380"/>
      <c r="M161" s="388"/>
      <c r="N161" s="380"/>
      <c r="O161" s="388"/>
      <c r="P161" s="380"/>
      <c r="Q161" s="388"/>
      <c r="R161" s="380"/>
      <c r="S161" s="388"/>
      <c r="T161" s="380"/>
      <c r="U161" s="388"/>
      <c r="V161" s="380"/>
      <c r="W161" s="388"/>
      <c r="X161" s="380"/>
      <c r="Y161" s="388"/>
      <c r="Z161" s="380"/>
      <c r="AA161" s="388"/>
      <c r="AB161" s="380"/>
      <c r="AC161" s="388"/>
      <c r="AD161" s="380"/>
      <c r="AE161" s="388"/>
      <c r="AF161" s="380"/>
      <c r="AG161" s="388"/>
      <c r="AH161" s="380"/>
      <c r="AI161" s="388"/>
      <c r="AJ161" s="380"/>
      <c r="AK161" s="388"/>
      <c r="AL161" s="380"/>
      <c r="AM161" s="392"/>
      <c r="AN161" s="429"/>
      <c r="AO161" s="388"/>
      <c r="AP161" t="str">
        <f t="shared" si="99"/>
        <v/>
      </c>
      <c r="BO161" s="83" t="str">
        <f t="shared" si="100"/>
        <v/>
      </c>
      <c r="BP161" s="83" t="str">
        <f t="shared" si="101"/>
        <v/>
      </c>
      <c r="BQ161" s="2707"/>
      <c r="BR161" s="2707"/>
      <c r="BS161" s="2707"/>
      <c r="BU161" s="2662">
        <f t="shared" si="102"/>
        <v>0</v>
      </c>
      <c r="BV161" s="2662">
        <f t="shared" si="103"/>
        <v>0</v>
      </c>
    </row>
    <row r="162" spans="1:74" ht="15" customHeight="1" x14ac:dyDescent="0.3">
      <c r="A162" s="6185" t="s">
        <v>98</v>
      </c>
      <c r="B162" s="492" t="s">
        <v>619</v>
      </c>
      <c r="C162" s="471">
        <f t="shared" si="104"/>
        <v>0</v>
      </c>
      <c r="D162" s="472">
        <f t="shared" si="98"/>
        <v>0</v>
      </c>
      <c r="E162" s="473">
        <f t="shared" si="98"/>
        <v>0</v>
      </c>
      <c r="F162" s="474"/>
      <c r="G162" s="475"/>
      <c r="H162" s="474"/>
      <c r="I162" s="475"/>
      <c r="J162" s="474"/>
      <c r="K162" s="475"/>
      <c r="L162" s="474"/>
      <c r="M162" s="475"/>
      <c r="N162" s="474"/>
      <c r="O162" s="475"/>
      <c r="P162" s="474"/>
      <c r="Q162" s="475"/>
      <c r="R162" s="474"/>
      <c r="S162" s="475"/>
      <c r="T162" s="474"/>
      <c r="U162" s="475"/>
      <c r="V162" s="474"/>
      <c r="W162" s="475"/>
      <c r="X162" s="474"/>
      <c r="Y162" s="475"/>
      <c r="Z162" s="474"/>
      <c r="AA162" s="475"/>
      <c r="AB162" s="474"/>
      <c r="AC162" s="475"/>
      <c r="AD162" s="474"/>
      <c r="AE162" s="475"/>
      <c r="AF162" s="474"/>
      <c r="AG162" s="475"/>
      <c r="AH162" s="474"/>
      <c r="AI162" s="475"/>
      <c r="AJ162" s="474"/>
      <c r="AK162" s="475"/>
      <c r="AL162" s="474"/>
      <c r="AM162" s="476"/>
      <c r="AN162" s="477"/>
      <c r="AO162" s="475"/>
      <c r="AP162" t="str">
        <f t="shared" si="99"/>
        <v/>
      </c>
      <c r="BO162" s="83" t="str">
        <f t="shared" si="100"/>
        <v/>
      </c>
      <c r="BP162" s="83" t="str">
        <f t="shared" si="101"/>
        <v/>
      </c>
      <c r="BQ162" s="2707"/>
      <c r="BR162" s="2707"/>
      <c r="BS162" s="2707"/>
      <c r="BU162" s="2662">
        <f t="shared" si="102"/>
        <v>0</v>
      </c>
      <c r="BV162" s="2662">
        <f t="shared" si="103"/>
        <v>0</v>
      </c>
    </row>
    <row r="163" spans="1:74" ht="15" customHeight="1" x14ac:dyDescent="0.3">
      <c r="A163" s="5844"/>
      <c r="B163" s="358" t="s">
        <v>621</v>
      </c>
      <c r="C163" s="478">
        <f t="shared" si="104"/>
        <v>0</v>
      </c>
      <c r="D163" s="479">
        <f t="shared" si="98"/>
        <v>0</v>
      </c>
      <c r="E163" s="480">
        <f>+G163+I163+K163+M163+O163+Q163+S163+U163+W163+Y163+AA163+AC163+AE163+AG163+AI163+AK163+AM163</f>
        <v>0</v>
      </c>
      <c r="F163" s="346"/>
      <c r="G163" s="347"/>
      <c r="H163" s="346"/>
      <c r="I163" s="347"/>
      <c r="J163" s="346"/>
      <c r="K163" s="347"/>
      <c r="L163" s="346"/>
      <c r="M163" s="347"/>
      <c r="N163" s="346"/>
      <c r="O163" s="347"/>
      <c r="P163" s="346"/>
      <c r="Q163" s="347"/>
      <c r="R163" s="346"/>
      <c r="S163" s="347"/>
      <c r="T163" s="346"/>
      <c r="U163" s="347"/>
      <c r="V163" s="346"/>
      <c r="W163" s="347"/>
      <c r="X163" s="346"/>
      <c r="Y163" s="347"/>
      <c r="Z163" s="346"/>
      <c r="AA163" s="347"/>
      <c r="AB163" s="346"/>
      <c r="AC163" s="347"/>
      <c r="AD163" s="346"/>
      <c r="AE163" s="347"/>
      <c r="AF163" s="346"/>
      <c r="AG163" s="347"/>
      <c r="AH163" s="346"/>
      <c r="AI163" s="347"/>
      <c r="AJ163" s="346"/>
      <c r="AK163" s="347"/>
      <c r="AL163" s="346"/>
      <c r="AM163" s="481"/>
      <c r="AN163" s="348"/>
      <c r="AO163" s="347"/>
      <c r="AP163" t="str">
        <f t="shared" si="99"/>
        <v/>
      </c>
      <c r="BO163" s="83" t="str">
        <f t="shared" si="100"/>
        <v/>
      </c>
      <c r="BP163" s="83" t="str">
        <f t="shared" si="101"/>
        <v/>
      </c>
      <c r="BQ163" s="2707"/>
      <c r="BR163" s="2707"/>
      <c r="BS163" s="2707"/>
      <c r="BU163" s="2662">
        <f t="shared" si="102"/>
        <v>0</v>
      </c>
      <c r="BV163" s="2662">
        <f t="shared" si="103"/>
        <v>0</v>
      </c>
    </row>
    <row r="164" spans="1:74" ht="15" customHeight="1" x14ac:dyDescent="0.3">
      <c r="A164" s="5844"/>
      <c r="B164" s="358" t="s">
        <v>622</v>
      </c>
      <c r="C164" s="478">
        <f>SUM(D164:E164)</f>
        <v>0</v>
      </c>
      <c r="D164" s="479">
        <f t="shared" si="98"/>
        <v>0</v>
      </c>
      <c r="E164" s="480">
        <f t="shared" si="98"/>
        <v>0</v>
      </c>
      <c r="F164" s="346"/>
      <c r="G164" s="347"/>
      <c r="H164" s="346"/>
      <c r="I164" s="347"/>
      <c r="J164" s="346"/>
      <c r="K164" s="347"/>
      <c r="L164" s="346"/>
      <c r="M164" s="347"/>
      <c r="N164" s="346"/>
      <c r="O164" s="347"/>
      <c r="P164" s="346"/>
      <c r="Q164" s="347"/>
      <c r="R164" s="346"/>
      <c r="S164" s="347"/>
      <c r="T164" s="346"/>
      <c r="U164" s="347"/>
      <c r="V164" s="346"/>
      <c r="W164" s="347"/>
      <c r="X164" s="346"/>
      <c r="Y164" s="347"/>
      <c r="Z164" s="346"/>
      <c r="AA164" s="347"/>
      <c r="AB164" s="346"/>
      <c r="AC164" s="347"/>
      <c r="AD164" s="346"/>
      <c r="AE164" s="347"/>
      <c r="AF164" s="346"/>
      <c r="AG164" s="347"/>
      <c r="AH164" s="346"/>
      <c r="AI164" s="347"/>
      <c r="AJ164" s="346"/>
      <c r="AK164" s="347"/>
      <c r="AL164" s="346"/>
      <c r="AM164" s="481"/>
      <c r="AN164" s="348"/>
      <c r="AO164" s="347"/>
      <c r="AP164" t="str">
        <f t="shared" si="99"/>
        <v/>
      </c>
      <c r="BO164" s="83" t="str">
        <f t="shared" si="100"/>
        <v/>
      </c>
      <c r="BP164" s="83" t="str">
        <f t="shared" si="101"/>
        <v/>
      </c>
      <c r="BQ164" s="2707"/>
      <c r="BR164" s="2707"/>
      <c r="BS164" s="2707"/>
      <c r="BU164" s="2662">
        <f t="shared" si="102"/>
        <v>0</v>
      </c>
      <c r="BV164" s="2662">
        <f t="shared" si="103"/>
        <v>0</v>
      </c>
    </row>
    <row r="165" spans="1:74" ht="15" customHeight="1" x14ac:dyDescent="0.3">
      <c r="A165" s="5844"/>
      <c r="B165" s="358" t="s">
        <v>623</v>
      </c>
      <c r="C165" s="478">
        <f t="shared" si="104"/>
        <v>0</v>
      </c>
      <c r="D165" s="479">
        <f>+F165+H165+J165+L165+N165+P165+R165+T165+V165+X165+Z165+AB165+AD165+AF165+AH165+AJ165+AL165</f>
        <v>0</v>
      </c>
      <c r="E165" s="480">
        <f t="shared" si="98"/>
        <v>0</v>
      </c>
      <c r="F165" s="346"/>
      <c r="G165" s="347"/>
      <c r="H165" s="346"/>
      <c r="I165" s="347"/>
      <c r="J165" s="346"/>
      <c r="K165" s="347"/>
      <c r="L165" s="346"/>
      <c r="M165" s="347"/>
      <c r="N165" s="346"/>
      <c r="O165" s="347"/>
      <c r="P165" s="346"/>
      <c r="Q165" s="347"/>
      <c r="R165" s="346"/>
      <c r="S165" s="347"/>
      <c r="T165" s="346"/>
      <c r="U165" s="347"/>
      <c r="V165" s="346"/>
      <c r="W165" s="347"/>
      <c r="X165" s="346"/>
      <c r="Y165" s="347"/>
      <c r="Z165" s="346"/>
      <c r="AA165" s="347"/>
      <c r="AB165" s="346"/>
      <c r="AC165" s="347"/>
      <c r="AD165" s="346"/>
      <c r="AE165" s="347"/>
      <c r="AF165" s="346"/>
      <c r="AG165" s="347"/>
      <c r="AH165" s="346"/>
      <c r="AI165" s="347"/>
      <c r="AJ165" s="346"/>
      <c r="AK165" s="347"/>
      <c r="AL165" s="346"/>
      <c r="AM165" s="481"/>
      <c r="AN165" s="348"/>
      <c r="AO165" s="347"/>
      <c r="AP165" t="str">
        <f t="shared" si="99"/>
        <v/>
      </c>
      <c r="BO165" s="83" t="str">
        <f t="shared" si="100"/>
        <v/>
      </c>
      <c r="BP165" s="83" t="str">
        <f t="shared" si="101"/>
        <v/>
      </c>
      <c r="BQ165" s="2707"/>
      <c r="BR165" s="2707"/>
      <c r="BS165" s="2707"/>
      <c r="BU165" s="2662">
        <f t="shared" si="102"/>
        <v>0</v>
      </c>
      <c r="BV165" s="2662">
        <f t="shared" si="103"/>
        <v>0</v>
      </c>
    </row>
    <row r="166" spans="1:74" ht="15" customHeight="1" x14ac:dyDescent="0.3">
      <c r="A166" s="5844"/>
      <c r="B166" s="358" t="s">
        <v>624</v>
      </c>
      <c r="C166" s="197">
        <f t="shared" si="104"/>
        <v>0</v>
      </c>
      <c r="D166" s="486">
        <f t="shared" si="98"/>
        <v>0</v>
      </c>
      <c r="E166" s="62">
        <f t="shared" si="98"/>
        <v>0</v>
      </c>
      <c r="F166" s="192"/>
      <c r="G166" s="2"/>
      <c r="H166" s="192"/>
      <c r="I166" s="2"/>
      <c r="J166" s="192"/>
      <c r="K166" s="2"/>
      <c r="L166" s="192"/>
      <c r="M166" s="2"/>
      <c r="N166" s="192"/>
      <c r="O166" s="2"/>
      <c r="P166" s="192"/>
      <c r="Q166" s="2"/>
      <c r="R166" s="192"/>
      <c r="S166" s="2"/>
      <c r="T166" s="192"/>
      <c r="U166" s="2"/>
      <c r="V166" s="192"/>
      <c r="W166" s="2"/>
      <c r="X166" s="192"/>
      <c r="Y166" s="2"/>
      <c r="Z166" s="192"/>
      <c r="AA166" s="2"/>
      <c r="AB166" s="192"/>
      <c r="AC166" s="2"/>
      <c r="AD166" s="192"/>
      <c r="AE166" s="2"/>
      <c r="AF166" s="192"/>
      <c r="AG166" s="2"/>
      <c r="AH166" s="192"/>
      <c r="AI166" s="2"/>
      <c r="AJ166" s="192"/>
      <c r="AK166" s="2"/>
      <c r="AL166" s="192"/>
      <c r="AM166" s="376"/>
      <c r="AN166" s="482"/>
      <c r="AO166" s="2"/>
      <c r="AP166" t="str">
        <f t="shared" si="99"/>
        <v/>
      </c>
      <c r="BO166" s="83" t="str">
        <f t="shared" si="100"/>
        <v/>
      </c>
      <c r="BP166" s="83" t="str">
        <f t="shared" si="101"/>
        <v/>
      </c>
      <c r="BQ166" s="2707"/>
      <c r="BR166" s="2707"/>
      <c r="BS166" s="2707"/>
      <c r="BU166" s="2662">
        <f t="shared" si="102"/>
        <v>0</v>
      </c>
      <c r="BV166" s="2662">
        <f t="shared" si="103"/>
        <v>0</v>
      </c>
    </row>
    <row r="167" spans="1:74" ht="15" customHeight="1" x14ac:dyDescent="0.3">
      <c r="A167" s="5791"/>
      <c r="B167" s="519" t="s">
        <v>626</v>
      </c>
      <c r="C167" s="483">
        <f t="shared" si="104"/>
        <v>0</v>
      </c>
      <c r="D167" s="484">
        <f t="shared" si="98"/>
        <v>0</v>
      </c>
      <c r="E167" s="485">
        <f t="shared" si="98"/>
        <v>0</v>
      </c>
      <c r="F167" s="380"/>
      <c r="G167" s="388"/>
      <c r="H167" s="380"/>
      <c r="I167" s="388"/>
      <c r="J167" s="380"/>
      <c r="K167" s="388"/>
      <c r="L167" s="380"/>
      <c r="M167" s="388"/>
      <c r="N167" s="380"/>
      <c r="O167" s="388"/>
      <c r="P167" s="380"/>
      <c r="Q167" s="388"/>
      <c r="R167" s="380"/>
      <c r="S167" s="388"/>
      <c r="T167" s="380"/>
      <c r="U167" s="388"/>
      <c r="V167" s="380"/>
      <c r="W167" s="388"/>
      <c r="X167" s="380"/>
      <c r="Y167" s="388"/>
      <c r="Z167" s="380"/>
      <c r="AA167" s="388"/>
      <c r="AB167" s="380"/>
      <c r="AC167" s="388"/>
      <c r="AD167" s="380"/>
      <c r="AE167" s="388"/>
      <c r="AF167" s="380"/>
      <c r="AG167" s="388"/>
      <c r="AH167" s="380"/>
      <c r="AI167" s="388"/>
      <c r="AJ167" s="380"/>
      <c r="AK167" s="388"/>
      <c r="AL167" s="380"/>
      <c r="AM167" s="392"/>
      <c r="AN167" s="429"/>
      <c r="AO167" s="388"/>
      <c r="AP167" t="str">
        <f t="shared" si="99"/>
        <v/>
      </c>
      <c r="BO167" s="83" t="str">
        <f t="shared" si="100"/>
        <v/>
      </c>
      <c r="BP167" s="83" t="str">
        <f t="shared" si="101"/>
        <v/>
      </c>
      <c r="BQ167" s="2707"/>
      <c r="BR167" s="2707"/>
      <c r="BS167" s="2707"/>
      <c r="BU167" s="2662">
        <f t="shared" si="102"/>
        <v>0</v>
      </c>
      <c r="BV167" s="2662">
        <f t="shared" si="103"/>
        <v>0</v>
      </c>
    </row>
    <row r="168" spans="1:74" ht="18" customHeight="1" x14ac:dyDescent="0.3">
      <c r="A168" s="3" t="s">
        <v>627</v>
      </c>
      <c r="B168" s="1970"/>
      <c r="C168" s="1970"/>
      <c r="D168" s="1970"/>
      <c r="E168" s="1970"/>
      <c r="F168" s="1970"/>
      <c r="G168" s="1970"/>
      <c r="H168" s="1970"/>
      <c r="I168" s="1970"/>
      <c r="J168" s="1970"/>
      <c r="K168" s="1970"/>
      <c r="L168" s="1970"/>
      <c r="M168" s="1970"/>
      <c r="N168" s="1970"/>
      <c r="O168" s="1970"/>
      <c r="Q168" s="88"/>
      <c r="R168" s="88"/>
      <c r="S168" s="88"/>
      <c r="T168" s="88"/>
      <c r="U168" s="88"/>
    </row>
    <row r="169" spans="1:74" ht="15" customHeight="1" x14ac:dyDescent="0.3">
      <c r="A169" s="6190" t="s">
        <v>628</v>
      </c>
      <c r="B169" s="6191" t="s">
        <v>77</v>
      </c>
      <c r="C169" s="6193" t="s">
        <v>29</v>
      </c>
      <c r="D169" s="6194"/>
      <c r="E169" s="6194"/>
      <c r="F169" s="6194"/>
      <c r="G169" s="6194"/>
      <c r="H169" s="6194"/>
      <c r="I169" s="6194"/>
      <c r="J169" s="6194"/>
      <c r="K169" s="6194"/>
      <c r="L169" s="6194"/>
      <c r="M169" s="6194"/>
      <c r="N169" s="6194"/>
      <c r="O169" s="6194"/>
      <c r="P169" s="6194"/>
      <c r="Q169" s="6194"/>
      <c r="R169" s="6194"/>
      <c r="S169" s="6195"/>
      <c r="T169" s="6196" t="s">
        <v>36</v>
      </c>
      <c r="U169" s="6189" t="s">
        <v>37</v>
      </c>
    </row>
    <row r="170" spans="1:74" ht="15" customHeight="1" x14ac:dyDescent="0.3">
      <c r="A170" s="5825"/>
      <c r="B170" s="6192"/>
      <c r="C170" s="2908" t="s">
        <v>343</v>
      </c>
      <c r="D170" s="2909" t="s">
        <v>326</v>
      </c>
      <c r="E170" s="2909" t="s">
        <v>303</v>
      </c>
      <c r="F170" s="2909" t="s">
        <v>44</v>
      </c>
      <c r="G170" s="2909" t="s">
        <v>305</v>
      </c>
      <c r="H170" s="2909" t="s">
        <v>46</v>
      </c>
      <c r="I170" s="2909" t="s">
        <v>629</v>
      </c>
      <c r="J170" s="2909" t="s">
        <v>48</v>
      </c>
      <c r="K170" s="2909" t="s">
        <v>630</v>
      </c>
      <c r="L170" s="2909" t="s">
        <v>50</v>
      </c>
      <c r="M170" s="2909" t="s">
        <v>631</v>
      </c>
      <c r="N170" s="2909" t="s">
        <v>52</v>
      </c>
      <c r="O170" s="2909" t="s">
        <v>53</v>
      </c>
      <c r="P170" s="2909" t="s">
        <v>54</v>
      </c>
      <c r="Q170" s="2909" t="s">
        <v>55</v>
      </c>
      <c r="R170" s="2909" t="s">
        <v>56</v>
      </c>
      <c r="S170" s="1782" t="s">
        <v>57</v>
      </c>
      <c r="T170" s="6196"/>
      <c r="U170" s="6189"/>
    </row>
    <row r="171" spans="1:74" ht="22.5" customHeight="1" x14ac:dyDescent="0.3">
      <c r="A171" s="2910" t="s">
        <v>632</v>
      </c>
      <c r="B171" s="511">
        <f>SUM(C171:S171)</f>
        <v>0</v>
      </c>
      <c r="C171" s="380"/>
      <c r="D171" s="2911"/>
      <c r="E171" s="2911"/>
      <c r="F171" s="2911"/>
      <c r="G171" s="2911"/>
      <c r="H171" s="2911"/>
      <c r="I171" s="2911"/>
      <c r="J171" s="2911"/>
      <c r="K171" s="2911"/>
      <c r="L171" s="2911"/>
      <c r="M171" s="2911"/>
      <c r="N171" s="2911"/>
      <c r="O171" s="2911"/>
      <c r="P171" s="2911"/>
      <c r="Q171" s="2911"/>
      <c r="R171" s="2911"/>
      <c r="S171" s="392"/>
      <c r="T171" s="379"/>
      <c r="U171" s="388"/>
      <c r="V171" t="str">
        <f>BO171&amp;BP171</f>
        <v/>
      </c>
      <c r="BO171" s="83" t="str">
        <f>IF(AND(B171&gt;0,T171=""),"  * No olvide digitar la variable Pueblos originarios. Digite Cero si no tiene.",IF(T171&gt;B171," * La variable Pueblos originarios No puede ser mayor al Total.",""))</f>
        <v/>
      </c>
      <c r="BP171" s="83" t="str">
        <f>IF(AND(B171&gt;0,U171=""),"  * No olvide digitar la variable Migrantes. Digite Cero si no tiene.",IF(U171&gt;B171," * La variable Migrantes No puede ser mayor al Total.",""))</f>
        <v/>
      </c>
      <c r="BU171" s="2662">
        <f>IF(AND(B171&gt;0,T171=""),1,IF(T171&gt;B171,1,0))</f>
        <v>0</v>
      </c>
      <c r="BV171" s="2662">
        <f>IF(AND(B171&gt;0,U171=""),1,IF(U171&gt;B171,1,0))</f>
        <v>0</v>
      </c>
    </row>
    <row r="172" spans="1:74" ht="18" customHeight="1" x14ac:dyDescent="0.3">
      <c r="A172" s="2508" t="s">
        <v>633</v>
      </c>
      <c r="B172" s="2912"/>
      <c r="C172" s="2913"/>
      <c r="D172" s="2913"/>
      <c r="E172" s="2913"/>
      <c r="F172" s="2913"/>
      <c r="G172" s="2913"/>
      <c r="H172" s="2913"/>
      <c r="I172" s="2913"/>
      <c r="J172" s="2913"/>
      <c r="K172" s="2913"/>
      <c r="L172" s="2913"/>
    </row>
    <row r="173" spans="1:74" x14ac:dyDescent="0.3">
      <c r="A173" s="5873" t="s">
        <v>219</v>
      </c>
      <c r="B173" s="6214" t="s">
        <v>634</v>
      </c>
      <c r="C173" s="6216" t="s">
        <v>635</v>
      </c>
      <c r="D173" s="6217"/>
      <c r="E173" s="6217"/>
      <c r="F173" s="6217"/>
      <c r="G173" s="6217"/>
      <c r="H173" s="6217"/>
      <c r="I173" s="6217"/>
      <c r="J173" s="6217"/>
      <c r="K173" s="6218"/>
      <c r="L173" s="6193" t="s">
        <v>636</v>
      </c>
      <c r="M173" s="6194"/>
      <c r="N173" s="6194"/>
      <c r="O173" s="6194"/>
      <c r="P173" s="6194"/>
      <c r="Q173" s="6194"/>
      <c r="R173" s="6194"/>
      <c r="S173" s="6194"/>
      <c r="T173" s="6219"/>
      <c r="U173" s="6193" t="s">
        <v>637</v>
      </c>
      <c r="V173" s="6194"/>
      <c r="W173" s="6194"/>
      <c r="X173" s="6194"/>
      <c r="Y173" s="6194"/>
      <c r="Z173" s="6194"/>
      <c r="AA173" s="6194"/>
      <c r="AB173" s="6194"/>
      <c r="AC173" s="6195"/>
      <c r="AD173" s="6188" t="s">
        <v>36</v>
      </c>
      <c r="AE173" s="6206" t="s">
        <v>37</v>
      </c>
    </row>
    <row r="174" spans="1:74" ht="18" customHeight="1" x14ac:dyDescent="0.3">
      <c r="A174" s="5875"/>
      <c r="B174" s="6215"/>
      <c r="C174" s="6207" t="s">
        <v>77</v>
      </c>
      <c r="D174" s="6208"/>
      <c r="E174" s="6209"/>
      <c r="F174" s="6210" t="s">
        <v>638</v>
      </c>
      <c r="G174" s="6210"/>
      <c r="H174" s="6210" t="s">
        <v>639</v>
      </c>
      <c r="I174" s="6210"/>
      <c r="J174" s="6211" t="s">
        <v>640</v>
      </c>
      <c r="K174" s="6211"/>
      <c r="L174" s="6207" t="s">
        <v>77</v>
      </c>
      <c r="M174" s="6208"/>
      <c r="N174" s="6209"/>
      <c r="O174" s="6210" t="s">
        <v>638</v>
      </c>
      <c r="P174" s="6210"/>
      <c r="Q174" s="6210" t="s">
        <v>639</v>
      </c>
      <c r="R174" s="6210"/>
      <c r="S174" s="6211" t="s">
        <v>640</v>
      </c>
      <c r="T174" s="6211"/>
      <c r="U174" s="6207" t="s">
        <v>77</v>
      </c>
      <c r="V174" s="6208"/>
      <c r="W174" s="6209"/>
      <c r="X174" s="6210" t="s">
        <v>638</v>
      </c>
      <c r="Y174" s="6210"/>
      <c r="Z174" s="6210" t="s">
        <v>639</v>
      </c>
      <c r="AA174" s="6210"/>
      <c r="AB174" s="6211" t="s">
        <v>640</v>
      </c>
      <c r="AC174" s="6212"/>
      <c r="AD174" s="6188"/>
      <c r="AE174" s="6206"/>
    </row>
    <row r="175" spans="1:74" ht="25.95" customHeight="1" x14ac:dyDescent="0.3">
      <c r="A175" s="5875"/>
      <c r="B175" s="6215"/>
      <c r="C175" s="2915" t="s">
        <v>641</v>
      </c>
      <c r="D175" s="2916" t="s">
        <v>58</v>
      </c>
      <c r="E175" s="2917" t="s">
        <v>59</v>
      </c>
      <c r="F175" s="2918" t="s">
        <v>58</v>
      </c>
      <c r="G175" s="2919" t="s">
        <v>59</v>
      </c>
      <c r="H175" s="2918" t="s">
        <v>58</v>
      </c>
      <c r="I175" s="2919" t="s">
        <v>59</v>
      </c>
      <c r="J175" s="2918" t="s">
        <v>58</v>
      </c>
      <c r="K175" s="2919" t="s">
        <v>59</v>
      </c>
      <c r="L175" s="2918" t="s">
        <v>641</v>
      </c>
      <c r="M175" s="2920" t="s">
        <v>58</v>
      </c>
      <c r="N175" s="1793" t="s">
        <v>59</v>
      </c>
      <c r="O175" s="2918" t="s">
        <v>58</v>
      </c>
      <c r="P175" s="1793" t="s">
        <v>59</v>
      </c>
      <c r="Q175" s="2918" t="s">
        <v>58</v>
      </c>
      <c r="R175" s="1793" t="s">
        <v>59</v>
      </c>
      <c r="S175" s="2918" t="s">
        <v>58</v>
      </c>
      <c r="T175" s="1793" t="s">
        <v>59</v>
      </c>
      <c r="U175" s="2918" t="s">
        <v>641</v>
      </c>
      <c r="V175" s="2921" t="s">
        <v>58</v>
      </c>
      <c r="W175" s="2919" t="s">
        <v>59</v>
      </c>
      <c r="X175" s="2918" t="s">
        <v>58</v>
      </c>
      <c r="Y175" s="2919" t="s">
        <v>59</v>
      </c>
      <c r="Z175" s="2918" t="s">
        <v>58</v>
      </c>
      <c r="AA175" s="2919" t="s">
        <v>59</v>
      </c>
      <c r="AB175" s="2918" t="s">
        <v>58</v>
      </c>
      <c r="AC175" s="2922" t="s">
        <v>59</v>
      </c>
      <c r="AD175" s="6188"/>
      <c r="AE175" s="6206"/>
    </row>
    <row r="176" spans="1:74" ht="25.2" customHeight="1" x14ac:dyDescent="0.3">
      <c r="A176" s="2923" t="s">
        <v>642</v>
      </c>
      <c r="B176" s="2924">
        <f>SUM(C176+L176+U176)</f>
        <v>0</v>
      </c>
      <c r="C176" s="2925">
        <f>SUM(D176:E176)</f>
        <v>0</v>
      </c>
      <c r="D176" s="472">
        <f>SUM(F176+H176+J176)</f>
        <v>0</v>
      </c>
      <c r="E176" s="558">
        <f>SUM(G176+I176+K176)</f>
        <v>0</v>
      </c>
      <c r="F176" s="474"/>
      <c r="G176" s="577"/>
      <c r="H176" s="474"/>
      <c r="I176" s="577"/>
      <c r="J176" s="474"/>
      <c r="K176" s="577"/>
      <c r="L176" s="2926">
        <f>SUM(M176:N176)</f>
        <v>0</v>
      </c>
      <c r="M176" s="472">
        <f>SUM(O176+Q176+S176)</f>
        <v>0</v>
      </c>
      <c r="N176" s="473">
        <f>SUM(P176+R176+T176)</f>
        <v>0</v>
      </c>
      <c r="O176" s="474"/>
      <c r="P176" s="475"/>
      <c r="Q176" s="474"/>
      <c r="R176" s="475"/>
      <c r="S176" s="474"/>
      <c r="T176" s="475"/>
      <c r="U176" s="471">
        <f>SUM(V176:W176)</f>
        <v>0</v>
      </c>
      <c r="V176" s="472">
        <f>SUM(X176+Z176+AB176)</f>
        <v>0</v>
      </c>
      <c r="W176" s="558">
        <f>SUM(Y176+AA176+AC176)</f>
        <v>0</v>
      </c>
      <c r="X176" s="474"/>
      <c r="Y176" s="577"/>
      <c r="Z176" s="474"/>
      <c r="AA176" s="577"/>
      <c r="AB176" s="474"/>
      <c r="AC176" s="496"/>
      <c r="AD176" s="559"/>
      <c r="AE176" s="577"/>
      <c r="AF176" t="str">
        <f>BO176&amp;BP176</f>
        <v/>
      </c>
      <c r="BO176" s="83" t="str">
        <f>IF(AND(B176&gt;0,AD176=""),"  * No olvide digitar la variable Pueblos originarios. Digite Cero si no tiene.",IF(AD176&gt;B176," * La variable Pueblos originarios No puede ser mayor al Total.",""))</f>
        <v/>
      </c>
      <c r="BP176" s="83" t="str">
        <f>IF(AND(B176&gt;0,AE176=""),"  * No olvide digitar la variable Migrantes. Digite Cero si no tiene.",IF(AE176&gt;B176," * La variable Migrantes No puede ser mayor al Total.",""))</f>
        <v/>
      </c>
      <c r="BU176" s="2662">
        <f>IF(AND(B176&gt;0,AD176=""),1,IF(AD176&gt;B176,1,0))</f>
        <v>0</v>
      </c>
      <c r="BV176" s="2662">
        <f>IF(AND(B176&gt;0,AE176=""),1,IF(AE176&gt;B176,1,0))</f>
        <v>0</v>
      </c>
    </row>
    <row r="177" spans="1:74" ht="25.95" customHeight="1" x14ac:dyDescent="0.3">
      <c r="A177" s="2927" t="s">
        <v>643</v>
      </c>
      <c r="B177" s="2928">
        <f>SUM(C177+U177)</f>
        <v>0</v>
      </c>
      <c r="C177" s="2929">
        <f t="shared" ref="C177:C183" si="105">SUM(D177:E177)</f>
        <v>0</v>
      </c>
      <c r="D177" s="2930">
        <f t="shared" ref="D177:E183" si="106">SUM(F177+H177+J177)</f>
        <v>0</v>
      </c>
      <c r="E177" s="2931">
        <f t="shared" si="106"/>
        <v>0</v>
      </c>
      <c r="F177" s="380"/>
      <c r="G177" s="389"/>
      <c r="H177" s="380"/>
      <c r="I177" s="389"/>
      <c r="J177" s="380"/>
      <c r="K177" s="389"/>
      <c r="L177" s="2932"/>
      <c r="M177" s="2933"/>
      <c r="N177" s="2934"/>
      <c r="O177" s="2932"/>
      <c r="P177" s="2934"/>
      <c r="Q177" s="2932"/>
      <c r="R177" s="2934"/>
      <c r="S177" s="2932"/>
      <c r="T177" s="2934"/>
      <c r="U177" s="483">
        <f t="shared" ref="U177:U183" si="107">SUM(V177:W177)</f>
        <v>0</v>
      </c>
      <c r="V177" s="484">
        <f t="shared" ref="V177:W183" si="108">SUM(X177+Z177+AB177)</f>
        <v>0</v>
      </c>
      <c r="W177" s="563">
        <f t="shared" si="108"/>
        <v>0</v>
      </c>
      <c r="X177" s="380"/>
      <c r="Y177" s="389"/>
      <c r="Z177" s="380"/>
      <c r="AA177" s="389"/>
      <c r="AB177" s="380"/>
      <c r="AC177" s="390"/>
      <c r="AD177" s="564"/>
      <c r="AE177" s="389"/>
      <c r="AF177" t="str">
        <f t="shared" ref="AF177:AF183" si="109">BO177&amp;BP177</f>
        <v/>
      </c>
      <c r="BO177" s="83" t="str">
        <f t="shared" ref="BO177:BO183" si="110">IF(AND(B177&gt;0,AD177=""),"  * No olvide digitar la variable Pueblos originarios. Digite Cero si no tiene.",IF(AD177&gt;B177," * La variable Pueblos originarios No puede ser mayor al Total.",""))</f>
        <v/>
      </c>
      <c r="BP177" s="83" t="str">
        <f t="shared" ref="BP177:BP183" si="111">IF(AND(B177&gt;0,AE177=""),"  * No olvide digitar la variable Migrantes. Digite Cero si no tiene.",IF(AE177&gt;B177," * La variable Migrantes No puede ser mayor al Total.",""))</f>
        <v/>
      </c>
      <c r="BU177" s="2662">
        <f t="shared" ref="BU177:BU183" si="112">IF(AND(B177&gt;0,AD177=""),1,IF(AD177&gt;B177,1,0))</f>
        <v>0</v>
      </c>
      <c r="BV177" s="2662">
        <f t="shared" ref="BV177:BV183" si="113">IF(AND(B177&gt;0,AE177=""),1,IF(AE177&gt;B177,1,0))</f>
        <v>0</v>
      </c>
    </row>
    <row r="178" spans="1:74" ht="25.2" customHeight="1" x14ac:dyDescent="0.3">
      <c r="A178" s="2923" t="s">
        <v>644</v>
      </c>
      <c r="B178" s="2924">
        <f t="shared" ref="B178:B182" si="114">SUM(C178+L178+U178)</f>
        <v>0</v>
      </c>
      <c r="C178" s="2925">
        <f t="shared" si="105"/>
        <v>0</v>
      </c>
      <c r="D178" s="2935">
        <f t="shared" si="106"/>
        <v>0</v>
      </c>
      <c r="E178" s="2936">
        <f t="shared" si="106"/>
        <v>0</v>
      </c>
      <c r="F178" s="474"/>
      <c r="G178" s="577"/>
      <c r="H178" s="474"/>
      <c r="I178" s="577"/>
      <c r="J178" s="474"/>
      <c r="K178" s="577"/>
      <c r="L178" s="2926">
        <f>SUM(M178:N178)</f>
        <v>0</v>
      </c>
      <c r="M178" s="472">
        <f>SUM(O178+Q178+S178)</f>
        <v>0</v>
      </c>
      <c r="N178" s="473">
        <f>SUM(P178+R178+T178)</f>
        <v>0</v>
      </c>
      <c r="O178" s="474"/>
      <c r="P178" s="475"/>
      <c r="Q178" s="474"/>
      <c r="R178" s="475"/>
      <c r="S178" s="474"/>
      <c r="T178" s="475"/>
      <c r="U178" s="471">
        <f t="shared" si="107"/>
        <v>0</v>
      </c>
      <c r="V178" s="472">
        <f t="shared" si="108"/>
        <v>0</v>
      </c>
      <c r="W178" s="558">
        <f t="shared" si="108"/>
        <v>0</v>
      </c>
      <c r="X178" s="474"/>
      <c r="Y178" s="577"/>
      <c r="Z178" s="474"/>
      <c r="AA178" s="577"/>
      <c r="AB178" s="474"/>
      <c r="AC178" s="496"/>
      <c r="AD178" s="559"/>
      <c r="AE178" s="577"/>
      <c r="AF178" t="str">
        <f t="shared" si="109"/>
        <v/>
      </c>
      <c r="BO178" s="83" t="str">
        <f t="shared" si="110"/>
        <v/>
      </c>
      <c r="BP178" s="83" t="str">
        <f t="shared" si="111"/>
        <v/>
      </c>
      <c r="BU178" s="2662">
        <f t="shared" si="112"/>
        <v>0</v>
      </c>
      <c r="BV178" s="2662">
        <f t="shared" si="113"/>
        <v>0</v>
      </c>
    </row>
    <row r="179" spans="1:74" ht="26.4" customHeight="1" x14ac:dyDescent="0.3">
      <c r="A179" s="2927" t="s">
        <v>645</v>
      </c>
      <c r="B179" s="2928">
        <f>SUM(C179+U179)</f>
        <v>0</v>
      </c>
      <c r="C179" s="2929">
        <f t="shared" si="105"/>
        <v>0</v>
      </c>
      <c r="D179" s="2930">
        <f t="shared" si="106"/>
        <v>0</v>
      </c>
      <c r="E179" s="2931">
        <f t="shared" si="106"/>
        <v>0</v>
      </c>
      <c r="F179" s="380"/>
      <c r="G179" s="389"/>
      <c r="H179" s="380"/>
      <c r="I179" s="389"/>
      <c r="J179" s="380"/>
      <c r="K179" s="389"/>
      <c r="L179" s="2932"/>
      <c r="M179" s="2933"/>
      <c r="N179" s="2934"/>
      <c r="O179" s="2932"/>
      <c r="P179" s="2934"/>
      <c r="Q179" s="2932"/>
      <c r="R179" s="2934"/>
      <c r="S179" s="2932"/>
      <c r="T179" s="2934"/>
      <c r="U179" s="483">
        <f t="shared" si="107"/>
        <v>0</v>
      </c>
      <c r="V179" s="484">
        <f t="shared" si="108"/>
        <v>0</v>
      </c>
      <c r="W179" s="563">
        <f t="shared" si="108"/>
        <v>0</v>
      </c>
      <c r="X179" s="380"/>
      <c r="Y179" s="389"/>
      <c r="Z179" s="380"/>
      <c r="AA179" s="389"/>
      <c r="AB179" s="380"/>
      <c r="AC179" s="390"/>
      <c r="AD179" s="564"/>
      <c r="AE179" s="389"/>
      <c r="AF179" t="str">
        <f t="shared" si="109"/>
        <v/>
      </c>
      <c r="BO179" s="83" t="str">
        <f t="shared" si="110"/>
        <v/>
      </c>
      <c r="BP179" s="83" t="str">
        <f t="shared" si="111"/>
        <v/>
      </c>
      <c r="BU179" s="2662">
        <f t="shared" si="112"/>
        <v>0</v>
      </c>
      <c r="BV179" s="2662">
        <f t="shared" si="113"/>
        <v>0</v>
      </c>
    </row>
    <row r="180" spans="1:74" ht="20.399999999999999" x14ac:dyDescent="0.3">
      <c r="A180" s="2923" t="s">
        <v>646</v>
      </c>
      <c r="B180" s="2924">
        <f t="shared" si="114"/>
        <v>0</v>
      </c>
      <c r="C180" s="2925">
        <f t="shared" si="105"/>
        <v>0</v>
      </c>
      <c r="D180" s="2935">
        <f t="shared" si="106"/>
        <v>0</v>
      </c>
      <c r="E180" s="2936">
        <f t="shared" si="106"/>
        <v>0</v>
      </c>
      <c r="F180" s="474"/>
      <c r="G180" s="577"/>
      <c r="H180" s="474"/>
      <c r="I180" s="577"/>
      <c r="J180" s="474"/>
      <c r="K180" s="577"/>
      <c r="L180" s="2926">
        <f>SUM(M180:N180)</f>
        <v>0</v>
      </c>
      <c r="M180" s="472">
        <f>SUM(O180+Q180+S180)</f>
        <v>0</v>
      </c>
      <c r="N180" s="473">
        <f>SUM(P180+R180+T180)</f>
        <v>0</v>
      </c>
      <c r="O180" s="474"/>
      <c r="P180" s="475"/>
      <c r="Q180" s="474"/>
      <c r="R180" s="475"/>
      <c r="S180" s="474"/>
      <c r="T180" s="475"/>
      <c r="U180" s="471">
        <f t="shared" si="107"/>
        <v>0</v>
      </c>
      <c r="V180" s="472">
        <f t="shared" si="108"/>
        <v>0</v>
      </c>
      <c r="W180" s="558">
        <f t="shared" si="108"/>
        <v>0</v>
      </c>
      <c r="X180" s="474"/>
      <c r="Y180" s="577"/>
      <c r="Z180" s="474"/>
      <c r="AA180" s="577"/>
      <c r="AB180" s="474"/>
      <c r="AC180" s="496"/>
      <c r="AD180" s="559"/>
      <c r="AE180" s="577"/>
      <c r="AF180" t="str">
        <f t="shared" si="109"/>
        <v/>
      </c>
      <c r="BO180" s="83" t="str">
        <f t="shared" si="110"/>
        <v/>
      </c>
      <c r="BP180" s="83" t="str">
        <f t="shared" si="111"/>
        <v/>
      </c>
      <c r="BU180" s="2662">
        <f t="shared" si="112"/>
        <v>0</v>
      </c>
      <c r="BV180" s="2662">
        <f t="shared" si="113"/>
        <v>0</v>
      </c>
    </row>
    <row r="181" spans="1:74" ht="25.95" customHeight="1" x14ac:dyDescent="0.3">
      <c r="A181" s="2927" t="s">
        <v>647</v>
      </c>
      <c r="B181" s="2928">
        <f>SUM(C181+U181)</f>
        <v>0</v>
      </c>
      <c r="C181" s="2929">
        <f t="shared" si="105"/>
        <v>0</v>
      </c>
      <c r="D181" s="2930">
        <f t="shared" si="106"/>
        <v>0</v>
      </c>
      <c r="E181" s="2931">
        <f t="shared" si="106"/>
        <v>0</v>
      </c>
      <c r="F181" s="380"/>
      <c r="G181" s="389"/>
      <c r="H181" s="380"/>
      <c r="I181" s="389"/>
      <c r="J181" s="380"/>
      <c r="K181" s="389"/>
      <c r="L181" s="2932"/>
      <c r="M181" s="2933"/>
      <c r="N181" s="2934"/>
      <c r="O181" s="2932"/>
      <c r="P181" s="2934"/>
      <c r="Q181" s="2932"/>
      <c r="R181" s="2934"/>
      <c r="S181" s="2932"/>
      <c r="T181" s="2934"/>
      <c r="U181" s="483">
        <f t="shared" si="107"/>
        <v>0</v>
      </c>
      <c r="V181" s="484">
        <f t="shared" si="108"/>
        <v>0</v>
      </c>
      <c r="W181" s="563">
        <f t="shared" si="108"/>
        <v>0</v>
      </c>
      <c r="X181" s="380"/>
      <c r="Y181" s="389"/>
      <c r="Z181" s="380"/>
      <c r="AA181" s="389"/>
      <c r="AB181" s="380"/>
      <c r="AC181" s="390"/>
      <c r="AD181" s="564"/>
      <c r="AE181" s="389"/>
      <c r="AF181" t="str">
        <f t="shared" si="109"/>
        <v/>
      </c>
      <c r="BO181" s="83" t="str">
        <f t="shared" si="110"/>
        <v/>
      </c>
      <c r="BP181" s="83" t="str">
        <f t="shared" si="111"/>
        <v/>
      </c>
      <c r="BU181" s="2662">
        <f t="shared" si="112"/>
        <v>0</v>
      </c>
      <c r="BV181" s="2662">
        <f t="shared" si="113"/>
        <v>0</v>
      </c>
    </row>
    <row r="182" spans="1:74" ht="26.4" customHeight="1" x14ac:dyDescent="0.3">
      <c r="A182" s="2240" t="s">
        <v>648</v>
      </c>
      <c r="B182" s="2937">
        <f t="shared" si="114"/>
        <v>0</v>
      </c>
      <c r="C182" s="2242">
        <f t="shared" si="105"/>
        <v>0</v>
      </c>
      <c r="D182" s="2938">
        <f t="shared" si="106"/>
        <v>0</v>
      </c>
      <c r="E182" s="2939">
        <f t="shared" si="106"/>
        <v>0</v>
      </c>
      <c r="F182" s="290"/>
      <c r="G182" s="637"/>
      <c r="H182" s="290"/>
      <c r="I182" s="637"/>
      <c r="J182" s="290"/>
      <c r="K182" s="637"/>
      <c r="L182" s="300">
        <f>SUM(M182:N182)</f>
        <v>0</v>
      </c>
      <c r="M182" s="2326">
        <f>SUM(O182+Q182+S182)</f>
        <v>0</v>
      </c>
      <c r="N182" s="146">
        <f>SUM(P182+R182+T182)</f>
        <v>0</v>
      </c>
      <c r="O182" s="290"/>
      <c r="P182" s="107"/>
      <c r="Q182" s="290"/>
      <c r="R182" s="107"/>
      <c r="S182" s="290"/>
      <c r="T182" s="107"/>
      <c r="U182" s="300">
        <f t="shared" si="107"/>
        <v>0</v>
      </c>
      <c r="V182" s="2326">
        <f>SUM(X182+Z182+AB182)</f>
        <v>0</v>
      </c>
      <c r="W182" s="588">
        <f t="shared" si="108"/>
        <v>0</v>
      </c>
      <c r="X182" s="290"/>
      <c r="Y182" s="637"/>
      <c r="Z182" s="290"/>
      <c r="AA182" s="637"/>
      <c r="AB182" s="290"/>
      <c r="AC182" s="431"/>
      <c r="AD182" s="65"/>
      <c r="AE182" s="637"/>
      <c r="AF182" t="str">
        <f t="shared" si="109"/>
        <v/>
      </c>
      <c r="BO182" s="83" t="str">
        <f t="shared" si="110"/>
        <v/>
      </c>
      <c r="BP182" s="83" t="str">
        <f t="shared" si="111"/>
        <v/>
      </c>
      <c r="BU182" s="2662">
        <f t="shared" si="112"/>
        <v>0</v>
      </c>
      <c r="BV182" s="2662">
        <f t="shared" si="113"/>
        <v>0</v>
      </c>
    </row>
    <row r="183" spans="1:74" ht="31.2" customHeight="1" x14ac:dyDescent="0.3">
      <c r="A183" s="2927" t="s">
        <v>649</v>
      </c>
      <c r="B183" s="2928">
        <f>SUM(C183+U183)</f>
        <v>0</v>
      </c>
      <c r="C183" s="2929">
        <f t="shared" si="105"/>
        <v>0</v>
      </c>
      <c r="D183" s="2930">
        <f t="shared" si="106"/>
        <v>0</v>
      </c>
      <c r="E183" s="2931">
        <f>SUM(G183+I183+K183)</f>
        <v>0</v>
      </c>
      <c r="F183" s="380"/>
      <c r="G183" s="389"/>
      <c r="H183" s="380"/>
      <c r="I183" s="389"/>
      <c r="J183" s="380"/>
      <c r="K183" s="389"/>
      <c r="L183" s="2940"/>
      <c r="M183" s="2941"/>
      <c r="N183" s="2942"/>
      <c r="O183" s="2940"/>
      <c r="P183" s="2942"/>
      <c r="Q183" s="2940"/>
      <c r="R183" s="2942"/>
      <c r="S183" s="2940"/>
      <c r="T183" s="2943"/>
      <c r="U183" s="483">
        <f t="shared" si="107"/>
        <v>0</v>
      </c>
      <c r="V183" s="484">
        <f t="shared" si="108"/>
        <v>0</v>
      </c>
      <c r="W183" s="563">
        <f t="shared" si="108"/>
        <v>0</v>
      </c>
      <c r="X183" s="380"/>
      <c r="Y183" s="389"/>
      <c r="Z183" s="380"/>
      <c r="AA183" s="389"/>
      <c r="AB183" s="380"/>
      <c r="AC183" s="390"/>
      <c r="AD183" s="564"/>
      <c r="AE183" s="389"/>
      <c r="AF183" t="str">
        <f t="shared" si="109"/>
        <v/>
      </c>
      <c r="BO183" s="83" t="str">
        <f t="shared" si="110"/>
        <v/>
      </c>
      <c r="BP183" s="83" t="str">
        <f t="shared" si="111"/>
        <v/>
      </c>
      <c r="BU183" s="2662">
        <f t="shared" si="112"/>
        <v>0</v>
      </c>
      <c r="BV183" s="2662">
        <f t="shared" si="113"/>
        <v>0</v>
      </c>
    </row>
    <row r="184" spans="1:74" ht="18" customHeight="1" x14ac:dyDescent="0.3">
      <c r="A184" s="2944" t="s">
        <v>650</v>
      </c>
      <c r="B184" s="25"/>
      <c r="C184" s="25"/>
      <c r="D184" s="25"/>
      <c r="E184" s="25"/>
    </row>
    <row r="185" spans="1:74" ht="30.6" x14ac:dyDescent="0.3">
      <c r="A185" s="1789" t="s">
        <v>651</v>
      </c>
      <c r="B185" s="1788" t="s">
        <v>77</v>
      </c>
      <c r="C185" s="1824" t="s">
        <v>652</v>
      </c>
      <c r="D185" s="1838" t="s">
        <v>653</v>
      </c>
    </row>
    <row r="186" spans="1:74" x14ac:dyDescent="0.3">
      <c r="A186" s="2945" t="s">
        <v>4420</v>
      </c>
      <c r="B186" s="5568">
        <f>SUM(C186:D186)</f>
        <v>0</v>
      </c>
      <c r="C186" s="290"/>
      <c r="D186" s="3085"/>
    </row>
    <row r="187" spans="1:74" x14ac:dyDescent="0.3">
      <c r="A187" s="333" t="s">
        <v>655</v>
      </c>
      <c r="B187" s="4245">
        <f t="shared" ref="B187:B189" si="115">SUM(C187:D187)</f>
        <v>0</v>
      </c>
      <c r="C187" s="1114"/>
      <c r="D187" s="1115"/>
    </row>
    <row r="188" spans="1:74" x14ac:dyDescent="0.3">
      <c r="A188" s="333" t="s">
        <v>656</v>
      </c>
      <c r="B188" s="2783">
        <f t="shared" si="115"/>
        <v>0</v>
      </c>
      <c r="C188" s="346"/>
      <c r="D188" s="1118"/>
    </row>
    <row r="189" spans="1:74" x14ac:dyDescent="0.3">
      <c r="A189" s="2277" t="s">
        <v>657</v>
      </c>
      <c r="B189" s="798">
        <f t="shared" si="115"/>
        <v>0</v>
      </c>
      <c r="C189" s="380"/>
      <c r="D189" s="3216"/>
    </row>
    <row r="190" spans="1:74" ht="18" customHeight="1" x14ac:dyDescent="0.3">
      <c r="A190" s="2944" t="s">
        <v>658</v>
      </c>
      <c r="B190" s="25"/>
      <c r="C190" s="25"/>
      <c r="D190" s="25"/>
      <c r="E190" s="25"/>
    </row>
    <row r="191" spans="1:74" ht="30" customHeight="1" x14ac:dyDescent="0.3">
      <c r="A191" s="6130" t="s">
        <v>651</v>
      </c>
      <c r="B191" s="6135" t="s">
        <v>77</v>
      </c>
      <c r="C191" s="6137" t="s">
        <v>29</v>
      </c>
      <c r="D191" s="6139"/>
      <c r="E191" s="6187"/>
      <c r="F191" s="6224" t="s">
        <v>659</v>
      </c>
      <c r="G191" s="6213" t="s">
        <v>660</v>
      </c>
      <c r="H191" s="6135" t="s">
        <v>661</v>
      </c>
    </row>
    <row r="192" spans="1:74" ht="38.25" customHeight="1" x14ac:dyDescent="0.3">
      <c r="A192" s="5842"/>
      <c r="B192" s="5760"/>
      <c r="C192" s="1788" t="s">
        <v>662</v>
      </c>
      <c r="D192" s="490" t="s">
        <v>663</v>
      </c>
      <c r="E192" s="470" t="s">
        <v>664</v>
      </c>
      <c r="F192" s="5838"/>
      <c r="G192" s="5818"/>
      <c r="H192" s="5760"/>
    </row>
    <row r="193" spans="1:75" x14ac:dyDescent="0.3">
      <c r="A193" s="2747" t="s">
        <v>665</v>
      </c>
      <c r="B193" s="2946">
        <f>SUM(C193:E193)</f>
        <v>0</v>
      </c>
      <c r="C193" s="474"/>
      <c r="D193" s="494"/>
      <c r="E193" s="496"/>
      <c r="F193" s="477"/>
      <c r="G193" s="494"/>
      <c r="H193" s="475"/>
      <c r="I193" t="str">
        <f>BO193&amp;BP193&amp;BQ193</f>
        <v/>
      </c>
      <c r="BO193" s="83" t="str">
        <f>IF(AND($B193&gt;0,F193=""),"  * No olvide digitar la variable Lugar de trabajo. Digite Cero si no tiene.",IF(F193&gt;$B193," * La variable Lugar de trabajo No puede ser mayor al Total.",""))</f>
        <v/>
      </c>
      <c r="BP193" s="83" t="str">
        <f>IF(AND($B193&gt;0,G193=""),"  * No olvide digitar la variable Institución (ELEAM, cárceles,colegios, sala cuna y jardines infantiles). Digite Cero si no tiene.",IF(G193&gt;$B193," * La variable Institución (ELEAM, cárceles,colegios, sala cuna y jardines infantiles) No puede ser mayor al Total.",""))</f>
        <v/>
      </c>
      <c r="BQ193" s="83" t="str">
        <f>IF(AND($B193&gt;0,H193=""),"  * No olvide digitar la variable Grupos comunitarios. Digite Cero si no tiene.",IF(H193&gt;$B193," * La variable Grupos comunitarios No puede ser mayor al Total.",""))</f>
        <v/>
      </c>
      <c r="BU193" s="2662">
        <f>IF(AND($B193&gt;0,F193=""),1,IF(F193&gt;$B193,1,0))</f>
        <v>0</v>
      </c>
      <c r="BV193" s="2662">
        <f>IF(AND($B193&gt;0,G193=""),1,IF(G193&gt;$B193,1,0))</f>
        <v>0</v>
      </c>
      <c r="BW193" s="2662">
        <f>IF(AND($B193&gt;0,H193=""),1,IF(H193&gt;$B193,1,0))</f>
        <v>0</v>
      </c>
    </row>
    <row r="194" spans="1:75" x14ac:dyDescent="0.3">
      <c r="A194" s="2947" t="s">
        <v>666</v>
      </c>
      <c r="B194" s="2948">
        <f t="shared" ref="B194:B198" si="116">SUM(C194:E194)</f>
        <v>0</v>
      </c>
      <c r="C194" s="346"/>
      <c r="D194" s="369"/>
      <c r="E194" s="352"/>
      <c r="F194" s="348"/>
      <c r="G194" s="369"/>
      <c r="H194" s="347"/>
      <c r="I194" t="str">
        <f t="shared" ref="I194:I198" si="117">BO194&amp;BP194&amp;BQ194</f>
        <v/>
      </c>
      <c r="BO194" s="83" t="str">
        <f t="shared" ref="BO194:BO197" si="118">IF(AND($B194&gt;0,F194=""),"  * No olvide digitar la variable Lugar de trabajo. Digite Cero si no tiene.",IF(F194&gt;$B194," * La variable Lugar de trabajo No puede ser mayor al Total.",""))</f>
        <v/>
      </c>
      <c r="BP194" s="83" t="str">
        <f t="shared" ref="BP194:BP197" si="119">IF(AND($B194&gt;0,G194=""),"  * No olvide digitar la variable Institución (ELEAM, cárceles,colegios, sala cuna y jardines infantiles). Digite Cero si no tiene.",IF(G194&gt;$B194," * La variable Institución (ELEAM, cárceles,colegios, sala cuna y jardines infantiles) No puede ser mayor al Total.",""))</f>
        <v/>
      </c>
      <c r="BQ194" s="83" t="str">
        <f t="shared" ref="BQ194:BQ197" si="120">IF(AND($B194&gt;0,H194=""),"  * No olvide digitar la variable Grupos comunitarios. Digite Cero si no tiene.",IF(H194&gt;$B194," * La variable Grupos comunitarios No puede ser mayor al Total.",""))</f>
        <v/>
      </c>
      <c r="BU194" s="2662">
        <f t="shared" ref="BU194:BU198" si="121">IF(AND($B194&gt;0,F194=""),1,IF(F194&gt;$B194,1,0))</f>
        <v>0</v>
      </c>
      <c r="BV194" s="2662">
        <f t="shared" ref="BV194:BV198" si="122">IF(AND($B194&gt;0,G194=""),1,IF(G194&gt;$B194,1,0))</f>
        <v>0</v>
      </c>
      <c r="BW194" s="2662">
        <f t="shared" ref="BW194:BW198" si="123">IF(AND($B194&gt;0,H194=""),1,IF(H194&gt;$B194,1,0))</f>
        <v>0</v>
      </c>
    </row>
    <row r="195" spans="1:75" x14ac:dyDescent="0.3">
      <c r="A195" s="2949" t="s">
        <v>667</v>
      </c>
      <c r="B195" s="2950">
        <f t="shared" si="116"/>
        <v>0</v>
      </c>
      <c r="C195" s="290"/>
      <c r="D195" s="535"/>
      <c r="E195" s="431"/>
      <c r="F195" s="22"/>
      <c r="G195" s="535"/>
      <c r="H195" s="107"/>
      <c r="I195" t="str">
        <f t="shared" si="117"/>
        <v/>
      </c>
      <c r="BO195" s="83" t="str">
        <f t="shared" si="118"/>
        <v/>
      </c>
      <c r="BP195" s="83" t="str">
        <f t="shared" si="119"/>
        <v/>
      </c>
      <c r="BQ195" s="83" t="str">
        <f t="shared" si="120"/>
        <v/>
      </c>
      <c r="BU195" s="2662">
        <f t="shared" si="121"/>
        <v>0</v>
      </c>
      <c r="BV195" s="2662">
        <f t="shared" si="122"/>
        <v>0</v>
      </c>
      <c r="BW195" s="2662">
        <f t="shared" si="123"/>
        <v>0</v>
      </c>
    </row>
    <row r="196" spans="1:75" x14ac:dyDescent="0.3">
      <c r="A196" s="2949" t="s">
        <v>668</v>
      </c>
      <c r="B196" s="2950">
        <f t="shared" si="116"/>
        <v>0</v>
      </c>
      <c r="C196" s="290"/>
      <c r="D196" s="535"/>
      <c r="E196" s="431"/>
      <c r="F196" s="22"/>
      <c r="G196" s="535"/>
      <c r="H196" s="107"/>
      <c r="I196" t="str">
        <f t="shared" si="117"/>
        <v/>
      </c>
      <c r="BO196" s="83" t="str">
        <f t="shared" si="118"/>
        <v/>
      </c>
      <c r="BP196" s="83" t="str">
        <f t="shared" si="119"/>
        <v/>
      </c>
      <c r="BQ196" s="83" t="str">
        <f t="shared" si="120"/>
        <v/>
      </c>
      <c r="BU196" s="2662">
        <f t="shared" si="121"/>
        <v>0</v>
      </c>
      <c r="BV196" s="2662">
        <f t="shared" si="122"/>
        <v>0</v>
      </c>
      <c r="BW196" s="2662">
        <f t="shared" si="123"/>
        <v>0</v>
      </c>
    </row>
    <row r="197" spans="1:75" x14ac:dyDescent="0.3">
      <c r="A197" s="2949" t="s">
        <v>669</v>
      </c>
      <c r="B197" s="2950">
        <f t="shared" si="116"/>
        <v>0</v>
      </c>
      <c r="C197" s="290"/>
      <c r="D197" s="535"/>
      <c r="E197" s="431"/>
      <c r="F197" s="22"/>
      <c r="G197" s="535"/>
      <c r="H197" s="107"/>
      <c r="I197" t="str">
        <f t="shared" si="117"/>
        <v/>
      </c>
      <c r="BO197" s="83" t="str">
        <f t="shared" si="118"/>
        <v/>
      </c>
      <c r="BP197" s="83" t="str">
        <f t="shared" si="119"/>
        <v/>
      </c>
      <c r="BQ197" s="83" t="str">
        <f t="shared" si="120"/>
        <v/>
      </c>
      <c r="BU197" s="2662">
        <f t="shared" si="121"/>
        <v>0</v>
      </c>
      <c r="BV197" s="2662">
        <f t="shared" si="122"/>
        <v>0</v>
      </c>
      <c r="BW197" s="2662">
        <f t="shared" si="123"/>
        <v>0</v>
      </c>
    </row>
    <row r="198" spans="1:75" x14ac:dyDescent="0.3">
      <c r="A198" s="2755" t="s">
        <v>670</v>
      </c>
      <c r="B198" s="2951">
        <f t="shared" si="116"/>
        <v>0</v>
      </c>
      <c r="C198" s="373"/>
      <c r="D198" s="262"/>
      <c r="E198" s="297"/>
      <c r="F198" s="547"/>
      <c r="G198" s="262"/>
      <c r="H198" s="2791"/>
      <c r="I198" t="str">
        <f t="shared" si="117"/>
        <v/>
      </c>
      <c r="BO198" s="83" t="str">
        <f>IF(AND($B198&gt;0,F198=""),"  * No olvide digitar la variable Lugar de trabajo. Digite Cero si no tiene.",IF(F198&gt;$B198," * La variable Lugar de trabajo No puede ser mayor al Total.",""))</f>
        <v/>
      </c>
      <c r="BP198" s="83" t="str">
        <f>IF(AND($B198&gt;0,G198=""),"  * No olvide digitar la variable Institución (ELEAM, cárceles,colegios, sala cuna y jardines infantiles). Digite Cero si no tiene.",IF(G198&gt;$B198," * La variable Institución (ELEAM, cárceles,colegios, sala cuna y jardines infantiles) No puede ser mayor al Total.",""))</f>
        <v/>
      </c>
      <c r="BQ198" s="83" t="str">
        <f>IF(AND($B198&gt;0,H198=""),"  * No olvide digitar la variable Grupos comunitarios. Digite Cero si no tiene.",IF(H198&gt;$B198," * La variable Grupos comunitarios No puede ser mayor al Total.",""))</f>
        <v/>
      </c>
      <c r="BU198" s="2662">
        <f t="shared" si="121"/>
        <v>0</v>
      </c>
      <c r="BV198" s="2662">
        <f t="shared" si="122"/>
        <v>0</v>
      </c>
      <c r="BW198" s="2662">
        <f t="shared" si="123"/>
        <v>0</v>
      </c>
    </row>
    <row r="199" spans="1:75" ht="18" customHeight="1" x14ac:dyDescent="0.3">
      <c r="A199" s="2944" t="s">
        <v>671</v>
      </c>
      <c r="B199" s="25"/>
      <c r="C199" s="25"/>
      <c r="D199" s="25"/>
      <c r="E199" s="25"/>
    </row>
    <row r="200" spans="1:75" x14ac:dyDescent="0.3">
      <c r="A200" s="6221" t="s">
        <v>651</v>
      </c>
      <c r="B200" s="6220" t="s">
        <v>77</v>
      </c>
      <c r="C200" s="6137" t="s">
        <v>29</v>
      </c>
      <c r="D200" s="6188"/>
      <c r="E200" s="6183"/>
    </row>
    <row r="201" spans="1:75" ht="21" customHeight="1" x14ac:dyDescent="0.3">
      <c r="A201" s="6222"/>
      <c r="B201" s="5825"/>
      <c r="C201" s="1788" t="s">
        <v>662</v>
      </c>
      <c r="D201" s="490" t="s">
        <v>663</v>
      </c>
      <c r="E201" s="469" t="s">
        <v>664</v>
      </c>
    </row>
    <row r="202" spans="1:75" x14ac:dyDescent="0.3">
      <c r="A202" s="255" t="s">
        <v>672</v>
      </c>
      <c r="B202" s="2952">
        <f>SUM(C202:E202)</f>
        <v>0</v>
      </c>
      <c r="C202" s="474"/>
      <c r="D202" s="494"/>
      <c r="E202" s="577"/>
    </row>
    <row r="203" spans="1:75" x14ac:dyDescent="0.3">
      <c r="A203" s="333" t="s">
        <v>673</v>
      </c>
      <c r="B203" s="2783">
        <f t="shared" ref="B203:B206" si="124">SUM(C203:E203)</f>
        <v>0</v>
      </c>
      <c r="C203" s="346"/>
      <c r="D203" s="369"/>
      <c r="E203" s="350"/>
    </row>
    <row r="204" spans="1:75" x14ac:dyDescent="0.3">
      <c r="A204" s="333" t="s">
        <v>674</v>
      </c>
      <c r="B204" s="2783">
        <f t="shared" si="124"/>
        <v>0</v>
      </c>
      <c r="C204" s="290"/>
      <c r="D204" s="535"/>
      <c r="E204" s="637"/>
    </row>
    <row r="205" spans="1:75" x14ac:dyDescent="0.3">
      <c r="A205" s="333" t="s">
        <v>675</v>
      </c>
      <c r="B205" s="2783">
        <f t="shared" si="124"/>
        <v>0</v>
      </c>
      <c r="C205" s="290"/>
      <c r="D205" s="535"/>
      <c r="E205" s="637"/>
    </row>
    <row r="206" spans="1:75" ht="23.4" customHeight="1" x14ac:dyDescent="0.3">
      <c r="A206" s="2318" t="s">
        <v>676</v>
      </c>
      <c r="B206" s="427">
        <f t="shared" si="124"/>
        <v>0</v>
      </c>
      <c r="C206" s="380"/>
      <c r="D206" s="372"/>
      <c r="E206" s="389"/>
    </row>
    <row r="207" spans="1:75" ht="18" customHeight="1" x14ac:dyDescent="0.3">
      <c r="A207" s="13" t="s">
        <v>677</v>
      </c>
    </row>
    <row r="208" spans="1:75" x14ac:dyDescent="0.3">
      <c r="A208" s="6223" t="s">
        <v>651</v>
      </c>
      <c r="B208" s="6130"/>
      <c r="C208" s="6135" t="s">
        <v>77</v>
      </c>
      <c r="D208" s="6137" t="s">
        <v>29</v>
      </c>
      <c r="E208" s="6188"/>
      <c r="F208" s="6183"/>
    </row>
    <row r="209" spans="1:6" ht="24" customHeight="1" x14ac:dyDescent="0.3">
      <c r="A209" s="5841"/>
      <c r="B209" s="5842"/>
      <c r="C209" s="5760"/>
      <c r="D209" s="1788" t="s">
        <v>662</v>
      </c>
      <c r="E209" s="490" t="s">
        <v>663</v>
      </c>
      <c r="F209" s="469" t="s">
        <v>664</v>
      </c>
    </row>
    <row r="210" spans="1:6" x14ac:dyDescent="0.3">
      <c r="A210" s="6130" t="s">
        <v>678</v>
      </c>
      <c r="B210" s="2726" t="s">
        <v>679</v>
      </c>
      <c r="C210" s="2953">
        <f>SUM(D210:F210)</f>
        <v>0</v>
      </c>
      <c r="D210" s="474"/>
      <c r="E210" s="494"/>
      <c r="F210" s="577"/>
    </row>
    <row r="211" spans="1:6" ht="16.95" customHeight="1" x14ac:dyDescent="0.3">
      <c r="A211" s="6063"/>
      <c r="B211" s="2318" t="s">
        <v>680</v>
      </c>
      <c r="C211" s="2953">
        <f>SUM(D211:F211)</f>
        <v>0</v>
      </c>
      <c r="D211" s="380"/>
      <c r="E211" s="372"/>
      <c r="F211" s="389"/>
    </row>
    <row r="212" spans="1:6" ht="16.95" customHeight="1" x14ac:dyDescent="0.3">
      <c r="A212" s="6130" t="s">
        <v>681</v>
      </c>
      <c r="B212" s="400" t="s">
        <v>682</v>
      </c>
      <c r="C212" s="2950">
        <f t="shared" ref="C212:C213" si="125">SUM(D212:F212)</f>
        <v>0</v>
      </c>
      <c r="D212" s="290"/>
      <c r="E212" s="535"/>
      <c r="F212" s="637"/>
    </row>
    <row r="213" spans="1:6" ht="20.399999999999999" x14ac:dyDescent="0.3">
      <c r="A213" s="5842"/>
      <c r="B213" s="2954" t="s">
        <v>683</v>
      </c>
      <c r="C213" s="2955">
        <f t="shared" si="125"/>
        <v>0</v>
      </c>
      <c r="D213" s="380"/>
      <c r="E213" s="372"/>
      <c r="F213" s="389"/>
    </row>
    <row r="214" spans="1:6" ht="18" customHeight="1" x14ac:dyDescent="0.3">
      <c r="A214" s="2956" t="s">
        <v>684</v>
      </c>
      <c r="B214" s="2957"/>
      <c r="C214" s="25"/>
      <c r="D214" s="25"/>
    </row>
    <row r="215" spans="1:6" x14ac:dyDescent="0.3">
      <c r="A215" s="6130" t="s">
        <v>651</v>
      </c>
      <c r="B215" s="6135" t="s">
        <v>77</v>
      </c>
      <c r="C215" s="6188" t="s">
        <v>685</v>
      </c>
      <c r="D215" s="6188"/>
      <c r="E215" s="6188"/>
      <c r="F215" s="2958"/>
    </row>
    <row r="216" spans="1:6" ht="20.399999999999999" x14ac:dyDescent="0.3">
      <c r="A216" s="5842"/>
      <c r="B216" s="5760"/>
      <c r="C216" s="1792" t="s">
        <v>686</v>
      </c>
      <c r="D216" s="490" t="s">
        <v>687</v>
      </c>
      <c r="E216" s="469" t="s">
        <v>688</v>
      </c>
    </row>
    <row r="217" spans="1:6" x14ac:dyDescent="0.3">
      <c r="A217" s="2726" t="s">
        <v>689</v>
      </c>
      <c r="B217" s="2959">
        <f>SUM(C217:E217)</f>
        <v>0</v>
      </c>
      <c r="C217" s="477"/>
      <c r="D217" s="494"/>
      <c r="E217" s="577"/>
    </row>
    <row r="218" spans="1:6" x14ac:dyDescent="0.3">
      <c r="A218" s="2960" t="s">
        <v>690</v>
      </c>
      <c r="B218" s="2663">
        <f t="shared" ref="B218:B219" si="126">SUM(C218:E218)</f>
        <v>0</v>
      </c>
      <c r="C218" s="346"/>
      <c r="D218" s="369"/>
      <c r="E218" s="350"/>
    </row>
    <row r="219" spans="1:6" x14ac:dyDescent="0.3">
      <c r="A219" s="2318" t="s">
        <v>691</v>
      </c>
      <c r="B219" s="2961">
        <f t="shared" si="126"/>
        <v>0</v>
      </c>
      <c r="C219" s="547"/>
      <c r="D219" s="262"/>
      <c r="E219" s="311"/>
    </row>
    <row r="220" spans="1:6" ht="18" customHeight="1" x14ac:dyDescent="0.3">
      <c r="A220" s="2956" t="s">
        <v>692</v>
      </c>
      <c r="B220" s="2957"/>
    </row>
    <row r="221" spans="1:6" x14ac:dyDescent="0.3">
      <c r="A221" s="6130" t="s">
        <v>651</v>
      </c>
      <c r="B221" s="6220" t="s">
        <v>693</v>
      </c>
    </row>
    <row r="222" spans="1:6" x14ac:dyDescent="0.3">
      <c r="A222" s="5842"/>
      <c r="B222" s="5825"/>
    </row>
    <row r="223" spans="1:6" x14ac:dyDescent="0.3">
      <c r="A223" s="2726" t="s">
        <v>694</v>
      </c>
      <c r="B223" s="813"/>
    </row>
    <row r="224" spans="1:6" x14ac:dyDescent="0.3">
      <c r="A224" s="2318" t="s">
        <v>4419</v>
      </c>
      <c r="B224" s="799"/>
    </row>
    <row r="238" spans="1:1" ht="12.75" customHeight="1" x14ac:dyDescent="0.3"/>
    <row r="239" spans="1:1" ht="20.100000000000001" hidden="1" customHeight="1" x14ac:dyDescent="0.3">
      <c r="A239" s="2962">
        <f>SUM(B12:B26,B31:B47,B53:B54,M53:M54,B60:B61,B63:B64,B67:B68,C73:C74,C80:C83,B88:B92,B94:B96,B114:B116,B128:M130,B135:B137,C141:C149,C154:C167,B171,B176:B183,B186:B189,B193:B198,B202:B206,C210:C213,B217:B219,B223:B224)</f>
        <v>0</v>
      </c>
    </row>
    <row r="240" spans="1:1" ht="20.100000000000001" hidden="1" customHeight="1" x14ac:dyDescent="0.3">
      <c r="A240" s="2963">
        <f>SUM(BU13:BY198)</f>
        <v>0</v>
      </c>
    </row>
  </sheetData>
  <sheetProtection algorithmName="SHA-512" hashValue="U/Vy8o6ZOtSXqocGlBimsBZB7GsX8LLWpypfdA7iYUWPfMIBNderutVUA2S2lEbGVK5HHMmH7iSCzgrZrFlf0Q==" saltValue="/TiwIHUcK1KPExctGW5qzA==" spinCount="100000" sheet="1" objects="1" scenarios="1"/>
  <mergeCells count="289">
    <mergeCell ref="A73:A74"/>
    <mergeCell ref="A75:B75"/>
    <mergeCell ref="T71:U71"/>
    <mergeCell ref="V71:W71"/>
    <mergeCell ref="X71:Y71"/>
    <mergeCell ref="Z71:AA71"/>
    <mergeCell ref="AB71:AC71"/>
    <mergeCell ref="D71:D72"/>
    <mergeCell ref="E71:E72"/>
    <mergeCell ref="F71:G71"/>
    <mergeCell ref="H71:I71"/>
    <mergeCell ref="J71:K71"/>
    <mergeCell ref="L71:M71"/>
    <mergeCell ref="N71:O71"/>
    <mergeCell ref="P71:Q71"/>
    <mergeCell ref="R71:S71"/>
    <mergeCell ref="B221:B222"/>
    <mergeCell ref="A221:A222"/>
    <mergeCell ref="A210:A211"/>
    <mergeCell ref="A212:A213"/>
    <mergeCell ref="B215:B216"/>
    <mergeCell ref="C215:E215"/>
    <mergeCell ref="A215:A216"/>
    <mergeCell ref="A191:A192"/>
    <mergeCell ref="A200:A201"/>
    <mergeCell ref="B200:B201"/>
    <mergeCell ref="C200:E200"/>
    <mergeCell ref="A208:B209"/>
    <mergeCell ref="C208:C209"/>
    <mergeCell ref="D208:F208"/>
    <mergeCell ref="B191:B192"/>
    <mergeCell ref="F191:F192"/>
    <mergeCell ref="G191:G192"/>
    <mergeCell ref="H191:H192"/>
    <mergeCell ref="C191:E191"/>
    <mergeCell ref="A173:A175"/>
    <mergeCell ref="B173:B175"/>
    <mergeCell ref="C173:K173"/>
    <mergeCell ref="L173:T173"/>
    <mergeCell ref="U173:AC173"/>
    <mergeCell ref="AD173:AD175"/>
    <mergeCell ref="AE173:AE175"/>
    <mergeCell ref="C174:E174"/>
    <mergeCell ref="F174:G174"/>
    <mergeCell ref="H174:I174"/>
    <mergeCell ref="J174:K174"/>
    <mergeCell ref="L174:N174"/>
    <mergeCell ref="O174:P174"/>
    <mergeCell ref="Q174:R174"/>
    <mergeCell ref="S174:T174"/>
    <mergeCell ref="U174:W174"/>
    <mergeCell ref="X174:Y174"/>
    <mergeCell ref="Z174:AA174"/>
    <mergeCell ref="AB174:AC174"/>
    <mergeCell ref="A50:A52"/>
    <mergeCell ref="B50:B52"/>
    <mergeCell ref="C50:C52"/>
    <mergeCell ref="D50:D52"/>
    <mergeCell ref="E50:L50"/>
    <mergeCell ref="M50:M52"/>
    <mergeCell ref="N50:N52"/>
    <mergeCell ref="O50:O52"/>
    <mergeCell ref="P50:W50"/>
    <mergeCell ref="E51:F51"/>
    <mergeCell ref="G51:H51"/>
    <mergeCell ref="I51:J51"/>
    <mergeCell ref="K51:L51"/>
    <mergeCell ref="P51:Q51"/>
    <mergeCell ref="R51:S51"/>
    <mergeCell ref="T51:U51"/>
    <mergeCell ref="V51:W51"/>
    <mergeCell ref="U169:U170"/>
    <mergeCell ref="A154:A161"/>
    <mergeCell ref="A162:A167"/>
    <mergeCell ref="A169:A170"/>
    <mergeCell ref="B169:B170"/>
    <mergeCell ref="C169:S169"/>
    <mergeCell ref="T169:T170"/>
    <mergeCell ref="AB152:AC152"/>
    <mergeCell ref="AD152:AE152"/>
    <mergeCell ref="D151:D153"/>
    <mergeCell ref="E151:E153"/>
    <mergeCell ref="F151:AM151"/>
    <mergeCell ref="AN151:AN153"/>
    <mergeCell ref="AO151:AO153"/>
    <mergeCell ref="F152:G152"/>
    <mergeCell ref="H152:I152"/>
    <mergeCell ref="J152:K152"/>
    <mergeCell ref="L152:M152"/>
    <mergeCell ref="N152:O152"/>
    <mergeCell ref="A141:A143"/>
    <mergeCell ref="A144:A145"/>
    <mergeCell ref="A146:A149"/>
    <mergeCell ref="A151:A153"/>
    <mergeCell ref="B151:B153"/>
    <mergeCell ref="C151:C153"/>
    <mergeCell ref="AF152:AG152"/>
    <mergeCell ref="AH152:AI152"/>
    <mergeCell ref="AJ152:AK152"/>
    <mergeCell ref="AL152:AM152"/>
    <mergeCell ref="P152:Q152"/>
    <mergeCell ref="R152:S152"/>
    <mergeCell ref="T152:U152"/>
    <mergeCell ref="V152:W152"/>
    <mergeCell ref="X152:Y152"/>
    <mergeCell ref="Z152:AA152"/>
    <mergeCell ref="A139:B140"/>
    <mergeCell ref="C139:C140"/>
    <mergeCell ref="D139:H139"/>
    <mergeCell ref="I139:I140"/>
    <mergeCell ref="J139:J140"/>
    <mergeCell ref="K139:K140"/>
    <mergeCell ref="W133:X133"/>
    <mergeCell ref="Y133:Z133"/>
    <mergeCell ref="AA133:AB133"/>
    <mergeCell ref="AO132:AO134"/>
    <mergeCell ref="AP132:AP134"/>
    <mergeCell ref="AQ132:AQ134"/>
    <mergeCell ref="AR132:AR134"/>
    <mergeCell ref="E133:F133"/>
    <mergeCell ref="G133:H133"/>
    <mergeCell ref="I133:J133"/>
    <mergeCell ref="K133:L133"/>
    <mergeCell ref="M133:N133"/>
    <mergeCell ref="O133:P133"/>
    <mergeCell ref="AI133:AJ133"/>
    <mergeCell ref="AK133:AL133"/>
    <mergeCell ref="AM133:AN133"/>
    <mergeCell ref="AC133:AD133"/>
    <mergeCell ref="AE133:AF133"/>
    <mergeCell ref="AG133:AH133"/>
    <mergeCell ref="A126:A127"/>
    <mergeCell ref="B126:B127"/>
    <mergeCell ref="C126:L126"/>
    <mergeCell ref="M126:M127"/>
    <mergeCell ref="A132:A134"/>
    <mergeCell ref="B132:D133"/>
    <mergeCell ref="E132:AN132"/>
    <mergeCell ref="Q133:R133"/>
    <mergeCell ref="S133:T133"/>
    <mergeCell ref="U133:V133"/>
    <mergeCell ref="G111:H112"/>
    <mergeCell ref="I111:J112"/>
    <mergeCell ref="K111:K113"/>
    <mergeCell ref="L111:N112"/>
    <mergeCell ref="O111:P112"/>
    <mergeCell ref="Q111:R112"/>
    <mergeCell ref="A87:F87"/>
    <mergeCell ref="A93:F93"/>
    <mergeCell ref="A110:F110"/>
    <mergeCell ref="A111:A113"/>
    <mergeCell ref="B111:D112"/>
    <mergeCell ref="E111:F112"/>
    <mergeCell ref="A98:A99"/>
    <mergeCell ref="B98:B99"/>
    <mergeCell ref="C98:C99"/>
    <mergeCell ref="D98:D99"/>
    <mergeCell ref="E98:E99"/>
    <mergeCell ref="A85:A86"/>
    <mergeCell ref="B85:B86"/>
    <mergeCell ref="C85:C86"/>
    <mergeCell ref="D85:D86"/>
    <mergeCell ref="E85:E86"/>
    <mergeCell ref="F85:F86"/>
    <mergeCell ref="Z78:AA78"/>
    <mergeCell ref="AB78:AC78"/>
    <mergeCell ref="AD78:AE78"/>
    <mergeCell ref="A81:A82"/>
    <mergeCell ref="A77:A79"/>
    <mergeCell ref="B77:B79"/>
    <mergeCell ref="C77:E78"/>
    <mergeCell ref="AK77:AK79"/>
    <mergeCell ref="AL77:AL79"/>
    <mergeCell ref="AD71:AE71"/>
    <mergeCell ref="AF71:AG71"/>
    <mergeCell ref="V57:V58"/>
    <mergeCell ref="AM77:AM79"/>
    <mergeCell ref="AN77:AN79"/>
    <mergeCell ref="F78:G78"/>
    <mergeCell ref="H78:I78"/>
    <mergeCell ref="J78:K78"/>
    <mergeCell ref="L78:M78"/>
    <mergeCell ref="N78:O78"/>
    <mergeCell ref="P78:Q78"/>
    <mergeCell ref="F77:AI77"/>
    <mergeCell ref="AJ77:AJ79"/>
    <mergeCell ref="R78:S78"/>
    <mergeCell ref="T78:U78"/>
    <mergeCell ref="V78:W78"/>
    <mergeCell ref="X78:Y78"/>
    <mergeCell ref="AF78:AG78"/>
    <mergeCell ref="AH78:AI78"/>
    <mergeCell ref="A76:G76"/>
    <mergeCell ref="A56:A58"/>
    <mergeCell ref="B56:D57"/>
    <mergeCell ref="E56:V56"/>
    <mergeCell ref="A70:B72"/>
    <mergeCell ref="F70:AM70"/>
    <mergeCell ref="W56:W58"/>
    <mergeCell ref="X56:X58"/>
    <mergeCell ref="E57:E58"/>
    <mergeCell ref="AL71:AM71"/>
    <mergeCell ref="AH71:AI71"/>
    <mergeCell ref="AJ71:AK71"/>
    <mergeCell ref="F57:F58"/>
    <mergeCell ref="G57:G58"/>
    <mergeCell ref="H57:H58"/>
    <mergeCell ref="I57:I58"/>
    <mergeCell ref="P57:P58"/>
    <mergeCell ref="Q57:Q58"/>
    <mergeCell ref="R57:R58"/>
    <mergeCell ref="S57:S58"/>
    <mergeCell ref="T57:T58"/>
    <mergeCell ref="N57:N58"/>
    <mergeCell ref="O57:O58"/>
    <mergeCell ref="C70:E70"/>
    <mergeCell ref="M57:M58"/>
    <mergeCell ref="C71:C72"/>
    <mergeCell ref="E29:F29"/>
    <mergeCell ref="G29:H29"/>
    <mergeCell ref="I29:J29"/>
    <mergeCell ref="K29:L29"/>
    <mergeCell ref="M29:N29"/>
    <mergeCell ref="O29:P29"/>
    <mergeCell ref="Q29:R29"/>
    <mergeCell ref="E28:AN28"/>
    <mergeCell ref="AO28:AO30"/>
    <mergeCell ref="S29:T29"/>
    <mergeCell ref="U29:V29"/>
    <mergeCell ref="W29:X29"/>
    <mergeCell ref="Y29:Z29"/>
    <mergeCell ref="AM29:AN29"/>
    <mergeCell ref="AA29:AB29"/>
    <mergeCell ref="AC29:AD29"/>
    <mergeCell ref="AE29:AF29"/>
    <mergeCell ref="AG29:AH29"/>
    <mergeCell ref="AI29:AJ29"/>
    <mergeCell ref="AK29:AL29"/>
    <mergeCell ref="AS9:AS11"/>
    <mergeCell ref="AM10:AN10"/>
    <mergeCell ref="AA10:AB10"/>
    <mergeCell ref="AC10:AD10"/>
    <mergeCell ref="AE10:AF10"/>
    <mergeCell ref="AG10:AH10"/>
    <mergeCell ref="AI10:AJ10"/>
    <mergeCell ref="AK10:AL10"/>
    <mergeCell ref="AQ28:AQ30"/>
    <mergeCell ref="AR28:AR30"/>
    <mergeCell ref="AS28:AS30"/>
    <mergeCell ref="AP28:AP30"/>
    <mergeCell ref="AO9:AO11"/>
    <mergeCell ref="AP9:AP11"/>
    <mergeCell ref="S10:T10"/>
    <mergeCell ref="U10:V10"/>
    <mergeCell ref="W10:X10"/>
    <mergeCell ref="Y10:Z10"/>
    <mergeCell ref="AQ9:AQ11"/>
    <mergeCell ref="AR9:AR11"/>
    <mergeCell ref="AB50:AB52"/>
    <mergeCell ref="AC50:AC52"/>
    <mergeCell ref="AA50:AA52"/>
    <mergeCell ref="X50:Y50"/>
    <mergeCell ref="Z50:Z52"/>
    <mergeCell ref="X51:X52"/>
    <mergeCell ref="Y51:Y52"/>
    <mergeCell ref="I119:J120"/>
    <mergeCell ref="K119:K121"/>
    <mergeCell ref="A118:F118"/>
    <mergeCell ref="A119:A121"/>
    <mergeCell ref="B119:D120"/>
    <mergeCell ref="E119:H120"/>
    <mergeCell ref="L119:M120"/>
    <mergeCell ref="A6:W6"/>
    <mergeCell ref="A9:A11"/>
    <mergeCell ref="B9:D10"/>
    <mergeCell ref="E9:AN9"/>
    <mergeCell ref="E10:F10"/>
    <mergeCell ref="G10:H10"/>
    <mergeCell ref="I10:J10"/>
    <mergeCell ref="K10:L10"/>
    <mergeCell ref="M10:N10"/>
    <mergeCell ref="O10:P10"/>
    <mergeCell ref="Q10:R10"/>
    <mergeCell ref="A28:A30"/>
    <mergeCell ref="B28:D29"/>
    <mergeCell ref="U57:U58"/>
    <mergeCell ref="J57:J58"/>
    <mergeCell ref="K57:K58"/>
    <mergeCell ref="L57:L58"/>
  </mergeCells>
  <dataValidations count="11">
    <dataValidation type="whole" operator="equal" allowBlank="1" showInputMessage="1" showErrorMessage="1" sqref="C19:C20 K124 I145 AC35:AN35 Q114:R114 E37:J38 E35:J35 L183:T183 M35:N35 L115:P116 K122 D144:H144 I141:I143 L177:T177 L179:T179 L181:T181 AS19:AS25 E124:H124 E122:H122" xr:uid="{85721005-26C4-48AA-A852-DCA45B11D0D9}">
      <formula1>0</formula1>
    </dataValidation>
    <dataValidation type="whole" allowBlank="1" showInputMessage="1" showErrorMessage="1" sqref="C186:D189 C101:E105 C107:E109 E13:AR26 AS13:AS18 AS26" xr:uid="{BB430DA5-CA5C-45A6-8094-1D11EFC69549}">
      <formula1>0</formula1>
      <formula2>9.99999999999999E+37</formula2>
    </dataValidation>
    <dataValidation type="whole" allowBlank="1" showInputMessage="1" showErrorMessage="1" sqref="E53:L54 P53:AC54" xr:uid="{3576AE8E-D88F-43B7-970B-211AD4AB2435}">
      <formula1>0</formula1>
      <formula2>9.99999999999999E+31</formula2>
    </dataValidation>
    <dataValidation type="whole" allowBlank="1" showInputMessage="1" showErrorMessage="1" sqref="C60:X61 B67:B68 F73:AM74 C193:H198 B94:B96 D88:D92 D94:D96" xr:uid="{83366FBF-F3F4-4C21-9B0B-F632F1042ABF}">
      <formula1>0</formula1>
      <formula2>9.99999999999999E+38</formula2>
    </dataValidation>
    <dataValidation type="whole" allowBlank="1" showInputMessage="1" showErrorMessage="1" sqref="C63:X64 F80:AN83 E94:F96 O32:O33 D210:F213 C217:E219 B223:B224 E32:E33 G32:G33 I32:I33 E88:F92 M32:M33 C94:C96 C88:C92" xr:uid="{04369D1E-C0F8-4B4D-B998-02B241ABA24D}">
      <formula1>0</formula1>
      <formula2>9.99999999999999E+40</formula2>
    </dataValidation>
    <dataValidation type="whole" allowBlank="1" showInputMessage="1" showErrorMessage="1" sqref="B128:M130 F176:K183 C38" xr:uid="{3FF5D641-AF5A-4952-A671-FB0C7333CE92}">
      <formula1>0</formula1>
      <formula2>9.99999999999999E+41</formula2>
    </dataValidation>
    <dataValidation type="whole" allowBlank="1" showInputMessage="1" showErrorMessage="1" sqref="E135:AR137" xr:uid="{40EBAC4A-7B18-42F7-AAB5-EFAEF8E34102}">
      <formula1>0</formula1>
      <formula2>9.99999999999999E+34</formula2>
    </dataValidation>
    <dataValidation type="whole" allowBlank="1" showInputMessage="1" showErrorMessage="1" sqref="F154:AO167 X176:AE183" xr:uid="{99A919D9-E47B-43DE-A509-247F2A0214E0}">
      <formula1>0</formula1>
      <formula2>9.99999999999999E+36</formula2>
    </dataValidation>
    <dataValidation type="whole" allowBlank="1" showInputMessage="1" showErrorMessage="1" sqref="C171:U171 C32:C33 B88:B92" xr:uid="{3D10EF60-51BA-43BD-A529-A1992FBD692D}">
      <formula1>0</formula1>
      <formula2>9.99999999999999E+42</formula2>
    </dataValidation>
    <dataValidation type="whole" allowBlank="1" showInputMessage="1" showErrorMessage="1" sqref="C202:E206" xr:uid="{B9F57BD1-5860-41AE-86A2-35E0EDA828F4}">
      <formula1>0</formula1>
      <formula2>9.99999999999999E+35</formula2>
    </dataValidation>
    <dataValidation type="whole" operator="greaterThanOrEqual" allowBlank="1" showInputMessage="1" showErrorMessage="1" sqref="O182:T182 I34 AO35:AS48 O34:O35 M34 C114:K116 L114:P114 Q115:R116 C122:D124 D141:H143 I144 J141:K149 D145:H145 D146:I149 O176:T176 O178:T178 O180:T180 E34 E31 F31:F34 G34 G31 H31:H34 J31:J34 I31 N31:N34 M31 O31 P31:AB35 AC31:AS34 M36:AN48 E39:J48 E36:J36 K31:L48 E123:H123 I122:M124" xr:uid="{AE98F494-A9B7-44E7-8086-EE23551EF423}">
      <formula1>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CZ437"/>
  <sheetViews>
    <sheetView showGridLines="0" zoomScaleNormal="100" workbookViewId="0"/>
  </sheetViews>
  <sheetFormatPr baseColWidth="10" defaultColWidth="11.44140625" defaultRowHeight="14.4" x14ac:dyDescent="0.3"/>
  <cols>
    <col min="1" max="1" width="41.6640625" customWidth="1"/>
    <col min="2" max="2" width="37.44140625" customWidth="1"/>
    <col min="3" max="3" width="12.109375" customWidth="1"/>
    <col min="14" max="14" width="12.6640625" customWidth="1"/>
    <col min="15" max="15" width="13.6640625" customWidth="1"/>
    <col min="16" max="16" width="15.88671875" customWidth="1"/>
    <col min="17" max="17" width="12.5546875" customWidth="1"/>
    <col min="18" max="18" width="12.88671875" customWidth="1"/>
    <col min="20" max="20" width="11.88671875" customWidth="1"/>
    <col min="21" max="21" width="11.5546875" customWidth="1"/>
    <col min="22" max="22" width="12.33203125" customWidth="1"/>
    <col min="23" max="23" width="13.109375" customWidth="1"/>
    <col min="24" max="24" width="13.5546875" customWidth="1"/>
    <col min="35" max="35" width="10.6640625" customWidth="1"/>
    <col min="36" max="36" width="11.5546875" customWidth="1"/>
    <col min="37" max="37" width="10.44140625" customWidth="1"/>
    <col min="39" max="39" width="12.33203125" customWidth="1"/>
    <col min="40" max="40" width="12.5546875" customWidth="1"/>
    <col min="41" max="41" width="13.6640625" customWidth="1"/>
    <col min="42" max="42" width="12.5546875" customWidth="1"/>
    <col min="46" max="46" width="11.109375" customWidth="1"/>
    <col min="49" max="50" width="12.5546875" customWidth="1"/>
    <col min="66" max="67" width="11.44140625" customWidth="1"/>
    <col min="76" max="77" width="11.44140625" customWidth="1"/>
    <col min="78" max="104" width="11.44140625" hidden="1" customWidth="1"/>
  </cols>
  <sheetData>
    <row r="1" spans="1:102" x14ac:dyDescent="0.3">
      <c r="A1" s="50" t="s">
        <v>23</v>
      </c>
    </row>
    <row r="2" spans="1:102" x14ac:dyDescent="0.3">
      <c r="A2" s="50" t="str">
        <f>CONCATENATE("COMUNA: ",NOMBRE!B2," (",NOMBRE!C2,NOMBRE!D2,NOMBRE!E2,NOMBRE!F2,NOMBRE!G2,")")</f>
        <v>COMUNA:  ()</v>
      </c>
    </row>
    <row r="3" spans="1:102" x14ac:dyDescent="0.3">
      <c r="A3" s="50" t="str">
        <f>CONCATENATE("ESTABLECIMIENTO/ESTRATEGIA: ", NOMBRE!B3," (",NOMBRE!C3,NOMBRE!D3,NOMBRE!E3,NOMBRE!F3,NOMBRE!G3,NOMBRE!H3,")")</f>
        <v>ESTABLECIMIENTO/ESTRATEGIA:  ()</v>
      </c>
    </row>
    <row r="4" spans="1:102" x14ac:dyDescent="0.3">
      <c r="A4" s="50" t="str">
        <f>CONCATENATE("MES: ",NOMBRE!B6," (",NOMBRE!C6,NOMBRE!D6,")")</f>
        <v>MES:  ()</v>
      </c>
    </row>
    <row r="5" spans="1:102" x14ac:dyDescent="0.3">
      <c r="A5" s="50" t="str">
        <f>CONCATENATE("AÑO: ",NOMBRE!B7)</f>
        <v>AÑO: 2025</v>
      </c>
    </row>
    <row r="6" spans="1:102" ht="18" customHeight="1" x14ac:dyDescent="0.3">
      <c r="A6" s="6115" t="s">
        <v>695</v>
      </c>
      <c r="B6" s="6115"/>
      <c r="C6" s="6115"/>
      <c r="D6" s="6115"/>
      <c r="E6" s="6115"/>
      <c r="F6" s="6115"/>
      <c r="G6" s="6115"/>
      <c r="H6" s="6115"/>
      <c r="I6" s="6115"/>
      <c r="J6" s="6115"/>
      <c r="K6" s="6115"/>
      <c r="L6" s="6115"/>
      <c r="M6" s="6115"/>
      <c r="N6" s="6115"/>
      <c r="O6" s="6115"/>
      <c r="P6" s="6115"/>
    </row>
    <row r="8" spans="1:102" ht="18" customHeight="1" x14ac:dyDescent="0.3">
      <c r="A8" s="2508" t="s">
        <v>696</v>
      </c>
    </row>
    <row r="9" spans="1:102" ht="21.6" customHeight="1" x14ac:dyDescent="0.3">
      <c r="A9" s="5944" t="s">
        <v>697</v>
      </c>
      <c r="B9" s="6243"/>
      <c r="C9" s="6190" t="s">
        <v>28</v>
      </c>
      <c r="D9" s="6143" t="s">
        <v>29</v>
      </c>
      <c r="E9" s="6178"/>
      <c r="F9" s="6178"/>
      <c r="G9" s="6178"/>
      <c r="H9" s="6178"/>
      <c r="I9" s="6178"/>
      <c r="J9" s="6178"/>
      <c r="K9" s="6178"/>
      <c r="L9" s="6178"/>
      <c r="M9" s="6178"/>
      <c r="N9" s="6179"/>
      <c r="O9" s="6249" t="s">
        <v>698</v>
      </c>
      <c r="P9" s="6213" t="s">
        <v>699</v>
      </c>
      <c r="Q9" s="6213" t="s">
        <v>700</v>
      </c>
      <c r="R9" s="6279" t="s">
        <v>701</v>
      </c>
      <c r="S9" s="6281" t="s">
        <v>513</v>
      </c>
      <c r="T9" s="6281"/>
      <c r="U9" s="6213" t="s">
        <v>38</v>
      </c>
      <c r="V9" s="6243" t="s">
        <v>36</v>
      </c>
      <c r="W9" s="6137" t="s">
        <v>37</v>
      </c>
      <c r="X9" s="6183"/>
    </row>
    <row r="10" spans="1:102" ht="27" customHeight="1" x14ac:dyDescent="0.3">
      <c r="A10" s="5945"/>
      <c r="B10" s="5759"/>
      <c r="C10" s="5756"/>
      <c r="D10" s="468" t="s">
        <v>702</v>
      </c>
      <c r="E10" s="554" t="s">
        <v>703</v>
      </c>
      <c r="F10" s="491" t="s">
        <v>44</v>
      </c>
      <c r="G10" s="491" t="s">
        <v>45</v>
      </c>
      <c r="H10" s="491" t="s">
        <v>46</v>
      </c>
      <c r="I10" s="491" t="s">
        <v>47</v>
      </c>
      <c r="J10" s="491" t="s">
        <v>48</v>
      </c>
      <c r="K10" s="491" t="s">
        <v>49</v>
      </c>
      <c r="L10" s="491" t="s">
        <v>50</v>
      </c>
      <c r="M10" s="491" t="s">
        <v>51</v>
      </c>
      <c r="N10" s="470" t="s">
        <v>704</v>
      </c>
      <c r="O10" s="5767"/>
      <c r="P10" s="5818"/>
      <c r="Q10" s="5818"/>
      <c r="R10" s="6280"/>
      <c r="S10" s="2964" t="s">
        <v>60</v>
      </c>
      <c r="T10" s="2964" t="s">
        <v>62</v>
      </c>
      <c r="U10" s="5818"/>
      <c r="V10" s="5760"/>
      <c r="W10" s="468" t="s">
        <v>705</v>
      </c>
      <c r="X10" s="1776" t="s">
        <v>706</v>
      </c>
    </row>
    <row r="11" spans="1:102" ht="15" customHeight="1" x14ac:dyDescent="0.3">
      <c r="A11" s="6287" t="s">
        <v>707</v>
      </c>
      <c r="B11" s="6287"/>
      <c r="C11" s="493">
        <f>SUM(D11:N11)</f>
        <v>0</v>
      </c>
      <c r="D11" s="474"/>
      <c r="E11" s="477"/>
      <c r="F11" s="494"/>
      <c r="G11" s="494"/>
      <c r="H11" s="494"/>
      <c r="I11" s="494"/>
      <c r="J11" s="494"/>
      <c r="K11" s="494"/>
      <c r="L11" s="494"/>
      <c r="M11" s="495"/>
      <c r="N11" s="496"/>
      <c r="O11" s="497"/>
      <c r="P11" s="494"/>
      <c r="Q11" s="494"/>
      <c r="R11" s="2965"/>
      <c r="S11" s="2965"/>
      <c r="T11" s="2965"/>
      <c r="U11" s="2965"/>
      <c r="V11" s="475"/>
      <c r="W11" s="474"/>
      <c r="X11" s="475"/>
      <c r="Y11" t="str">
        <f>CA11&amp;CB11&amp;CC11&amp;CD11&amp;CE11&amp;CF11&amp;CG11&amp;CH11&amp;CI11&amp;CJ11</f>
        <v/>
      </c>
      <c r="CA11" s="135" t="str">
        <f>IF(AND($C11&gt;0,O11="")," * No olvide digitar la variable Víctima de Violencia de Género. Digite Cero si no tiene.",IF(O11&gt;$C11," * La variable Víctima de Violencia de Género No puede ser mayor al Total.",""))</f>
        <v/>
      </c>
      <c r="CB11" s="135" t="str">
        <f>IF(AND(C11&gt;0,P11=""),"  * No olvide digitar la variable Ingresos por Traslados. Digite Cero si no tiene.",IF(P11&gt;C11,"  * La variable Ingresos por Traslados No puede ser mayor al Total.",""))</f>
        <v/>
      </c>
      <c r="CC11" s="135" t="str">
        <f>IF(AND($C11&gt;0,Q11="")," * No olvide digitar la variable Ingresos con Control Precoz Extrasistema. Digite Cero si no tiene.",IF(Q11&gt;$C11," * La variable Ingresos con Control Precoz Extrasistema No puede ser mayor al Total.",""))</f>
        <v/>
      </c>
      <c r="CD11" s="135" t="str">
        <f>IF(AND($C11&gt;0,R11="")," * No olvide digitar la variable Derivación por IVE causal 3 &lt;14 años. Digite Cero si no tiene.",IF(R11&gt;$C11," * La variable Derivación por IVE causal 3 &lt;14 años No puede ser mayor al Total.",""))</f>
        <v/>
      </c>
      <c r="CE11" s="135" t="str">
        <f>IF(AND($C11&gt;0,S11=""),"  * No olvide digitar la variable Trans masculino. Digite Cero si no tiene.",IF(S11&gt;$C11,"  * La variable Trans masculino No puede ser mayor al Total.",""))</f>
        <v/>
      </c>
      <c r="CF11" s="135" t="str">
        <f>IF(AND($C11&gt;0,T11=""),"  * No olvide digitar la variable No binarie. Digite Cero si no tiene.",IF(T11&gt;$C11," * La variable No binarie No puede ser mayor al Total.",""))</f>
        <v/>
      </c>
      <c r="CG11" s="135" t="str">
        <f>IF(AND($C11&gt;0,U11="")," * No olvide digitar la variable Personas con discapacidad. Digite Cero si no tiene.",IF(U11&gt;$C11," *La variable Personas con discapacidad No puede ser mayor al Total.",""))</f>
        <v/>
      </c>
      <c r="CH11" s="135" t="str">
        <f>IF(AND($C11&gt;0,V11="")," * No olvide digitar la variable Pueblos Originarios. Digite Cero si no tiene.",IF(V11&gt;$C11," *La variable Pueblos Originarios No puede ser mayor al Total.",""))</f>
        <v/>
      </c>
      <c r="CI11" s="135" t="str">
        <f>IF(AND($D11+E11+F11&gt;0,W11="")," * No olvide digitar la variable Migrantes Menor de 20 años. Digite Cero si no tiene.",IF(W11&gt;$D11+E11+F11," * La variable Migrantes Menor de 20 años No puede ser mayor a la suma del grupo Rango Etario menor de 20 años.",""))</f>
        <v/>
      </c>
      <c r="CJ11" s="135" t="str">
        <f>IF(AND($G11+$H11+$I11+$J11+$K11+$L11+$M11+$N11&gt;0,$X11="")," * No olvide digitar la variable Migrantes 20 y más años. Digite Cero si no tiene.",IF($G11+$H11+$I11+$J11+$K11+$L11+$M11+$N11&lt;$X11," * La variable Migrantes 20 y más años No puede ser mayor a la suma del grupo Rango Etario 20 y más años.",""))</f>
        <v/>
      </c>
      <c r="CO11" s="84">
        <f t="shared" ref="CO11:CQ14" si="0">IF(AND($C11&gt;0,O11=""),1,IF(O11&gt;$C11,1,0))</f>
        <v>0</v>
      </c>
      <c r="CP11" s="84">
        <f t="shared" si="0"/>
        <v>0</v>
      </c>
      <c r="CQ11" s="84">
        <f t="shared" si="0"/>
        <v>0</v>
      </c>
      <c r="CR11" s="182">
        <f>IF(R11&gt;$E11+D11,1,0)</f>
        <v>0</v>
      </c>
      <c r="CS11" s="84">
        <f t="shared" ref="CS11:CV14" si="1">IF(AND($C11&gt;0,S11=""),1,IF(S11&gt;$C11,1,0))</f>
        <v>0</v>
      </c>
      <c r="CT11" s="84">
        <f t="shared" si="1"/>
        <v>0</v>
      </c>
      <c r="CU11" s="84">
        <f t="shared" si="1"/>
        <v>0</v>
      </c>
      <c r="CV11" s="84">
        <f t="shared" si="1"/>
        <v>0</v>
      </c>
      <c r="CW11" s="84">
        <f>IF(AND(D11+E11+F11&gt;0,W11=""),1,IF(W11&gt;D11+E11+F11,1,0))</f>
        <v>0</v>
      </c>
      <c r="CX11" s="84">
        <f>IF(AND($G11+$H11+$I11+$J11+$K11+$L11+$M11+$N11&gt;0,$X11=""),1,IF($G11+$H11+$I11+$J11+$K11+$L11+$M11+$N11&lt;$X11,1,0))</f>
        <v>0</v>
      </c>
    </row>
    <row r="12" spans="1:102" ht="15" customHeight="1" x14ac:dyDescent="0.3">
      <c r="A12" s="6288" t="s">
        <v>708</v>
      </c>
      <c r="B12" s="6288"/>
      <c r="C12" s="498">
        <f t="shared" ref="C12:C14" si="2">SUM(D12:N12)</f>
        <v>0</v>
      </c>
      <c r="D12" s="346"/>
      <c r="E12" s="348"/>
      <c r="F12" s="369"/>
      <c r="G12" s="369"/>
      <c r="H12" s="369"/>
      <c r="I12" s="369"/>
      <c r="J12" s="369"/>
      <c r="K12" s="369"/>
      <c r="L12" s="369"/>
      <c r="M12" s="349"/>
      <c r="N12" s="352"/>
      <c r="O12" s="430"/>
      <c r="P12" s="369"/>
      <c r="Q12" s="369"/>
      <c r="R12" s="2965"/>
      <c r="S12" s="2965"/>
      <c r="T12" s="2965"/>
      <c r="U12" s="2965"/>
      <c r="V12" s="347"/>
      <c r="W12" s="346"/>
      <c r="X12" s="347"/>
      <c r="Y12" t="str">
        <f t="shared" ref="Y12:Y14" si="3">CA12&amp;CB12&amp;CC12&amp;CD12&amp;CE12&amp;CF12&amp;CG12&amp;CH12&amp;CI12&amp;CJ12</f>
        <v/>
      </c>
      <c r="CA12" s="135" t="str">
        <f t="shared" ref="CA12:CA14" si="4">IF(AND($C12&gt;0,O12="")," * No olvide digitar la variable Víctima de Violencia de Género. Digite Cero si no tiene.",IF(O12&gt;$C12," * La variable Víctima de Violencia de Género No puede ser mayor al Total.",""))</f>
        <v/>
      </c>
      <c r="CB12" s="135" t="str">
        <f t="shared" ref="CB12:CB14" si="5">IF(AND(C12&gt;0,P12=""),"  * No olvide digitar la variable Ingresos por Traslados. Digite Cero si no tiene.",IF(P12&gt;C12,"  * La variable Ingresos por Traslados No puede ser mayor al Total.",""))</f>
        <v/>
      </c>
      <c r="CC12" s="135" t="str">
        <f t="shared" ref="CC12:CC14" si="6">IF(AND($C12&gt;0,Q12="")," * No olvide digitar la variable Ingresos con Control Precoz Extrasistema. Digite Cero si no tiene.",IF(Q12&gt;$C12," * La variable Ingresos con Control Precoz Extrasistema No puede ser mayor al Total.",""))</f>
        <v/>
      </c>
      <c r="CD12" s="135" t="str">
        <f t="shared" ref="CD12:CD14" si="7">IF(AND($C12&gt;0,R12="")," * No olvide digitar la variable Derivación por IVE causal 3 &lt;14 años. Digite Cero si no tiene.",IF(R12&gt;$C12," * La variable Derivación por IVE causal 3 &lt;14 años No puede ser mayor al Total.",""))</f>
        <v/>
      </c>
      <c r="CE12" s="135" t="str">
        <f t="shared" ref="CE12:CE14" si="8">IF(AND($C12&gt;0,S12=""),"  * No olvide digitar la variable Trans masculino. Digite Cero si no tiene.",IF(S12&gt;$C12,"  * La variable Trans masculino No puede ser mayor al Total.",""))</f>
        <v/>
      </c>
      <c r="CF12" s="135" t="str">
        <f t="shared" ref="CF12:CF14" si="9">IF(AND($C12&gt;0,T12=""),"  * No olvide digitar la variable No binarie. Digite Cero si no tiene.",IF(T12&gt;$C12," * La variable No binarie No puede ser mayor al Total.",""))</f>
        <v/>
      </c>
      <c r="CG12" s="135" t="str">
        <f t="shared" ref="CG12:CG14" si="10">IF(AND($C12&gt;0,U12="")," * No olvide digitar la variable Personas con discapacidad. Digite Cero si no tiene.",IF(U12&gt;$C12," *La variable Personas con discapacidad No puede ser mayor al Total.",""))</f>
        <v/>
      </c>
      <c r="CH12" s="135" t="str">
        <f t="shared" ref="CH12:CH14" si="11">IF(AND($C12&gt;0,V12="")," * No olvide digitar la variable Pueblos Originarios. Digite Cero si no tiene.",IF(V12&gt;$C12," *La variable Pueblos Originarios No puede ser mayor al Total.",""))</f>
        <v/>
      </c>
      <c r="CI12" s="135" t="str">
        <f t="shared" ref="CI12:CI14" si="12">IF(AND($D12+E12+F12&gt;0,W12="")," * No olvide digitar la variable Migrantes Menor de 20 años. Digite Cero si no tiene.",IF(W12&gt;$D12+E12+F12," * La variable Migrantes Menor de 20 años No puede ser mayor a la suma del grupo Rango Etario menor de 20 años.",""))</f>
        <v/>
      </c>
      <c r="CJ12" s="135" t="str">
        <f t="shared" ref="CJ12:CJ14" si="13">IF(AND($G12+$H12+$I12+$J12+$K12+$L12+$M12+$N12&gt;0,$X12="")," * No olvide digitar la variable Migrantes 20 y más años. Digite Cero si no tiene.",IF($G12+$H12+$I12+$J12+$K12+$L12+$M12+$N12&lt;$X12," * La variable Migrantes 20 y más años No puede ser mayor a la suma del grupo Rango Etario 20 y más años.",""))</f>
        <v/>
      </c>
      <c r="CO12" s="84">
        <f t="shared" si="0"/>
        <v>0</v>
      </c>
      <c r="CP12" s="84">
        <f t="shared" si="0"/>
        <v>0</v>
      </c>
      <c r="CQ12" s="84">
        <f t="shared" si="0"/>
        <v>0</v>
      </c>
      <c r="CR12" s="182">
        <f>IF(R12&gt;$E12+D12,1,0)</f>
        <v>0</v>
      </c>
      <c r="CS12" s="84">
        <f t="shared" si="1"/>
        <v>0</v>
      </c>
      <c r="CT12" s="84">
        <f t="shared" si="1"/>
        <v>0</v>
      </c>
      <c r="CU12" s="84">
        <f t="shared" si="1"/>
        <v>0</v>
      </c>
      <c r="CV12" s="84">
        <f t="shared" si="1"/>
        <v>0</v>
      </c>
      <c r="CW12" s="84">
        <f>IF(AND(D12+E12+F12&gt;0,W12=""),1,IF(W12&gt;D12+E12+F12,1,0))</f>
        <v>0</v>
      </c>
      <c r="CX12" s="84">
        <f t="shared" ref="CX12:CX14" si="14">IF(AND($G12+$H12+$I12+$J12+$K12+$L12+$M12+$N12&gt;0,$X12=""),1,IF($G12+$H12+$I12+$J12+$K12+$L12+$M12+$N12&lt;$X12,1,0))</f>
        <v>0</v>
      </c>
    </row>
    <row r="13" spans="1:102" ht="15" customHeight="1" x14ac:dyDescent="0.3">
      <c r="A13" s="6289" t="s">
        <v>709</v>
      </c>
      <c r="B13" s="6290"/>
      <c r="C13" s="498">
        <f>SUM(D13:N13)</f>
        <v>0</v>
      </c>
      <c r="D13" s="346"/>
      <c r="E13" s="348"/>
      <c r="F13" s="369"/>
      <c r="G13" s="369"/>
      <c r="H13" s="369"/>
      <c r="I13" s="369"/>
      <c r="J13" s="369"/>
      <c r="K13" s="369"/>
      <c r="L13" s="369"/>
      <c r="M13" s="349"/>
      <c r="N13" s="352"/>
      <c r="O13" s="430"/>
      <c r="P13" s="369"/>
      <c r="Q13" s="369"/>
      <c r="R13" s="2965"/>
      <c r="S13" s="2965"/>
      <c r="T13" s="2965"/>
      <c r="U13" s="2965"/>
      <c r="V13" s="347"/>
      <c r="W13" s="346"/>
      <c r="X13" s="347"/>
      <c r="Y13" t="str">
        <f t="shared" si="3"/>
        <v/>
      </c>
      <c r="CA13" s="135" t="str">
        <f t="shared" si="4"/>
        <v/>
      </c>
      <c r="CB13" s="135" t="str">
        <f t="shared" si="5"/>
        <v/>
      </c>
      <c r="CC13" s="135" t="str">
        <f t="shared" si="6"/>
        <v/>
      </c>
      <c r="CD13" s="135" t="str">
        <f t="shared" si="7"/>
        <v/>
      </c>
      <c r="CE13" s="135" t="str">
        <f t="shared" si="8"/>
        <v/>
      </c>
      <c r="CF13" s="135" t="str">
        <f t="shared" si="9"/>
        <v/>
      </c>
      <c r="CG13" s="135" t="str">
        <f t="shared" si="10"/>
        <v/>
      </c>
      <c r="CH13" s="135" t="str">
        <f t="shared" si="11"/>
        <v/>
      </c>
      <c r="CI13" s="135" t="str">
        <f t="shared" si="12"/>
        <v/>
      </c>
      <c r="CJ13" s="135" t="str">
        <f t="shared" si="13"/>
        <v/>
      </c>
      <c r="CO13" s="84">
        <f t="shared" si="0"/>
        <v>0</v>
      </c>
      <c r="CP13" s="84">
        <f t="shared" si="0"/>
        <v>0</v>
      </c>
      <c r="CQ13" s="84">
        <f t="shared" si="0"/>
        <v>0</v>
      </c>
      <c r="CR13" s="182">
        <f>IF(R13&gt;$E13+D13,1,0)</f>
        <v>0</v>
      </c>
      <c r="CS13" s="84">
        <f t="shared" si="1"/>
        <v>0</v>
      </c>
      <c r="CT13" s="84">
        <f t="shared" si="1"/>
        <v>0</v>
      </c>
      <c r="CU13" s="84">
        <f t="shared" si="1"/>
        <v>0</v>
      </c>
      <c r="CV13" s="84">
        <f t="shared" si="1"/>
        <v>0</v>
      </c>
      <c r="CW13" s="84">
        <f>IF(AND(D13+E13+F13&gt;0,W13=""),1,IF(W13&gt;D13+E13+F13,1,0))</f>
        <v>0</v>
      </c>
      <c r="CX13" s="84">
        <f t="shared" si="14"/>
        <v>0</v>
      </c>
    </row>
    <row r="14" spans="1:102" ht="15" customHeight="1" x14ac:dyDescent="0.3">
      <c r="A14" s="6291" t="s">
        <v>710</v>
      </c>
      <c r="B14" s="6292"/>
      <c r="C14" s="501">
        <f t="shared" si="2"/>
        <v>0</v>
      </c>
      <c r="D14" s="380"/>
      <c r="E14" s="429"/>
      <c r="F14" s="372"/>
      <c r="G14" s="372"/>
      <c r="H14" s="372"/>
      <c r="I14" s="372"/>
      <c r="J14" s="372"/>
      <c r="K14" s="372"/>
      <c r="L14" s="372"/>
      <c r="M14" s="502"/>
      <c r="N14" s="390"/>
      <c r="O14" s="379"/>
      <c r="P14" s="372"/>
      <c r="Q14" s="372"/>
      <c r="R14" s="2966"/>
      <c r="S14" s="2966"/>
      <c r="T14" s="2966"/>
      <c r="U14" s="2966"/>
      <c r="V14" s="388"/>
      <c r="W14" s="380"/>
      <c r="X14" s="388"/>
      <c r="Y14" t="str">
        <f t="shared" si="3"/>
        <v/>
      </c>
      <c r="CA14" s="135" t="str">
        <f t="shared" si="4"/>
        <v/>
      </c>
      <c r="CB14" s="135" t="str">
        <f t="shared" si="5"/>
        <v/>
      </c>
      <c r="CC14" s="135" t="str">
        <f t="shared" si="6"/>
        <v/>
      </c>
      <c r="CD14" s="135" t="str">
        <f t="shared" si="7"/>
        <v/>
      </c>
      <c r="CE14" s="135" t="str">
        <f t="shared" si="8"/>
        <v/>
      </c>
      <c r="CF14" s="135" t="str">
        <f t="shared" si="9"/>
        <v/>
      </c>
      <c r="CG14" s="135" t="str">
        <f t="shared" si="10"/>
        <v/>
      </c>
      <c r="CH14" s="135" t="str">
        <f t="shared" si="11"/>
        <v/>
      </c>
      <c r="CI14" s="135" t="str">
        <f t="shared" si="12"/>
        <v/>
      </c>
      <c r="CJ14" s="135" t="str">
        <f t="shared" si="13"/>
        <v/>
      </c>
      <c r="CO14" s="84">
        <f t="shared" si="0"/>
        <v>0</v>
      </c>
      <c r="CP14" s="84">
        <f t="shared" si="0"/>
        <v>0</v>
      </c>
      <c r="CQ14" s="84">
        <f t="shared" si="0"/>
        <v>0</v>
      </c>
      <c r="CR14" s="182">
        <f>IF(R14&gt;$E14+D14,1,0)</f>
        <v>0</v>
      </c>
      <c r="CS14" s="84">
        <f t="shared" si="1"/>
        <v>0</v>
      </c>
      <c r="CT14" s="84">
        <f t="shared" si="1"/>
        <v>0</v>
      </c>
      <c r="CU14" s="84">
        <f t="shared" si="1"/>
        <v>0</v>
      </c>
      <c r="CV14" s="84">
        <f t="shared" si="1"/>
        <v>0</v>
      </c>
      <c r="CW14" s="84">
        <f>IF(AND(D14+E14+F14&gt;0,W14=""),1,IF(W14&gt;D14+E14+F14,1,0))</f>
        <v>0</v>
      </c>
      <c r="CX14" s="84">
        <f t="shared" si="14"/>
        <v>0</v>
      </c>
    </row>
    <row r="15" spans="1:102" ht="18" customHeight="1" x14ac:dyDescent="0.3">
      <c r="A15" s="3" t="s">
        <v>711</v>
      </c>
      <c r="B15" s="91"/>
      <c r="C15" s="91"/>
      <c r="D15" s="91"/>
      <c r="E15" s="91"/>
      <c r="F15" s="91"/>
      <c r="G15" s="91"/>
      <c r="H15" s="91"/>
      <c r="I15" s="91"/>
      <c r="J15" s="91"/>
      <c r="CN15" s="19"/>
      <c r="CO15" s="19"/>
      <c r="CP15" s="19"/>
      <c r="CQ15" s="19"/>
      <c r="CR15" s="19"/>
      <c r="CS15" s="19"/>
      <c r="CT15" s="19"/>
      <c r="CU15" s="19"/>
      <c r="CV15" s="19"/>
      <c r="CW15" s="19"/>
    </row>
    <row r="16" spans="1:102" ht="15" customHeight="1" x14ac:dyDescent="0.3">
      <c r="A16" s="5944" t="s">
        <v>712</v>
      </c>
      <c r="B16" s="6243"/>
      <c r="C16" s="6186" t="s">
        <v>713</v>
      </c>
      <c r="D16" s="6311" t="s">
        <v>714</v>
      </c>
      <c r="E16" s="6224" t="s">
        <v>36</v>
      </c>
      <c r="F16" s="6243" t="s">
        <v>37</v>
      </c>
      <c r="CN16" s="19"/>
      <c r="CO16" s="19"/>
      <c r="CP16" s="19"/>
      <c r="CQ16" s="19"/>
      <c r="CR16" s="19"/>
      <c r="CS16" s="19"/>
      <c r="CT16" s="19"/>
      <c r="CU16" s="19"/>
      <c r="CV16" s="19"/>
      <c r="CW16" s="19"/>
    </row>
    <row r="17" spans="1:101" ht="18.75" customHeight="1" x14ac:dyDescent="0.3">
      <c r="A17" s="5945"/>
      <c r="B17" s="5759"/>
      <c r="C17" s="5835"/>
      <c r="D17" s="5956"/>
      <c r="E17" s="5838"/>
      <c r="F17" s="5760"/>
      <c r="CN17" s="19"/>
      <c r="CO17" s="19"/>
      <c r="CP17" s="19"/>
      <c r="CQ17" s="19"/>
      <c r="CR17" s="19"/>
      <c r="CS17" s="19"/>
      <c r="CT17" s="19"/>
      <c r="CU17" s="19"/>
      <c r="CV17" s="19"/>
      <c r="CW17" s="19"/>
    </row>
    <row r="18" spans="1:101" ht="15" customHeight="1" x14ac:dyDescent="0.3">
      <c r="A18" s="6293" t="s">
        <v>715</v>
      </c>
      <c r="B18" s="6294"/>
      <c r="C18" s="505"/>
      <c r="D18" s="506"/>
      <c r="E18" s="507"/>
      <c r="F18" s="508"/>
      <c r="G18" t="str">
        <f t="shared" ref="G18:G31" si="15">CA18&amp;CB18&amp;CC18</f>
        <v/>
      </c>
      <c r="CA18" s="135" t="str">
        <f>IF(AND($C18&gt;0,$D18=""),"  * No olvide digitar la variable "&amp;$D$16&amp;""&amp;". Digite Cero si no tiene.",IF(D18&gt;C18,"  ** La variable Víctima de violencia de género No puede ser mayor al "&amp;$C$16&amp;""&amp;" .",""))</f>
        <v/>
      </c>
      <c r="CB18" s="135" t="str">
        <f>IF(AND(C18&gt;0,E18=""),"  * No olvide digitar la "&amp;$E$16&amp;""&amp;" . Digite Cero si no tiene.",IF(E18&gt;C18,"  * La variable Pueblos originarios No puede ser mayor al  "&amp;$C$16&amp;""&amp;" .",""))</f>
        <v/>
      </c>
      <c r="CC18" s="135" t="str">
        <f>IF(AND(C18&gt;0,F18=""),"  * No olvide digitar la "&amp;$F$16&amp;""&amp;" . Digite Cero si no tiene.",IF(F18&gt;C18,"  * La variable Migrantes No puede ser mayor al  "&amp;$C$16&amp;""&amp;" .",""))</f>
        <v/>
      </c>
      <c r="CN18" s="19"/>
      <c r="CO18" s="84">
        <f t="shared" ref="CO18:CO31" si="16">IF(AND(C18&gt;0,D18=""),1,IF(D18&gt;C18,1,0))</f>
        <v>0</v>
      </c>
      <c r="CP18" s="84">
        <f t="shared" ref="CP18:CP31" si="17">IF(AND(C18&gt;0,E18=""),1,IF(E18&gt;C18,1,0))</f>
        <v>0</v>
      </c>
      <c r="CQ18" s="84">
        <f t="shared" ref="CQ18:CQ31" si="18">IF(AND(C18&gt;0,F18=""),1,IF(F18&gt;C18,1,0))</f>
        <v>0</v>
      </c>
      <c r="CR18" s="19"/>
      <c r="CS18" s="19"/>
      <c r="CT18" s="19"/>
      <c r="CU18" s="19"/>
      <c r="CV18" s="19"/>
      <c r="CW18" s="19"/>
    </row>
    <row r="19" spans="1:101" ht="15" customHeight="1" x14ac:dyDescent="0.3">
      <c r="A19" s="6297" t="s">
        <v>716</v>
      </c>
      <c r="B19" s="6298"/>
      <c r="C19" s="290"/>
      <c r="D19" s="431"/>
      <c r="E19" s="22"/>
      <c r="F19" s="107"/>
      <c r="G19" t="str">
        <f t="shared" si="15"/>
        <v/>
      </c>
      <c r="CA19" s="135" t="str">
        <f t="shared" ref="CA19:CA31" si="19">IF(AND($C19&gt;0,$D19=""),"  * No olvide digitar la variable "&amp;$D$16&amp;""&amp;". Digite Cero si no tiene.",IF(D19&gt;C19,"  ** La variable Víctima de violencia de género No puede ser mayor al "&amp;$C$16&amp;""&amp;" .",""))</f>
        <v/>
      </c>
      <c r="CB19" s="135" t="str">
        <f t="shared" ref="CB19:CB31" si="20">IF(AND(C19&gt;0,E19=""),"  * No olvide digitar la "&amp;$E$16&amp;""&amp;" . Digite Cero si no tiene.",IF(E19&gt;C19,"  * La variable Pueblos originarios No puede ser mayor al  "&amp;$C$16&amp;""&amp;" .",""))</f>
        <v/>
      </c>
      <c r="CC19" s="135" t="str">
        <f t="shared" ref="CC19:CC31" si="21">IF(AND(C19&gt;0,F19=""),"  * No olvide digitar la "&amp;$F$16&amp;""&amp;" . Digite Cero si no tiene.",IF(F19&gt;C19,"  * La variable Migrantes No puede ser mayor al  "&amp;$C$16&amp;""&amp;" .",""))</f>
        <v/>
      </c>
      <c r="CN19" s="19"/>
      <c r="CO19" s="84">
        <f t="shared" si="16"/>
        <v>0</v>
      </c>
      <c r="CP19" s="84">
        <f t="shared" si="17"/>
        <v>0</v>
      </c>
      <c r="CQ19" s="84">
        <f t="shared" si="18"/>
        <v>0</v>
      </c>
      <c r="CR19" s="19"/>
      <c r="CS19" s="19"/>
      <c r="CT19" s="19"/>
      <c r="CU19" s="19"/>
      <c r="CV19" s="19"/>
      <c r="CW19" s="19"/>
    </row>
    <row r="20" spans="1:101" ht="15" customHeight="1" x14ac:dyDescent="0.3">
      <c r="A20" s="5969" t="s">
        <v>717</v>
      </c>
      <c r="B20" s="5970"/>
      <c r="C20" s="346"/>
      <c r="D20" s="352"/>
      <c r="E20" s="348"/>
      <c r="F20" s="347"/>
      <c r="G20" t="str">
        <f t="shared" si="15"/>
        <v/>
      </c>
      <c r="P20" t="s">
        <v>10</v>
      </c>
      <c r="CA20" s="135" t="str">
        <f t="shared" si="19"/>
        <v/>
      </c>
      <c r="CB20" s="135" t="str">
        <f t="shared" si="20"/>
        <v/>
      </c>
      <c r="CC20" s="135" t="str">
        <f t="shared" si="21"/>
        <v/>
      </c>
      <c r="CN20" s="19"/>
      <c r="CO20" s="84">
        <f t="shared" si="16"/>
        <v>0</v>
      </c>
      <c r="CP20" s="84">
        <f t="shared" si="17"/>
        <v>0</v>
      </c>
      <c r="CQ20" s="84">
        <f t="shared" si="18"/>
        <v>0</v>
      </c>
      <c r="CR20" s="19"/>
      <c r="CS20" s="19"/>
      <c r="CT20" s="19"/>
      <c r="CU20" s="19"/>
      <c r="CV20" s="19"/>
      <c r="CW20" s="19"/>
    </row>
    <row r="21" spans="1:101" ht="15" customHeight="1" x14ac:dyDescent="0.3">
      <c r="A21" s="5969" t="s">
        <v>718</v>
      </c>
      <c r="B21" s="5970"/>
      <c r="C21" s="346"/>
      <c r="D21" s="352"/>
      <c r="E21" s="348"/>
      <c r="F21" s="347"/>
      <c r="G21" t="str">
        <f t="shared" si="15"/>
        <v/>
      </c>
      <c r="CA21" s="135" t="str">
        <f t="shared" si="19"/>
        <v/>
      </c>
      <c r="CB21" s="135" t="str">
        <f t="shared" si="20"/>
        <v/>
      </c>
      <c r="CC21" s="135" t="str">
        <f t="shared" si="21"/>
        <v/>
      </c>
      <c r="CN21" s="19"/>
      <c r="CO21" s="84">
        <f t="shared" si="16"/>
        <v>0</v>
      </c>
      <c r="CP21" s="84">
        <f t="shared" si="17"/>
        <v>0</v>
      </c>
      <c r="CQ21" s="84">
        <f t="shared" si="18"/>
        <v>0</v>
      </c>
      <c r="CR21" s="19"/>
      <c r="CS21" s="19"/>
      <c r="CT21" s="19"/>
      <c r="CU21" s="19"/>
      <c r="CV21" s="19"/>
      <c r="CW21" s="19"/>
    </row>
    <row r="22" spans="1:101" ht="15" customHeight="1" x14ac:dyDescent="0.3">
      <c r="A22" s="5969" t="s">
        <v>719</v>
      </c>
      <c r="B22" s="5970"/>
      <c r="C22" s="346"/>
      <c r="D22" s="352"/>
      <c r="E22" s="348"/>
      <c r="F22" s="347"/>
      <c r="G22" t="str">
        <f t="shared" si="15"/>
        <v/>
      </c>
      <c r="CA22" s="135" t="str">
        <f t="shared" si="19"/>
        <v/>
      </c>
      <c r="CB22" s="135" t="str">
        <f t="shared" si="20"/>
        <v/>
      </c>
      <c r="CC22" s="135" t="str">
        <f t="shared" si="21"/>
        <v/>
      </c>
      <c r="CN22" s="19"/>
      <c r="CO22" s="84">
        <f t="shared" si="16"/>
        <v>0</v>
      </c>
      <c r="CP22" s="84">
        <f t="shared" si="17"/>
        <v>0</v>
      </c>
      <c r="CQ22" s="84">
        <f t="shared" si="18"/>
        <v>0</v>
      </c>
      <c r="CR22" s="19"/>
      <c r="CS22" s="19"/>
      <c r="CT22" s="19"/>
      <c r="CU22" s="19"/>
      <c r="CV22" s="19"/>
      <c r="CW22" s="19"/>
    </row>
    <row r="23" spans="1:101" ht="15" customHeight="1" x14ac:dyDescent="0.3">
      <c r="A23" s="5969" t="s">
        <v>720</v>
      </c>
      <c r="B23" s="5970"/>
      <c r="C23" s="346"/>
      <c r="D23" s="352"/>
      <c r="E23" s="348"/>
      <c r="F23" s="347"/>
      <c r="G23" t="str">
        <f t="shared" si="15"/>
        <v/>
      </c>
      <c r="CA23" s="135" t="str">
        <f t="shared" si="19"/>
        <v/>
      </c>
      <c r="CB23" s="135" t="str">
        <f t="shared" si="20"/>
        <v/>
      </c>
      <c r="CC23" s="135" t="str">
        <f t="shared" si="21"/>
        <v/>
      </c>
      <c r="CN23" s="19"/>
      <c r="CO23" s="84">
        <f t="shared" si="16"/>
        <v>0</v>
      </c>
      <c r="CP23" s="84">
        <f t="shared" si="17"/>
        <v>0</v>
      </c>
      <c r="CQ23" s="84">
        <f t="shared" si="18"/>
        <v>0</v>
      </c>
      <c r="CR23" s="19"/>
      <c r="CS23" s="19"/>
      <c r="CT23" s="19"/>
      <c r="CU23" s="19"/>
      <c r="CV23" s="19"/>
      <c r="CW23" s="19"/>
    </row>
    <row r="24" spans="1:101" ht="15" customHeight="1" x14ac:dyDescent="0.3">
      <c r="A24" s="5969" t="s">
        <v>721</v>
      </c>
      <c r="B24" s="5970"/>
      <c r="C24" s="346"/>
      <c r="D24" s="352"/>
      <c r="E24" s="348"/>
      <c r="F24" s="347"/>
      <c r="G24" t="str">
        <f t="shared" si="15"/>
        <v/>
      </c>
      <c r="CA24" s="135" t="str">
        <f t="shared" si="19"/>
        <v/>
      </c>
      <c r="CB24" s="135" t="str">
        <f t="shared" si="20"/>
        <v/>
      </c>
      <c r="CC24" s="135" t="str">
        <f t="shared" si="21"/>
        <v/>
      </c>
      <c r="CN24" s="19"/>
      <c r="CO24" s="84">
        <f t="shared" si="16"/>
        <v>0</v>
      </c>
      <c r="CP24" s="84">
        <f t="shared" si="17"/>
        <v>0</v>
      </c>
      <c r="CQ24" s="84">
        <f t="shared" si="18"/>
        <v>0</v>
      </c>
      <c r="CR24" s="19"/>
      <c r="CS24" s="19"/>
      <c r="CT24" s="19"/>
      <c r="CU24" s="19"/>
      <c r="CV24" s="19"/>
      <c r="CW24" s="19"/>
    </row>
    <row r="25" spans="1:101" ht="15" customHeight="1" x14ac:dyDescent="0.3">
      <c r="A25" s="5969" t="s">
        <v>722</v>
      </c>
      <c r="B25" s="5970"/>
      <c r="C25" s="346"/>
      <c r="D25" s="352"/>
      <c r="E25" s="348"/>
      <c r="F25" s="347"/>
      <c r="G25" t="str">
        <f t="shared" si="15"/>
        <v/>
      </c>
      <c r="CA25" s="135" t="str">
        <f t="shared" si="19"/>
        <v/>
      </c>
      <c r="CB25" s="135" t="str">
        <f t="shared" si="20"/>
        <v/>
      </c>
      <c r="CC25" s="135" t="str">
        <f t="shared" si="21"/>
        <v/>
      </c>
      <c r="CN25" s="19"/>
      <c r="CO25" s="84">
        <f t="shared" si="16"/>
        <v>0</v>
      </c>
      <c r="CP25" s="84">
        <f t="shared" si="17"/>
        <v>0</v>
      </c>
      <c r="CQ25" s="84">
        <f t="shared" si="18"/>
        <v>0</v>
      </c>
      <c r="CR25" s="19"/>
      <c r="CS25" s="19"/>
      <c r="CT25" s="19"/>
      <c r="CU25" s="19"/>
      <c r="CV25" s="19"/>
      <c r="CW25" s="19"/>
    </row>
    <row r="26" spans="1:101" ht="15" customHeight="1" x14ac:dyDescent="0.3">
      <c r="A26" s="5969" t="s">
        <v>723</v>
      </c>
      <c r="B26" s="5970"/>
      <c r="C26" s="346"/>
      <c r="D26" s="352"/>
      <c r="E26" s="348"/>
      <c r="F26" s="347"/>
      <c r="G26" t="str">
        <f t="shared" si="15"/>
        <v/>
      </c>
      <c r="CA26" s="135" t="str">
        <f t="shared" si="19"/>
        <v/>
      </c>
      <c r="CB26" s="135" t="str">
        <f t="shared" si="20"/>
        <v/>
      </c>
      <c r="CC26" s="135" t="str">
        <f t="shared" si="21"/>
        <v/>
      </c>
      <c r="CN26" s="19"/>
      <c r="CO26" s="84">
        <f t="shared" si="16"/>
        <v>0</v>
      </c>
      <c r="CP26" s="84">
        <f t="shared" si="17"/>
        <v>0</v>
      </c>
      <c r="CQ26" s="84">
        <f t="shared" si="18"/>
        <v>0</v>
      </c>
      <c r="CR26" s="19"/>
      <c r="CS26" s="19"/>
      <c r="CT26" s="19"/>
      <c r="CU26" s="19"/>
      <c r="CV26" s="19"/>
      <c r="CW26" s="19"/>
    </row>
    <row r="27" spans="1:101" ht="15" customHeight="1" x14ac:dyDescent="0.3">
      <c r="A27" s="5969" t="s">
        <v>724</v>
      </c>
      <c r="B27" s="5970"/>
      <c r="C27" s="346"/>
      <c r="D27" s="352"/>
      <c r="E27" s="348"/>
      <c r="F27" s="347"/>
      <c r="G27" t="str">
        <f t="shared" si="15"/>
        <v/>
      </c>
      <c r="CA27" s="135" t="str">
        <f t="shared" si="19"/>
        <v/>
      </c>
      <c r="CB27" s="135" t="str">
        <f t="shared" si="20"/>
        <v/>
      </c>
      <c r="CC27" s="135" t="str">
        <f t="shared" si="21"/>
        <v/>
      </c>
      <c r="CN27" s="19"/>
      <c r="CO27" s="84">
        <f t="shared" si="16"/>
        <v>0</v>
      </c>
      <c r="CP27" s="84">
        <f t="shared" si="17"/>
        <v>0</v>
      </c>
      <c r="CQ27" s="84">
        <f t="shared" si="18"/>
        <v>0</v>
      </c>
      <c r="CR27" s="19"/>
      <c r="CS27" s="19"/>
      <c r="CT27" s="19"/>
      <c r="CU27" s="19"/>
      <c r="CV27" s="19"/>
      <c r="CW27" s="19"/>
    </row>
    <row r="28" spans="1:101" ht="15" customHeight="1" x14ac:dyDescent="0.3">
      <c r="A28" s="5969" t="s">
        <v>725</v>
      </c>
      <c r="B28" s="5970"/>
      <c r="C28" s="192"/>
      <c r="D28" s="384"/>
      <c r="E28" s="482"/>
      <c r="F28" s="2"/>
      <c r="G28" t="str">
        <f t="shared" si="15"/>
        <v/>
      </c>
      <c r="CA28" s="135" t="str">
        <f t="shared" si="19"/>
        <v/>
      </c>
      <c r="CB28" s="135" t="str">
        <f t="shared" si="20"/>
        <v/>
      </c>
      <c r="CC28" s="135" t="str">
        <f t="shared" si="21"/>
        <v/>
      </c>
      <c r="CN28" s="19"/>
      <c r="CO28" s="84">
        <f t="shared" si="16"/>
        <v>0</v>
      </c>
      <c r="CP28" s="84">
        <f t="shared" si="17"/>
        <v>0</v>
      </c>
      <c r="CQ28" s="84">
        <f t="shared" si="18"/>
        <v>0</v>
      </c>
      <c r="CR28" s="19"/>
      <c r="CS28" s="19"/>
      <c r="CT28" s="19"/>
      <c r="CU28" s="19"/>
      <c r="CV28" s="19"/>
      <c r="CW28" s="19"/>
    </row>
    <row r="29" spans="1:101" ht="15" customHeight="1" x14ac:dyDescent="0.3">
      <c r="A29" s="5969" t="s">
        <v>726</v>
      </c>
      <c r="B29" s="5970"/>
      <c r="C29" s="192"/>
      <c r="D29" s="384"/>
      <c r="E29" s="482"/>
      <c r="F29" s="2"/>
      <c r="G29" t="str">
        <f t="shared" si="15"/>
        <v/>
      </c>
      <c r="CA29" s="135" t="str">
        <f t="shared" si="19"/>
        <v/>
      </c>
      <c r="CB29" s="135" t="str">
        <f t="shared" si="20"/>
        <v/>
      </c>
      <c r="CC29" s="135" t="str">
        <f t="shared" si="21"/>
        <v/>
      </c>
      <c r="CN29" s="19"/>
      <c r="CO29" s="84">
        <f t="shared" si="16"/>
        <v>0</v>
      </c>
      <c r="CP29" s="84">
        <f t="shared" si="17"/>
        <v>0</v>
      </c>
      <c r="CQ29" s="84">
        <f t="shared" si="18"/>
        <v>0</v>
      </c>
      <c r="CR29" s="19"/>
      <c r="CS29" s="19"/>
      <c r="CT29" s="19"/>
      <c r="CU29" s="19"/>
      <c r="CV29" s="19"/>
      <c r="CW29" s="19"/>
    </row>
    <row r="30" spans="1:101" ht="15" customHeight="1" x14ac:dyDescent="0.3">
      <c r="A30" s="5969" t="s">
        <v>727</v>
      </c>
      <c r="B30" s="5970"/>
      <c r="C30" s="192"/>
      <c r="D30" s="384"/>
      <c r="E30" s="482"/>
      <c r="F30" s="2"/>
      <c r="G30" t="str">
        <f t="shared" si="15"/>
        <v/>
      </c>
      <c r="CA30" s="135" t="str">
        <f t="shared" si="19"/>
        <v/>
      </c>
      <c r="CB30" s="135" t="str">
        <f t="shared" si="20"/>
        <v/>
      </c>
      <c r="CC30" s="135" t="str">
        <f t="shared" si="21"/>
        <v/>
      </c>
      <c r="CN30" s="19"/>
      <c r="CO30" s="84">
        <f t="shared" si="16"/>
        <v>0</v>
      </c>
      <c r="CP30" s="84">
        <f t="shared" si="17"/>
        <v>0</v>
      </c>
      <c r="CQ30" s="84">
        <f t="shared" si="18"/>
        <v>0</v>
      </c>
      <c r="CR30" s="19"/>
      <c r="CS30" s="19"/>
      <c r="CT30" s="19"/>
      <c r="CU30" s="19"/>
      <c r="CV30" s="19"/>
      <c r="CW30" s="19"/>
    </row>
    <row r="31" spans="1:101" ht="15" customHeight="1" x14ac:dyDescent="0.3">
      <c r="A31" s="6295" t="s">
        <v>728</v>
      </c>
      <c r="B31" s="6296"/>
      <c r="C31" s="380"/>
      <c r="D31" s="390"/>
      <c r="E31" s="429"/>
      <c r="F31" s="388"/>
      <c r="G31" t="str">
        <f t="shared" si="15"/>
        <v/>
      </c>
      <c r="CA31" s="135" t="str">
        <f t="shared" si="19"/>
        <v/>
      </c>
      <c r="CB31" s="135" t="str">
        <f t="shared" si="20"/>
        <v/>
      </c>
      <c r="CC31" s="135" t="str">
        <f t="shared" si="21"/>
        <v/>
      </c>
      <c r="CN31" s="19"/>
      <c r="CO31" s="84">
        <f t="shared" si="16"/>
        <v>0</v>
      </c>
      <c r="CP31" s="84">
        <f t="shared" si="17"/>
        <v>0</v>
      </c>
      <c r="CQ31" s="84">
        <f t="shared" si="18"/>
        <v>0</v>
      </c>
      <c r="CR31" s="19"/>
      <c r="CS31" s="19"/>
      <c r="CT31" s="19"/>
      <c r="CU31" s="19"/>
      <c r="CV31" s="19"/>
      <c r="CW31" s="19"/>
    </row>
    <row r="32" spans="1:101" s="6" customFormat="1" ht="18" customHeight="1" x14ac:dyDescent="0.25">
      <c r="A32" s="3" t="s">
        <v>729</v>
      </c>
      <c r="B32" s="194"/>
      <c r="C32" s="291"/>
      <c r="D32" s="4"/>
      <c r="E32" s="4"/>
      <c r="F32" s="3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103" ht="22.2" customHeight="1" x14ac:dyDescent="0.3">
      <c r="A33" s="5944" t="s">
        <v>730</v>
      </c>
      <c r="B33" s="6243"/>
      <c r="C33" s="6190" t="s">
        <v>28</v>
      </c>
      <c r="D33" s="6143" t="s">
        <v>29</v>
      </c>
      <c r="E33" s="6178"/>
      <c r="F33" s="6178"/>
      <c r="G33" s="6178"/>
      <c r="H33" s="6178"/>
      <c r="I33" s="6178"/>
      <c r="J33" s="6178"/>
      <c r="K33" s="6178"/>
      <c r="L33" s="6178"/>
      <c r="M33" s="6178"/>
      <c r="N33" s="6178"/>
      <c r="O33" s="6178"/>
      <c r="P33" s="6179"/>
      <c r="Q33" s="6249" t="s">
        <v>33</v>
      </c>
      <c r="R33" s="6213" t="s">
        <v>731</v>
      </c>
      <c r="S33" s="6243" t="s">
        <v>36</v>
      </c>
      <c r="T33" s="6137" t="s">
        <v>37</v>
      </c>
      <c r="U33" s="6183"/>
      <c r="V33" s="6282" t="s">
        <v>732</v>
      </c>
      <c r="W33" s="6264" t="s">
        <v>733</v>
      </c>
      <c r="X33" s="6137" t="s">
        <v>734</v>
      </c>
      <c r="Y33" s="6188"/>
      <c r="Z33" s="6183"/>
      <c r="AA33" s="6265" t="s">
        <v>735</v>
      </c>
    </row>
    <row r="34" spans="1:103" ht="27.75" customHeight="1" x14ac:dyDescent="0.3">
      <c r="A34" s="5945"/>
      <c r="B34" s="5759"/>
      <c r="C34" s="5756"/>
      <c r="D34" s="468" t="s">
        <v>736</v>
      </c>
      <c r="E34" s="491" t="s">
        <v>44</v>
      </c>
      <c r="F34" s="491" t="s">
        <v>45</v>
      </c>
      <c r="G34" s="491" t="s">
        <v>46</v>
      </c>
      <c r="H34" s="491" t="s">
        <v>47</v>
      </c>
      <c r="I34" s="491" t="s">
        <v>48</v>
      </c>
      <c r="J34" s="491" t="s">
        <v>49</v>
      </c>
      <c r="K34" s="491" t="s">
        <v>50</v>
      </c>
      <c r="L34" s="491" t="s">
        <v>51</v>
      </c>
      <c r="M34" s="491" t="s">
        <v>52</v>
      </c>
      <c r="N34" s="509" t="s">
        <v>53</v>
      </c>
      <c r="O34" s="491" t="s">
        <v>54</v>
      </c>
      <c r="P34" s="470" t="s">
        <v>737</v>
      </c>
      <c r="Q34" s="5767"/>
      <c r="R34" s="5818"/>
      <c r="S34" s="5760"/>
      <c r="T34" s="468" t="s">
        <v>705</v>
      </c>
      <c r="U34" s="1776" t="s">
        <v>706</v>
      </c>
      <c r="V34" s="6283"/>
      <c r="W34" s="6264"/>
      <c r="X34" s="2968" t="s">
        <v>60</v>
      </c>
      <c r="Y34" s="804" t="s">
        <v>738</v>
      </c>
      <c r="Z34" s="2969" t="s">
        <v>62</v>
      </c>
      <c r="AA34" s="5799"/>
    </row>
    <row r="35" spans="1:103" ht="15" customHeight="1" x14ac:dyDescent="0.3">
      <c r="A35" s="6272" t="s">
        <v>739</v>
      </c>
      <c r="B35" s="6272"/>
      <c r="C35" s="510">
        <f>SUM(D35:P35)</f>
        <v>0</v>
      </c>
      <c r="D35" s="511">
        <f>SUM(D36:D49)</f>
        <v>0</v>
      </c>
      <c r="E35" s="512">
        <f>SUM(E36:E49)</f>
        <v>0</v>
      </c>
      <c r="F35" s="512">
        <f t="shared" ref="F35:M35" si="22">SUM(F36:F49)</f>
        <v>0</v>
      </c>
      <c r="G35" s="512">
        <f t="shared" si="22"/>
        <v>0</v>
      </c>
      <c r="H35" s="512">
        <f t="shared" si="22"/>
        <v>0</v>
      </c>
      <c r="I35" s="512">
        <f t="shared" si="22"/>
        <v>0</v>
      </c>
      <c r="J35" s="512">
        <f t="shared" si="22"/>
        <v>0</v>
      </c>
      <c r="K35" s="512">
        <f t="shared" si="22"/>
        <v>0</v>
      </c>
      <c r="L35" s="512">
        <f t="shared" si="22"/>
        <v>0</v>
      </c>
      <c r="M35" s="512">
        <f t="shared" si="22"/>
        <v>0</v>
      </c>
      <c r="N35" s="512">
        <f>SUM(N36:N48)</f>
        <v>0</v>
      </c>
      <c r="O35" s="512">
        <f t="shared" ref="O35:P35" si="23">SUM(O36:O48)</f>
        <v>0</v>
      </c>
      <c r="P35" s="512">
        <f t="shared" si="23"/>
        <v>0</v>
      </c>
      <c r="Q35" s="514">
        <f t="shared" ref="Q35:AA35" si="24">SUM(Q36:Q49)</f>
        <v>0</v>
      </c>
      <c r="R35" s="512">
        <f t="shared" si="24"/>
        <v>0</v>
      </c>
      <c r="S35" s="515">
        <f t="shared" si="24"/>
        <v>0</v>
      </c>
      <c r="T35" s="511">
        <f t="shared" si="24"/>
        <v>0</v>
      </c>
      <c r="U35" s="515">
        <f t="shared" si="24"/>
        <v>0</v>
      </c>
      <c r="V35" s="511">
        <f t="shared" si="24"/>
        <v>0</v>
      </c>
      <c r="W35" s="515">
        <f t="shared" si="24"/>
        <v>0</v>
      </c>
      <c r="X35" s="511">
        <f t="shared" si="24"/>
        <v>0</v>
      </c>
      <c r="Y35" s="512">
        <f t="shared" si="24"/>
        <v>0</v>
      </c>
      <c r="Z35" s="515">
        <f t="shared" si="24"/>
        <v>0</v>
      </c>
      <c r="AA35" s="515">
        <f t="shared" si="24"/>
        <v>0</v>
      </c>
    </row>
    <row r="36" spans="1:103" ht="15" customHeight="1" x14ac:dyDescent="0.3">
      <c r="A36" s="6299" t="s">
        <v>740</v>
      </c>
      <c r="B36" s="6300"/>
      <c r="C36" s="492">
        <f>SUM(D36:M36)</f>
        <v>0</v>
      </c>
      <c r="D36" s="474"/>
      <c r="E36" s="494"/>
      <c r="F36" s="494"/>
      <c r="G36" s="494"/>
      <c r="H36" s="494"/>
      <c r="I36" s="494"/>
      <c r="J36" s="494"/>
      <c r="K36" s="494"/>
      <c r="L36" s="494"/>
      <c r="M36" s="494"/>
      <c r="N36" s="516"/>
      <c r="O36" s="516"/>
      <c r="P36" s="517"/>
      <c r="Q36" s="497"/>
      <c r="R36" s="494"/>
      <c r="S36" s="475"/>
      <c r="T36" s="474"/>
      <c r="U36" s="475"/>
      <c r="V36" s="474"/>
      <c r="W36" s="475"/>
      <c r="X36" s="474"/>
      <c r="Y36" s="494"/>
      <c r="Z36" s="475"/>
      <c r="AA36" s="475"/>
      <c r="AB36" t="str">
        <f>CA36&amp;CB36&amp;CC36&amp;CD36&amp;CE36&amp;CF36&amp;CG36&amp;CH36&amp;CI36&amp;CJ36&amp;CK36</f>
        <v/>
      </c>
      <c r="CA36" s="135" t="str">
        <f>IF(AND($C36&gt;0,Q36="")," * No olvide digitar la variable "&amp;$Q$33&amp;""&amp;". Digite Cero si no tiene.",IF(Q36&gt;$C36," * La variable "&amp;$Q$33&amp;""&amp;" no  puede ser mayor al Total.",""))</f>
        <v/>
      </c>
      <c r="CB36" s="135" t="str">
        <f>IF(AND($C36&gt;0,R36="")," * No olvide digitar la variable "&amp;$R$33&amp;""&amp;". Digite Cero si no tiene.", "")</f>
        <v/>
      </c>
      <c r="CC36" s="135" t="str">
        <f>IF(AND($C36&gt;0,S36="")," * No olvide digitar la variable "&amp;$S$33&amp;""&amp;". Digite Cero si no tiene.",IF(S36&gt;C36," * La variable "&amp;$S$33&amp;""&amp;" no  puede ser mayor al Total.",""))</f>
        <v/>
      </c>
      <c r="CD36" s="135" t="str">
        <f>IF(AND($D36+E36&gt;0,T36="")," * No olvide digitar la variable Migrantes "&amp;$T$34&amp;""&amp;". Digite Cero si no tiene.",IF(T36&gt;$D36+E36," * La variable Migrantes "&amp;$T$34&amp;""&amp;" no  puede ser mayor al Total.",""))</f>
        <v/>
      </c>
      <c r="CE36" s="135" t="str">
        <f>IF(AND($F36+$G36+$H36+$I36+$J36+$K36+$L36+$M36&gt;0,$U36="")," * No olvide digitar la variable Migrantes "&amp;$U$34&amp;""&amp;". Digite Cero si no tiene.",IF($U36&gt;$F36+$G36+$H36+$I36+$J36+$K36+$L36+$M36," * La variable Migrantes "&amp;$U$34&amp;""&amp;" no  puede ser mayor al Total.",""))</f>
        <v/>
      </c>
      <c r="CF36" s="135" t="str">
        <f>IF(AND($C36&gt;0,V36="")," * No olvide digitar la variable "&amp;$V$33&amp;""&amp;". Digite Cero si no tiene.","")</f>
        <v/>
      </c>
      <c r="CG36" s="135" t="str">
        <f>IF(AND($C36&gt;0,W36="")," * No olvide digitar la variable "&amp;$W$33&amp;""&amp;". Digite Cero si no tiene.",IF(W36&gt;$C36," * La variable "&amp;$W$33&amp;""&amp;" no  puede ser mayor al Total.",""))</f>
        <v/>
      </c>
      <c r="CH36" s="135" t="str">
        <f>IF(AND($C36&gt;0,X36="")," * No olvide digitar la variable "&amp;$X$34&amp;""&amp;". Digite Cero si no tiene.",IF(X36&gt;$C36," * La variable "&amp;$X$34&amp;""&amp;" no  puede ser mayor al Total.",""))</f>
        <v/>
      </c>
      <c r="CI36" s="135" t="str">
        <f>IF(AND($C36&gt;0,Y36="")," * No olvide digitar la variable "&amp;$Y$34&amp;""&amp;". Digite Cero si no tiene.",IF(Y36&gt;$C36," * La variable "&amp;$Y$34&amp;""&amp;" no  puede ser mayor al Total.",""))</f>
        <v/>
      </c>
      <c r="CJ36" s="135" t="str">
        <f>IF(AND($C36&gt;0,Z36="")," * No olvide digitar la variable "&amp;$Z$34&amp;""&amp;". Digite Cero si no tiene.",IF(Z36&gt;$C36," * La variable "&amp;$Z$34&amp;""&amp;" no  puede ser mayor al Total.",""))</f>
        <v/>
      </c>
      <c r="CK36" s="135" t="str">
        <f>IF(AND($C36&gt;0,AA36="")," * No olvide digitar la variable "&amp;$AA$33&amp;""&amp;". Digite Cero si no tiene.",IF(AA36&gt;$C36," * La variable "&amp;$AA$33&amp;""&amp;" no  puede ser mayor al Total.",""))</f>
        <v/>
      </c>
      <c r="CO36" s="1901">
        <f t="shared" ref="CO36:CY36" si="25">IF(AND($C36&gt;0,Q36=""),1,IF(Q36&gt;$C36,1,0))</f>
        <v>0</v>
      </c>
      <c r="CP36" s="1901"/>
      <c r="CQ36" s="1901">
        <f t="shared" si="25"/>
        <v>0</v>
      </c>
      <c r="CR36" s="1901">
        <f>IF(AND($D36+$E36&gt;0,$T36=""),1,IF(T36&gt;$D36+$E36,1,0))</f>
        <v>0</v>
      </c>
      <c r="CS36" s="1901">
        <f>IF(AND($F36+$G36+$H36+$I36+$J36+$K36+$L36+$M36&gt;0,$U36=""),1,IF($U36&gt;$F36+$G36+$H36+$I36+$J36+$K36+$L36+$M36,1,0))</f>
        <v>0</v>
      </c>
      <c r="CT36" s="1901">
        <f>IF(AND($C36&gt;0,V36=""),1,0)</f>
        <v>0</v>
      </c>
      <c r="CU36" s="1901">
        <f>IF(AND($C36&gt;0,W36=""),1,IF(W36&gt;$C36,1,0))</f>
        <v>0</v>
      </c>
      <c r="CV36" s="1901">
        <f>IF(AND($C36&gt;0,X36=""),1,IF(X36&gt;$C36,1,0))</f>
        <v>0</v>
      </c>
      <c r="CW36" s="1901">
        <f>IF(AND($C36&gt;0,Y36=""),1,IF(Y36&gt;$C36,1,0))</f>
        <v>0</v>
      </c>
      <c r="CX36" s="1901">
        <f>IF(AND($C36&gt;0,Z36=""),1,IF(Z36&gt;$C36,1,0))</f>
        <v>0</v>
      </c>
      <c r="CY36" s="1901">
        <f t="shared" si="25"/>
        <v>0</v>
      </c>
    </row>
    <row r="37" spans="1:103" ht="15" customHeight="1" x14ac:dyDescent="0.3">
      <c r="A37" s="6301" t="s">
        <v>741</v>
      </c>
      <c r="B37" s="6302"/>
      <c r="C37" s="519">
        <f t="shared" ref="C37:C51" si="26">SUM(D37:M37)</f>
        <v>0</v>
      </c>
      <c r="D37" s="380"/>
      <c r="E37" s="372"/>
      <c r="F37" s="372"/>
      <c r="G37" s="372"/>
      <c r="H37" s="372"/>
      <c r="I37" s="372"/>
      <c r="J37" s="372"/>
      <c r="K37" s="372"/>
      <c r="L37" s="372"/>
      <c r="M37" s="372"/>
      <c r="N37" s="520"/>
      <c r="O37" s="520"/>
      <c r="P37" s="521"/>
      <c r="Q37" s="379"/>
      <c r="R37" s="372"/>
      <c r="S37" s="388"/>
      <c r="T37" s="380"/>
      <c r="U37" s="388"/>
      <c r="V37" s="380"/>
      <c r="W37" s="388"/>
      <c r="X37" s="380"/>
      <c r="Y37" s="372"/>
      <c r="Z37" s="388"/>
      <c r="AA37" s="388"/>
      <c r="AB37" t="str">
        <f t="shared" ref="AB37:AB51" si="27">CA37&amp;CB37&amp;CC37&amp;CD37&amp;CE37&amp;CF37&amp;CG37&amp;CH37&amp;CI37&amp;CJ37&amp;CK37</f>
        <v/>
      </c>
      <c r="CA37" s="135" t="str">
        <f t="shared" ref="CA37:CA51" si="28">IF(AND($C37&gt;0,Q37="")," * No olvide digitar la variable "&amp;$Q$33&amp;""&amp;". Digite Cero si no tiene.",IF(Q37&gt;$C37," * La variable "&amp;$Q$33&amp;""&amp;" no  puede ser mayor al Total.",""))</f>
        <v/>
      </c>
      <c r="CB37" s="135" t="str">
        <f t="shared" ref="CB37:CB51" si="29">IF(AND($C37&gt;0,R37="")," * No olvide digitar la variable "&amp;$R$33&amp;""&amp;". Digite Cero si no tiene.", "")</f>
        <v/>
      </c>
      <c r="CC37" s="135" t="str">
        <f t="shared" ref="CC37:CC51" si="30">IF(AND($C37&gt;0,S37="")," * No olvide digitar la variable "&amp;$S$33&amp;""&amp;". Digite Cero si no tiene.",IF(S37&gt;C37," * La variable "&amp;$S$33&amp;""&amp;" no  puede ser mayor al Total.",""))</f>
        <v/>
      </c>
      <c r="CD37" s="135" t="str">
        <f t="shared" ref="CD37:CD51" si="31">IF(AND($D37+E37&gt;0,T37="")," * No olvide digitar la variable Migrantes "&amp;$T$34&amp;""&amp;". Digite Cero si no tiene.",IF(T37&gt;$D37+E37," * La variable Migrantes "&amp;$T$34&amp;""&amp;" no  puede ser mayor al Total.",""))</f>
        <v/>
      </c>
      <c r="CE37" s="135" t="str">
        <f t="shared" ref="CE37:CE51" si="32">IF(AND($F37+$G37+$H37+$I37+$J37+$K37+$L37+$M37&gt;0,$U37="")," * No olvide digitar la variable Migrantes "&amp;$U$34&amp;""&amp;". Digite Cero si no tiene.",IF($U37&gt;$F37+$G37+$H37+$I37+$J37+$K37+$L37+$M37," * La variable Migrantes "&amp;$U$34&amp;""&amp;" no  puede ser mayor al Total.",""))</f>
        <v/>
      </c>
      <c r="CF37" s="135" t="str">
        <f t="shared" ref="CF37:CF51" si="33">IF(AND($C37&gt;0,V37="")," * No olvide digitar la variable "&amp;$V$33&amp;""&amp;". Digite Cero si no tiene.","")</f>
        <v/>
      </c>
      <c r="CG37" s="135" t="str">
        <f t="shared" ref="CG37:CG51" si="34">IF(AND($C37&gt;0,W37="")," * No olvide digitar la variable "&amp;$W$33&amp;""&amp;". Digite Cero si no tiene.",IF(W37&gt;$C37," * La variable "&amp;$W$33&amp;""&amp;" no  puede ser mayor al Total.",""))</f>
        <v/>
      </c>
      <c r="CH37" s="135" t="str">
        <f t="shared" ref="CH37:CH51" si="35">IF(AND($C37&gt;0,X37="")," * No olvide digitar la variable "&amp;$X$34&amp;""&amp;". Digite Cero si no tiene.",IF(X37&gt;$C37," * La variable "&amp;$X$34&amp;""&amp;" no  puede ser mayor al Total.",""))</f>
        <v/>
      </c>
      <c r="CI37" s="135" t="str">
        <f t="shared" ref="CI37:CI51" si="36">IF(AND($C37&gt;0,Y37="")," * No olvide digitar la variable "&amp;$Y$34&amp;""&amp;". Digite Cero si no tiene.",IF(Y37&gt;$C37," * La variable "&amp;$Y$34&amp;""&amp;" no  puede ser mayor al Total.",""))</f>
        <v/>
      </c>
      <c r="CJ37" s="135" t="str">
        <f t="shared" ref="CJ37:CJ51" si="37">IF(AND($C37&gt;0,Z37="")," * No olvide digitar la variable "&amp;$Z$34&amp;""&amp;". Digite Cero si no tiene.",IF(Z37&gt;$C37," * La variable "&amp;$Z$34&amp;""&amp;" no  puede ser mayor al Total.",""))</f>
        <v/>
      </c>
      <c r="CK37" s="135" t="str">
        <f t="shared" ref="CK37:CK51" si="38">IF(AND($C37&gt;0,AA37="")," * No olvide digitar la variable "&amp;$AA$33&amp;""&amp;". Digite Cero si no tiene.",IF(AA37&gt;$C37," * La variable "&amp;$AA$33&amp;""&amp;" no  puede ser mayor al Total.",""))</f>
        <v/>
      </c>
      <c r="CO37" s="1901">
        <f t="shared" ref="CO37:CO51" si="39">IF(AND($C37&gt;0,Q37=""),1,IF(Q37&gt;$C37,1,0))</f>
        <v>0</v>
      </c>
      <c r="CP37" s="1901"/>
      <c r="CQ37" s="1901">
        <f t="shared" ref="CQ37:CQ51" si="40">IF(AND($C37&gt;0,S37=""),1,IF(S37&gt;$C37,1,0))</f>
        <v>0</v>
      </c>
      <c r="CR37" s="1901">
        <f t="shared" ref="CR37:CR51" si="41">IF(AND($D37+$E37&gt;0,$T37=""),1,IF(T37&gt;$D37+$E37,1,0))</f>
        <v>0</v>
      </c>
      <c r="CS37" s="1901">
        <f t="shared" ref="CS37:CS51" si="42">IF(AND($F37+$G37+$H37+$I37+$J37+$K37+$L37+$M37&gt;0,$U37=""),1,IF($U37&gt;$F37+$G37+$H37+$I37+$J37+$K37+$L37+$M37,1,0))</f>
        <v>0</v>
      </c>
      <c r="CT37" s="1901">
        <f t="shared" ref="CT37:CT51" si="43">IF(AND($C37&gt;0,V37=""),1,0)</f>
        <v>0</v>
      </c>
      <c r="CU37" s="1901">
        <f t="shared" ref="CU37:CU51" si="44">IF(AND($C37&gt;0,W37=""),1,IF(W37&gt;$C37,1,0))</f>
        <v>0</v>
      </c>
      <c r="CV37" s="1901">
        <f t="shared" ref="CV37:CV51" si="45">IF(AND($C37&gt;0,X37=""),1,IF(X37&gt;$C37,1,0))</f>
        <v>0</v>
      </c>
      <c r="CW37" s="1901">
        <f t="shared" ref="CW37:CW51" si="46">IF(AND($C37&gt;0,Y37=""),1,IF(Y37&gt;$C37,1,0))</f>
        <v>0</v>
      </c>
      <c r="CX37" s="1901">
        <f t="shared" ref="CX37:CX51" si="47">IF(AND($C37&gt;0,Z37=""),1,IF(Z37&gt;$C37,1,0))</f>
        <v>0</v>
      </c>
      <c r="CY37" s="1901">
        <f t="shared" ref="CY37:CY51" si="48">IF(AND($C37&gt;0,AA37=""),1,IF(AA37&gt;$C37,1,0))</f>
        <v>0</v>
      </c>
    </row>
    <row r="38" spans="1:103" ht="15" customHeight="1" x14ac:dyDescent="0.3">
      <c r="A38" s="6267" t="s">
        <v>742</v>
      </c>
      <c r="B38" s="522" t="s">
        <v>743</v>
      </c>
      <c r="C38" s="492">
        <f t="shared" si="26"/>
        <v>0</v>
      </c>
      <c r="D38" s="474"/>
      <c r="E38" s="494"/>
      <c r="F38" s="494"/>
      <c r="G38" s="494"/>
      <c r="H38" s="494"/>
      <c r="I38" s="494"/>
      <c r="J38" s="494"/>
      <c r="K38" s="494"/>
      <c r="L38" s="494"/>
      <c r="M38" s="494"/>
      <c r="N38" s="516"/>
      <c r="O38" s="516"/>
      <c r="P38" s="517"/>
      <c r="Q38" s="497"/>
      <c r="R38" s="494"/>
      <c r="S38" s="475"/>
      <c r="T38" s="474"/>
      <c r="U38" s="475"/>
      <c r="V38" s="474"/>
      <c r="W38" s="475"/>
      <c r="X38" s="474"/>
      <c r="Y38" s="494"/>
      <c r="Z38" s="475"/>
      <c r="AA38" s="475"/>
      <c r="AB38" t="str">
        <f t="shared" si="27"/>
        <v/>
      </c>
      <c r="CA38" s="135" t="str">
        <f t="shared" si="28"/>
        <v/>
      </c>
      <c r="CB38" s="135" t="str">
        <f t="shared" si="29"/>
        <v/>
      </c>
      <c r="CC38" s="135" t="str">
        <f t="shared" si="30"/>
        <v/>
      </c>
      <c r="CD38" s="135" t="str">
        <f t="shared" si="31"/>
        <v/>
      </c>
      <c r="CE38" s="135" t="str">
        <f t="shared" si="32"/>
        <v/>
      </c>
      <c r="CF38" s="135" t="str">
        <f t="shared" si="33"/>
        <v/>
      </c>
      <c r="CG38" s="135" t="str">
        <f t="shared" si="34"/>
        <v/>
      </c>
      <c r="CH38" s="135" t="str">
        <f t="shared" si="35"/>
        <v/>
      </c>
      <c r="CI38" s="135" t="str">
        <f t="shared" si="36"/>
        <v/>
      </c>
      <c r="CJ38" s="135" t="str">
        <f t="shared" si="37"/>
        <v/>
      </c>
      <c r="CK38" s="135" t="str">
        <f t="shared" si="38"/>
        <v/>
      </c>
      <c r="CO38" s="1901">
        <f t="shared" si="39"/>
        <v>0</v>
      </c>
      <c r="CP38" s="1901"/>
      <c r="CQ38" s="1901">
        <f t="shared" si="40"/>
        <v>0</v>
      </c>
      <c r="CR38" s="1901">
        <f t="shared" si="41"/>
        <v>0</v>
      </c>
      <c r="CS38" s="1901">
        <f t="shared" si="42"/>
        <v>0</v>
      </c>
      <c r="CT38" s="1901">
        <f t="shared" si="43"/>
        <v>0</v>
      </c>
      <c r="CU38" s="1901">
        <f t="shared" si="44"/>
        <v>0</v>
      </c>
      <c r="CV38" s="1901">
        <f t="shared" si="45"/>
        <v>0</v>
      </c>
      <c r="CW38" s="1901">
        <f t="shared" si="46"/>
        <v>0</v>
      </c>
      <c r="CX38" s="1901">
        <f t="shared" si="47"/>
        <v>0</v>
      </c>
      <c r="CY38" s="1901">
        <f t="shared" si="48"/>
        <v>0</v>
      </c>
    </row>
    <row r="39" spans="1:103" ht="15" customHeight="1" x14ac:dyDescent="0.3">
      <c r="A39" s="6267"/>
      <c r="B39" s="523" t="s">
        <v>744</v>
      </c>
      <c r="C39" s="358">
        <f t="shared" si="26"/>
        <v>0</v>
      </c>
      <c r="D39" s="346"/>
      <c r="E39" s="369"/>
      <c r="F39" s="369"/>
      <c r="G39" s="369"/>
      <c r="H39" s="369"/>
      <c r="I39" s="369"/>
      <c r="J39" s="369"/>
      <c r="K39" s="369"/>
      <c r="L39" s="369"/>
      <c r="M39" s="369"/>
      <c r="N39" s="524"/>
      <c r="O39" s="524"/>
      <c r="P39" s="525"/>
      <c r="Q39" s="430"/>
      <c r="R39" s="369"/>
      <c r="S39" s="347"/>
      <c r="T39" s="346"/>
      <c r="U39" s="347"/>
      <c r="V39" s="346"/>
      <c r="W39" s="347"/>
      <c r="X39" s="346"/>
      <c r="Y39" s="369"/>
      <c r="Z39" s="347"/>
      <c r="AA39" s="347"/>
      <c r="AB39" t="str">
        <f t="shared" si="27"/>
        <v/>
      </c>
      <c r="CA39" s="135" t="str">
        <f t="shared" si="28"/>
        <v/>
      </c>
      <c r="CB39" s="135" t="str">
        <f t="shared" si="29"/>
        <v/>
      </c>
      <c r="CC39" s="135" t="str">
        <f t="shared" si="30"/>
        <v/>
      </c>
      <c r="CD39" s="135" t="str">
        <f t="shared" si="31"/>
        <v/>
      </c>
      <c r="CE39" s="135" t="str">
        <f t="shared" si="32"/>
        <v/>
      </c>
      <c r="CF39" s="135" t="str">
        <f t="shared" si="33"/>
        <v/>
      </c>
      <c r="CG39" s="135" t="str">
        <f t="shared" si="34"/>
        <v/>
      </c>
      <c r="CH39" s="135" t="str">
        <f t="shared" si="35"/>
        <v/>
      </c>
      <c r="CI39" s="135" t="str">
        <f t="shared" si="36"/>
        <v/>
      </c>
      <c r="CJ39" s="135" t="str">
        <f t="shared" si="37"/>
        <v/>
      </c>
      <c r="CK39" s="135" t="str">
        <f t="shared" si="38"/>
        <v/>
      </c>
      <c r="CO39" s="1901">
        <f t="shared" si="39"/>
        <v>0</v>
      </c>
      <c r="CP39" s="1901"/>
      <c r="CQ39" s="1901">
        <f t="shared" si="40"/>
        <v>0</v>
      </c>
      <c r="CR39" s="1901">
        <f t="shared" si="41"/>
        <v>0</v>
      </c>
      <c r="CS39" s="1901">
        <f t="shared" si="42"/>
        <v>0</v>
      </c>
      <c r="CT39" s="1901">
        <f t="shared" si="43"/>
        <v>0</v>
      </c>
      <c r="CU39" s="1901">
        <f t="shared" si="44"/>
        <v>0</v>
      </c>
      <c r="CV39" s="1901">
        <f t="shared" si="45"/>
        <v>0</v>
      </c>
      <c r="CW39" s="1901">
        <f t="shared" si="46"/>
        <v>0</v>
      </c>
      <c r="CX39" s="1901">
        <f t="shared" si="47"/>
        <v>0</v>
      </c>
      <c r="CY39" s="1901">
        <f t="shared" si="48"/>
        <v>0</v>
      </c>
    </row>
    <row r="40" spans="1:103" ht="15" customHeight="1" x14ac:dyDescent="0.3">
      <c r="A40" s="6267"/>
      <c r="B40" s="523" t="s">
        <v>745</v>
      </c>
      <c r="C40" s="358">
        <f t="shared" si="26"/>
        <v>0</v>
      </c>
      <c r="D40" s="346"/>
      <c r="E40" s="369"/>
      <c r="F40" s="369"/>
      <c r="G40" s="369"/>
      <c r="H40" s="369"/>
      <c r="I40" s="369"/>
      <c r="J40" s="369"/>
      <c r="K40" s="369"/>
      <c r="L40" s="369"/>
      <c r="M40" s="369"/>
      <c r="N40" s="524"/>
      <c r="O40" s="524"/>
      <c r="P40" s="525"/>
      <c r="Q40" s="430"/>
      <c r="R40" s="369"/>
      <c r="S40" s="347"/>
      <c r="T40" s="346"/>
      <c r="U40" s="347"/>
      <c r="V40" s="346"/>
      <c r="W40" s="347"/>
      <c r="X40" s="346"/>
      <c r="Y40" s="369"/>
      <c r="Z40" s="347"/>
      <c r="AA40" s="347"/>
      <c r="AB40" t="str">
        <f t="shared" si="27"/>
        <v/>
      </c>
      <c r="CA40" s="135" t="str">
        <f t="shared" si="28"/>
        <v/>
      </c>
      <c r="CB40" s="135" t="str">
        <f t="shared" si="29"/>
        <v/>
      </c>
      <c r="CC40" s="135" t="str">
        <f t="shared" si="30"/>
        <v/>
      </c>
      <c r="CD40" s="135" t="str">
        <f t="shared" si="31"/>
        <v/>
      </c>
      <c r="CE40" s="135" t="str">
        <f t="shared" si="32"/>
        <v/>
      </c>
      <c r="CF40" s="135" t="str">
        <f t="shared" si="33"/>
        <v/>
      </c>
      <c r="CG40" s="135" t="str">
        <f t="shared" si="34"/>
        <v/>
      </c>
      <c r="CH40" s="135" t="str">
        <f t="shared" si="35"/>
        <v/>
      </c>
      <c r="CI40" s="135" t="str">
        <f t="shared" si="36"/>
        <v/>
      </c>
      <c r="CJ40" s="135" t="str">
        <f t="shared" si="37"/>
        <v/>
      </c>
      <c r="CK40" s="135" t="str">
        <f t="shared" si="38"/>
        <v/>
      </c>
      <c r="CO40" s="1901">
        <f t="shared" si="39"/>
        <v>0</v>
      </c>
      <c r="CP40" s="1901"/>
      <c r="CQ40" s="1901">
        <f t="shared" si="40"/>
        <v>0</v>
      </c>
      <c r="CR40" s="1901">
        <f t="shared" si="41"/>
        <v>0</v>
      </c>
      <c r="CS40" s="1901">
        <f t="shared" si="42"/>
        <v>0</v>
      </c>
      <c r="CT40" s="1901">
        <f t="shared" si="43"/>
        <v>0</v>
      </c>
      <c r="CU40" s="1901">
        <f t="shared" si="44"/>
        <v>0</v>
      </c>
      <c r="CV40" s="1901">
        <f t="shared" si="45"/>
        <v>0</v>
      </c>
      <c r="CW40" s="1901">
        <f t="shared" si="46"/>
        <v>0</v>
      </c>
      <c r="CX40" s="1901">
        <f t="shared" si="47"/>
        <v>0</v>
      </c>
      <c r="CY40" s="1901">
        <f t="shared" si="48"/>
        <v>0</v>
      </c>
    </row>
    <row r="41" spans="1:103" ht="15" customHeight="1" x14ac:dyDescent="0.3">
      <c r="A41" s="6267"/>
      <c r="B41" s="523" t="s">
        <v>746</v>
      </c>
      <c r="C41" s="358">
        <f t="shared" si="26"/>
        <v>0</v>
      </c>
      <c r="D41" s="346"/>
      <c r="E41" s="369"/>
      <c r="F41" s="369"/>
      <c r="G41" s="369"/>
      <c r="H41" s="369"/>
      <c r="I41" s="369"/>
      <c r="J41" s="369"/>
      <c r="K41" s="369"/>
      <c r="L41" s="369"/>
      <c r="M41" s="369"/>
      <c r="N41" s="524"/>
      <c r="O41" s="524"/>
      <c r="P41" s="525"/>
      <c r="Q41" s="430"/>
      <c r="R41" s="369"/>
      <c r="S41" s="347"/>
      <c r="T41" s="346"/>
      <c r="U41" s="347"/>
      <c r="V41" s="346"/>
      <c r="W41" s="347"/>
      <c r="X41" s="346"/>
      <c r="Y41" s="369"/>
      <c r="Z41" s="347"/>
      <c r="AA41" s="347"/>
      <c r="AB41" t="str">
        <f t="shared" si="27"/>
        <v/>
      </c>
      <c r="CA41" s="135" t="str">
        <f t="shared" si="28"/>
        <v/>
      </c>
      <c r="CB41" s="135" t="str">
        <f t="shared" si="29"/>
        <v/>
      </c>
      <c r="CC41" s="135" t="str">
        <f t="shared" si="30"/>
        <v/>
      </c>
      <c r="CD41" s="135" t="str">
        <f t="shared" si="31"/>
        <v/>
      </c>
      <c r="CE41" s="135" t="str">
        <f t="shared" si="32"/>
        <v/>
      </c>
      <c r="CF41" s="135" t="str">
        <f t="shared" si="33"/>
        <v/>
      </c>
      <c r="CG41" s="135" t="str">
        <f t="shared" si="34"/>
        <v/>
      </c>
      <c r="CH41" s="135" t="str">
        <f t="shared" si="35"/>
        <v/>
      </c>
      <c r="CI41" s="135" t="str">
        <f t="shared" si="36"/>
        <v/>
      </c>
      <c r="CJ41" s="135" t="str">
        <f t="shared" si="37"/>
        <v/>
      </c>
      <c r="CK41" s="135" t="str">
        <f t="shared" si="38"/>
        <v/>
      </c>
      <c r="CO41" s="1901">
        <f t="shared" si="39"/>
        <v>0</v>
      </c>
      <c r="CP41" s="1901"/>
      <c r="CQ41" s="1901">
        <f t="shared" si="40"/>
        <v>0</v>
      </c>
      <c r="CR41" s="1901">
        <f t="shared" si="41"/>
        <v>0</v>
      </c>
      <c r="CS41" s="1901">
        <f t="shared" si="42"/>
        <v>0</v>
      </c>
      <c r="CT41" s="1901">
        <f t="shared" si="43"/>
        <v>0</v>
      </c>
      <c r="CU41" s="1901">
        <f t="shared" si="44"/>
        <v>0</v>
      </c>
      <c r="CV41" s="1901">
        <f t="shared" si="45"/>
        <v>0</v>
      </c>
      <c r="CW41" s="1901">
        <f t="shared" si="46"/>
        <v>0</v>
      </c>
      <c r="CX41" s="1901">
        <f t="shared" si="47"/>
        <v>0</v>
      </c>
      <c r="CY41" s="1901">
        <f t="shared" si="48"/>
        <v>0</v>
      </c>
    </row>
    <row r="42" spans="1:103" ht="15" customHeight="1" x14ac:dyDescent="0.3">
      <c r="A42" s="6267"/>
      <c r="B42" s="523" t="s">
        <v>747</v>
      </c>
      <c r="C42" s="358">
        <f t="shared" si="26"/>
        <v>0</v>
      </c>
      <c r="D42" s="346"/>
      <c r="E42" s="369"/>
      <c r="F42" s="369"/>
      <c r="G42" s="369"/>
      <c r="H42" s="369"/>
      <c r="I42" s="369"/>
      <c r="J42" s="369"/>
      <c r="K42" s="369"/>
      <c r="L42" s="369"/>
      <c r="M42" s="369"/>
      <c r="N42" s="524"/>
      <c r="O42" s="524"/>
      <c r="P42" s="525"/>
      <c r="Q42" s="430"/>
      <c r="R42" s="369"/>
      <c r="S42" s="347"/>
      <c r="T42" s="346"/>
      <c r="U42" s="347"/>
      <c r="V42" s="346"/>
      <c r="W42" s="347"/>
      <c r="X42" s="346"/>
      <c r="Y42" s="369"/>
      <c r="Z42" s="347"/>
      <c r="AA42" s="347"/>
      <c r="AB42" t="str">
        <f t="shared" si="27"/>
        <v/>
      </c>
      <c r="CA42" s="135" t="str">
        <f t="shared" si="28"/>
        <v/>
      </c>
      <c r="CB42" s="135" t="str">
        <f t="shared" si="29"/>
        <v/>
      </c>
      <c r="CC42" s="135" t="str">
        <f t="shared" si="30"/>
        <v/>
      </c>
      <c r="CD42" s="135" t="str">
        <f t="shared" si="31"/>
        <v/>
      </c>
      <c r="CE42" s="135" t="str">
        <f t="shared" si="32"/>
        <v/>
      </c>
      <c r="CF42" s="135" t="str">
        <f t="shared" si="33"/>
        <v/>
      </c>
      <c r="CG42" s="135" t="str">
        <f t="shared" si="34"/>
        <v/>
      </c>
      <c r="CH42" s="135" t="str">
        <f t="shared" si="35"/>
        <v/>
      </c>
      <c r="CI42" s="135" t="str">
        <f t="shared" si="36"/>
        <v/>
      </c>
      <c r="CJ42" s="135" t="str">
        <f t="shared" si="37"/>
        <v/>
      </c>
      <c r="CK42" s="135" t="str">
        <f t="shared" si="38"/>
        <v/>
      </c>
      <c r="CO42" s="1901">
        <f t="shared" si="39"/>
        <v>0</v>
      </c>
      <c r="CP42" s="1901"/>
      <c r="CQ42" s="1901">
        <f t="shared" si="40"/>
        <v>0</v>
      </c>
      <c r="CR42" s="1901">
        <f t="shared" si="41"/>
        <v>0</v>
      </c>
      <c r="CS42" s="1901">
        <f t="shared" si="42"/>
        <v>0</v>
      </c>
      <c r="CT42" s="1901">
        <f t="shared" si="43"/>
        <v>0</v>
      </c>
      <c r="CU42" s="1901">
        <f t="shared" si="44"/>
        <v>0</v>
      </c>
      <c r="CV42" s="1901">
        <f t="shared" si="45"/>
        <v>0</v>
      </c>
      <c r="CW42" s="1901">
        <f t="shared" si="46"/>
        <v>0</v>
      </c>
      <c r="CX42" s="1901">
        <f t="shared" si="47"/>
        <v>0</v>
      </c>
      <c r="CY42" s="1901">
        <f t="shared" si="48"/>
        <v>0</v>
      </c>
    </row>
    <row r="43" spans="1:103" ht="15" customHeight="1" x14ac:dyDescent="0.3">
      <c r="A43" s="6267"/>
      <c r="B43" s="110" t="s">
        <v>748</v>
      </c>
      <c r="C43" s="195">
        <f t="shared" si="26"/>
        <v>0</v>
      </c>
      <c r="D43" s="47"/>
      <c r="E43" s="242"/>
      <c r="F43" s="242"/>
      <c r="G43" s="242"/>
      <c r="H43" s="242"/>
      <c r="I43" s="242"/>
      <c r="J43" s="242"/>
      <c r="K43" s="242"/>
      <c r="L43" s="242"/>
      <c r="M43" s="242"/>
      <c r="N43" s="244"/>
      <c r="O43" s="244"/>
      <c r="P43" s="292"/>
      <c r="Q43" s="74"/>
      <c r="R43" s="242"/>
      <c r="S43" s="42"/>
      <c r="T43" s="47"/>
      <c r="U43" s="42"/>
      <c r="V43" s="47"/>
      <c r="W43" s="42"/>
      <c r="X43" s="47"/>
      <c r="Y43" s="242"/>
      <c r="Z43" s="42"/>
      <c r="AA43" s="42"/>
      <c r="AB43" t="str">
        <f t="shared" si="27"/>
        <v/>
      </c>
      <c r="CA43" s="135" t="str">
        <f t="shared" si="28"/>
        <v/>
      </c>
      <c r="CB43" s="135" t="str">
        <f t="shared" si="29"/>
        <v/>
      </c>
      <c r="CC43" s="135" t="str">
        <f t="shared" si="30"/>
        <v/>
      </c>
      <c r="CD43" s="135" t="str">
        <f t="shared" si="31"/>
        <v/>
      </c>
      <c r="CE43" s="135" t="str">
        <f>IF(AND($F43+$G43+$H43+$I43+$J43+$K43+$L43+$M43&gt;0,$U43="")," * No olvide digitar la variable Migrantes "&amp;$U$34&amp;""&amp;". Digite Cero si no tiene.",IF($U43&gt;$F43+$G43+$H43+$I43+$J43+$K43+$L43+$M43," * La variable Migrantes "&amp;$U$34&amp;""&amp;" no  puede ser mayor al Total.",""))</f>
        <v/>
      </c>
      <c r="CF43" s="135" t="str">
        <f t="shared" si="33"/>
        <v/>
      </c>
      <c r="CG43" s="135" t="str">
        <f t="shared" si="34"/>
        <v/>
      </c>
      <c r="CH43" s="135" t="str">
        <f t="shared" si="35"/>
        <v/>
      </c>
      <c r="CI43" s="135" t="str">
        <f t="shared" si="36"/>
        <v/>
      </c>
      <c r="CJ43" s="135" t="str">
        <f t="shared" si="37"/>
        <v/>
      </c>
      <c r="CK43" s="135" t="str">
        <f t="shared" si="38"/>
        <v/>
      </c>
      <c r="CO43" s="1901">
        <f t="shared" si="39"/>
        <v>0</v>
      </c>
      <c r="CP43" s="1901"/>
      <c r="CQ43" s="1901">
        <f t="shared" si="40"/>
        <v>0</v>
      </c>
      <c r="CR43" s="1901">
        <f t="shared" si="41"/>
        <v>0</v>
      </c>
      <c r="CS43" s="1901">
        <f t="shared" si="42"/>
        <v>0</v>
      </c>
      <c r="CT43" s="1901">
        <f t="shared" si="43"/>
        <v>0</v>
      </c>
      <c r="CU43" s="1901">
        <f t="shared" si="44"/>
        <v>0</v>
      </c>
      <c r="CV43" s="1901">
        <f t="shared" si="45"/>
        <v>0</v>
      </c>
      <c r="CW43" s="1901">
        <f t="shared" si="46"/>
        <v>0</v>
      </c>
      <c r="CX43" s="1901">
        <f t="shared" si="47"/>
        <v>0</v>
      </c>
      <c r="CY43" s="1901">
        <f t="shared" si="48"/>
        <v>0</v>
      </c>
    </row>
    <row r="44" spans="1:103" ht="15" customHeight="1" x14ac:dyDescent="0.3">
      <c r="A44" s="6267"/>
      <c r="B44" s="526" t="s">
        <v>749</v>
      </c>
      <c r="C44" s="519">
        <f>SUM(D44:M44)</f>
        <v>0</v>
      </c>
      <c r="D44" s="380"/>
      <c r="E44" s="372"/>
      <c r="F44" s="372"/>
      <c r="G44" s="372"/>
      <c r="H44" s="372"/>
      <c r="I44" s="372"/>
      <c r="J44" s="372"/>
      <c r="K44" s="372"/>
      <c r="L44" s="372"/>
      <c r="M44" s="372"/>
      <c r="N44" s="520"/>
      <c r="O44" s="520"/>
      <c r="P44" s="521"/>
      <c r="Q44" s="379"/>
      <c r="R44" s="372"/>
      <c r="S44" s="388"/>
      <c r="T44" s="380"/>
      <c r="U44" s="388"/>
      <c r="V44" s="380"/>
      <c r="W44" s="388"/>
      <c r="X44" s="380"/>
      <c r="Y44" s="372"/>
      <c r="Z44" s="388"/>
      <c r="AA44" s="388"/>
      <c r="AB44" t="str">
        <f t="shared" si="27"/>
        <v/>
      </c>
      <c r="CA44" s="135" t="str">
        <f t="shared" si="28"/>
        <v/>
      </c>
      <c r="CB44" s="135" t="str">
        <f t="shared" si="29"/>
        <v/>
      </c>
      <c r="CC44" s="135" t="str">
        <f t="shared" si="30"/>
        <v/>
      </c>
      <c r="CD44" s="135" t="str">
        <f>IF(AND($D44+E44&gt;0,T44="")," * No olvide digitar la variable Migrantes "&amp;$T$34&amp;""&amp;". Digite Cero si no tiene.",IF(T44&gt;$D44+E44," * La variable Migrantes "&amp;$T$34&amp;""&amp;" no  puede ser mayor al Total.",""))</f>
        <v/>
      </c>
      <c r="CE44" s="135" t="str">
        <f t="shared" si="32"/>
        <v/>
      </c>
      <c r="CF44" s="135" t="str">
        <f t="shared" si="33"/>
        <v/>
      </c>
      <c r="CG44" s="135" t="str">
        <f t="shared" si="34"/>
        <v/>
      </c>
      <c r="CH44" s="135" t="str">
        <f t="shared" si="35"/>
        <v/>
      </c>
      <c r="CI44" s="135" t="str">
        <f t="shared" si="36"/>
        <v/>
      </c>
      <c r="CJ44" s="135" t="str">
        <f t="shared" si="37"/>
        <v/>
      </c>
      <c r="CK44" s="135" t="str">
        <f t="shared" si="38"/>
        <v/>
      </c>
      <c r="CO44" s="1901">
        <f t="shared" si="39"/>
        <v>0</v>
      </c>
      <c r="CP44" s="1901"/>
      <c r="CQ44" s="1901">
        <f t="shared" si="40"/>
        <v>0</v>
      </c>
      <c r="CR44" s="1901">
        <f t="shared" si="41"/>
        <v>0</v>
      </c>
      <c r="CS44" s="1901">
        <f t="shared" si="42"/>
        <v>0</v>
      </c>
      <c r="CT44" s="1901">
        <f t="shared" si="43"/>
        <v>0</v>
      </c>
      <c r="CU44" s="1901">
        <f t="shared" si="44"/>
        <v>0</v>
      </c>
      <c r="CV44" s="1901">
        <f t="shared" si="45"/>
        <v>0</v>
      </c>
      <c r="CW44" s="1901">
        <f t="shared" si="46"/>
        <v>0</v>
      </c>
      <c r="CX44" s="1901">
        <f t="shared" si="47"/>
        <v>0</v>
      </c>
      <c r="CY44" s="1901">
        <f t="shared" si="48"/>
        <v>0</v>
      </c>
    </row>
    <row r="45" spans="1:103" ht="15" customHeight="1" x14ac:dyDescent="0.3">
      <c r="A45" s="6185" t="s">
        <v>750</v>
      </c>
      <c r="B45" s="522" t="s">
        <v>751</v>
      </c>
      <c r="C45" s="492">
        <f>SUM(D45:P45)</f>
        <v>0</v>
      </c>
      <c r="D45" s="474"/>
      <c r="E45" s="494"/>
      <c r="F45" s="494"/>
      <c r="G45" s="494"/>
      <c r="H45" s="494"/>
      <c r="I45" s="494"/>
      <c r="J45" s="494"/>
      <c r="K45" s="494"/>
      <c r="L45" s="494"/>
      <c r="M45" s="494"/>
      <c r="N45" s="5601"/>
      <c r="O45" s="5601"/>
      <c r="P45" s="5601"/>
      <c r="Q45" s="497"/>
      <c r="R45" s="494"/>
      <c r="S45" s="475"/>
      <c r="T45" s="474"/>
      <c r="U45" s="475"/>
      <c r="V45" s="474"/>
      <c r="W45" s="475"/>
      <c r="X45" s="474"/>
      <c r="Y45" s="494"/>
      <c r="Z45" s="475"/>
      <c r="AA45" s="475"/>
      <c r="AB45" t="str">
        <f t="shared" si="27"/>
        <v/>
      </c>
      <c r="CA45" s="135" t="str">
        <f t="shared" si="28"/>
        <v/>
      </c>
      <c r="CB45" s="135" t="str">
        <f t="shared" si="29"/>
        <v/>
      </c>
      <c r="CC45" s="135" t="str">
        <f t="shared" si="30"/>
        <v/>
      </c>
      <c r="CD45" s="135" t="str">
        <f t="shared" si="31"/>
        <v/>
      </c>
      <c r="CE45" s="135" t="str">
        <f t="shared" si="32"/>
        <v/>
      </c>
      <c r="CF45" s="135" t="str">
        <f t="shared" si="33"/>
        <v/>
      </c>
      <c r="CG45" s="135" t="str">
        <f t="shared" si="34"/>
        <v/>
      </c>
      <c r="CH45" s="135" t="str">
        <f t="shared" si="35"/>
        <v/>
      </c>
      <c r="CI45" s="135" t="str">
        <f t="shared" si="36"/>
        <v/>
      </c>
      <c r="CJ45" s="135" t="str">
        <f t="shared" si="37"/>
        <v/>
      </c>
      <c r="CK45" s="135" t="str">
        <f t="shared" si="38"/>
        <v/>
      </c>
      <c r="CO45" s="1901">
        <f t="shared" si="39"/>
        <v>0</v>
      </c>
      <c r="CP45" s="1901"/>
      <c r="CQ45" s="1901">
        <f t="shared" si="40"/>
        <v>0</v>
      </c>
      <c r="CR45" s="1901">
        <f t="shared" si="41"/>
        <v>0</v>
      </c>
      <c r="CS45" s="1901">
        <f t="shared" si="42"/>
        <v>0</v>
      </c>
      <c r="CT45" s="1901">
        <f t="shared" si="43"/>
        <v>0</v>
      </c>
      <c r="CU45" s="1901">
        <f t="shared" si="44"/>
        <v>0</v>
      </c>
      <c r="CV45" s="1901">
        <f t="shared" si="45"/>
        <v>0</v>
      </c>
      <c r="CW45" s="1901">
        <f t="shared" si="46"/>
        <v>0</v>
      </c>
      <c r="CX45" s="1901">
        <f t="shared" si="47"/>
        <v>0</v>
      </c>
      <c r="CY45" s="1901">
        <f t="shared" si="48"/>
        <v>0</v>
      </c>
    </row>
    <row r="46" spans="1:103" ht="15" customHeight="1" x14ac:dyDescent="0.3">
      <c r="A46" s="5791"/>
      <c r="B46" s="527" t="s">
        <v>58</v>
      </c>
      <c r="C46" s="519">
        <f>SUM(D46:P46)</f>
        <v>0</v>
      </c>
      <c r="D46" s="380"/>
      <c r="E46" s="372"/>
      <c r="F46" s="372"/>
      <c r="G46" s="372"/>
      <c r="H46" s="372"/>
      <c r="I46" s="372"/>
      <c r="J46" s="372"/>
      <c r="K46" s="372"/>
      <c r="L46" s="372"/>
      <c r="M46" s="372"/>
      <c r="N46" s="372"/>
      <c r="O46" s="372"/>
      <c r="P46" s="372"/>
      <c r="Q46" s="379"/>
      <c r="R46" s="372"/>
      <c r="S46" s="388"/>
      <c r="T46" s="380"/>
      <c r="U46" s="388"/>
      <c r="V46" s="380"/>
      <c r="W46" s="388"/>
      <c r="X46" s="380"/>
      <c r="Y46" s="372"/>
      <c r="Z46" s="388"/>
      <c r="AA46" s="388"/>
      <c r="AB46" t="str">
        <f t="shared" si="27"/>
        <v/>
      </c>
      <c r="CA46" s="135" t="str">
        <f t="shared" si="28"/>
        <v/>
      </c>
      <c r="CB46" s="135" t="str">
        <f t="shared" si="29"/>
        <v/>
      </c>
      <c r="CC46" s="135" t="str">
        <f t="shared" si="30"/>
        <v/>
      </c>
      <c r="CD46" s="135" t="str">
        <f t="shared" si="31"/>
        <v/>
      </c>
      <c r="CE46" s="135" t="str">
        <f t="shared" si="32"/>
        <v/>
      </c>
      <c r="CF46" s="135" t="str">
        <f t="shared" si="33"/>
        <v/>
      </c>
      <c r="CG46" s="135" t="str">
        <f t="shared" si="34"/>
        <v/>
      </c>
      <c r="CH46" s="135" t="str">
        <f t="shared" si="35"/>
        <v/>
      </c>
      <c r="CI46" s="135" t="str">
        <f t="shared" si="36"/>
        <v/>
      </c>
      <c r="CJ46" s="135" t="str">
        <f t="shared" si="37"/>
        <v/>
      </c>
      <c r="CK46" s="135" t="str">
        <f t="shared" si="38"/>
        <v/>
      </c>
      <c r="CO46" s="1901">
        <f t="shared" si="39"/>
        <v>0</v>
      </c>
      <c r="CP46" s="1901"/>
      <c r="CQ46" s="1901">
        <f t="shared" si="40"/>
        <v>0</v>
      </c>
      <c r="CR46" s="1901">
        <f t="shared" si="41"/>
        <v>0</v>
      </c>
      <c r="CS46" s="1901">
        <f t="shared" si="42"/>
        <v>0</v>
      </c>
      <c r="CT46" s="1901">
        <f t="shared" si="43"/>
        <v>0</v>
      </c>
      <c r="CU46" s="1901">
        <f t="shared" si="44"/>
        <v>0</v>
      </c>
      <c r="CV46" s="1901">
        <f t="shared" si="45"/>
        <v>0</v>
      </c>
      <c r="CW46" s="1901">
        <f t="shared" si="46"/>
        <v>0</v>
      </c>
      <c r="CX46" s="1901">
        <f t="shared" si="47"/>
        <v>0</v>
      </c>
      <c r="CY46" s="1901">
        <f t="shared" si="48"/>
        <v>0</v>
      </c>
    </row>
    <row r="47" spans="1:103" ht="15" customHeight="1" x14ac:dyDescent="0.3">
      <c r="A47" s="6185" t="s">
        <v>752</v>
      </c>
      <c r="B47" s="522" t="s">
        <v>751</v>
      </c>
      <c r="C47" s="492">
        <f>SUM(D47:M47)</f>
        <v>0</v>
      </c>
      <c r="D47" s="474"/>
      <c r="E47" s="494"/>
      <c r="F47" s="494"/>
      <c r="G47" s="494"/>
      <c r="H47" s="494"/>
      <c r="I47" s="494"/>
      <c r="J47" s="494"/>
      <c r="K47" s="494"/>
      <c r="L47" s="494"/>
      <c r="M47" s="494"/>
      <c r="N47" s="516"/>
      <c r="O47" s="516"/>
      <c r="P47" s="517"/>
      <c r="Q47" s="497"/>
      <c r="R47" s="494"/>
      <c r="S47" s="475"/>
      <c r="T47" s="474"/>
      <c r="U47" s="475"/>
      <c r="V47" s="474"/>
      <c r="W47" s="475"/>
      <c r="X47" s="474"/>
      <c r="Y47" s="494"/>
      <c r="Z47" s="475"/>
      <c r="AA47" s="475"/>
      <c r="AB47" t="str">
        <f t="shared" si="27"/>
        <v/>
      </c>
      <c r="CA47" s="135" t="str">
        <f t="shared" si="28"/>
        <v/>
      </c>
      <c r="CB47" s="135" t="str">
        <f t="shared" si="29"/>
        <v/>
      </c>
      <c r="CC47" s="135" t="str">
        <f t="shared" si="30"/>
        <v/>
      </c>
      <c r="CD47" s="135" t="str">
        <f t="shared" si="31"/>
        <v/>
      </c>
      <c r="CE47" s="135" t="str">
        <f t="shared" si="32"/>
        <v/>
      </c>
      <c r="CF47" s="135" t="str">
        <f t="shared" si="33"/>
        <v/>
      </c>
      <c r="CG47" s="135" t="str">
        <f t="shared" si="34"/>
        <v/>
      </c>
      <c r="CH47" s="135" t="str">
        <f t="shared" si="35"/>
        <v/>
      </c>
      <c r="CI47" s="135" t="str">
        <f t="shared" si="36"/>
        <v/>
      </c>
      <c r="CJ47" s="135" t="str">
        <f t="shared" si="37"/>
        <v/>
      </c>
      <c r="CK47" s="135" t="str">
        <f t="shared" si="38"/>
        <v/>
      </c>
      <c r="CO47" s="1901">
        <f t="shared" si="39"/>
        <v>0</v>
      </c>
      <c r="CP47" s="1901"/>
      <c r="CQ47" s="1901">
        <f t="shared" si="40"/>
        <v>0</v>
      </c>
      <c r="CR47" s="1901">
        <f t="shared" si="41"/>
        <v>0</v>
      </c>
      <c r="CS47" s="1901">
        <f t="shared" si="42"/>
        <v>0</v>
      </c>
      <c r="CT47" s="1901">
        <f t="shared" si="43"/>
        <v>0</v>
      </c>
      <c r="CU47" s="1901">
        <f t="shared" si="44"/>
        <v>0</v>
      </c>
      <c r="CV47" s="1901">
        <f t="shared" si="45"/>
        <v>0</v>
      </c>
      <c r="CW47" s="1901">
        <f t="shared" si="46"/>
        <v>0</v>
      </c>
      <c r="CX47" s="1901">
        <f t="shared" si="47"/>
        <v>0</v>
      </c>
      <c r="CY47" s="1901">
        <f t="shared" si="48"/>
        <v>0</v>
      </c>
    </row>
    <row r="48" spans="1:103" ht="15" customHeight="1" x14ac:dyDescent="0.3">
      <c r="A48" s="5791"/>
      <c r="B48" s="528" t="s">
        <v>58</v>
      </c>
      <c r="C48" s="529">
        <f>SUM(D48:M48)</f>
        <v>0</v>
      </c>
      <c r="D48" s="373"/>
      <c r="E48" s="262"/>
      <c r="F48" s="262"/>
      <c r="G48" s="262"/>
      <c r="H48" s="262"/>
      <c r="I48" s="262"/>
      <c r="J48" s="262"/>
      <c r="K48" s="262"/>
      <c r="L48" s="262"/>
      <c r="M48" s="262"/>
      <c r="N48" s="293"/>
      <c r="O48" s="293"/>
      <c r="P48" s="294"/>
      <c r="Q48" s="266"/>
      <c r="R48" s="262"/>
      <c r="S48" s="530"/>
      <c r="T48" s="373"/>
      <c r="U48" s="530"/>
      <c r="V48" s="373"/>
      <c r="W48" s="530"/>
      <c r="X48" s="373"/>
      <c r="Y48" s="262"/>
      <c r="Z48" s="530"/>
      <c r="AA48" s="530"/>
      <c r="AB48" t="str">
        <f t="shared" si="27"/>
        <v/>
      </c>
      <c r="CA48" s="135" t="str">
        <f t="shared" si="28"/>
        <v/>
      </c>
      <c r="CB48" s="135" t="str">
        <f t="shared" si="29"/>
        <v/>
      </c>
      <c r="CC48" s="135" t="str">
        <f t="shared" si="30"/>
        <v/>
      </c>
      <c r="CD48" s="135" t="str">
        <f>IF(AND($D48+E48&gt;0,T48="")," * No olvide digitar la variable Migrantes "&amp;$T$34&amp;""&amp;". Digite Cero si no tiene.",IF(T48&gt;$D48+E48," * La variable Migrantes "&amp;$T$34&amp;""&amp;" no  puede ser mayor al Total.",""))</f>
        <v/>
      </c>
      <c r="CE48" s="135" t="str">
        <f t="shared" si="32"/>
        <v/>
      </c>
      <c r="CF48" s="135" t="str">
        <f t="shared" si="33"/>
        <v/>
      </c>
      <c r="CG48" s="135" t="str">
        <f t="shared" si="34"/>
        <v/>
      </c>
      <c r="CH48" s="135" t="str">
        <f t="shared" si="35"/>
        <v/>
      </c>
      <c r="CI48" s="135" t="str">
        <f t="shared" si="36"/>
        <v/>
      </c>
      <c r="CJ48" s="135" t="str">
        <f t="shared" si="37"/>
        <v/>
      </c>
      <c r="CK48" s="135" t="str">
        <f t="shared" si="38"/>
        <v/>
      </c>
      <c r="CO48" s="1901">
        <f t="shared" si="39"/>
        <v>0</v>
      </c>
      <c r="CP48" s="1901"/>
      <c r="CQ48" s="1901">
        <f t="shared" si="40"/>
        <v>0</v>
      </c>
      <c r="CR48" s="1901">
        <f>IF(AND($D48+$E48&gt;0,$T48=""),1,IF(T48&gt;$D48+$E48,1,0))</f>
        <v>0</v>
      </c>
      <c r="CS48" s="1901">
        <f t="shared" si="42"/>
        <v>0</v>
      </c>
      <c r="CT48" s="1901">
        <f t="shared" si="43"/>
        <v>0</v>
      </c>
      <c r="CU48" s="1901">
        <f t="shared" si="44"/>
        <v>0</v>
      </c>
      <c r="CV48" s="1901">
        <f t="shared" si="45"/>
        <v>0</v>
      </c>
      <c r="CW48" s="1901">
        <f t="shared" si="46"/>
        <v>0</v>
      </c>
      <c r="CX48" s="1901">
        <f t="shared" si="47"/>
        <v>0</v>
      </c>
      <c r="CY48" s="1901">
        <f t="shared" si="48"/>
        <v>0</v>
      </c>
    </row>
    <row r="49" spans="1:103" ht="15" customHeight="1" x14ac:dyDescent="0.3">
      <c r="A49" s="6326" t="s">
        <v>591</v>
      </c>
      <c r="B49" s="6327"/>
      <c r="C49" s="510">
        <f>SUM(D49:M49)</f>
        <v>0</v>
      </c>
      <c r="D49" s="505"/>
      <c r="E49" s="531"/>
      <c r="F49" s="531"/>
      <c r="G49" s="531"/>
      <c r="H49" s="531"/>
      <c r="I49" s="531"/>
      <c r="J49" s="531"/>
      <c r="K49" s="531"/>
      <c r="L49" s="531"/>
      <c r="M49" s="531"/>
      <c r="N49" s="532"/>
      <c r="O49" s="532"/>
      <c r="P49" s="533"/>
      <c r="Q49" s="534"/>
      <c r="R49" s="531"/>
      <c r="S49" s="508"/>
      <c r="T49" s="505"/>
      <c r="U49" s="508"/>
      <c r="V49" s="505"/>
      <c r="W49" s="508"/>
      <c r="X49" s="505"/>
      <c r="Y49" s="531"/>
      <c r="Z49" s="508"/>
      <c r="AA49" s="508"/>
      <c r="AB49" t="str">
        <f t="shared" si="27"/>
        <v/>
      </c>
      <c r="CA49" s="135" t="str">
        <f t="shared" si="28"/>
        <v/>
      </c>
      <c r="CB49" s="135" t="str">
        <f t="shared" si="29"/>
        <v/>
      </c>
      <c r="CC49" s="135" t="str">
        <f t="shared" si="30"/>
        <v/>
      </c>
      <c r="CD49" s="135" t="str">
        <f>IF(AND($D49+E49&gt;0,T49="")," * No olvide digitar la variable Migrantes "&amp;$T$34&amp;""&amp;". Digite Cero si no tiene.",IF(T49&gt;$D49+E49," * La variable Migrantes "&amp;$T$34&amp;""&amp;" no  puede ser mayor al Total.",""))</f>
        <v/>
      </c>
      <c r="CE49" s="135" t="str">
        <f t="shared" si="32"/>
        <v/>
      </c>
      <c r="CF49" s="135" t="str">
        <f t="shared" si="33"/>
        <v/>
      </c>
      <c r="CG49" s="135" t="str">
        <f t="shared" si="34"/>
        <v/>
      </c>
      <c r="CH49" s="135" t="str">
        <f t="shared" si="35"/>
        <v/>
      </c>
      <c r="CI49" s="135" t="str">
        <f t="shared" si="36"/>
        <v/>
      </c>
      <c r="CJ49" s="135" t="str">
        <f t="shared" si="37"/>
        <v/>
      </c>
      <c r="CK49" s="135" t="str">
        <f t="shared" si="38"/>
        <v/>
      </c>
      <c r="CO49" s="1901">
        <f t="shared" si="39"/>
        <v>0</v>
      </c>
      <c r="CP49" s="1901"/>
      <c r="CQ49" s="1901">
        <f t="shared" si="40"/>
        <v>0</v>
      </c>
      <c r="CR49" s="1901">
        <f>IF(AND($D49+$E49&gt;0,$T49=""),1,IF(T49&gt;$D49+$E49,1,0))</f>
        <v>0</v>
      </c>
      <c r="CS49" s="1901">
        <f t="shared" si="42"/>
        <v>0</v>
      </c>
      <c r="CT49" s="1901">
        <f t="shared" si="43"/>
        <v>0</v>
      </c>
      <c r="CU49" s="1901">
        <f t="shared" si="44"/>
        <v>0</v>
      </c>
      <c r="CV49" s="1901">
        <f t="shared" si="45"/>
        <v>0</v>
      </c>
      <c r="CW49" s="1901">
        <f t="shared" si="46"/>
        <v>0</v>
      </c>
      <c r="CX49" s="1901">
        <f t="shared" si="47"/>
        <v>0</v>
      </c>
      <c r="CY49" s="1901">
        <f t="shared" si="48"/>
        <v>0</v>
      </c>
    </row>
    <row r="50" spans="1:103" ht="15" customHeight="1" x14ac:dyDescent="0.3">
      <c r="A50" s="6322" t="s">
        <v>753</v>
      </c>
      <c r="B50" s="6323"/>
      <c r="C50" s="295">
        <f t="shared" si="26"/>
        <v>0</v>
      </c>
      <c r="D50" s="290"/>
      <c r="E50" s="535"/>
      <c r="F50" s="535"/>
      <c r="G50" s="535"/>
      <c r="H50" s="535"/>
      <c r="I50" s="535"/>
      <c r="J50" s="535"/>
      <c r="K50" s="535"/>
      <c r="L50" s="535"/>
      <c r="M50" s="535"/>
      <c r="N50" s="536"/>
      <c r="O50" s="536"/>
      <c r="P50" s="537"/>
      <c r="Q50" s="296"/>
      <c r="R50" s="535"/>
      <c r="S50" s="107"/>
      <c r="T50" s="290"/>
      <c r="U50" s="107"/>
      <c r="V50" s="290"/>
      <c r="W50" s="107"/>
      <c r="X50" s="290"/>
      <c r="Y50" s="535"/>
      <c r="Z50" s="107"/>
      <c r="AA50" s="107"/>
      <c r="AB50" t="str">
        <f t="shared" si="27"/>
        <v/>
      </c>
      <c r="CA50" s="135" t="str">
        <f t="shared" si="28"/>
        <v/>
      </c>
      <c r="CB50" s="135" t="str">
        <f t="shared" si="29"/>
        <v/>
      </c>
      <c r="CC50" s="135" t="str">
        <f t="shared" si="30"/>
        <v/>
      </c>
      <c r="CD50" s="135" t="str">
        <f t="shared" si="31"/>
        <v/>
      </c>
      <c r="CE50" s="135" t="str">
        <f t="shared" si="32"/>
        <v/>
      </c>
      <c r="CF50" s="135" t="str">
        <f t="shared" si="33"/>
        <v/>
      </c>
      <c r="CG50" s="135" t="str">
        <f t="shared" si="34"/>
        <v/>
      </c>
      <c r="CH50" s="135" t="str">
        <f t="shared" si="35"/>
        <v/>
      </c>
      <c r="CI50" s="135" t="str">
        <f t="shared" si="36"/>
        <v/>
      </c>
      <c r="CJ50" s="135" t="str">
        <f t="shared" si="37"/>
        <v/>
      </c>
      <c r="CK50" s="135" t="str">
        <f t="shared" si="38"/>
        <v/>
      </c>
      <c r="CO50" s="1901">
        <f t="shared" si="39"/>
        <v>0</v>
      </c>
      <c r="CP50" s="1901"/>
      <c r="CQ50" s="1901">
        <f t="shared" si="40"/>
        <v>0</v>
      </c>
      <c r="CR50" s="1901">
        <f t="shared" si="41"/>
        <v>0</v>
      </c>
      <c r="CS50" s="1901">
        <f t="shared" si="42"/>
        <v>0</v>
      </c>
      <c r="CT50" s="1901">
        <f t="shared" si="43"/>
        <v>0</v>
      </c>
      <c r="CU50" s="1901">
        <f t="shared" si="44"/>
        <v>0</v>
      </c>
      <c r="CV50" s="1901">
        <f t="shared" si="45"/>
        <v>0</v>
      </c>
      <c r="CW50" s="1901">
        <f t="shared" si="46"/>
        <v>0</v>
      </c>
      <c r="CX50" s="1901">
        <f t="shared" si="47"/>
        <v>0</v>
      </c>
      <c r="CY50" s="1901">
        <f t="shared" si="48"/>
        <v>0</v>
      </c>
    </row>
    <row r="51" spans="1:103" ht="15" customHeight="1" x14ac:dyDescent="0.3">
      <c r="A51" s="6324" t="s">
        <v>754</v>
      </c>
      <c r="B51" s="6325"/>
      <c r="C51" s="529">
        <f t="shared" si="26"/>
        <v>0</v>
      </c>
      <c r="D51" s="373"/>
      <c r="E51" s="262"/>
      <c r="F51" s="262"/>
      <c r="G51" s="262"/>
      <c r="H51" s="262"/>
      <c r="I51" s="262"/>
      <c r="J51" s="262"/>
      <c r="K51" s="262"/>
      <c r="L51" s="262"/>
      <c r="M51" s="262"/>
      <c r="N51" s="293"/>
      <c r="O51" s="293"/>
      <c r="P51" s="294"/>
      <c r="Q51" s="266"/>
      <c r="R51" s="262"/>
      <c r="S51" s="530"/>
      <c r="T51" s="373"/>
      <c r="U51" s="530"/>
      <c r="V51" s="373"/>
      <c r="W51" s="530"/>
      <c r="X51" s="373"/>
      <c r="Y51" s="262"/>
      <c r="Z51" s="530"/>
      <c r="AA51" s="530"/>
      <c r="AB51" t="str">
        <f t="shared" si="27"/>
        <v/>
      </c>
      <c r="CA51" s="135" t="str">
        <f t="shared" si="28"/>
        <v/>
      </c>
      <c r="CB51" s="135" t="str">
        <f t="shared" si="29"/>
        <v/>
      </c>
      <c r="CC51" s="135" t="str">
        <f t="shared" si="30"/>
        <v/>
      </c>
      <c r="CD51" s="135" t="str">
        <f t="shared" si="31"/>
        <v/>
      </c>
      <c r="CE51" s="135" t="str">
        <f t="shared" si="32"/>
        <v/>
      </c>
      <c r="CF51" s="135" t="str">
        <f t="shared" si="33"/>
        <v/>
      </c>
      <c r="CG51" s="135" t="str">
        <f t="shared" si="34"/>
        <v/>
      </c>
      <c r="CH51" s="135" t="str">
        <f t="shared" si="35"/>
        <v/>
      </c>
      <c r="CI51" s="135" t="str">
        <f t="shared" si="36"/>
        <v/>
      </c>
      <c r="CJ51" s="135" t="str">
        <f t="shared" si="37"/>
        <v/>
      </c>
      <c r="CK51" s="135" t="str">
        <f t="shared" si="38"/>
        <v/>
      </c>
      <c r="CO51" s="1901">
        <f t="shared" si="39"/>
        <v>0</v>
      </c>
      <c r="CP51" s="1901"/>
      <c r="CQ51" s="1901">
        <f t="shared" si="40"/>
        <v>0</v>
      </c>
      <c r="CR51" s="1901">
        <f t="shared" si="41"/>
        <v>0</v>
      </c>
      <c r="CS51" s="1901">
        <f t="shared" si="42"/>
        <v>0</v>
      </c>
      <c r="CT51" s="1901">
        <f t="shared" si="43"/>
        <v>0</v>
      </c>
      <c r="CU51" s="1901">
        <f t="shared" si="44"/>
        <v>0</v>
      </c>
      <c r="CV51" s="1901">
        <f t="shared" si="45"/>
        <v>0</v>
      </c>
      <c r="CW51" s="1901">
        <f t="shared" si="46"/>
        <v>0</v>
      </c>
      <c r="CX51" s="1901">
        <f t="shared" si="47"/>
        <v>0</v>
      </c>
      <c r="CY51" s="1901">
        <f t="shared" si="48"/>
        <v>0</v>
      </c>
    </row>
    <row r="52" spans="1:103" ht="24.75" customHeight="1" x14ac:dyDescent="0.3">
      <c r="A52" s="3" t="s">
        <v>755</v>
      </c>
      <c r="CB52" s="19"/>
      <c r="CC52" s="19"/>
      <c r="CD52" s="19"/>
      <c r="CE52" s="19"/>
      <c r="CF52" s="19"/>
      <c r="CO52" s="2970"/>
    </row>
    <row r="53" spans="1:103" ht="22.95" customHeight="1" x14ac:dyDescent="0.3">
      <c r="A53" s="5944" t="s">
        <v>730</v>
      </c>
      <c r="B53" s="6243"/>
      <c r="C53" s="6190" t="s">
        <v>28</v>
      </c>
      <c r="D53" s="6143" t="s">
        <v>29</v>
      </c>
      <c r="E53" s="6178"/>
      <c r="F53" s="6178"/>
      <c r="G53" s="6178"/>
      <c r="H53" s="6178"/>
      <c r="I53" s="6178"/>
      <c r="J53" s="6178"/>
      <c r="K53" s="6178"/>
      <c r="L53" s="6178"/>
      <c r="M53" s="6178"/>
      <c r="N53" s="6178"/>
      <c r="O53" s="6178"/>
      <c r="P53" s="6179"/>
      <c r="Q53" s="6249" t="s">
        <v>33</v>
      </c>
      <c r="R53" s="6243" t="s">
        <v>36</v>
      </c>
      <c r="S53" s="6137" t="s">
        <v>37</v>
      </c>
      <c r="T53" s="6183"/>
      <c r="U53" s="6137" t="s">
        <v>734</v>
      </c>
      <c r="V53" s="6188"/>
      <c r="W53" s="6183"/>
      <c r="X53" s="6243" t="s">
        <v>735</v>
      </c>
      <c r="CA53" s="19"/>
      <c r="CB53" s="19"/>
      <c r="CC53" s="19"/>
      <c r="CD53" s="19"/>
      <c r="CE53" s="19"/>
      <c r="CQ53" s="2970"/>
    </row>
    <row r="54" spans="1:103" ht="28.5" customHeight="1" x14ac:dyDescent="0.3">
      <c r="A54" s="5945"/>
      <c r="B54" s="5759"/>
      <c r="C54" s="5756"/>
      <c r="D54" s="468" t="s">
        <v>736</v>
      </c>
      <c r="E54" s="491" t="s">
        <v>44</v>
      </c>
      <c r="F54" s="491" t="s">
        <v>45</v>
      </c>
      <c r="G54" s="491" t="s">
        <v>46</v>
      </c>
      <c r="H54" s="491" t="s">
        <v>47</v>
      </c>
      <c r="I54" s="491" t="s">
        <v>48</v>
      </c>
      <c r="J54" s="491" t="s">
        <v>49</v>
      </c>
      <c r="K54" s="491" t="s">
        <v>50</v>
      </c>
      <c r="L54" s="491" t="s">
        <v>51</v>
      </c>
      <c r="M54" s="491" t="s">
        <v>52</v>
      </c>
      <c r="N54" s="509" t="s">
        <v>53</v>
      </c>
      <c r="O54" s="491" t="s">
        <v>54</v>
      </c>
      <c r="P54" s="470" t="s">
        <v>737</v>
      </c>
      <c r="Q54" s="5767"/>
      <c r="R54" s="5760"/>
      <c r="S54" s="468" t="s">
        <v>705</v>
      </c>
      <c r="T54" s="1776" t="s">
        <v>706</v>
      </c>
      <c r="U54" s="2968" t="s">
        <v>60</v>
      </c>
      <c r="V54" s="804" t="s">
        <v>738</v>
      </c>
      <c r="W54" s="2971" t="s">
        <v>62</v>
      </c>
      <c r="X54" s="5760"/>
      <c r="CA54" s="19"/>
      <c r="CB54" s="19"/>
      <c r="CC54" s="19"/>
      <c r="CD54" s="19"/>
      <c r="CE54" s="19"/>
      <c r="CQ54" s="2970"/>
    </row>
    <row r="55" spans="1:103" ht="15" customHeight="1" x14ac:dyDescent="0.3">
      <c r="A55" s="6185" t="s">
        <v>756</v>
      </c>
      <c r="B55" s="548" t="s">
        <v>751</v>
      </c>
      <c r="C55" s="492">
        <f>SUM(D55:P55)</f>
        <v>0</v>
      </c>
      <c r="D55" s="474"/>
      <c r="E55" s="494"/>
      <c r="F55" s="494"/>
      <c r="G55" s="494"/>
      <c r="H55" s="494"/>
      <c r="I55" s="494"/>
      <c r="J55" s="494"/>
      <c r="K55" s="494"/>
      <c r="L55" s="494"/>
      <c r="M55" s="494"/>
      <c r="N55" s="477"/>
      <c r="O55" s="494"/>
      <c r="P55" s="496"/>
      <c r="Q55" s="497"/>
      <c r="R55" s="475"/>
      <c r="S55" s="474"/>
      <c r="T55" s="475"/>
      <c r="U55" s="474"/>
      <c r="V55" s="494"/>
      <c r="W55" s="475"/>
      <c r="X55" s="475"/>
      <c r="Y55" t="str">
        <f>CA55&amp;CB55&amp;CC55&amp;CD55&amp;CE55&amp;CF55&amp;CG55&amp;CH55</f>
        <v/>
      </c>
      <c r="CA55" s="135" t="str">
        <f>IF(AND($C55&gt;0,Q55="")," * No olvide digitar la variable "&amp;Q$53&amp;""&amp;". Digite Cero si no tiene.",IF(Q55&gt;$C55," * La variable "&amp;Q$53&amp;""&amp;" no  puede ser mayor al Total.",""))</f>
        <v/>
      </c>
      <c r="CB55" s="135" t="str">
        <f>IF(AND($C55&gt;0,R55="")," * No olvide digitar la variable "&amp;R$53&amp;""&amp;". Digite Cero si no tiene.",IF(R55&gt;$C55," * La variable "&amp;R$53&amp;""&amp;" no  puede ser mayor al Total.",""))</f>
        <v/>
      </c>
      <c r="CC55" s="135" t="str">
        <f>IF(AND($D55+$E55&gt;0,$S55="")," * No olvide digitar la variable Migrantes "&amp;S$54&amp;""&amp;". Digite Cero si no tiene.",IF($S55&gt;$D55+$E55," * La variable Migrantes "&amp;S$54&amp;""&amp;" no  puede ser mayor al Total.",""))</f>
        <v/>
      </c>
      <c r="CD55" s="135" t="str">
        <f>IF(AND($F55+$G55+$H55+$I55+$J55+$K55+$L55+$M55+$N55+$O55+$P55&gt;0,$T55="")," * No olvide digitar la variable Migrantes "&amp;T$54&amp;""&amp;". Digite Cero si no tiene.",IF(T55&gt;$F55+$G55+$H55+$I55+$J55+$K55+$L55+$M55+$N55+$O55+$P55," * La variable Migrantes "&amp;T$54&amp;""&amp;" no  puede ser mayor al Total.",""))</f>
        <v/>
      </c>
      <c r="CE55" s="135" t="str">
        <f>IF(AND($C55&gt;0,U55="")," * No olvide digitar la variable "&amp;U$54&amp;""&amp;". Digite Cero si no tiene.",IF(U55&gt;$C55," * La variable "&amp;U$54&amp;""&amp;" no  puede ser mayor al Total.",""))</f>
        <v/>
      </c>
      <c r="CF55" s="135" t="str">
        <f>IF(AND($C55&gt;0,V55="")," * No olvide digitar la variable "&amp;V$54&amp;""&amp;". Digite Cero si no tiene.",IF(V55&gt;$C55," * La variable "&amp;V$54&amp;""&amp;" no  puede ser mayor al Total.",""))</f>
        <v/>
      </c>
      <c r="CG55" s="135" t="str">
        <f>IF(AND($C55&gt;0,W55="")," * No olvide digitar la variable "&amp;W$54&amp;""&amp;". Digite Cero si no tiene.",IF(W55&gt;$C55," * La variable "&amp;W$54&amp;""&amp;" no  puede ser mayor al Total.",""))</f>
        <v/>
      </c>
      <c r="CH55" s="135" t="str">
        <f>IF(AND($C55&gt;0,X55="")," * No olvide digitar la variable "&amp;X$53&amp;""&amp;". Digite Cero si no tiene.",IF(X55&gt;$C55," * La variable "&amp;X$53&amp;""&amp;" no  puede ser mayor al Total.",""))</f>
        <v/>
      </c>
      <c r="CI55" s="19"/>
      <c r="CO55" s="2972">
        <f t="shared" ref="CO55:CP55" si="49">IF(AND($C55&gt;0,Q55=""),1,IF(Q55&gt;$C55,1,0))</f>
        <v>0</v>
      </c>
      <c r="CP55" s="2972">
        <f t="shared" si="49"/>
        <v>0</v>
      </c>
      <c r="CQ55" s="2972">
        <f>IF(AND($D55+$E55&gt;0,S55=""),1,IF(S55&gt;$D55+$E55,1,0))</f>
        <v>0</v>
      </c>
      <c r="CR55" s="2972">
        <f>IF(AND($F55+$G55+$H55+$I55+$J55+$K55+$L55+$M55+$N55+$O55+$P55&gt;0,$T55=""),1,IF($T55&gt;$F55+$G55+$H55+$I55+$J55+$K55+$L55+$M55+$N55+$O55+$P55,1,0))</f>
        <v>0</v>
      </c>
      <c r="CS55" s="2972">
        <f>IF(AND($C55&gt;0,U55=""),1,IF(U55&gt;$C55,1,0))</f>
        <v>0</v>
      </c>
      <c r="CT55" s="2972">
        <f>IF(AND($C55&gt;0,V55=""),1,IF(V55&gt;$C55,1,0))</f>
        <v>0</v>
      </c>
      <c r="CU55" s="2972">
        <f>IF(AND($C55&gt;0,W55=""),1,IF(W55&gt;$C55,1,0))</f>
        <v>0</v>
      </c>
      <c r="CV55" s="2972">
        <f>IF(AND($C55&gt;0,X55=""),1,IF(X55&gt;$C55,1,0))</f>
        <v>0</v>
      </c>
      <c r="CW55" s="2973"/>
    </row>
    <row r="56" spans="1:103" ht="15" customHeight="1" x14ac:dyDescent="0.3">
      <c r="A56" s="5791"/>
      <c r="B56" s="2974" t="s">
        <v>58</v>
      </c>
      <c r="C56" s="529">
        <f>SUM(D56:P56)</f>
        <v>0</v>
      </c>
      <c r="D56" s="373"/>
      <c r="E56" s="262"/>
      <c r="F56" s="262"/>
      <c r="G56" s="262"/>
      <c r="H56" s="262"/>
      <c r="I56" s="262"/>
      <c r="J56" s="262"/>
      <c r="K56" s="262"/>
      <c r="L56" s="262"/>
      <c r="M56" s="262"/>
      <c r="N56" s="547"/>
      <c r="O56" s="262"/>
      <c r="P56" s="297"/>
      <c r="Q56" s="266"/>
      <c r="R56" s="530"/>
      <c r="S56" s="373"/>
      <c r="T56" s="530"/>
      <c r="U56" s="373"/>
      <c r="V56" s="262"/>
      <c r="W56" s="530"/>
      <c r="X56" s="530"/>
      <c r="Y56" t="str">
        <f t="shared" ref="Y56:Y59" si="50">CA56&amp;CB56&amp;CC56&amp;CD56&amp;CE56&amp;CF56&amp;CG56&amp;CH56</f>
        <v/>
      </c>
      <c r="CA56" s="135" t="str">
        <f t="shared" ref="CA56:CA59" si="51">IF(AND($C56&gt;0,Q56="")," * No olvide digitar la variable "&amp;Q$53&amp;""&amp;". Digite Cero si no tiene.",IF(Q56&gt;$C56," * La variable "&amp;Q$53&amp;""&amp;" no  puede ser mayor al Total.",""))</f>
        <v/>
      </c>
      <c r="CB56" s="135" t="str">
        <f t="shared" ref="CB56:CB59" si="52">IF(AND($C56&gt;0,R56="")," * No olvide digitar la variable "&amp;R$53&amp;""&amp;". Digite Cero si no tiene.",IF(R56&gt;$C56," * La variable "&amp;R$53&amp;""&amp;" no  puede ser mayor al Total.",""))</f>
        <v/>
      </c>
      <c r="CC56" s="135" t="str">
        <f t="shared" ref="CC56:CC59" si="53">IF(AND($D56+$E56&gt;0,$S56="")," * No olvide digitar la variable Migrantes "&amp;S$54&amp;""&amp;". Digite Cero si no tiene.",IF($S56&gt;$D56+$E56," * La variable Migrantes "&amp;S$54&amp;""&amp;" no  puede ser mayor al Total.",""))</f>
        <v/>
      </c>
      <c r="CD56" s="135" t="str">
        <f t="shared" ref="CD56:CD59" si="54">IF(AND($F56+$G56+$H56+$I56+$J56+$K56+$L56+$M56+$N56+$O56+$P56&gt;0,$T56="")," * No olvide digitar la variable Migrantes "&amp;T$54&amp;""&amp;". Digite Cero si no tiene.",IF(T56&gt;$F56+$G56+$H56+$I56+$J56+$K56+$L56+$M56+$N56+$O56+$P56," * La variable Migrantes "&amp;T$54&amp;""&amp;" no  puede ser mayor al Total.",""))</f>
        <v/>
      </c>
      <c r="CE56" s="135" t="str">
        <f t="shared" ref="CE56:CE59" si="55">IF(AND($C56&gt;0,U56="")," * No olvide digitar la variable "&amp;U$54&amp;""&amp;". Digite Cero si no tiene.",IF(U56&gt;$C56," * La variable "&amp;U$54&amp;""&amp;" no  puede ser mayor al Total.",""))</f>
        <v/>
      </c>
      <c r="CF56" s="135" t="str">
        <f t="shared" ref="CF56:CF59" si="56">IF(AND($C56&gt;0,V56="")," * No olvide digitar la variable "&amp;V$54&amp;""&amp;". Digite Cero si no tiene.",IF(V56&gt;$C56," * La variable "&amp;V$54&amp;""&amp;" no  puede ser mayor al Total.",""))</f>
        <v/>
      </c>
      <c r="CG56" s="135" t="str">
        <f t="shared" ref="CG56:CG59" si="57">IF(AND($C56&gt;0,W56="")," * No olvide digitar la variable "&amp;W$54&amp;""&amp;". Digite Cero si no tiene.",IF(W56&gt;$C56," * La variable "&amp;W$54&amp;""&amp;" no  puede ser mayor al Total.",""))</f>
        <v/>
      </c>
      <c r="CH56" s="135" t="str">
        <f t="shared" ref="CH56:CH59" si="58">IF(AND($C56&gt;0,X56="")," * No olvide digitar la variable "&amp;X$53&amp;""&amp;". Digite Cero si no tiene.",IF(X56&gt;$C56," * La variable "&amp;X$53&amp;""&amp;" no  puede ser mayor al Total.",""))</f>
        <v/>
      </c>
      <c r="CO56" s="2972">
        <f t="shared" ref="CO56:CO59" si="59">IF(AND($C56&gt;0,Q56=""),1,IF(Q56&gt;$C56,1,0))</f>
        <v>0</v>
      </c>
      <c r="CP56" s="2972">
        <f t="shared" ref="CP56:CP59" si="60">IF(AND($C56&gt;0,R56=""),1,IF(R56&gt;$C56,1,0))</f>
        <v>0</v>
      </c>
      <c r="CQ56" s="2972">
        <f t="shared" ref="CQ56:CQ59" si="61">IF(AND($D56+$E56&gt;0,S56=""),1,IF(S56&gt;$D56+$E56,1,0))</f>
        <v>0</v>
      </c>
      <c r="CR56" s="2972">
        <f t="shared" ref="CR56:CR59" si="62">IF(AND($F56+$G56+$H56+$I56+$J56+$K56+$L56+$M56+$N56+$O56+$P56&gt;0,$T56=""),1,IF($T56&gt;$F56+$G56+$H56+$I56+$J56+$K56+$L56+$M56+$N56+$O56+$P56,1,0))</f>
        <v>0</v>
      </c>
      <c r="CS56" s="2972">
        <f t="shared" ref="CS56:CS59" si="63">IF(AND($C56&gt;0,U56=""),1,IF(U56&gt;$C56,1,0))</f>
        <v>0</v>
      </c>
      <c r="CT56" s="2972">
        <f t="shared" ref="CT56:CT59" si="64">IF(AND($C56&gt;0,V56=""),1,IF(V56&gt;$C56,1,0))</f>
        <v>0</v>
      </c>
      <c r="CU56" s="2972">
        <f t="shared" ref="CU56:CU59" si="65">IF(AND($C56&gt;0,W56=""),1,IF(W56&gt;$C56,1,0))</f>
        <v>0</v>
      </c>
      <c r="CV56" s="2972">
        <f t="shared" ref="CV56:CV59" si="66">IF(AND($C56&gt;0,X56=""),1,IF(X56&gt;$C56,1,0))</f>
        <v>0</v>
      </c>
    </row>
    <row r="57" spans="1:103" ht="15" customHeight="1" x14ac:dyDescent="0.3">
      <c r="A57" s="6185" t="s">
        <v>757</v>
      </c>
      <c r="B57" s="548" t="s">
        <v>751</v>
      </c>
      <c r="C57" s="492">
        <f>SUM(D57:P57)</f>
        <v>0</v>
      </c>
      <c r="D57" s="474"/>
      <c r="E57" s="494"/>
      <c r="F57" s="494"/>
      <c r="G57" s="494"/>
      <c r="H57" s="494"/>
      <c r="I57" s="494"/>
      <c r="J57" s="494"/>
      <c r="K57" s="494"/>
      <c r="L57" s="494"/>
      <c r="M57" s="494"/>
      <c r="N57" s="477"/>
      <c r="O57" s="494"/>
      <c r="P57" s="496"/>
      <c r="Q57" s="497"/>
      <c r="R57" s="475"/>
      <c r="S57" s="474"/>
      <c r="T57" s="475"/>
      <c r="U57" s="474"/>
      <c r="V57" s="494"/>
      <c r="W57" s="475"/>
      <c r="X57" s="475"/>
      <c r="Y57" t="str">
        <f t="shared" si="50"/>
        <v/>
      </c>
      <c r="CA57" s="135" t="str">
        <f t="shared" si="51"/>
        <v/>
      </c>
      <c r="CB57" s="135" t="str">
        <f t="shared" si="52"/>
        <v/>
      </c>
      <c r="CC57" s="135" t="str">
        <f t="shared" si="53"/>
        <v/>
      </c>
      <c r="CD57" s="135" t="str">
        <f t="shared" si="54"/>
        <v/>
      </c>
      <c r="CE57" s="135" t="str">
        <f t="shared" si="55"/>
        <v/>
      </c>
      <c r="CF57" s="135" t="str">
        <f t="shared" si="56"/>
        <v/>
      </c>
      <c r="CG57" s="135" t="str">
        <f t="shared" si="57"/>
        <v/>
      </c>
      <c r="CH57" s="135" t="str">
        <f t="shared" si="58"/>
        <v/>
      </c>
      <c r="CO57" s="2972">
        <f t="shared" si="59"/>
        <v>0</v>
      </c>
      <c r="CP57" s="2972">
        <f t="shared" si="60"/>
        <v>0</v>
      </c>
      <c r="CQ57" s="2972">
        <f t="shared" si="61"/>
        <v>0</v>
      </c>
      <c r="CR57" s="2972">
        <f t="shared" si="62"/>
        <v>0</v>
      </c>
      <c r="CS57" s="2972">
        <f t="shared" si="63"/>
        <v>0</v>
      </c>
      <c r="CT57" s="2972">
        <f t="shared" si="64"/>
        <v>0</v>
      </c>
      <c r="CU57" s="2972">
        <f t="shared" si="65"/>
        <v>0</v>
      </c>
      <c r="CV57" s="2972">
        <f t="shared" si="66"/>
        <v>0</v>
      </c>
    </row>
    <row r="58" spans="1:103" ht="15" customHeight="1" x14ac:dyDescent="0.3">
      <c r="A58" s="5791"/>
      <c r="B58" s="549" t="s">
        <v>58</v>
      </c>
      <c r="C58" s="529">
        <f>SUM(D58:P58)</f>
        <v>0</v>
      </c>
      <c r="D58" s="373"/>
      <c r="E58" s="262"/>
      <c r="F58" s="262"/>
      <c r="G58" s="262"/>
      <c r="H58" s="262"/>
      <c r="I58" s="262"/>
      <c r="J58" s="262"/>
      <c r="K58" s="262"/>
      <c r="L58" s="262"/>
      <c r="M58" s="262"/>
      <c r="N58" s="547"/>
      <c r="O58" s="262"/>
      <c r="P58" s="297"/>
      <c r="Q58" s="266"/>
      <c r="R58" s="530"/>
      <c r="S58" s="373"/>
      <c r="T58" s="530"/>
      <c r="U58" s="373"/>
      <c r="V58" s="262"/>
      <c r="W58" s="530"/>
      <c r="X58" s="530"/>
      <c r="Y58" t="str">
        <f t="shared" si="50"/>
        <v/>
      </c>
      <c r="CA58" s="135" t="str">
        <f t="shared" si="51"/>
        <v/>
      </c>
      <c r="CB58" s="135" t="str">
        <f t="shared" si="52"/>
        <v/>
      </c>
      <c r="CC58" s="135" t="str">
        <f t="shared" si="53"/>
        <v/>
      </c>
      <c r="CD58" s="135" t="str">
        <f t="shared" si="54"/>
        <v/>
      </c>
      <c r="CE58" s="135" t="str">
        <f t="shared" si="55"/>
        <v/>
      </c>
      <c r="CF58" s="135" t="str">
        <f t="shared" si="56"/>
        <v/>
      </c>
      <c r="CG58" s="135" t="str">
        <f t="shared" si="57"/>
        <v/>
      </c>
      <c r="CH58" s="135" t="str">
        <f t="shared" si="58"/>
        <v/>
      </c>
      <c r="CO58" s="2972">
        <f t="shared" si="59"/>
        <v>0</v>
      </c>
      <c r="CP58" s="2972">
        <f t="shared" si="60"/>
        <v>0</v>
      </c>
      <c r="CQ58" s="2972">
        <f t="shared" si="61"/>
        <v>0</v>
      </c>
      <c r="CR58" s="2972">
        <f t="shared" si="62"/>
        <v>0</v>
      </c>
      <c r="CS58" s="2972">
        <f t="shared" si="63"/>
        <v>0</v>
      </c>
      <c r="CT58" s="2972">
        <f t="shared" si="64"/>
        <v>0</v>
      </c>
      <c r="CU58" s="2972">
        <f t="shared" si="65"/>
        <v>0</v>
      </c>
      <c r="CV58" s="2972">
        <f t="shared" si="66"/>
        <v>0</v>
      </c>
    </row>
    <row r="59" spans="1:103" ht="15" customHeight="1" x14ac:dyDescent="0.3">
      <c r="A59" s="6303" t="s">
        <v>758</v>
      </c>
      <c r="B59" s="6304"/>
      <c r="C59" s="529">
        <f>SUM(D59:P59)</f>
        <v>0</v>
      </c>
      <c r="D59" s="373"/>
      <c r="E59" s="262"/>
      <c r="F59" s="262"/>
      <c r="G59" s="262"/>
      <c r="H59" s="262"/>
      <c r="I59" s="262"/>
      <c r="J59" s="262"/>
      <c r="K59" s="262"/>
      <c r="L59" s="262"/>
      <c r="M59" s="262"/>
      <c r="N59" s="547"/>
      <c r="O59" s="262"/>
      <c r="P59" s="297"/>
      <c r="Q59" s="266"/>
      <c r="R59" s="530"/>
      <c r="S59" s="373"/>
      <c r="T59" s="530"/>
      <c r="U59" s="373"/>
      <c r="V59" s="262"/>
      <c r="W59" s="530"/>
      <c r="X59" s="530"/>
      <c r="Y59" t="str">
        <f t="shared" si="50"/>
        <v/>
      </c>
      <c r="CA59" s="135" t="str">
        <f t="shared" si="51"/>
        <v/>
      </c>
      <c r="CB59" s="135" t="str">
        <f t="shared" si="52"/>
        <v/>
      </c>
      <c r="CC59" s="135" t="str">
        <f t="shared" si="53"/>
        <v/>
      </c>
      <c r="CD59" s="135" t="str">
        <f t="shared" si="54"/>
        <v/>
      </c>
      <c r="CE59" s="135" t="str">
        <f t="shared" si="55"/>
        <v/>
      </c>
      <c r="CF59" s="135" t="str">
        <f t="shared" si="56"/>
        <v/>
      </c>
      <c r="CG59" s="135" t="str">
        <f t="shared" si="57"/>
        <v/>
      </c>
      <c r="CH59" s="135" t="str">
        <f t="shared" si="58"/>
        <v/>
      </c>
      <c r="CO59" s="2972">
        <f t="shared" si="59"/>
        <v>0</v>
      </c>
      <c r="CP59" s="2972">
        <f t="shared" si="60"/>
        <v>0</v>
      </c>
      <c r="CQ59" s="2972">
        <f t="shared" si="61"/>
        <v>0</v>
      </c>
      <c r="CR59" s="2972">
        <f t="shared" si="62"/>
        <v>0</v>
      </c>
      <c r="CS59" s="2972">
        <f t="shared" si="63"/>
        <v>0</v>
      </c>
      <c r="CT59" s="2972">
        <f t="shared" si="64"/>
        <v>0</v>
      </c>
      <c r="CU59" s="2972">
        <f t="shared" si="65"/>
        <v>0</v>
      </c>
      <c r="CV59" s="2972">
        <f t="shared" si="66"/>
        <v>0</v>
      </c>
    </row>
    <row r="60" spans="1:103" s="6" customFormat="1" ht="18" customHeight="1" x14ac:dyDescent="0.25">
      <c r="A60" s="3" t="s">
        <v>759</v>
      </c>
      <c r="B60" s="194"/>
      <c r="C60" s="291"/>
      <c r="D60" s="4"/>
      <c r="E60" s="4"/>
      <c r="F60" s="3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03" x14ac:dyDescent="0.3">
      <c r="A61" s="5944" t="s">
        <v>730</v>
      </c>
      <c r="B61" s="6243"/>
      <c r="C61" s="6190" t="s">
        <v>28</v>
      </c>
      <c r="D61" s="6143" t="s">
        <v>29</v>
      </c>
      <c r="E61" s="6178"/>
      <c r="F61" s="6178"/>
      <c r="G61" s="6178"/>
      <c r="H61" s="6178"/>
      <c r="I61" s="6178"/>
      <c r="J61" s="6178"/>
      <c r="K61" s="6178"/>
      <c r="L61" s="6178"/>
      <c r="M61" s="6178"/>
      <c r="N61" s="6178"/>
      <c r="O61" s="6178"/>
      <c r="P61" s="6179"/>
      <c r="Q61" s="6249" t="s">
        <v>36</v>
      </c>
      <c r="R61" s="6243" t="s">
        <v>37</v>
      </c>
    </row>
    <row r="62" spans="1:103" ht="20.399999999999999" x14ac:dyDescent="0.3">
      <c r="A62" s="5796"/>
      <c r="B62" s="5760"/>
      <c r="C62" s="5756"/>
      <c r="D62" s="468" t="s">
        <v>736</v>
      </c>
      <c r="E62" s="491" t="s">
        <v>44</v>
      </c>
      <c r="F62" s="491" t="s">
        <v>45</v>
      </c>
      <c r="G62" s="491" t="s">
        <v>46</v>
      </c>
      <c r="H62" s="491" t="s">
        <v>47</v>
      </c>
      <c r="I62" s="491" t="s">
        <v>48</v>
      </c>
      <c r="J62" s="491" t="s">
        <v>49</v>
      </c>
      <c r="K62" s="491" t="s">
        <v>50</v>
      </c>
      <c r="L62" s="491" t="s">
        <v>51</v>
      </c>
      <c r="M62" s="491" t="s">
        <v>52</v>
      </c>
      <c r="N62" s="509" t="s">
        <v>53</v>
      </c>
      <c r="O62" s="491" t="s">
        <v>54</v>
      </c>
      <c r="P62" s="470" t="s">
        <v>737</v>
      </c>
      <c r="Q62" s="5767"/>
      <c r="R62" s="5760"/>
    </row>
    <row r="63" spans="1:103" ht="15" customHeight="1" x14ac:dyDescent="0.3">
      <c r="A63" s="6305" t="s">
        <v>739</v>
      </c>
      <c r="B63" s="6306"/>
      <c r="C63" s="510">
        <f>SUM(D63:P63)</f>
        <v>0</v>
      </c>
      <c r="D63" s="511">
        <f>SUM(D64:D76)</f>
        <v>0</v>
      </c>
      <c r="E63" s="512">
        <f t="shared" ref="E63:M63" si="67">SUM(E64:E76)</f>
        <v>0</v>
      </c>
      <c r="F63" s="512">
        <f>SUM(F64:F76)</f>
        <v>0</v>
      </c>
      <c r="G63" s="512">
        <f t="shared" si="67"/>
        <v>0</v>
      </c>
      <c r="H63" s="512">
        <f t="shared" si="67"/>
        <v>0</v>
      </c>
      <c r="I63" s="512">
        <f t="shared" si="67"/>
        <v>0</v>
      </c>
      <c r="J63" s="512">
        <f t="shared" si="67"/>
        <v>0</v>
      </c>
      <c r="K63" s="512">
        <f t="shared" si="67"/>
        <v>0</v>
      </c>
      <c r="L63" s="512">
        <f t="shared" si="67"/>
        <v>0</v>
      </c>
      <c r="M63" s="512">
        <f t="shared" si="67"/>
        <v>0</v>
      </c>
      <c r="N63" s="512">
        <f>SUM(N79:N83)</f>
        <v>0</v>
      </c>
      <c r="O63" s="512">
        <f t="shared" ref="O63:P63" si="68">SUM(O79:O83)</f>
        <v>0</v>
      </c>
      <c r="P63" s="539">
        <f t="shared" si="68"/>
        <v>0</v>
      </c>
      <c r="Q63" s="514">
        <f>SUM(Q64:Q76)</f>
        <v>0</v>
      </c>
      <c r="R63" s="515">
        <f>SUM(R64:R76)</f>
        <v>0</v>
      </c>
    </row>
    <row r="64" spans="1:103" ht="15" customHeight="1" x14ac:dyDescent="0.3">
      <c r="A64" s="6299" t="s">
        <v>740</v>
      </c>
      <c r="B64" s="6300"/>
      <c r="C64" s="492">
        <f>SUM(D64:M64)</f>
        <v>0</v>
      </c>
      <c r="D64" s="474"/>
      <c r="E64" s="494"/>
      <c r="F64" s="494"/>
      <c r="G64" s="494"/>
      <c r="H64" s="494"/>
      <c r="I64" s="494"/>
      <c r="J64" s="494"/>
      <c r="K64" s="494"/>
      <c r="L64" s="494"/>
      <c r="M64" s="494"/>
      <c r="N64" s="540"/>
      <c r="O64" s="516"/>
      <c r="P64" s="517"/>
      <c r="Q64" s="497"/>
      <c r="R64" s="475"/>
      <c r="S64" t="str">
        <f t="shared" ref="S64:S83" si="69">CA64&amp;CB64</f>
        <v/>
      </c>
      <c r="CA64" s="135" t="str">
        <f>IF(AND($C64&gt;0,Q64="")," * No olvide digitar la variable "&amp;$Q$61&amp;""&amp;". Digite Cero si no tiene.",IF(Q64&gt;$C64," * La variable  "&amp;$Q$61&amp;""&amp;" No puede ser mayor al Total.",""))</f>
        <v/>
      </c>
      <c r="CB64" s="135" t="str">
        <f>IF(AND($C64&gt;0,R64="")," * No olvide digitar la variable  "&amp;$R$61&amp;""&amp;". Digite Cero si no tiene.",IF(R64&gt;$C64,"  * La variable  "&amp;$R$61&amp;""&amp;" No puede ser mayor al Total.",""))</f>
        <v/>
      </c>
      <c r="CO64" s="1901">
        <f>IF(AND($C64&gt;0,Q64=""),1,IF(Q64&gt;$C64,1,0))</f>
        <v>0</v>
      </c>
      <c r="CP64" s="1901">
        <f t="shared" ref="CP64:CP83" si="70">IF(AND(C64&gt;0,R64=""),1,IF(R64&gt;C64,1,0))</f>
        <v>0</v>
      </c>
    </row>
    <row r="65" spans="1:94" ht="15" customHeight="1" x14ac:dyDescent="0.3">
      <c r="A65" s="6301" t="s">
        <v>741</v>
      </c>
      <c r="B65" s="6302"/>
      <c r="C65" s="519">
        <f>SUM(D65:M65)</f>
        <v>0</v>
      </c>
      <c r="D65" s="380"/>
      <c r="E65" s="372"/>
      <c r="F65" s="372"/>
      <c r="G65" s="372"/>
      <c r="H65" s="372"/>
      <c r="I65" s="372"/>
      <c r="J65" s="372"/>
      <c r="K65" s="372"/>
      <c r="L65" s="372"/>
      <c r="M65" s="372"/>
      <c r="N65" s="541"/>
      <c r="O65" s="520"/>
      <c r="P65" s="521"/>
      <c r="Q65" s="296"/>
      <c r="R65" s="107"/>
      <c r="S65" t="str">
        <f t="shared" si="69"/>
        <v/>
      </c>
      <c r="CA65" s="135" t="str">
        <f t="shared" ref="CA65:CA83" si="71">IF(AND($C65&gt;0,Q65="")," * No olvide digitar la variable "&amp;$Q$61&amp;""&amp;". Digite Cero si no tiene.",IF(Q65&gt;$C65," * La variable  "&amp;$Q$61&amp;""&amp;" No puede ser mayor al Total.",""))</f>
        <v/>
      </c>
      <c r="CB65" s="135" t="str">
        <f t="shared" ref="CB65:CB83" si="72">IF(AND($C65&gt;0,R65="")," * No olvide digitar la variable  "&amp;$R$61&amp;""&amp;". Digite Cero si no tiene.",IF(R65&gt;$C65,"  * La variable  "&amp;$R$61&amp;""&amp;" No puede ser mayor al Total.",""))</f>
        <v/>
      </c>
      <c r="CO65" s="1901">
        <f t="shared" ref="CO65:CO83" si="73">IF(AND(C65&gt;0,Q65=""),1,IF(Q65&gt;C65,1,0))</f>
        <v>0</v>
      </c>
      <c r="CP65" s="1901">
        <f t="shared" si="70"/>
        <v>0</v>
      </c>
    </row>
    <row r="66" spans="1:94" ht="15" customHeight="1" x14ac:dyDescent="0.3">
      <c r="A66" s="6185" t="s">
        <v>742</v>
      </c>
      <c r="B66" s="522" t="s">
        <v>743</v>
      </c>
      <c r="C66" s="492">
        <f t="shared" ref="C66:C78" si="74">SUM(D66:M66)</f>
        <v>0</v>
      </c>
      <c r="D66" s="474"/>
      <c r="E66" s="494"/>
      <c r="F66" s="494"/>
      <c r="G66" s="494"/>
      <c r="H66" s="494"/>
      <c r="I66" s="494"/>
      <c r="J66" s="494"/>
      <c r="K66" s="494"/>
      <c r="L66" s="494"/>
      <c r="M66" s="494"/>
      <c r="N66" s="540"/>
      <c r="O66" s="516"/>
      <c r="P66" s="517"/>
      <c r="Q66" s="497"/>
      <c r="R66" s="475"/>
      <c r="S66" t="str">
        <f t="shared" si="69"/>
        <v/>
      </c>
      <c r="CA66" s="135" t="str">
        <f t="shared" si="71"/>
        <v/>
      </c>
      <c r="CB66" s="135" t="str">
        <f t="shared" si="72"/>
        <v/>
      </c>
      <c r="CO66" s="1901">
        <f t="shared" si="73"/>
        <v>0</v>
      </c>
      <c r="CP66" s="1901">
        <f t="shared" si="70"/>
        <v>0</v>
      </c>
    </row>
    <row r="67" spans="1:94" ht="15" customHeight="1" x14ac:dyDescent="0.3">
      <c r="A67" s="5844"/>
      <c r="B67" s="523" t="s">
        <v>744</v>
      </c>
      <c r="C67" s="358">
        <f t="shared" si="74"/>
        <v>0</v>
      </c>
      <c r="D67" s="346"/>
      <c r="E67" s="369"/>
      <c r="F67" s="369"/>
      <c r="G67" s="369"/>
      <c r="H67" s="369"/>
      <c r="I67" s="369"/>
      <c r="J67" s="369"/>
      <c r="K67" s="369"/>
      <c r="L67" s="369"/>
      <c r="M67" s="369"/>
      <c r="N67" s="542"/>
      <c r="O67" s="524"/>
      <c r="P67" s="525"/>
      <c r="Q67" s="430"/>
      <c r="R67" s="347"/>
      <c r="S67" t="str">
        <f t="shared" si="69"/>
        <v/>
      </c>
      <c r="CA67" s="135" t="str">
        <f t="shared" si="71"/>
        <v/>
      </c>
      <c r="CB67" s="135" t="str">
        <f t="shared" si="72"/>
        <v/>
      </c>
      <c r="CO67" s="1901">
        <f t="shared" si="73"/>
        <v>0</v>
      </c>
      <c r="CP67" s="1901">
        <f t="shared" si="70"/>
        <v>0</v>
      </c>
    </row>
    <row r="68" spans="1:94" ht="15" customHeight="1" x14ac:dyDescent="0.3">
      <c r="A68" s="5844"/>
      <c r="B68" s="523" t="s">
        <v>745</v>
      </c>
      <c r="C68" s="358">
        <f t="shared" si="74"/>
        <v>0</v>
      </c>
      <c r="D68" s="346"/>
      <c r="E68" s="369"/>
      <c r="F68" s="369"/>
      <c r="G68" s="369"/>
      <c r="H68" s="369"/>
      <c r="I68" s="369"/>
      <c r="J68" s="369"/>
      <c r="K68" s="369"/>
      <c r="L68" s="369"/>
      <c r="M68" s="369"/>
      <c r="N68" s="542"/>
      <c r="O68" s="524"/>
      <c r="P68" s="525"/>
      <c r="Q68" s="430"/>
      <c r="R68" s="347"/>
      <c r="S68" t="str">
        <f t="shared" si="69"/>
        <v/>
      </c>
      <c r="CA68" s="135" t="str">
        <f t="shared" si="71"/>
        <v/>
      </c>
      <c r="CB68" s="135" t="str">
        <f t="shared" si="72"/>
        <v/>
      </c>
      <c r="CO68" s="1901">
        <f t="shared" si="73"/>
        <v>0</v>
      </c>
      <c r="CP68" s="1901">
        <f t="shared" si="70"/>
        <v>0</v>
      </c>
    </row>
    <row r="69" spans="1:94" ht="15" customHeight="1" x14ac:dyDescent="0.3">
      <c r="A69" s="5844"/>
      <c r="B69" s="523" t="s">
        <v>746</v>
      </c>
      <c r="C69" s="358">
        <f t="shared" si="74"/>
        <v>0</v>
      </c>
      <c r="D69" s="346"/>
      <c r="E69" s="369"/>
      <c r="F69" s="369"/>
      <c r="G69" s="369"/>
      <c r="H69" s="369"/>
      <c r="I69" s="369"/>
      <c r="J69" s="369"/>
      <c r="K69" s="369"/>
      <c r="L69" s="369"/>
      <c r="M69" s="369"/>
      <c r="N69" s="542"/>
      <c r="O69" s="524"/>
      <c r="P69" s="525"/>
      <c r="Q69" s="430"/>
      <c r="R69" s="347"/>
      <c r="S69" t="str">
        <f t="shared" si="69"/>
        <v/>
      </c>
      <c r="CA69" s="135" t="str">
        <f t="shared" si="71"/>
        <v/>
      </c>
      <c r="CB69" s="135" t="str">
        <f t="shared" si="72"/>
        <v/>
      </c>
      <c r="CO69" s="1901">
        <f t="shared" si="73"/>
        <v>0</v>
      </c>
      <c r="CP69" s="1901">
        <f t="shared" si="70"/>
        <v>0</v>
      </c>
    </row>
    <row r="70" spans="1:94" ht="15" customHeight="1" x14ac:dyDescent="0.3">
      <c r="A70" s="5844"/>
      <c r="B70" s="523" t="s">
        <v>747</v>
      </c>
      <c r="C70" s="358">
        <f t="shared" si="74"/>
        <v>0</v>
      </c>
      <c r="D70" s="346"/>
      <c r="E70" s="369"/>
      <c r="F70" s="369"/>
      <c r="G70" s="369"/>
      <c r="H70" s="369"/>
      <c r="I70" s="369"/>
      <c r="J70" s="369"/>
      <c r="K70" s="369"/>
      <c r="L70" s="369"/>
      <c r="M70" s="369"/>
      <c r="N70" s="542"/>
      <c r="O70" s="524"/>
      <c r="P70" s="525"/>
      <c r="Q70" s="430"/>
      <c r="R70" s="347"/>
      <c r="S70" t="str">
        <f t="shared" si="69"/>
        <v/>
      </c>
      <c r="CA70" s="135" t="str">
        <f t="shared" si="71"/>
        <v/>
      </c>
      <c r="CB70" s="135" t="str">
        <f t="shared" si="72"/>
        <v/>
      </c>
      <c r="CO70" s="1901">
        <f t="shared" si="73"/>
        <v>0</v>
      </c>
      <c r="CP70" s="1901">
        <f t="shared" si="70"/>
        <v>0</v>
      </c>
    </row>
    <row r="71" spans="1:94" ht="15" customHeight="1" x14ac:dyDescent="0.3">
      <c r="A71" s="5844"/>
      <c r="B71" s="110" t="s">
        <v>748</v>
      </c>
      <c r="C71" s="195">
        <f t="shared" si="74"/>
        <v>0</v>
      </c>
      <c r="D71" s="47"/>
      <c r="E71" s="242"/>
      <c r="F71" s="242"/>
      <c r="G71" s="242"/>
      <c r="H71" s="242"/>
      <c r="I71" s="242"/>
      <c r="J71" s="242"/>
      <c r="K71" s="242"/>
      <c r="L71" s="242"/>
      <c r="M71" s="242"/>
      <c r="N71" s="543"/>
      <c r="O71" s="244"/>
      <c r="P71" s="292"/>
      <c r="Q71" s="74"/>
      <c r="R71" s="42"/>
      <c r="S71" t="str">
        <f t="shared" si="69"/>
        <v/>
      </c>
      <c r="CA71" s="135" t="str">
        <f t="shared" si="71"/>
        <v/>
      </c>
      <c r="CB71" s="135" t="str">
        <f t="shared" si="72"/>
        <v/>
      </c>
      <c r="CO71" s="1901">
        <f t="shared" si="73"/>
        <v>0</v>
      </c>
      <c r="CP71" s="1901">
        <f t="shared" si="70"/>
        <v>0</v>
      </c>
    </row>
    <row r="72" spans="1:94" ht="15" customHeight="1" x14ac:dyDescent="0.3">
      <c r="A72" s="5791"/>
      <c r="B72" s="526" t="s">
        <v>749</v>
      </c>
      <c r="C72" s="519">
        <f>SUM(D72:M72)</f>
        <v>0</v>
      </c>
      <c r="D72" s="380"/>
      <c r="E72" s="372"/>
      <c r="F72" s="372"/>
      <c r="G72" s="372"/>
      <c r="H72" s="372"/>
      <c r="I72" s="372"/>
      <c r="J72" s="372"/>
      <c r="K72" s="372"/>
      <c r="L72" s="372"/>
      <c r="M72" s="372"/>
      <c r="N72" s="541"/>
      <c r="O72" s="520"/>
      <c r="P72" s="521"/>
      <c r="Q72" s="379"/>
      <c r="R72" s="388"/>
      <c r="S72" t="str">
        <f t="shared" si="69"/>
        <v/>
      </c>
      <c r="CA72" s="135" t="str">
        <f t="shared" si="71"/>
        <v/>
      </c>
      <c r="CB72" s="135" t="str">
        <f t="shared" si="72"/>
        <v/>
      </c>
      <c r="CO72" s="1901">
        <f t="shared" si="73"/>
        <v>0</v>
      </c>
      <c r="CP72" s="1901">
        <f t="shared" si="70"/>
        <v>0</v>
      </c>
    </row>
    <row r="73" spans="1:94" ht="15" customHeight="1" x14ac:dyDescent="0.3">
      <c r="A73" s="6185" t="s">
        <v>750</v>
      </c>
      <c r="B73" s="522" t="s">
        <v>751</v>
      </c>
      <c r="C73" s="492">
        <f>SUM(D73:P73)</f>
        <v>0</v>
      </c>
      <c r="D73" s="474"/>
      <c r="E73" s="494"/>
      <c r="F73" s="494"/>
      <c r="G73" s="494"/>
      <c r="H73" s="494"/>
      <c r="I73" s="494"/>
      <c r="J73" s="494"/>
      <c r="K73" s="494"/>
      <c r="L73" s="494"/>
      <c r="M73" s="494"/>
      <c r="N73" s="5601"/>
      <c r="O73" s="5601"/>
      <c r="P73" s="5601"/>
      <c r="Q73" s="497"/>
      <c r="R73" s="475"/>
      <c r="S73" t="str">
        <f t="shared" si="69"/>
        <v/>
      </c>
      <c r="CA73" s="135" t="str">
        <f t="shared" si="71"/>
        <v/>
      </c>
      <c r="CB73" s="135" t="str">
        <f t="shared" si="72"/>
        <v/>
      </c>
      <c r="CO73" s="1901">
        <f t="shared" si="73"/>
        <v>0</v>
      </c>
      <c r="CP73" s="1901">
        <f t="shared" si="70"/>
        <v>0</v>
      </c>
    </row>
    <row r="74" spans="1:94" ht="15" customHeight="1" x14ac:dyDescent="0.3">
      <c r="A74" s="5791"/>
      <c r="B74" s="527" t="s">
        <v>58</v>
      </c>
      <c r="C74" s="519">
        <f>SUM(D74:P74)</f>
        <v>0</v>
      </c>
      <c r="D74" s="380"/>
      <c r="E74" s="372"/>
      <c r="F74" s="372"/>
      <c r="G74" s="372"/>
      <c r="H74" s="372"/>
      <c r="I74" s="372"/>
      <c r="J74" s="372"/>
      <c r="K74" s="372"/>
      <c r="L74" s="372"/>
      <c r="M74" s="372"/>
      <c r="N74" s="372"/>
      <c r="O74" s="372"/>
      <c r="P74" s="372"/>
      <c r="Q74" s="379"/>
      <c r="R74" s="388"/>
      <c r="S74" t="str">
        <f t="shared" si="69"/>
        <v/>
      </c>
      <c r="CA74" s="135" t="str">
        <f t="shared" si="71"/>
        <v/>
      </c>
      <c r="CB74" s="135" t="str">
        <f t="shared" si="72"/>
        <v/>
      </c>
      <c r="CO74" s="1901">
        <f t="shared" si="73"/>
        <v>0</v>
      </c>
      <c r="CP74" s="1901">
        <f t="shared" si="70"/>
        <v>0</v>
      </c>
    </row>
    <row r="75" spans="1:94" ht="15" customHeight="1" x14ac:dyDescent="0.3">
      <c r="A75" s="6185" t="s">
        <v>752</v>
      </c>
      <c r="B75" s="522" t="s">
        <v>751</v>
      </c>
      <c r="C75" s="492">
        <f>SUM(D75:M75)</f>
        <v>0</v>
      </c>
      <c r="D75" s="494"/>
      <c r="E75" s="494"/>
      <c r="F75" s="494"/>
      <c r="G75" s="494"/>
      <c r="H75" s="494"/>
      <c r="I75" s="494"/>
      <c r="J75" s="494"/>
      <c r="K75" s="494"/>
      <c r="L75" s="494"/>
      <c r="M75" s="494"/>
      <c r="N75" s="540"/>
      <c r="O75" s="516"/>
      <c r="P75" s="517"/>
      <c r="Q75" s="497"/>
      <c r="R75" s="475"/>
      <c r="S75" t="str">
        <f t="shared" si="69"/>
        <v/>
      </c>
      <c r="CA75" s="135" t="str">
        <f t="shared" si="71"/>
        <v/>
      </c>
      <c r="CB75" s="135" t="str">
        <f t="shared" si="72"/>
        <v/>
      </c>
      <c r="CO75" s="1901">
        <f t="shared" si="73"/>
        <v>0</v>
      </c>
      <c r="CP75" s="1901">
        <f t="shared" si="70"/>
        <v>0</v>
      </c>
    </row>
    <row r="76" spans="1:94" ht="15" customHeight="1" thickBot="1" x14ac:dyDescent="0.35">
      <c r="A76" s="6271"/>
      <c r="B76" s="152" t="s">
        <v>58</v>
      </c>
      <c r="C76" s="153">
        <f t="shared" si="74"/>
        <v>0</v>
      </c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5"/>
      <c r="O76" s="156"/>
      <c r="P76" s="157"/>
      <c r="Q76" s="544"/>
      <c r="R76" s="545"/>
      <c r="S76" t="str">
        <f t="shared" si="69"/>
        <v/>
      </c>
      <c r="CA76" s="135" t="str">
        <f t="shared" si="71"/>
        <v/>
      </c>
      <c r="CB76" s="135" t="str">
        <f t="shared" si="72"/>
        <v/>
      </c>
      <c r="CO76" s="1901">
        <f t="shared" si="73"/>
        <v>0</v>
      </c>
      <c r="CP76" s="1901">
        <f t="shared" si="70"/>
        <v>0</v>
      </c>
    </row>
    <row r="77" spans="1:94" ht="15" customHeight="1" thickTop="1" x14ac:dyDescent="0.3">
      <c r="A77" s="6269" t="s">
        <v>753</v>
      </c>
      <c r="B77" s="6270"/>
      <c r="C77" s="295">
        <f t="shared" si="74"/>
        <v>0</v>
      </c>
      <c r="D77" s="535"/>
      <c r="E77" s="535"/>
      <c r="F77" s="535"/>
      <c r="G77" s="535"/>
      <c r="H77" s="535"/>
      <c r="I77" s="535"/>
      <c r="J77" s="535"/>
      <c r="K77" s="535"/>
      <c r="L77" s="535"/>
      <c r="M77" s="535"/>
      <c r="N77" s="63"/>
      <c r="O77" s="536"/>
      <c r="P77" s="537"/>
      <c r="Q77" s="296"/>
      <c r="R77" s="107"/>
      <c r="S77" t="str">
        <f t="shared" si="69"/>
        <v/>
      </c>
      <c r="CA77" s="135" t="str">
        <f t="shared" si="71"/>
        <v/>
      </c>
      <c r="CB77" s="135" t="str">
        <f t="shared" si="72"/>
        <v/>
      </c>
      <c r="CO77" s="1901">
        <f t="shared" si="73"/>
        <v>0</v>
      </c>
      <c r="CP77" s="1901">
        <f t="shared" si="70"/>
        <v>0</v>
      </c>
    </row>
    <row r="78" spans="1:94" ht="15" customHeight="1" x14ac:dyDescent="0.3">
      <c r="A78" s="6268" t="s">
        <v>754</v>
      </c>
      <c r="B78" s="6057"/>
      <c r="C78" s="529">
        <f t="shared" si="74"/>
        <v>0</v>
      </c>
      <c r="D78" s="262"/>
      <c r="E78" s="262"/>
      <c r="F78" s="262"/>
      <c r="G78" s="262"/>
      <c r="H78" s="262"/>
      <c r="I78" s="262"/>
      <c r="J78" s="262"/>
      <c r="K78" s="262"/>
      <c r="L78" s="262"/>
      <c r="M78" s="262"/>
      <c r="N78" s="546"/>
      <c r="O78" s="293"/>
      <c r="P78" s="294"/>
      <c r="Q78" s="379"/>
      <c r="R78" s="388"/>
      <c r="S78" t="str">
        <f t="shared" si="69"/>
        <v/>
      </c>
      <c r="CA78" s="135" t="str">
        <f t="shared" si="71"/>
        <v/>
      </c>
      <c r="CB78" s="135" t="str">
        <f t="shared" si="72"/>
        <v/>
      </c>
      <c r="CO78" s="1901">
        <f t="shared" si="73"/>
        <v>0</v>
      </c>
      <c r="CP78" s="1901">
        <f t="shared" si="70"/>
        <v>0</v>
      </c>
    </row>
    <row r="79" spans="1:94" ht="15" customHeight="1" x14ac:dyDescent="0.3">
      <c r="A79" s="6185" t="s">
        <v>756</v>
      </c>
      <c r="B79" s="548" t="s">
        <v>751</v>
      </c>
      <c r="C79" s="492">
        <f>SUM(D79:P79)</f>
        <v>0</v>
      </c>
      <c r="D79" s="474"/>
      <c r="E79" s="494"/>
      <c r="F79" s="494"/>
      <c r="G79" s="494"/>
      <c r="H79" s="494"/>
      <c r="I79" s="494"/>
      <c r="J79" s="494"/>
      <c r="K79" s="494"/>
      <c r="L79" s="494"/>
      <c r="M79" s="494"/>
      <c r="N79" s="477"/>
      <c r="O79" s="494"/>
      <c r="P79" s="496"/>
      <c r="Q79" s="497"/>
      <c r="R79" s="475"/>
      <c r="S79" t="str">
        <f t="shared" si="69"/>
        <v/>
      </c>
      <c r="CA79" s="135" t="str">
        <f t="shared" si="71"/>
        <v/>
      </c>
      <c r="CB79" s="135" t="str">
        <f t="shared" si="72"/>
        <v/>
      </c>
      <c r="CO79" s="1901">
        <f t="shared" si="73"/>
        <v>0</v>
      </c>
      <c r="CP79" s="1901">
        <f t="shared" si="70"/>
        <v>0</v>
      </c>
    </row>
    <row r="80" spans="1:94" ht="15" customHeight="1" x14ac:dyDescent="0.3">
      <c r="A80" s="5791"/>
      <c r="B80" s="2974" t="s">
        <v>58</v>
      </c>
      <c r="C80" s="529">
        <f>SUM(D80:P80)</f>
        <v>0</v>
      </c>
      <c r="D80" s="373"/>
      <c r="E80" s="262"/>
      <c r="F80" s="262"/>
      <c r="G80" s="262"/>
      <c r="H80" s="262"/>
      <c r="I80" s="262"/>
      <c r="J80" s="262"/>
      <c r="K80" s="262"/>
      <c r="L80" s="262"/>
      <c r="M80" s="262"/>
      <c r="N80" s="547"/>
      <c r="O80" s="262"/>
      <c r="P80" s="297"/>
      <c r="Q80" s="266"/>
      <c r="R80" s="530"/>
      <c r="S80" t="str">
        <f t="shared" si="69"/>
        <v/>
      </c>
      <c r="CA80" s="135" t="str">
        <f t="shared" si="71"/>
        <v/>
      </c>
      <c r="CB80" s="135" t="str">
        <f t="shared" si="72"/>
        <v/>
      </c>
      <c r="CO80" s="1901">
        <f t="shared" si="73"/>
        <v>0</v>
      </c>
      <c r="CP80" s="1901">
        <f t="shared" si="70"/>
        <v>0</v>
      </c>
    </row>
    <row r="81" spans="1:95" ht="15" customHeight="1" x14ac:dyDescent="0.3">
      <c r="A81" s="6185" t="s">
        <v>757</v>
      </c>
      <c r="B81" s="548" t="s">
        <v>751</v>
      </c>
      <c r="C81" s="492">
        <f>SUM(D81:P81)</f>
        <v>0</v>
      </c>
      <c r="D81" s="494"/>
      <c r="E81" s="494"/>
      <c r="F81" s="494"/>
      <c r="G81" s="494"/>
      <c r="H81" s="494"/>
      <c r="I81" s="494"/>
      <c r="J81" s="494"/>
      <c r="K81" s="494"/>
      <c r="L81" s="494"/>
      <c r="M81" s="494"/>
      <c r="N81" s="477"/>
      <c r="O81" s="494"/>
      <c r="P81" s="496"/>
      <c r="Q81" s="296"/>
      <c r="R81" s="107"/>
      <c r="S81" t="str">
        <f t="shared" si="69"/>
        <v/>
      </c>
      <c r="CA81" s="135" t="str">
        <f t="shared" si="71"/>
        <v/>
      </c>
      <c r="CB81" s="135" t="str">
        <f t="shared" si="72"/>
        <v/>
      </c>
      <c r="CO81" s="1901">
        <f t="shared" si="73"/>
        <v>0</v>
      </c>
      <c r="CP81" s="1901">
        <f t="shared" si="70"/>
        <v>0</v>
      </c>
    </row>
    <row r="82" spans="1:95" ht="15" customHeight="1" x14ac:dyDescent="0.3">
      <c r="A82" s="5791"/>
      <c r="B82" s="549" t="s">
        <v>58</v>
      </c>
      <c r="C82" s="529">
        <f>SUM(D82:P82)</f>
        <v>0</v>
      </c>
      <c r="D82" s="262"/>
      <c r="E82" s="262"/>
      <c r="F82" s="262"/>
      <c r="G82" s="262"/>
      <c r="H82" s="262"/>
      <c r="I82" s="262"/>
      <c r="J82" s="262"/>
      <c r="K82" s="262"/>
      <c r="L82" s="262"/>
      <c r="M82" s="262"/>
      <c r="N82" s="547"/>
      <c r="O82" s="262"/>
      <c r="P82" s="297"/>
      <c r="Q82" s="266"/>
      <c r="R82" s="530"/>
      <c r="S82" t="str">
        <f>CA82&amp;CB82</f>
        <v/>
      </c>
      <c r="CA82" s="135" t="str">
        <f t="shared" si="71"/>
        <v/>
      </c>
      <c r="CB82" s="135" t="str">
        <f t="shared" si="72"/>
        <v/>
      </c>
      <c r="CO82" s="1901">
        <f t="shared" si="73"/>
        <v>0</v>
      </c>
      <c r="CP82" s="1901">
        <f t="shared" si="70"/>
        <v>0</v>
      </c>
    </row>
    <row r="83" spans="1:95" ht="15" customHeight="1" x14ac:dyDescent="0.3">
      <c r="A83" s="6328" t="s">
        <v>758</v>
      </c>
      <c r="B83" s="6329"/>
      <c r="C83" s="529">
        <f>SUM(D83:P83)</f>
        <v>0</v>
      </c>
      <c r="D83" s="373"/>
      <c r="E83" s="262"/>
      <c r="F83" s="262"/>
      <c r="G83" s="262"/>
      <c r="H83" s="262"/>
      <c r="I83" s="262"/>
      <c r="J83" s="262"/>
      <c r="K83" s="262"/>
      <c r="L83" s="262"/>
      <c r="M83" s="262"/>
      <c r="N83" s="547"/>
      <c r="O83" s="262"/>
      <c r="P83" s="297"/>
      <c r="Q83" s="266"/>
      <c r="R83" s="530"/>
      <c r="S83" t="str">
        <f t="shared" si="69"/>
        <v/>
      </c>
      <c r="CA83" s="135" t="str">
        <f t="shared" si="71"/>
        <v/>
      </c>
      <c r="CB83" s="135" t="str">
        <f t="shared" si="72"/>
        <v/>
      </c>
      <c r="CO83" s="1901">
        <f t="shared" si="73"/>
        <v>0</v>
      </c>
      <c r="CP83" s="1901">
        <f t="shared" si="70"/>
        <v>0</v>
      </c>
    </row>
    <row r="84" spans="1:95" ht="18" customHeight="1" x14ac:dyDescent="0.3">
      <c r="A84" s="3" t="s">
        <v>760</v>
      </c>
      <c r="B84" s="4"/>
      <c r="C84" s="92"/>
    </row>
    <row r="85" spans="1:95" ht="33.6" customHeight="1" x14ac:dyDescent="0.3">
      <c r="A85" s="550" t="s">
        <v>285</v>
      </c>
      <c r="B85" s="551" t="s">
        <v>77</v>
      </c>
      <c r="C85" s="2907" t="s">
        <v>60</v>
      </c>
      <c r="D85" s="2975" t="s">
        <v>38</v>
      </c>
    </row>
    <row r="86" spans="1:95" ht="18" customHeight="1" x14ac:dyDescent="0.3">
      <c r="A86" s="538" t="s">
        <v>761</v>
      </c>
      <c r="B86" s="552"/>
      <c r="C86" s="2976"/>
      <c r="D86" s="2977"/>
      <c r="E86" t="str">
        <f>CA86&amp;CB86</f>
        <v/>
      </c>
      <c r="CA86" s="135" t="str">
        <f>IF(AND($B86&gt;0,C86="")," * No olvide digitar la variable "&amp;$C$85&amp;""&amp;". Digite Cero si no tiene.",IF(C86&gt;$B86," * La variable  "&amp;$C$85&amp;""&amp;" No puede ser mayor al Total.",""))</f>
        <v/>
      </c>
      <c r="CB86" s="135" t="str">
        <f>IF(AND($B86&gt;0,D86="")," * No olvide digitar la variable "&amp;$D$85&amp;""&amp;". Digite Cero si no tiene.",IF(D86&gt;$B86," * La variable  "&amp;$D$85&amp;""&amp;" No puede ser mayor al Total.",""))</f>
        <v/>
      </c>
      <c r="CO86" s="1901">
        <f>IF(AND(B86&gt;0,C86=""),1,IF(C86&gt;B86,1,0))</f>
        <v>0</v>
      </c>
      <c r="CP86" s="1901">
        <f>IF(AND(B86&gt;0,D86=""),1,IF(D86&gt;B86,1,0))</f>
        <v>0</v>
      </c>
    </row>
    <row r="87" spans="1:95" ht="18" customHeight="1" x14ac:dyDescent="0.3">
      <c r="A87" s="298" t="s">
        <v>762</v>
      </c>
      <c r="B87" s="4"/>
      <c r="C87" s="8"/>
      <c r="D87" s="8"/>
      <c r="E87" s="553"/>
    </row>
    <row r="88" spans="1:95" x14ac:dyDescent="0.3">
      <c r="A88" s="5944" t="s">
        <v>763</v>
      </c>
      <c r="B88" s="6243"/>
      <c r="C88" s="468" t="s">
        <v>77</v>
      </c>
      <c r="D88" s="554" t="s">
        <v>764</v>
      </c>
      <c r="E88" s="469" t="s">
        <v>765</v>
      </c>
    </row>
    <row r="89" spans="1:95" ht="18" customHeight="1" x14ac:dyDescent="0.3">
      <c r="A89" s="6305" t="s">
        <v>766</v>
      </c>
      <c r="B89" s="6306"/>
      <c r="C89" s="511">
        <f>SUM(D89:E89)</f>
        <v>0</v>
      </c>
      <c r="D89" s="507"/>
      <c r="E89" s="508"/>
      <c r="CA89" s="135" t="str">
        <f>IF(AND($C89&gt;0,D89="")," * No olvide digitar la variable "&amp;$D$88&amp;""&amp;". Digite Cero si no tiene.",IF(D89&gt;$C89," * La variable  "&amp;$D$88&amp;""&amp;" No puede ser mayor al Total.",""))</f>
        <v/>
      </c>
      <c r="CB89" s="135" t="str">
        <f>IF(AND($C89&gt;0,E89="")," * No olvide digitar la variable "&amp;$E$88&amp;""&amp;". Digite Cero si no tiene.",IF(E89&gt;$C89," * La variable  "&amp;$E$88&amp;""&amp;" No puede ser mayor al Total.",""))</f>
        <v/>
      </c>
      <c r="CO89" s="1901">
        <f>IF(AND(C89&gt;0,D89=""),1,IF(D89&gt;C89,1,0))</f>
        <v>0</v>
      </c>
      <c r="CP89" s="1901">
        <f>IF(AND(C89&gt;0,E89=""),1,IF(E89&gt;C89,1,0))</f>
        <v>0</v>
      </c>
    </row>
    <row r="90" spans="1:95" s="6" customFormat="1" ht="18" customHeight="1" x14ac:dyDescent="0.3">
      <c r="A90" s="2978" t="s">
        <v>767</v>
      </c>
      <c r="B90" s="189"/>
      <c r="C90" s="189"/>
      <c r="D90" s="189"/>
      <c r="E90" s="189"/>
      <c r="F90" s="189"/>
      <c r="G90" s="189"/>
      <c r="H90" s="189"/>
      <c r="I90" s="189"/>
      <c r="J90" s="189"/>
      <c r="K90" s="189"/>
      <c r="L90" s="189"/>
      <c r="M90" s="189"/>
      <c r="N90" s="189"/>
      <c r="O90" s="189"/>
      <c r="P90" s="189"/>
      <c r="Q90" s="189"/>
      <c r="R90" s="189"/>
      <c r="S90" s="189"/>
      <c r="T90" s="189"/>
      <c r="U90" s="189"/>
      <c r="V90" s="189"/>
      <c r="W90" s="189"/>
      <c r="X90" s="189"/>
      <c r="Y90" s="189"/>
      <c r="Z90" s="189"/>
      <c r="AA90" s="189"/>
      <c r="AB90" s="189"/>
      <c r="AC90" s="189"/>
      <c r="AD90" s="189"/>
      <c r="AE90" s="189"/>
      <c r="AF90" s="189"/>
      <c r="AG90" s="189"/>
      <c r="AH90" s="189"/>
      <c r="AI90" s="189"/>
      <c r="AJ90" s="189"/>
      <c r="AK90" s="189"/>
      <c r="AL90" s="189"/>
      <c r="AM90" s="189"/>
      <c r="AN90" s="189"/>
      <c r="AO90" s="189"/>
      <c r="AP90" s="189"/>
      <c r="AQ90" s="189"/>
      <c r="AR90" s="189"/>
      <c r="AS90" s="189"/>
      <c r="AT90" s="189"/>
      <c r="AU90" s="189"/>
      <c r="AV90" s="189"/>
      <c r="AW90" s="189"/>
    </row>
    <row r="91" spans="1:95" s="6" customFormat="1" ht="18" customHeight="1" x14ac:dyDescent="0.25">
      <c r="A91" s="5895" t="s">
        <v>768</v>
      </c>
      <c r="B91" s="6330"/>
      <c r="C91" s="5895" t="s">
        <v>221</v>
      </c>
      <c r="D91" s="6397"/>
      <c r="E91" s="6330"/>
      <c r="F91" s="6398" t="s">
        <v>769</v>
      </c>
      <c r="G91" s="6399"/>
      <c r="H91" s="6399"/>
      <c r="I91" s="6399"/>
      <c r="J91" s="6399"/>
      <c r="K91" s="6399"/>
      <c r="L91" s="6399"/>
      <c r="M91" s="6399"/>
      <c r="N91" s="6399"/>
      <c r="O91" s="6399"/>
      <c r="P91" s="6399"/>
      <c r="Q91" s="6399"/>
      <c r="R91" s="6399"/>
      <c r="S91" s="6399"/>
      <c r="T91" s="6399"/>
      <c r="U91" s="6399"/>
      <c r="V91" s="6399"/>
      <c r="W91" s="6399"/>
      <c r="X91" s="6399"/>
      <c r="Y91" s="6399"/>
      <c r="Z91" s="6399"/>
      <c r="AA91" s="6399"/>
      <c r="AB91" s="6399"/>
      <c r="AC91" s="6400"/>
      <c r="AD91" s="6416" t="s">
        <v>770</v>
      </c>
      <c r="AE91" s="6416"/>
      <c r="AF91" s="6416"/>
      <c r="AG91" s="6416"/>
      <c r="AH91" s="6416"/>
      <c r="AI91" s="6416"/>
      <c r="AJ91" s="6416"/>
      <c r="AK91" s="6416"/>
      <c r="AL91" s="6416"/>
      <c r="AM91" s="6416"/>
      <c r="AN91" s="6416"/>
      <c r="AO91" s="6416"/>
      <c r="AP91" s="6416"/>
      <c r="AQ91" s="6416"/>
      <c r="AR91" s="6416"/>
      <c r="AS91" s="6416"/>
      <c r="AT91" s="6433"/>
      <c r="AU91" s="6390" t="s">
        <v>36</v>
      </c>
      <c r="AV91" s="6402" t="s">
        <v>37</v>
      </c>
      <c r="AW91" s="6405" t="s">
        <v>771</v>
      </c>
    </row>
    <row r="92" spans="1:95" s="6" customFormat="1" ht="18" customHeight="1" x14ac:dyDescent="0.25">
      <c r="A92" s="6331"/>
      <c r="B92" s="6123"/>
      <c r="C92" s="6331"/>
      <c r="D92" s="6201"/>
      <c r="E92" s="6123"/>
      <c r="F92" s="6408" t="s">
        <v>772</v>
      </c>
      <c r="G92" s="6409"/>
      <c r="H92" s="6409"/>
      <c r="I92" s="6409"/>
      <c r="J92" s="6409"/>
      <c r="K92" s="6409"/>
      <c r="L92" s="6409"/>
      <c r="M92" s="6409"/>
      <c r="N92" s="6409"/>
      <c r="O92" s="6409"/>
      <c r="P92" s="6409"/>
      <c r="Q92" s="6410"/>
      <c r="R92" s="6411" t="s">
        <v>773</v>
      </c>
      <c r="S92" s="6412"/>
      <c r="T92" s="6412"/>
      <c r="U92" s="6412"/>
      <c r="V92" s="6412"/>
      <c r="W92" s="6413"/>
      <c r="X92" s="6414" t="s">
        <v>636</v>
      </c>
      <c r="Y92" s="6414"/>
      <c r="Z92" s="6414"/>
      <c r="AA92" s="6414"/>
      <c r="AB92" s="6414"/>
      <c r="AC92" s="6415"/>
      <c r="AD92" s="6416" t="s">
        <v>774</v>
      </c>
      <c r="AE92" s="6416"/>
      <c r="AF92" s="6416"/>
      <c r="AG92" s="6416"/>
      <c r="AH92" s="6416"/>
      <c r="AI92" s="6416"/>
      <c r="AJ92" s="6416"/>
      <c r="AK92" s="6416"/>
      <c r="AL92" s="6416"/>
      <c r="AM92" s="6416"/>
      <c r="AN92" s="6416"/>
      <c r="AO92" s="6417"/>
      <c r="AP92" s="6418" t="s">
        <v>637</v>
      </c>
      <c r="AQ92" s="6421" t="s">
        <v>636</v>
      </c>
      <c r="AR92" s="6421" t="s">
        <v>775</v>
      </c>
      <c r="AS92" s="6421" t="s">
        <v>591</v>
      </c>
      <c r="AT92" s="6424" t="s">
        <v>776</v>
      </c>
      <c r="AU92" s="6391"/>
      <c r="AV92" s="6403"/>
      <c r="AW92" s="6406"/>
    </row>
    <row r="93" spans="1:95" s="6" customFormat="1" ht="15" customHeight="1" x14ac:dyDescent="0.25">
      <c r="A93" s="6331"/>
      <c r="B93" s="6123"/>
      <c r="C93" s="6332"/>
      <c r="D93" s="5899"/>
      <c r="E93" s="5900"/>
      <c r="F93" s="6427" t="s">
        <v>222</v>
      </c>
      <c r="G93" s="6286"/>
      <c r="H93" s="6285" t="s">
        <v>223</v>
      </c>
      <c r="I93" s="6286"/>
      <c r="J93" s="6285" t="s">
        <v>88</v>
      </c>
      <c r="K93" s="6286"/>
      <c r="L93" s="6285" t="s">
        <v>224</v>
      </c>
      <c r="M93" s="6286"/>
      <c r="N93" s="6285" t="s">
        <v>225</v>
      </c>
      <c r="O93" s="6286"/>
      <c r="P93" s="6285" t="s">
        <v>226</v>
      </c>
      <c r="Q93" s="6189"/>
      <c r="R93" s="6427" t="s">
        <v>638</v>
      </c>
      <c r="S93" s="6286"/>
      <c r="T93" s="6285" t="s">
        <v>639</v>
      </c>
      <c r="U93" s="6286"/>
      <c r="V93" s="6285" t="s">
        <v>640</v>
      </c>
      <c r="W93" s="6189"/>
      <c r="X93" s="6434" t="s">
        <v>638</v>
      </c>
      <c r="Y93" s="6286"/>
      <c r="Z93" s="6285" t="s">
        <v>639</v>
      </c>
      <c r="AA93" s="6286"/>
      <c r="AB93" s="6285" t="s">
        <v>640</v>
      </c>
      <c r="AC93" s="6401"/>
      <c r="AD93" s="6434" t="s">
        <v>222</v>
      </c>
      <c r="AE93" s="6286"/>
      <c r="AF93" s="6285" t="s">
        <v>223</v>
      </c>
      <c r="AG93" s="6286"/>
      <c r="AH93" s="6285" t="s">
        <v>88</v>
      </c>
      <c r="AI93" s="6286"/>
      <c r="AJ93" s="6285" t="s">
        <v>224</v>
      </c>
      <c r="AK93" s="6286"/>
      <c r="AL93" s="6285" t="s">
        <v>225</v>
      </c>
      <c r="AM93" s="6286"/>
      <c r="AN93" s="6285" t="s">
        <v>226</v>
      </c>
      <c r="AO93" s="6286"/>
      <c r="AP93" s="6419"/>
      <c r="AQ93" s="6422"/>
      <c r="AR93" s="6422"/>
      <c r="AS93" s="6422"/>
      <c r="AT93" s="6425"/>
      <c r="AU93" s="6391"/>
      <c r="AV93" s="6403"/>
      <c r="AW93" s="6406"/>
    </row>
    <row r="94" spans="1:95" s="6" customFormat="1" ht="18" customHeight="1" x14ac:dyDescent="0.25">
      <c r="A94" s="6332"/>
      <c r="B94" s="5900"/>
      <c r="C94" s="2981" t="s">
        <v>79</v>
      </c>
      <c r="D94" s="2982" t="s">
        <v>58</v>
      </c>
      <c r="E94" s="2983" t="s">
        <v>59</v>
      </c>
      <c r="F94" s="2967" t="s">
        <v>58</v>
      </c>
      <c r="G94" s="2984" t="s">
        <v>59</v>
      </c>
      <c r="H94" s="2967" t="s">
        <v>58</v>
      </c>
      <c r="I94" s="2984" t="s">
        <v>59</v>
      </c>
      <c r="J94" s="2967" t="s">
        <v>58</v>
      </c>
      <c r="K94" s="2984" t="s">
        <v>59</v>
      </c>
      <c r="L94" s="2967" t="s">
        <v>58</v>
      </c>
      <c r="M94" s="2984" t="s">
        <v>59</v>
      </c>
      <c r="N94" s="2967" t="s">
        <v>58</v>
      </c>
      <c r="O94" s="2984" t="s">
        <v>59</v>
      </c>
      <c r="P94" s="2967" t="s">
        <v>58</v>
      </c>
      <c r="Q94" s="2985" t="s">
        <v>59</v>
      </c>
      <c r="R94" s="2967" t="s">
        <v>58</v>
      </c>
      <c r="S94" s="2984" t="s">
        <v>59</v>
      </c>
      <c r="T94" s="2967" t="s">
        <v>58</v>
      </c>
      <c r="U94" s="2984" t="s">
        <v>59</v>
      </c>
      <c r="V94" s="2986" t="s">
        <v>58</v>
      </c>
      <c r="W94" s="2983" t="s">
        <v>59</v>
      </c>
      <c r="X94" s="2987" t="s">
        <v>58</v>
      </c>
      <c r="Y94" s="2984" t="s">
        <v>59</v>
      </c>
      <c r="Z94" s="2967" t="s">
        <v>58</v>
      </c>
      <c r="AA94" s="2984" t="s">
        <v>59</v>
      </c>
      <c r="AB94" s="2967" t="s">
        <v>58</v>
      </c>
      <c r="AC94" s="2988" t="s">
        <v>59</v>
      </c>
      <c r="AD94" s="2987" t="s">
        <v>58</v>
      </c>
      <c r="AE94" s="2984" t="s">
        <v>59</v>
      </c>
      <c r="AF94" s="2967" t="s">
        <v>58</v>
      </c>
      <c r="AG94" s="2984" t="s">
        <v>59</v>
      </c>
      <c r="AH94" s="2967" t="s">
        <v>58</v>
      </c>
      <c r="AI94" s="2984" t="s">
        <v>59</v>
      </c>
      <c r="AJ94" s="2967" t="s">
        <v>58</v>
      </c>
      <c r="AK94" s="2984" t="s">
        <v>59</v>
      </c>
      <c r="AL94" s="2967" t="s">
        <v>58</v>
      </c>
      <c r="AM94" s="2984" t="s">
        <v>59</v>
      </c>
      <c r="AN94" s="2967" t="s">
        <v>58</v>
      </c>
      <c r="AO94" s="2984" t="s">
        <v>59</v>
      </c>
      <c r="AP94" s="6420"/>
      <c r="AQ94" s="6423"/>
      <c r="AR94" s="6423"/>
      <c r="AS94" s="6423"/>
      <c r="AT94" s="6426"/>
      <c r="AU94" s="6392"/>
      <c r="AV94" s="6404"/>
      <c r="AW94" s="6407"/>
      <c r="CA94" s="19"/>
      <c r="CB94" s="19"/>
    </row>
    <row r="95" spans="1:95" s="6" customFormat="1" ht="15" customHeight="1" x14ac:dyDescent="0.3">
      <c r="A95" s="6393" t="s">
        <v>229</v>
      </c>
      <c r="B95" s="6394"/>
      <c r="C95" s="2926">
        <f>SUM(D95:E95)</f>
        <v>0</v>
      </c>
      <c r="D95" s="2989">
        <f>+F95+H95+J95+L95+N95+P95+R95+T95+V95+X95+Z95+AB95</f>
        <v>0</v>
      </c>
      <c r="E95" s="2990">
        <f>+G95+I95+K95+M95+O95+Q95+S95+U95+W95+Y95+AA95+AC95</f>
        <v>0</v>
      </c>
      <c r="F95" s="2991"/>
      <c r="G95" s="2992"/>
      <c r="H95" s="2993"/>
      <c r="I95" s="2992"/>
      <c r="J95" s="2993"/>
      <c r="K95" s="2992"/>
      <c r="L95" s="2993"/>
      <c r="M95" s="2992"/>
      <c r="N95" s="2993"/>
      <c r="O95" s="2992"/>
      <c r="P95" s="2993"/>
      <c r="Q95" s="2702"/>
      <c r="R95" s="2991"/>
      <c r="S95" s="2992"/>
      <c r="T95" s="2993"/>
      <c r="U95" s="2992"/>
      <c r="V95" s="2993"/>
      <c r="W95" s="2702"/>
      <c r="X95" s="2994"/>
      <c r="Y95" s="2992"/>
      <c r="Z95" s="2993"/>
      <c r="AA95" s="2995"/>
      <c r="AB95" s="2994"/>
      <c r="AC95" s="2996"/>
      <c r="AD95" s="2994"/>
      <c r="AE95" s="2995"/>
      <c r="AF95" s="2993"/>
      <c r="AG95" s="2992"/>
      <c r="AH95" s="2993"/>
      <c r="AI95" s="2995"/>
      <c r="AJ95" s="2993"/>
      <c r="AK95" s="2992"/>
      <c r="AL95" s="2993"/>
      <c r="AM95" s="2995"/>
      <c r="AN95" s="2994"/>
      <c r="AO95" s="2992"/>
      <c r="AP95" s="2997"/>
      <c r="AQ95" s="2998"/>
      <c r="AR95" s="2999"/>
      <c r="AS95" s="2999"/>
      <c r="AT95" s="2996"/>
      <c r="AU95" s="2705"/>
      <c r="AV95" s="2992"/>
      <c r="AW95" s="3000"/>
      <c r="AX95" t="str">
        <f>CA95&amp;CB95&amp;CC95</f>
        <v/>
      </c>
      <c r="AZ95" t="str">
        <f>CA95&amp;CB95</f>
        <v/>
      </c>
      <c r="CA95" s="135" t="str">
        <f>IF(AND($C95&gt;0,AU95="")," * No olvide digitar la variable Pueblos originarios. Digite Cero si no tiene.",IF(AU95&gt;$C95," * La variable Pueblos originarios No puede ser mayor al Total.",""))</f>
        <v/>
      </c>
      <c r="CB95" s="135" t="str">
        <f>IF(AND($C95&gt;0,AV95=""),"  * No olvide digitar la variable Migrantes. Digite Cero si no tiene.",IF(AV95&gt;$C95,"  * La variable Migrantes No puede ser mayor al Total.",""))</f>
        <v/>
      </c>
      <c r="CC95" s="135" t="str">
        <f>IF(AND($C95&gt;0,AW95="")," * No olvide digitar la variable Niños y niñas Mejor Niñez. Digite Cero si no tiene.",IF(AW95&gt;$C95," * La variable Niños y niñas Mejor Niñez No puede ser mayor al Total.",""))</f>
        <v/>
      </c>
      <c r="CO95" s="54">
        <f>IF(AND($C95&gt;0,AU95=""),1,IF(AU95&gt;$C95,1,0))</f>
        <v>0</v>
      </c>
      <c r="CP95" s="54">
        <f>IF(AND($C95&gt;0,AV95=""),1,IF(AV95&gt;$C95,1,0))</f>
        <v>0</v>
      </c>
      <c r="CQ95" s="54">
        <f>IF(AND($C95&gt;0,AW95=""),1,IF(AW95&gt;$C95,1,0))</f>
        <v>0</v>
      </c>
    </row>
    <row r="96" spans="1:95" s="6" customFormat="1" ht="15" customHeight="1" x14ac:dyDescent="0.3">
      <c r="A96" s="6395" t="s">
        <v>230</v>
      </c>
      <c r="B96" s="6396"/>
      <c r="C96" s="3001">
        <f t="shared" ref="C96:C98" si="75">SUM(D96:E96)</f>
        <v>0</v>
      </c>
      <c r="D96" s="3002">
        <f t="shared" ref="D96:E98" si="76">+F96+H96+J96+L96+N96+P96+R96+T96+V96+X96+Z96+AB96</f>
        <v>0</v>
      </c>
      <c r="E96" s="3003">
        <f t="shared" si="76"/>
        <v>0</v>
      </c>
      <c r="F96" s="2704"/>
      <c r="G96" s="3004"/>
      <c r="H96" s="3005"/>
      <c r="I96" s="3004"/>
      <c r="J96" s="3005"/>
      <c r="K96" s="3004"/>
      <c r="L96" s="3005"/>
      <c r="M96" s="3004"/>
      <c r="N96" s="3005"/>
      <c r="O96" s="3004"/>
      <c r="P96" s="3005"/>
      <c r="Q96" s="3006"/>
      <c r="R96" s="2704"/>
      <c r="S96" s="3004"/>
      <c r="T96" s="3005"/>
      <c r="U96" s="3004"/>
      <c r="V96" s="3005"/>
      <c r="W96" s="3006"/>
      <c r="X96" s="2705"/>
      <c r="Y96" s="3004"/>
      <c r="Z96" s="3005"/>
      <c r="AA96" s="2992"/>
      <c r="AB96" s="2705"/>
      <c r="AC96" s="2996"/>
      <c r="AD96" s="2705"/>
      <c r="AE96" s="2992"/>
      <c r="AF96" s="3005"/>
      <c r="AG96" s="2992"/>
      <c r="AH96" s="3005"/>
      <c r="AI96" s="2992"/>
      <c r="AJ96" s="3005"/>
      <c r="AK96" s="2992"/>
      <c r="AL96" s="3005"/>
      <c r="AM96" s="2992"/>
      <c r="AN96" s="2705"/>
      <c r="AO96" s="2992"/>
      <c r="AP96" s="3007"/>
      <c r="AQ96" s="2999"/>
      <c r="AR96" s="2999"/>
      <c r="AS96" s="2999"/>
      <c r="AT96" s="2996"/>
      <c r="AU96" s="2705"/>
      <c r="AV96" s="2992"/>
      <c r="AW96" s="3000"/>
      <c r="AX96" t="str">
        <f t="shared" ref="AX96:AX97" si="77">CA96&amp;CB96&amp;CC96</f>
        <v/>
      </c>
      <c r="AZ96" t="str">
        <f>CA96&amp;CB96</f>
        <v/>
      </c>
      <c r="CA96" s="135" t="str">
        <f>IF(AND($C96&gt;0,AU96="")," * No olvide digitar la variable Pueblos originarios. Digite Cero si no tiene.",IF(AU96&gt;$C96," * La variable Pueblos originarios No puede ser mayor al Total.",""))</f>
        <v/>
      </c>
      <c r="CB96" s="135" t="str">
        <f t="shared" ref="CB96:CB98" si="78">IF(AND($C96&gt;0,AV96=""),"  * No olvide digitar la variable Migrantes. Digite Cero si no tiene.",IF(AV96&gt;$C96,"  * La variable Migrantes No puede ser mayor al Total.",""))</f>
        <v/>
      </c>
      <c r="CC96" s="135" t="str">
        <f t="shared" ref="CC96:CC97" si="79">IF(AND($C96&gt;0,AW96="")," * No olvide digitar la variable Niños y niñas Mejor Niñez. Digite Cero si no tiene.",IF(AW96&gt;$C96," * La variable Niños y niñas Mejor Niñez No puede ser mayor al Total.",""))</f>
        <v/>
      </c>
      <c r="CO96" s="54">
        <f t="shared" ref="CO96:CO98" si="80">IF(AND($C96&gt;0,AU96=""),1,IF(AU96&gt;$C96,1,0))</f>
        <v>0</v>
      </c>
      <c r="CP96" s="54">
        <f t="shared" ref="CP96:CP98" si="81">IF(AND($C96&gt;0,AV96=""),1,IF(AV96&gt;$C96,1,0))</f>
        <v>0</v>
      </c>
      <c r="CQ96" s="54">
        <f t="shared" ref="CQ96:CQ98" si="82">IF(AND($C96&gt;0,AW96=""),1,IF(AW96&gt;$C96,1,0))</f>
        <v>0</v>
      </c>
    </row>
    <row r="97" spans="1:101" s="6" customFormat="1" ht="15" customHeight="1" x14ac:dyDescent="0.3">
      <c r="A97" s="6395" t="s">
        <v>231</v>
      </c>
      <c r="B97" s="6396"/>
      <c r="C97" s="3008">
        <f t="shared" si="75"/>
        <v>0</v>
      </c>
      <c r="D97" s="3002">
        <f t="shared" si="76"/>
        <v>0</v>
      </c>
      <c r="E97" s="3003">
        <f t="shared" si="76"/>
        <v>0</v>
      </c>
      <c r="F97" s="2704"/>
      <c r="G97" s="2992"/>
      <c r="H97" s="3005"/>
      <c r="I97" s="2992"/>
      <c r="J97" s="3005"/>
      <c r="K97" s="2992"/>
      <c r="L97" s="3005"/>
      <c r="M97" s="2992"/>
      <c r="N97" s="3005"/>
      <c r="O97" s="2992"/>
      <c r="P97" s="3005"/>
      <c r="Q97" s="2702"/>
      <c r="R97" s="2704"/>
      <c r="S97" s="2992"/>
      <c r="T97" s="3005"/>
      <c r="U97" s="2992"/>
      <c r="V97" s="3005"/>
      <c r="W97" s="2702"/>
      <c r="X97" s="2705"/>
      <c r="Y97" s="2992"/>
      <c r="Z97" s="3005"/>
      <c r="AA97" s="2992"/>
      <c r="AB97" s="2705"/>
      <c r="AC97" s="2996"/>
      <c r="AD97" s="2705"/>
      <c r="AE97" s="2992"/>
      <c r="AF97" s="3005"/>
      <c r="AG97" s="2992"/>
      <c r="AH97" s="3005"/>
      <c r="AI97" s="2992"/>
      <c r="AJ97" s="3005"/>
      <c r="AK97" s="2992"/>
      <c r="AL97" s="3005"/>
      <c r="AM97" s="2992"/>
      <c r="AN97" s="2705"/>
      <c r="AO97" s="2992"/>
      <c r="AP97" s="3007"/>
      <c r="AQ97" s="2999"/>
      <c r="AR97" s="2999"/>
      <c r="AS97" s="2999"/>
      <c r="AT97" s="2996"/>
      <c r="AU97" s="2705"/>
      <c r="AV97" s="2992"/>
      <c r="AW97" s="3000"/>
      <c r="AX97" t="str">
        <f t="shared" si="77"/>
        <v/>
      </c>
      <c r="AZ97" t="str">
        <f>CA97&amp;CB97</f>
        <v/>
      </c>
      <c r="CA97" s="135" t="str">
        <f t="shared" ref="CA97:CA98" si="83">IF(AND($C97&gt;0,AU97="")," * No olvide digitar la variable Pueblos originarios. Digite Cero si no tiene.",IF(AU97&gt;$C97," * La variable Pueblos originarios No puede ser mayor al Total.",""))</f>
        <v/>
      </c>
      <c r="CB97" s="135" t="str">
        <f t="shared" si="78"/>
        <v/>
      </c>
      <c r="CC97" s="135" t="str">
        <f t="shared" si="79"/>
        <v/>
      </c>
      <c r="CO97" s="54">
        <f t="shared" si="80"/>
        <v>0</v>
      </c>
      <c r="CP97" s="54">
        <f t="shared" si="81"/>
        <v>0</v>
      </c>
      <c r="CQ97" s="54">
        <f t="shared" si="82"/>
        <v>0</v>
      </c>
    </row>
    <row r="98" spans="1:101" s="6" customFormat="1" ht="15" customHeight="1" x14ac:dyDescent="0.3">
      <c r="A98" s="6431" t="s">
        <v>249</v>
      </c>
      <c r="B98" s="6432"/>
      <c r="C98" s="2709">
        <f t="shared" si="75"/>
        <v>0</v>
      </c>
      <c r="D98" s="2710">
        <f t="shared" si="76"/>
        <v>0</v>
      </c>
      <c r="E98" s="3009">
        <f t="shared" si="76"/>
        <v>0</v>
      </c>
      <c r="F98" s="3010"/>
      <c r="G98" s="3011"/>
      <c r="H98" s="3012"/>
      <c r="I98" s="3011"/>
      <c r="J98" s="3012"/>
      <c r="K98" s="3011"/>
      <c r="L98" s="3012"/>
      <c r="M98" s="3011"/>
      <c r="N98" s="3012"/>
      <c r="O98" s="3011"/>
      <c r="P98" s="3012"/>
      <c r="Q98" s="3013"/>
      <c r="R98" s="3010"/>
      <c r="S98" s="3011"/>
      <c r="T98" s="3012"/>
      <c r="U98" s="3011"/>
      <c r="V98" s="3012"/>
      <c r="W98" s="3013"/>
      <c r="X98" s="2715"/>
      <c r="Y98" s="3014"/>
      <c r="Z98" s="3015"/>
      <c r="AA98" s="3014"/>
      <c r="AB98" s="2715"/>
      <c r="AC98" s="3016"/>
      <c r="AD98" s="3017"/>
      <c r="AE98" s="3011"/>
      <c r="AF98" s="3012"/>
      <c r="AG98" s="3011"/>
      <c r="AH98" s="3012"/>
      <c r="AI98" s="3011"/>
      <c r="AJ98" s="3012"/>
      <c r="AK98" s="3011"/>
      <c r="AL98" s="3012"/>
      <c r="AM98" s="3011"/>
      <c r="AN98" s="3017"/>
      <c r="AO98" s="3011"/>
      <c r="AP98" s="3018"/>
      <c r="AQ98" s="3019"/>
      <c r="AR98" s="3019"/>
      <c r="AS98" s="3019"/>
      <c r="AT98" s="3020"/>
      <c r="AU98" s="3017"/>
      <c r="AV98" s="3011"/>
      <c r="AW98" s="3021"/>
      <c r="AX98" t="str">
        <f>CA98&amp;CB98&amp;CC98</f>
        <v/>
      </c>
      <c r="AZ98"/>
      <c r="CA98" s="135" t="str">
        <f t="shared" si="83"/>
        <v/>
      </c>
      <c r="CB98" s="135" t="str">
        <f t="shared" si="78"/>
        <v/>
      </c>
      <c r="CC98" s="135" t="str">
        <f>IF(AND($C98&gt;0,AW98="")," * No olvide digitar la variable Niños y niñas Mejor Niñez. Digite Cero si no tiene.",IF(AW98&gt;$C98," * La variable Niños y niñas Mejor Niñez No puede ser mayor al Total.",""))</f>
        <v/>
      </c>
      <c r="CO98" s="54">
        <f t="shared" si="80"/>
        <v>0</v>
      </c>
      <c r="CP98" s="54">
        <f t="shared" si="81"/>
        <v>0</v>
      </c>
      <c r="CQ98" s="54">
        <f t="shared" si="82"/>
        <v>0</v>
      </c>
    </row>
    <row r="99" spans="1:101" s="6" customFormat="1" ht="18" customHeight="1" x14ac:dyDescent="0.25">
      <c r="A99" s="298" t="s">
        <v>777</v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101" s="6" customFormat="1" ht="18" customHeight="1" x14ac:dyDescent="0.25">
      <c r="A100" s="5944" t="s">
        <v>768</v>
      </c>
      <c r="B100" s="6243"/>
      <c r="C100" s="5944" t="s">
        <v>221</v>
      </c>
      <c r="D100" s="6242"/>
      <c r="E100" s="6243"/>
      <c r="F100" s="6428" t="s">
        <v>778</v>
      </c>
      <c r="G100" s="6429"/>
      <c r="H100" s="6429"/>
      <c r="I100" s="6429"/>
      <c r="J100" s="6429"/>
      <c r="K100" s="6429"/>
      <c r="L100" s="6429"/>
      <c r="M100" s="6429"/>
      <c r="N100" s="6429"/>
      <c r="O100" s="6429"/>
      <c r="P100" s="6429"/>
      <c r="Q100" s="6430"/>
      <c r="R100" s="6208" t="s">
        <v>779</v>
      </c>
      <c r="S100" s="6208"/>
      <c r="T100" s="6208"/>
      <c r="U100" s="6208"/>
      <c r="V100" s="6208"/>
      <c r="W100" s="6209"/>
      <c r="X100" s="6209" t="s">
        <v>780</v>
      </c>
      <c r="Y100" s="6211"/>
      <c r="Z100" s="6211"/>
      <c r="AA100" s="6211"/>
      <c r="AB100" s="6211"/>
      <c r="AC100" s="6212"/>
      <c r="AD100" s="6312" t="s">
        <v>781</v>
      </c>
      <c r="AE100" s="6312"/>
      <c r="AF100" s="6312"/>
      <c r="AG100" s="6312"/>
      <c r="AH100" s="6312"/>
      <c r="AI100" s="6313"/>
      <c r="AJ100" s="6242" t="s">
        <v>36</v>
      </c>
      <c r="AK100" s="6317" t="s">
        <v>37</v>
      </c>
      <c r="AL100" s="6265" t="s">
        <v>771</v>
      </c>
    </row>
    <row r="101" spans="1:101" s="6" customFormat="1" ht="21.9" customHeight="1" x14ac:dyDescent="0.25">
      <c r="A101" s="5776"/>
      <c r="B101" s="5759"/>
      <c r="C101" s="5796"/>
      <c r="D101" s="5882"/>
      <c r="E101" s="5760"/>
      <c r="F101" s="6427" t="s">
        <v>222</v>
      </c>
      <c r="G101" s="6286"/>
      <c r="H101" s="6285" t="s">
        <v>223</v>
      </c>
      <c r="I101" s="6286"/>
      <c r="J101" s="6285" t="s">
        <v>88</v>
      </c>
      <c r="K101" s="6286"/>
      <c r="L101" s="6285" t="s">
        <v>224</v>
      </c>
      <c r="M101" s="6286"/>
      <c r="N101" s="6285" t="s">
        <v>225</v>
      </c>
      <c r="O101" s="6286"/>
      <c r="P101" s="6285" t="s">
        <v>226</v>
      </c>
      <c r="Q101" s="6189"/>
      <c r="R101" s="6137" t="s">
        <v>638</v>
      </c>
      <c r="S101" s="6183"/>
      <c r="T101" s="6137" t="s">
        <v>639</v>
      </c>
      <c r="U101" s="6183"/>
      <c r="V101" s="6137" t="s">
        <v>782</v>
      </c>
      <c r="W101" s="6183"/>
      <c r="X101" s="6188" t="s">
        <v>638</v>
      </c>
      <c r="Y101" s="6183"/>
      <c r="Z101" s="6137" t="s">
        <v>639</v>
      </c>
      <c r="AA101" s="6183"/>
      <c r="AB101" s="6151" t="s">
        <v>782</v>
      </c>
      <c r="AC101" s="6152"/>
      <c r="AD101" s="6188" t="s">
        <v>783</v>
      </c>
      <c r="AE101" s="6188"/>
      <c r="AF101" s="6188"/>
      <c r="AG101" s="6183"/>
      <c r="AH101" s="6137" t="s">
        <v>784</v>
      </c>
      <c r="AI101" s="6183"/>
      <c r="AJ101" s="5777"/>
      <c r="AK101" s="6318"/>
      <c r="AL101" s="5798"/>
    </row>
    <row r="102" spans="1:101" s="6" customFormat="1" ht="35.25" customHeight="1" x14ac:dyDescent="0.25">
      <c r="A102" s="5796"/>
      <c r="B102" s="5760"/>
      <c r="C102" s="468" t="s">
        <v>79</v>
      </c>
      <c r="D102" s="555" t="s">
        <v>58</v>
      </c>
      <c r="E102" s="556" t="s">
        <v>59</v>
      </c>
      <c r="F102" s="464" t="s">
        <v>58</v>
      </c>
      <c r="G102" s="465" t="s">
        <v>59</v>
      </c>
      <c r="H102" s="464" t="s">
        <v>58</v>
      </c>
      <c r="I102" s="465" t="s">
        <v>59</v>
      </c>
      <c r="J102" s="464" t="s">
        <v>58</v>
      </c>
      <c r="K102" s="465" t="s">
        <v>59</v>
      </c>
      <c r="L102" s="464" t="s">
        <v>58</v>
      </c>
      <c r="M102" s="465" t="s">
        <v>59</v>
      </c>
      <c r="N102" s="464" t="s">
        <v>58</v>
      </c>
      <c r="O102" s="465" t="s">
        <v>59</v>
      </c>
      <c r="P102" s="464" t="s">
        <v>58</v>
      </c>
      <c r="Q102" s="465" t="s">
        <v>59</v>
      </c>
      <c r="R102" s="464" t="s">
        <v>58</v>
      </c>
      <c r="S102" s="465" t="s">
        <v>59</v>
      </c>
      <c r="T102" s="464" t="s">
        <v>58</v>
      </c>
      <c r="U102" s="465" t="s">
        <v>59</v>
      </c>
      <c r="V102" s="464" t="s">
        <v>58</v>
      </c>
      <c r="W102" s="465" t="s">
        <v>59</v>
      </c>
      <c r="X102" s="504" t="s">
        <v>58</v>
      </c>
      <c r="Y102" s="465" t="s">
        <v>59</v>
      </c>
      <c r="Z102" s="464" t="s">
        <v>58</v>
      </c>
      <c r="AA102" s="465" t="s">
        <v>59</v>
      </c>
      <c r="AB102" s="468" t="s">
        <v>58</v>
      </c>
      <c r="AC102" s="466" t="s">
        <v>59</v>
      </c>
      <c r="AD102" s="5585" t="s">
        <v>785</v>
      </c>
      <c r="AE102" s="1757" t="s">
        <v>775</v>
      </c>
      <c r="AF102" s="5584" t="s">
        <v>591</v>
      </c>
      <c r="AG102" s="487" t="s">
        <v>776</v>
      </c>
      <c r="AH102" s="468" t="s">
        <v>786</v>
      </c>
      <c r="AI102" s="465" t="s">
        <v>787</v>
      </c>
      <c r="AJ102" s="5882"/>
      <c r="AK102" s="6319"/>
      <c r="AL102" s="5799"/>
    </row>
    <row r="103" spans="1:101" s="6" customFormat="1" ht="15" customHeight="1" x14ac:dyDescent="0.3">
      <c r="A103" s="6297" t="s">
        <v>229</v>
      </c>
      <c r="B103" s="6298"/>
      <c r="C103" s="471">
        <f>SUM(D103:E103)</f>
        <v>0</v>
      </c>
      <c r="D103" s="472">
        <f>SUM(F103+H103+J103+L103+N103+P103+R103+T103+V103+X103+Z103+AB103)</f>
        <v>0</v>
      </c>
      <c r="E103" s="558">
        <f>SUM(G103+I103+K103+M103+O103+Q103+S103+U103+W103+Y103+AA103+AC103)</f>
        <v>0</v>
      </c>
      <c r="F103" s="474"/>
      <c r="G103" s="475"/>
      <c r="H103" s="474"/>
      <c r="I103" s="475"/>
      <c r="J103" s="474"/>
      <c r="K103" s="475"/>
      <c r="L103" s="474"/>
      <c r="M103" s="475"/>
      <c r="N103" s="474"/>
      <c r="O103" s="475"/>
      <c r="P103" s="474"/>
      <c r="Q103" s="475"/>
      <c r="R103" s="474"/>
      <c r="S103" s="475"/>
      <c r="T103" s="474"/>
      <c r="U103" s="475"/>
      <c r="V103" s="474"/>
      <c r="W103" s="475"/>
      <c r="X103" s="477"/>
      <c r="Y103" s="475"/>
      <c r="Z103" s="474"/>
      <c r="AA103" s="475"/>
      <c r="AB103" s="474"/>
      <c r="AC103" s="476"/>
      <c r="AD103" s="4870"/>
      <c r="AE103" s="5586"/>
      <c r="AF103" s="5586"/>
      <c r="AG103" s="559"/>
      <c r="AH103" s="474"/>
      <c r="AI103" s="475"/>
      <c r="AJ103" s="474"/>
      <c r="AK103" s="494"/>
      <c r="AL103" s="475"/>
      <c r="AM103" t="str">
        <f>CG103&amp;CH103</f>
        <v/>
      </c>
      <c r="CG103" s="135" t="str">
        <f>IF(AND($C103&gt;0,AJ103="")," * No olvide digitar la variable Pueblos Originarios. Digite Cero si no tiene.",IF(AJ103&gt;$C103,"  * La variable Pueblos Originarios No puede ser mayor al Total.",""))</f>
        <v/>
      </c>
      <c r="CH103" s="135" t="str">
        <f>IF(AND($C103&gt;0,AK103="")," * No olvide digitar la variable Migrantes. Digite Cero si no tiene.",IF(AK103&gt;$C103,"  * La variable Migrantes No puede ser mayor al Total.",""))</f>
        <v/>
      </c>
      <c r="CI103" s="135" t="str">
        <f>IF(AND($C103&gt;0,AL103="")," * No olvide digitar la variable Niños y niñas Mejor Niñez. Digite Cero si no tiene.",IF(AL103&gt;$C103,"  * La variable Niños y niñas Mejor Niñez No puede ser mayor al Total.",""))</f>
        <v/>
      </c>
      <c r="CU103" s="54">
        <f>IF(AND($C103&gt;0,AJ103=""),1,IF(AJ103&gt;$C103,1,0))</f>
        <v>0</v>
      </c>
      <c r="CV103" s="54">
        <f>IF(AND($C103&gt;0,AK103=""),1,IF(AK103&gt;$C103,1,0))</f>
        <v>0</v>
      </c>
      <c r="CW103" s="54">
        <f>IF(AND($C103&gt;0,AL103=""),1,IF(AL103&gt;$C103,1,0))</f>
        <v>0</v>
      </c>
    </row>
    <row r="104" spans="1:101" s="6" customFormat="1" ht="15" customHeight="1" x14ac:dyDescent="0.3">
      <c r="A104" s="5969" t="s">
        <v>230</v>
      </c>
      <c r="B104" s="5970"/>
      <c r="C104" s="478">
        <f>SUM(D104:E104)</f>
        <v>0</v>
      </c>
      <c r="D104" s="479">
        <f t="shared" ref="D104:E106" si="84">SUM(F104+H104+J104+L104+N104+P104+R104+T104+V104+X104+Z104+AB104)</f>
        <v>0</v>
      </c>
      <c r="E104" s="560">
        <f t="shared" si="84"/>
        <v>0</v>
      </c>
      <c r="F104" s="346"/>
      <c r="G104" s="347"/>
      <c r="H104" s="346"/>
      <c r="I104" s="347"/>
      <c r="J104" s="346"/>
      <c r="K104" s="347"/>
      <c r="L104" s="346"/>
      <c r="M104" s="347"/>
      <c r="N104" s="346"/>
      <c r="O104" s="347"/>
      <c r="P104" s="346"/>
      <c r="Q104" s="347"/>
      <c r="R104" s="346"/>
      <c r="S104" s="347"/>
      <c r="T104" s="346"/>
      <c r="U104" s="347"/>
      <c r="V104" s="346"/>
      <c r="W104" s="347"/>
      <c r="X104" s="348"/>
      <c r="Y104" s="347"/>
      <c r="Z104" s="346"/>
      <c r="AA104" s="347"/>
      <c r="AB104" s="346"/>
      <c r="AC104" s="481"/>
      <c r="AD104" s="5587"/>
      <c r="AE104" s="5588"/>
      <c r="AF104" s="5588"/>
      <c r="AG104" s="561"/>
      <c r="AH104" s="346"/>
      <c r="AI104" s="347"/>
      <c r="AJ104" s="346"/>
      <c r="AK104" s="369"/>
      <c r="AL104" s="347"/>
      <c r="AM104" t="str">
        <f>CG104&amp;CH104</f>
        <v/>
      </c>
      <c r="CG104" s="135" t="str">
        <f t="shared" ref="CG104:CG106" si="85">IF(AND($C104&gt;0,AJ104="")," * No olvide digitar la variable Pueblos Originarios. Digite Cero si no tiene.",IF(AJ104&gt;$C104,"  * La variable Pueblos Originarios No puede ser mayor al Total.",""))</f>
        <v/>
      </c>
      <c r="CH104" s="135" t="str">
        <f t="shared" ref="CH104:CH106" si="86">IF(AND($C104&gt;0,AK104="")," * No olvide digitar la variable Migrantes. Digite Cero si no tiene.",IF(AK104&gt;$C104,"  * La variable Migrantes No puede ser mayor al Total.",""))</f>
        <v/>
      </c>
      <c r="CI104" s="135" t="str">
        <f t="shared" ref="CI104:CI106" si="87">IF(AND($C104&gt;0,AL104="")," * No olvide digitar la variable Niños y niñas Mejor Niñez. Digite Cero si no tiene.",IF(AL104&gt;$C104,"  * La variable Niños y niñas Mejor Niñez No puede ser mayor al Total.",""))</f>
        <v/>
      </c>
      <c r="CU104" s="54">
        <f t="shared" ref="CU104:CU106" si="88">IF(AND($C104&gt;0,AJ104=""),1,IF(AJ104&gt;$C104,1,0))</f>
        <v>0</v>
      </c>
      <c r="CV104" s="54">
        <f t="shared" ref="CV104:CV105" si="89">IF(AND($C104&gt;0,AK104=""),1,IF(AK104&gt;$C104,1,0))</f>
        <v>0</v>
      </c>
      <c r="CW104" s="54">
        <f t="shared" ref="CW104:CW106" si="90">IF(AND($C104&gt;0,AL104=""),1,IF(AL104&gt;$C104,1,0))</f>
        <v>0</v>
      </c>
    </row>
    <row r="105" spans="1:101" s="6" customFormat="1" ht="15" customHeight="1" x14ac:dyDescent="0.3">
      <c r="A105" s="5969" t="s">
        <v>231</v>
      </c>
      <c r="B105" s="5970"/>
      <c r="C105" s="478">
        <f>SUM(D105:E105)</f>
        <v>0</v>
      </c>
      <c r="D105" s="479">
        <f t="shared" si="84"/>
        <v>0</v>
      </c>
      <c r="E105" s="560">
        <f t="shared" si="84"/>
        <v>0</v>
      </c>
      <c r="F105" s="346"/>
      <c r="G105" s="347"/>
      <c r="H105" s="346"/>
      <c r="I105" s="347"/>
      <c r="J105" s="346"/>
      <c r="K105" s="347"/>
      <c r="L105" s="346"/>
      <c r="M105" s="347"/>
      <c r="N105" s="346"/>
      <c r="O105" s="347"/>
      <c r="P105" s="346"/>
      <c r="Q105" s="347"/>
      <c r="R105" s="346"/>
      <c r="S105" s="347"/>
      <c r="T105" s="346"/>
      <c r="U105" s="347"/>
      <c r="V105" s="346"/>
      <c r="W105" s="347"/>
      <c r="X105" s="348"/>
      <c r="Y105" s="347"/>
      <c r="Z105" s="346"/>
      <c r="AA105" s="347"/>
      <c r="AB105" s="346"/>
      <c r="AC105" s="481"/>
      <c r="AD105" s="5587"/>
      <c r="AE105" s="5588"/>
      <c r="AF105" s="5588"/>
      <c r="AG105" s="561"/>
      <c r="AH105" s="346"/>
      <c r="AI105" s="347"/>
      <c r="AJ105" s="346"/>
      <c r="AK105" s="369"/>
      <c r="AL105" s="347"/>
      <c r="AM105" t="str">
        <f>CG105&amp;CH105</f>
        <v/>
      </c>
      <c r="CG105" s="135" t="str">
        <f t="shared" si="85"/>
        <v/>
      </c>
      <c r="CH105" s="135" t="str">
        <f t="shared" si="86"/>
        <v/>
      </c>
      <c r="CI105" s="135" t="str">
        <f t="shared" si="87"/>
        <v/>
      </c>
      <c r="CU105" s="54">
        <f t="shared" si="88"/>
        <v>0</v>
      </c>
      <c r="CV105" s="54">
        <f t="shared" si="89"/>
        <v>0</v>
      </c>
      <c r="CW105" s="54">
        <f t="shared" si="90"/>
        <v>0</v>
      </c>
    </row>
    <row r="106" spans="1:101" s="6" customFormat="1" ht="15" customHeight="1" x14ac:dyDescent="0.3">
      <c r="A106" s="6295" t="s">
        <v>249</v>
      </c>
      <c r="B106" s="6296"/>
      <c r="C106" s="562">
        <f>SUM(D106:E106)</f>
        <v>0</v>
      </c>
      <c r="D106" s="484">
        <f t="shared" si="84"/>
        <v>0</v>
      </c>
      <c r="E106" s="563">
        <f t="shared" si="84"/>
        <v>0</v>
      </c>
      <c r="F106" s="380"/>
      <c r="G106" s="388"/>
      <c r="H106" s="380"/>
      <c r="I106" s="388"/>
      <c r="J106" s="380"/>
      <c r="K106" s="388"/>
      <c r="L106" s="380"/>
      <c r="M106" s="388"/>
      <c r="N106" s="380"/>
      <c r="O106" s="388"/>
      <c r="P106" s="380"/>
      <c r="Q106" s="388"/>
      <c r="R106" s="380"/>
      <c r="S106" s="388"/>
      <c r="T106" s="380"/>
      <c r="U106" s="388"/>
      <c r="V106" s="380"/>
      <c r="W106" s="388"/>
      <c r="X106" s="429"/>
      <c r="Y106" s="388"/>
      <c r="Z106" s="380"/>
      <c r="AA106" s="388"/>
      <c r="AB106" s="380"/>
      <c r="AC106" s="392"/>
      <c r="AD106" s="1280"/>
      <c r="AE106" s="5589"/>
      <c r="AF106" s="5589"/>
      <c r="AG106" s="564"/>
      <c r="AH106" s="565"/>
      <c r="AI106" s="566"/>
      <c r="AJ106" s="380"/>
      <c r="AK106" s="372"/>
      <c r="AL106" s="388"/>
      <c r="AM106" t="str">
        <f>CG106&amp;CH106</f>
        <v/>
      </c>
      <c r="CG106" s="135" t="str">
        <f t="shared" si="85"/>
        <v/>
      </c>
      <c r="CH106" s="135" t="str">
        <f t="shared" si="86"/>
        <v/>
      </c>
      <c r="CI106" s="135" t="str">
        <f t="shared" si="87"/>
        <v/>
      </c>
      <c r="CU106" s="54">
        <f t="shared" si="88"/>
        <v>0</v>
      </c>
      <c r="CV106" s="54">
        <f>IF(AND($C106&gt;0,AK106=""),1,IF(AK106&gt;$C106,1,0))</f>
        <v>0</v>
      </c>
      <c r="CW106" s="54">
        <f t="shared" si="90"/>
        <v>0</v>
      </c>
    </row>
    <row r="107" spans="1:101" s="6" customFormat="1" ht="18" customHeight="1" x14ac:dyDescent="0.25">
      <c r="A107" s="298" t="s">
        <v>788</v>
      </c>
      <c r="B107" s="93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01" x14ac:dyDescent="0.3">
      <c r="A108" s="5944" t="s">
        <v>789</v>
      </c>
      <c r="B108" s="6243"/>
      <c r="C108" s="5944" t="s">
        <v>77</v>
      </c>
      <c r="D108" s="6242"/>
      <c r="E108" s="6243"/>
      <c r="F108" s="6137" t="s">
        <v>101</v>
      </c>
      <c r="G108" s="6188"/>
      <c r="H108" s="6188"/>
      <c r="I108" s="6188"/>
      <c r="J108" s="6188"/>
      <c r="K108" s="6188"/>
      <c r="L108" s="6188"/>
      <c r="M108" s="6183"/>
    </row>
    <row r="109" spans="1:101" x14ac:dyDescent="0.3">
      <c r="A109" s="5776"/>
      <c r="B109" s="5759"/>
      <c r="C109" s="5776"/>
      <c r="D109" s="5777"/>
      <c r="E109" s="5759"/>
      <c r="F109" s="6137" t="s">
        <v>790</v>
      </c>
      <c r="G109" s="6183"/>
      <c r="H109" s="6137" t="s">
        <v>791</v>
      </c>
      <c r="I109" s="6183"/>
      <c r="J109" s="6137" t="s">
        <v>792</v>
      </c>
      <c r="K109" s="6183"/>
      <c r="L109" s="6137" t="s">
        <v>44</v>
      </c>
      <c r="M109" s="6183"/>
    </row>
    <row r="110" spans="1:101" x14ac:dyDescent="0.3">
      <c r="A110" s="5796"/>
      <c r="B110" s="5760"/>
      <c r="C110" s="567" t="s">
        <v>79</v>
      </c>
      <c r="D110" s="555" t="s">
        <v>58</v>
      </c>
      <c r="E110" s="465" t="s">
        <v>59</v>
      </c>
      <c r="F110" s="468" t="s">
        <v>58</v>
      </c>
      <c r="G110" s="465" t="s">
        <v>59</v>
      </c>
      <c r="H110" s="468" t="s">
        <v>58</v>
      </c>
      <c r="I110" s="465" t="s">
        <v>59</v>
      </c>
      <c r="J110" s="468" t="s">
        <v>58</v>
      </c>
      <c r="K110" s="465" t="s">
        <v>59</v>
      </c>
      <c r="L110" s="468" t="s">
        <v>58</v>
      </c>
      <c r="M110" s="465" t="s">
        <v>59</v>
      </c>
    </row>
    <row r="111" spans="1:101" ht="15" customHeight="1" x14ac:dyDescent="0.3">
      <c r="A111" s="6333" t="s">
        <v>793</v>
      </c>
      <c r="B111" s="6334"/>
      <c r="C111" s="569">
        <f>SUM(D111:E111)</f>
        <v>0</v>
      </c>
      <c r="D111" s="570">
        <f>+F111+H111+J111+L111</f>
        <v>0</v>
      </c>
      <c r="E111" s="571">
        <f>+G111+I111+K111+M111</f>
        <v>0</v>
      </c>
      <c r="F111" s="511">
        <f>SUM(F112:F114)</f>
        <v>0</v>
      </c>
      <c r="G111" s="572">
        <f t="shared" ref="G111:M111" si="91">SUM(G112:G114)</f>
        <v>0</v>
      </c>
      <c r="H111" s="511">
        <f t="shared" si="91"/>
        <v>0</v>
      </c>
      <c r="I111" s="572">
        <f t="shared" si="91"/>
        <v>0</v>
      </c>
      <c r="J111" s="511">
        <f t="shared" si="91"/>
        <v>0</v>
      </c>
      <c r="K111" s="572">
        <f t="shared" si="91"/>
        <v>0</v>
      </c>
      <c r="L111" s="511">
        <f t="shared" si="91"/>
        <v>0</v>
      </c>
      <c r="M111" s="515">
        <f t="shared" si="91"/>
        <v>0</v>
      </c>
    </row>
    <row r="112" spans="1:101" ht="15" customHeight="1" x14ac:dyDescent="0.3">
      <c r="A112" s="6320" t="s">
        <v>794</v>
      </c>
      <c r="B112" s="6321"/>
      <c r="C112" s="573">
        <f>SUM(D112:E112)</f>
        <v>0</v>
      </c>
      <c r="D112" s="574">
        <f>+F112+H112+J112+L112</f>
        <v>0</v>
      </c>
      <c r="E112" s="575">
        <f>+G112+I112+K112+M112</f>
        <v>0</v>
      </c>
      <c r="F112" s="474"/>
      <c r="G112" s="576"/>
      <c r="H112" s="474"/>
      <c r="I112" s="576"/>
      <c r="J112" s="474"/>
      <c r="K112" s="577"/>
      <c r="L112" s="474"/>
      <c r="M112" s="577"/>
    </row>
    <row r="113" spans="1:94" ht="15" customHeight="1" x14ac:dyDescent="0.3">
      <c r="A113" s="6289" t="s">
        <v>795</v>
      </c>
      <c r="B113" s="6290"/>
      <c r="C113" s="578">
        <f>SUM(D113:E113)</f>
        <v>0</v>
      </c>
      <c r="D113" s="579">
        <f t="shared" ref="D113:E114" si="92">+F113+H113+J113+L113</f>
        <v>0</v>
      </c>
      <c r="E113" s="580">
        <f t="shared" si="92"/>
        <v>0</v>
      </c>
      <c r="F113" s="346"/>
      <c r="G113" s="347"/>
      <c r="H113" s="346"/>
      <c r="I113" s="347"/>
      <c r="J113" s="346"/>
      <c r="K113" s="350"/>
      <c r="L113" s="346"/>
      <c r="M113" s="350"/>
    </row>
    <row r="114" spans="1:94" ht="15" customHeight="1" x14ac:dyDescent="0.3">
      <c r="A114" s="6291" t="s">
        <v>796</v>
      </c>
      <c r="B114" s="6292"/>
      <c r="C114" s="581">
        <f>SUM(D114:E114)</f>
        <v>0</v>
      </c>
      <c r="D114" s="582">
        <f t="shared" si="92"/>
        <v>0</v>
      </c>
      <c r="E114" s="299">
        <f t="shared" si="92"/>
        <v>0</v>
      </c>
      <c r="F114" s="380"/>
      <c r="G114" s="388"/>
      <c r="H114" s="380"/>
      <c r="I114" s="388"/>
      <c r="J114" s="380"/>
      <c r="K114" s="389"/>
      <c r="L114" s="380"/>
      <c r="M114" s="389"/>
    </row>
    <row r="115" spans="1:94" s="6" customFormat="1" ht="18" customHeight="1" x14ac:dyDescent="0.25">
      <c r="A115" s="3023" t="s">
        <v>797</v>
      </c>
      <c r="B115" s="58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</row>
    <row r="116" spans="1:94" x14ac:dyDescent="0.3">
      <c r="A116" s="5944" t="s">
        <v>285</v>
      </c>
      <c r="B116" s="6243"/>
      <c r="C116" s="5944" t="s">
        <v>77</v>
      </c>
      <c r="D116" s="6242"/>
      <c r="E116" s="6243"/>
      <c r="F116" s="6137" t="s">
        <v>101</v>
      </c>
      <c r="G116" s="6188"/>
      <c r="H116" s="6188"/>
      <c r="I116" s="6188"/>
      <c r="J116" s="6188"/>
      <c r="K116" s="6188"/>
      <c r="L116" s="6188"/>
      <c r="M116" s="6188"/>
      <c r="N116" s="6188"/>
      <c r="O116" s="6188"/>
      <c r="P116" s="6188"/>
      <c r="Q116" s="6188"/>
      <c r="R116" s="6188"/>
      <c r="S116" s="6188"/>
      <c r="T116" s="6188"/>
      <c r="U116" s="6188"/>
      <c r="V116" s="6188"/>
      <c r="W116" s="6188"/>
      <c r="X116" s="6188"/>
      <c r="Y116" s="6188"/>
      <c r="Z116" s="6188"/>
      <c r="AA116" s="6188"/>
      <c r="AB116" s="6188"/>
      <c r="AC116" s="6188"/>
      <c r="AD116" s="6188"/>
      <c r="AE116" s="6188"/>
      <c r="AF116" s="6188"/>
      <c r="AG116" s="6187"/>
      <c r="AH116" s="6249" t="s">
        <v>36</v>
      </c>
      <c r="AI116" s="6243" t="s">
        <v>37</v>
      </c>
    </row>
    <row r="117" spans="1:94" x14ac:dyDescent="0.3">
      <c r="A117" s="5776"/>
      <c r="B117" s="5759"/>
      <c r="C117" s="5776"/>
      <c r="D117" s="5777"/>
      <c r="E117" s="5759"/>
      <c r="F117" s="6143" t="s">
        <v>44</v>
      </c>
      <c r="G117" s="6180"/>
      <c r="H117" s="6149" t="s">
        <v>45</v>
      </c>
      <c r="I117" s="6149"/>
      <c r="J117" s="6149" t="s">
        <v>46</v>
      </c>
      <c r="K117" s="6149"/>
      <c r="L117" s="6149" t="s">
        <v>47</v>
      </c>
      <c r="M117" s="6149"/>
      <c r="N117" s="6149" t="s">
        <v>48</v>
      </c>
      <c r="O117" s="6149"/>
      <c r="P117" s="6149" t="s">
        <v>49</v>
      </c>
      <c r="Q117" s="6149"/>
      <c r="R117" s="6149" t="s">
        <v>50</v>
      </c>
      <c r="S117" s="6149"/>
      <c r="T117" s="6149" t="s">
        <v>51</v>
      </c>
      <c r="U117" s="6149"/>
      <c r="V117" s="6149" t="s">
        <v>52</v>
      </c>
      <c r="W117" s="6149"/>
      <c r="X117" s="6149" t="s">
        <v>53</v>
      </c>
      <c r="Y117" s="6149"/>
      <c r="Z117" s="6137" t="s">
        <v>54</v>
      </c>
      <c r="AA117" s="6183"/>
      <c r="AB117" s="6137" t="s">
        <v>55</v>
      </c>
      <c r="AC117" s="6183"/>
      <c r="AD117" s="6137" t="s">
        <v>56</v>
      </c>
      <c r="AE117" s="6183"/>
      <c r="AF117" s="6137" t="s">
        <v>57</v>
      </c>
      <c r="AG117" s="6187"/>
      <c r="AH117" s="5766"/>
      <c r="AI117" s="5759"/>
    </row>
    <row r="118" spans="1:94" x14ac:dyDescent="0.3">
      <c r="A118" s="5796"/>
      <c r="B118" s="5760"/>
      <c r="C118" s="468" t="s">
        <v>79</v>
      </c>
      <c r="D118" s="555" t="s">
        <v>58</v>
      </c>
      <c r="E118" s="465" t="s">
        <v>59</v>
      </c>
      <c r="F118" s="464" t="s">
        <v>58</v>
      </c>
      <c r="G118" s="585" t="s">
        <v>59</v>
      </c>
      <c r="H118" s="464" t="s">
        <v>58</v>
      </c>
      <c r="I118" s="585" t="s">
        <v>59</v>
      </c>
      <c r="J118" s="464" t="s">
        <v>58</v>
      </c>
      <c r="K118" s="585" t="s">
        <v>59</v>
      </c>
      <c r="L118" s="464" t="s">
        <v>58</v>
      </c>
      <c r="M118" s="585" t="s">
        <v>59</v>
      </c>
      <c r="N118" s="464" t="s">
        <v>58</v>
      </c>
      <c r="O118" s="585" t="s">
        <v>59</v>
      </c>
      <c r="P118" s="464" t="s">
        <v>58</v>
      </c>
      <c r="Q118" s="585" t="s">
        <v>59</v>
      </c>
      <c r="R118" s="464" t="s">
        <v>58</v>
      </c>
      <c r="S118" s="585" t="s">
        <v>59</v>
      </c>
      <c r="T118" s="464" t="s">
        <v>58</v>
      </c>
      <c r="U118" s="585" t="s">
        <v>59</v>
      </c>
      <c r="V118" s="464" t="s">
        <v>58</v>
      </c>
      <c r="W118" s="585" t="s">
        <v>59</v>
      </c>
      <c r="X118" s="464" t="s">
        <v>58</v>
      </c>
      <c r="Y118" s="585" t="s">
        <v>59</v>
      </c>
      <c r="Z118" s="464" t="s">
        <v>58</v>
      </c>
      <c r="AA118" s="585" t="s">
        <v>59</v>
      </c>
      <c r="AB118" s="464" t="s">
        <v>58</v>
      </c>
      <c r="AC118" s="585" t="s">
        <v>59</v>
      </c>
      <c r="AD118" s="464" t="s">
        <v>58</v>
      </c>
      <c r="AE118" s="585" t="s">
        <v>59</v>
      </c>
      <c r="AF118" s="464" t="s">
        <v>58</v>
      </c>
      <c r="AG118" s="503" t="s">
        <v>59</v>
      </c>
      <c r="AH118" s="5767"/>
      <c r="AI118" s="5760"/>
    </row>
    <row r="119" spans="1:94" ht="15" customHeight="1" x14ac:dyDescent="0.3">
      <c r="A119" s="6305" t="s">
        <v>798</v>
      </c>
      <c r="B119" s="6306"/>
      <c r="C119" s="511">
        <f>SUM(D119:E119)</f>
        <v>0</v>
      </c>
      <c r="D119" s="512">
        <f>SUM(F119+H119+J119+L119+N119+P119+R119+T119+V119+X119+Z119+AB119+AD119+AF119)</f>
        <v>0</v>
      </c>
      <c r="E119" s="586">
        <f>SUM(+G119+I119+K119+M119+O119+Q119+S119+U119+W119+Y119+AA119+AC119+AE119+AG119)</f>
        <v>0</v>
      </c>
      <c r="F119" s="474"/>
      <c r="G119" s="477"/>
      <c r="H119" s="474"/>
      <c r="I119" s="477"/>
      <c r="J119" s="474"/>
      <c r="K119" s="477"/>
      <c r="L119" s="474"/>
      <c r="M119" s="477"/>
      <c r="N119" s="474"/>
      <c r="O119" s="477"/>
      <c r="P119" s="474"/>
      <c r="Q119" s="477"/>
      <c r="R119" s="474"/>
      <c r="S119" s="477"/>
      <c r="T119" s="474"/>
      <c r="U119" s="477"/>
      <c r="V119" s="474"/>
      <c r="W119" s="477"/>
      <c r="X119" s="474"/>
      <c r="Y119" s="477"/>
      <c r="Z119" s="474"/>
      <c r="AA119" s="477"/>
      <c r="AB119" s="474"/>
      <c r="AC119" s="477"/>
      <c r="AD119" s="474"/>
      <c r="AE119" s="477"/>
      <c r="AF119" s="474"/>
      <c r="AG119" s="496"/>
      <c r="AH119" s="497"/>
      <c r="AI119" s="475"/>
      <c r="AJ119" t="str">
        <f>CA119&amp;CB119</f>
        <v/>
      </c>
      <c r="CA119" s="135" t="str">
        <f>IF(AND(C119&gt;0,AH119="")," * No olvide digitar la variable Pueblos originarios. Digite Cero si no tiene.",IF(AH119&gt;C119,"* La variable Pueblos originarios No puede ser mayor al Total.",""))</f>
        <v/>
      </c>
      <c r="CB119" s="135" t="str">
        <f>IF(AND(C119&gt;0,AI119="")," * No olvide digitar la variable Migrantes. Digite Cero si no tiene.",IF(AI119&gt;C119,"* La variable Migrantes No puede ser mayor al Total.",""))</f>
        <v/>
      </c>
      <c r="CO119" s="1901">
        <f>IF(AND($C119&gt;0,AH119=""),1,IF(AH119&gt;$C119,1,0))</f>
        <v>0</v>
      </c>
      <c r="CP119" s="1901">
        <f>IF(AND($C119&gt;0,AI119=""),1,IF(AI119&gt;$C119,1,0))</f>
        <v>0</v>
      </c>
    </row>
    <row r="120" spans="1:94" ht="15" customHeight="1" x14ac:dyDescent="0.3">
      <c r="A120" s="6185" t="s">
        <v>799</v>
      </c>
      <c r="B120" s="492" t="s">
        <v>800</v>
      </c>
      <c r="C120" s="300">
        <f t="shared" ref="C120:C128" si="93">SUM(D120:E120)</f>
        <v>0</v>
      </c>
      <c r="D120" s="587">
        <f t="shared" ref="D120:D128" si="94">SUM(F120+H120+J120+L120+N120+P120+R120+T120+V120+X120+Z120+AB120+AD120+AF120)</f>
        <v>0</v>
      </c>
      <c r="E120" s="588">
        <f>SUM(+G120+I120+K120+M120+O120+Q120+S120+U120+W120+Y120+AA120+AC120+AE120+AG120)</f>
        <v>0</v>
      </c>
      <c r="F120" s="474"/>
      <c r="G120" s="576"/>
      <c r="H120" s="474"/>
      <c r="I120" s="576"/>
      <c r="J120" s="474"/>
      <c r="K120" s="576"/>
      <c r="L120" s="474"/>
      <c r="M120" s="576"/>
      <c r="N120" s="474"/>
      <c r="O120" s="576"/>
      <c r="P120" s="474"/>
      <c r="Q120" s="576"/>
      <c r="R120" s="474"/>
      <c r="S120" s="576"/>
      <c r="T120" s="474"/>
      <c r="U120" s="576"/>
      <c r="V120" s="474"/>
      <c r="W120" s="576"/>
      <c r="X120" s="474"/>
      <c r="Y120" s="576"/>
      <c r="Z120" s="474"/>
      <c r="AA120" s="576"/>
      <c r="AB120" s="474"/>
      <c r="AC120" s="576"/>
      <c r="AD120" s="474"/>
      <c r="AE120" s="576"/>
      <c r="AF120" s="474"/>
      <c r="AG120" s="496"/>
      <c r="AH120" s="497"/>
      <c r="AI120" s="475"/>
      <c r="AJ120" t="str">
        <f>CA120&amp;CB120</f>
        <v/>
      </c>
      <c r="CA120" s="135" t="str">
        <f t="shared" ref="CA120:CA126" si="95">IF(AND(C120&gt;0,AH120="")," * No olvide digitar la variable Pueblos originarios. Digite Cero si no tiene.",IF(AH120&gt;C120,"* La variable Pueblos originarios No puede ser mayor al Total.",""))</f>
        <v/>
      </c>
      <c r="CB120" s="135" t="str">
        <f t="shared" ref="CB120:CB128" si="96">IF(AND(C120&gt;0,AI120="")," * No olvide digitar la variable Migrantes. Digite Cero si no tiene.",IF(AI120&gt;C120,"* La variable Migrantes No puede ser mayor al Total.",""))</f>
        <v/>
      </c>
      <c r="CO120" s="1901">
        <f t="shared" ref="CO120:CO128" si="97">IF(AND($C120&gt;0,AH120=""),1,IF(AH120&gt;$C120,1,0))</f>
        <v>0</v>
      </c>
      <c r="CP120" s="1901">
        <f t="shared" ref="CP120:CP128" si="98">IF(AND($C120&gt;0,AI120=""),1,IF(AI120&gt;$C120,1,0))</f>
        <v>0</v>
      </c>
    </row>
    <row r="121" spans="1:94" ht="15" customHeight="1" x14ac:dyDescent="0.3">
      <c r="A121" s="5844"/>
      <c r="B121" s="358" t="s">
        <v>801</v>
      </c>
      <c r="C121" s="478">
        <f t="shared" si="93"/>
        <v>0</v>
      </c>
      <c r="D121" s="589">
        <f t="shared" si="94"/>
        <v>0</v>
      </c>
      <c r="E121" s="560">
        <f>SUM(+G121+I121+K121+M121+O121+Q121+S121+U121+W121+Y121+AA121+AC121+AE121+AG121)</f>
        <v>0</v>
      </c>
      <c r="F121" s="346"/>
      <c r="G121" s="347"/>
      <c r="H121" s="346"/>
      <c r="I121" s="347"/>
      <c r="J121" s="346"/>
      <c r="K121" s="347"/>
      <c r="L121" s="346"/>
      <c r="M121" s="347"/>
      <c r="N121" s="346"/>
      <c r="O121" s="347"/>
      <c r="P121" s="346"/>
      <c r="Q121" s="347"/>
      <c r="R121" s="346"/>
      <c r="S121" s="347"/>
      <c r="T121" s="346"/>
      <c r="U121" s="347"/>
      <c r="V121" s="346"/>
      <c r="W121" s="347"/>
      <c r="X121" s="346"/>
      <c r="Y121" s="347"/>
      <c r="Z121" s="346"/>
      <c r="AA121" s="347"/>
      <c r="AB121" s="346"/>
      <c r="AC121" s="347"/>
      <c r="AD121" s="346"/>
      <c r="AE121" s="347"/>
      <c r="AF121" s="346"/>
      <c r="AG121" s="352"/>
      <c r="AH121" s="430"/>
      <c r="AI121" s="347"/>
      <c r="AJ121" t="str">
        <f>CA121&amp;CB121</f>
        <v/>
      </c>
      <c r="CA121" s="135" t="str">
        <f t="shared" si="95"/>
        <v/>
      </c>
      <c r="CB121" s="135" t="str">
        <f t="shared" si="96"/>
        <v/>
      </c>
      <c r="CO121" s="1901">
        <f t="shared" si="97"/>
        <v>0</v>
      </c>
      <c r="CP121" s="1901">
        <f t="shared" si="98"/>
        <v>0</v>
      </c>
    </row>
    <row r="122" spans="1:94" ht="15" customHeight="1" x14ac:dyDescent="0.3">
      <c r="A122" s="5844"/>
      <c r="B122" s="358" t="s">
        <v>802</v>
      </c>
      <c r="C122" s="478">
        <f t="shared" si="93"/>
        <v>0</v>
      </c>
      <c r="D122" s="589">
        <f t="shared" si="94"/>
        <v>0</v>
      </c>
      <c r="E122" s="560">
        <f t="shared" ref="E122:E128" si="99">SUM(+G122+I122+K122+M122+O122+Q122+S122+U122+W122+Y122+AA122+AC122+AE122+AG122)</f>
        <v>0</v>
      </c>
      <c r="F122" s="346"/>
      <c r="G122" s="347"/>
      <c r="H122" s="346"/>
      <c r="I122" s="347"/>
      <c r="J122" s="346"/>
      <c r="K122" s="347"/>
      <c r="L122" s="346"/>
      <c r="M122" s="347"/>
      <c r="N122" s="346"/>
      <c r="O122" s="347"/>
      <c r="P122" s="346"/>
      <c r="Q122" s="347"/>
      <c r="R122" s="346"/>
      <c r="S122" s="347"/>
      <c r="T122" s="346"/>
      <c r="U122" s="347"/>
      <c r="V122" s="346"/>
      <c r="W122" s="347"/>
      <c r="X122" s="346"/>
      <c r="Y122" s="347"/>
      <c r="Z122" s="346"/>
      <c r="AA122" s="347"/>
      <c r="AB122" s="346"/>
      <c r="AC122" s="347"/>
      <c r="AD122" s="346"/>
      <c r="AE122" s="347"/>
      <c r="AF122" s="346"/>
      <c r="AG122" s="352"/>
      <c r="AH122" s="430"/>
      <c r="AI122" s="347"/>
      <c r="AJ122" t="str">
        <f>CA122&amp;CB122</f>
        <v/>
      </c>
      <c r="CA122" s="135" t="str">
        <f t="shared" si="95"/>
        <v/>
      </c>
      <c r="CB122" s="135" t="str">
        <f t="shared" si="96"/>
        <v/>
      </c>
      <c r="CO122" s="1901">
        <f t="shared" si="97"/>
        <v>0</v>
      </c>
      <c r="CP122" s="1901">
        <f t="shared" si="98"/>
        <v>0</v>
      </c>
    </row>
    <row r="123" spans="1:94" ht="22.5" customHeight="1" x14ac:dyDescent="0.3">
      <c r="A123" s="5844"/>
      <c r="B123" s="357" t="s">
        <v>803</v>
      </c>
      <c r="C123" s="478">
        <f>SUM(D123:E123)</f>
        <v>0</v>
      </c>
      <c r="D123" s="589">
        <f t="shared" si="94"/>
        <v>0</v>
      </c>
      <c r="E123" s="560">
        <f t="shared" si="99"/>
        <v>0</v>
      </c>
      <c r="F123" s="346"/>
      <c r="G123" s="347"/>
      <c r="H123" s="346"/>
      <c r="I123" s="347"/>
      <c r="J123" s="346"/>
      <c r="K123" s="347"/>
      <c r="L123" s="346"/>
      <c r="M123" s="347"/>
      <c r="N123" s="346"/>
      <c r="O123" s="347"/>
      <c r="P123" s="346"/>
      <c r="Q123" s="347"/>
      <c r="R123" s="346"/>
      <c r="S123" s="347"/>
      <c r="T123" s="346"/>
      <c r="U123" s="347"/>
      <c r="V123" s="346"/>
      <c r="W123" s="347"/>
      <c r="X123" s="346"/>
      <c r="Y123" s="347"/>
      <c r="Z123" s="346"/>
      <c r="AA123" s="347"/>
      <c r="AB123" s="346"/>
      <c r="AC123" s="347"/>
      <c r="AD123" s="346"/>
      <c r="AE123" s="347"/>
      <c r="AF123" s="346"/>
      <c r="AG123" s="352"/>
      <c r="AH123" s="430"/>
      <c r="AI123" s="347"/>
      <c r="AJ123" t="str">
        <f>CA123&amp;CB123</f>
        <v/>
      </c>
      <c r="CA123" s="135" t="str">
        <f>IF(AND(C123&gt;0,AH123="")," * No olvide digitar la variable Pueblos originarios. Digite Cero si no tiene.",IF(AH123&gt;C123,"* La variable Pueblos originarios No puede ser mayor al Total.",""))</f>
        <v/>
      </c>
      <c r="CB123" s="135" t="str">
        <f t="shared" si="96"/>
        <v/>
      </c>
      <c r="CO123" s="1901">
        <f t="shared" si="97"/>
        <v>0</v>
      </c>
      <c r="CP123" s="1901">
        <f t="shared" si="98"/>
        <v>0</v>
      </c>
    </row>
    <row r="124" spans="1:94" ht="26.25" customHeight="1" x14ac:dyDescent="0.3">
      <c r="A124" s="5844"/>
      <c r="B124" s="357" t="s">
        <v>804</v>
      </c>
      <c r="C124" s="478">
        <f>SUM(D124:E124)</f>
        <v>0</v>
      </c>
      <c r="D124" s="589">
        <f>SUM(F124+H124+J124+L124+N124+P124+R124+T124+V124+X124+Z124+AB124+AD124+AF124)</f>
        <v>0</v>
      </c>
      <c r="E124" s="560">
        <f t="shared" ref="E124" si="100">SUM(+G124+I124+K124+M124+O124+Q124+S124+U124+W124+Y124+AA124+AC124+AE124+AG124)</f>
        <v>0</v>
      </c>
      <c r="F124" s="192"/>
      <c r="G124" s="2"/>
      <c r="H124" s="192"/>
      <c r="I124" s="2"/>
      <c r="J124" s="192"/>
      <c r="K124" s="2"/>
      <c r="L124" s="192"/>
      <c r="M124" s="2"/>
      <c r="N124" s="192"/>
      <c r="O124" s="2"/>
      <c r="P124" s="192"/>
      <c r="Q124" s="2"/>
      <c r="R124" s="192"/>
      <c r="S124" s="2"/>
      <c r="T124" s="192"/>
      <c r="U124" s="2"/>
      <c r="V124" s="192"/>
      <c r="W124" s="2"/>
      <c r="X124" s="192"/>
      <c r="Y124" s="2"/>
      <c r="Z124" s="192"/>
      <c r="AA124" s="2"/>
      <c r="AB124" s="192"/>
      <c r="AC124" s="2"/>
      <c r="AD124" s="192"/>
      <c r="AE124" s="2"/>
      <c r="AF124" s="192"/>
      <c r="AG124" s="384"/>
      <c r="AH124" s="377"/>
      <c r="AI124" s="2"/>
      <c r="AJ124" t="str">
        <f t="shared" ref="AJ124:AJ128" si="101">CA124&amp;CB124</f>
        <v/>
      </c>
      <c r="CA124" s="135" t="str">
        <f t="shared" si="95"/>
        <v/>
      </c>
      <c r="CB124" s="135" t="str">
        <f t="shared" si="96"/>
        <v/>
      </c>
      <c r="CO124" s="1901">
        <f t="shared" si="97"/>
        <v>0</v>
      </c>
      <c r="CP124" s="1901">
        <f t="shared" si="98"/>
        <v>0</v>
      </c>
    </row>
    <row r="125" spans="1:94" ht="15" customHeight="1" x14ac:dyDescent="0.3">
      <c r="A125" s="5844"/>
      <c r="B125" s="357" t="s">
        <v>805</v>
      </c>
      <c r="C125" s="478">
        <f t="shared" si="93"/>
        <v>0</v>
      </c>
      <c r="D125" s="589">
        <f t="shared" si="94"/>
        <v>0</v>
      </c>
      <c r="E125" s="560">
        <f t="shared" si="99"/>
        <v>0</v>
      </c>
      <c r="F125" s="192"/>
      <c r="G125" s="2"/>
      <c r="H125" s="192"/>
      <c r="I125" s="2"/>
      <c r="J125" s="192"/>
      <c r="K125" s="2"/>
      <c r="L125" s="192"/>
      <c r="M125" s="2"/>
      <c r="N125" s="192"/>
      <c r="O125" s="2"/>
      <c r="P125" s="192"/>
      <c r="Q125" s="2"/>
      <c r="R125" s="192"/>
      <c r="S125" s="2"/>
      <c r="T125" s="192"/>
      <c r="U125" s="2"/>
      <c r="V125" s="192"/>
      <c r="W125" s="2"/>
      <c r="X125" s="192"/>
      <c r="Y125" s="2"/>
      <c r="Z125" s="192"/>
      <c r="AA125" s="2"/>
      <c r="AB125" s="192"/>
      <c r="AC125" s="2"/>
      <c r="AD125" s="192"/>
      <c r="AE125" s="2"/>
      <c r="AF125" s="192"/>
      <c r="AG125" s="384"/>
      <c r="AH125" s="377"/>
      <c r="AI125" s="2"/>
      <c r="AJ125" t="str">
        <f t="shared" si="101"/>
        <v/>
      </c>
      <c r="CA125" s="135" t="str">
        <f t="shared" si="95"/>
        <v/>
      </c>
      <c r="CB125" s="135" t="str">
        <f t="shared" si="96"/>
        <v/>
      </c>
      <c r="CO125" s="1901">
        <f t="shared" si="97"/>
        <v>0</v>
      </c>
      <c r="CP125" s="1901">
        <f t="shared" si="98"/>
        <v>0</v>
      </c>
    </row>
    <row r="126" spans="1:94" ht="15" customHeight="1" x14ac:dyDescent="0.3">
      <c r="A126" s="5844"/>
      <c r="B126" s="196" t="s">
        <v>806</v>
      </c>
      <c r="C126" s="478">
        <f t="shared" si="93"/>
        <v>0</v>
      </c>
      <c r="D126" s="589">
        <f t="shared" si="94"/>
        <v>0</v>
      </c>
      <c r="E126" s="560">
        <f t="shared" si="99"/>
        <v>0</v>
      </c>
      <c r="F126" s="192"/>
      <c r="G126" s="2"/>
      <c r="H126" s="192"/>
      <c r="I126" s="2"/>
      <c r="J126" s="192"/>
      <c r="K126" s="2"/>
      <c r="L126" s="192"/>
      <c r="M126" s="2"/>
      <c r="N126" s="192"/>
      <c r="O126" s="2"/>
      <c r="P126" s="192"/>
      <c r="Q126" s="2"/>
      <c r="R126" s="192"/>
      <c r="S126" s="2"/>
      <c r="T126" s="192"/>
      <c r="U126" s="2"/>
      <c r="V126" s="192"/>
      <c r="W126" s="2"/>
      <c r="X126" s="192"/>
      <c r="Y126" s="2"/>
      <c r="Z126" s="192"/>
      <c r="AA126" s="2"/>
      <c r="AB126" s="192"/>
      <c r="AC126" s="2"/>
      <c r="AD126" s="192"/>
      <c r="AE126" s="2"/>
      <c r="AF126" s="192"/>
      <c r="AG126" s="384"/>
      <c r="AH126" s="377"/>
      <c r="AI126" s="2"/>
      <c r="AJ126" t="str">
        <f t="shared" si="101"/>
        <v/>
      </c>
      <c r="CA126" s="135" t="str">
        <f t="shared" si="95"/>
        <v/>
      </c>
      <c r="CB126" s="135" t="str">
        <f t="shared" si="96"/>
        <v/>
      </c>
      <c r="CO126" s="1901">
        <f t="shared" si="97"/>
        <v>0</v>
      </c>
      <c r="CP126" s="1901">
        <f t="shared" si="98"/>
        <v>0</v>
      </c>
    </row>
    <row r="127" spans="1:94" ht="15" customHeight="1" x14ac:dyDescent="0.3">
      <c r="A127" s="5791"/>
      <c r="B127" s="519" t="s">
        <v>807</v>
      </c>
      <c r="C127" s="197">
        <f t="shared" si="93"/>
        <v>0</v>
      </c>
      <c r="D127" s="590">
        <f>SUM(V127+X127+Z127+AB127+AD127+AF127)</f>
        <v>0</v>
      </c>
      <c r="E127" s="591">
        <f>SUM(W127+Y127+AA127+AC127+AE127+AG127)</f>
        <v>0</v>
      </c>
      <c r="F127" s="1741"/>
      <c r="G127" s="1742"/>
      <c r="H127" s="1741"/>
      <c r="I127" s="1742"/>
      <c r="J127" s="1741"/>
      <c r="K127" s="1742"/>
      <c r="L127" s="1741"/>
      <c r="M127" s="1742"/>
      <c r="N127" s="1741"/>
      <c r="O127" s="1742"/>
      <c r="P127" s="1741"/>
      <c r="Q127" s="1742"/>
      <c r="R127" s="1741"/>
      <c r="S127" s="1742"/>
      <c r="T127" s="1741"/>
      <c r="U127" s="1742"/>
      <c r="V127" s="380"/>
      <c r="W127" s="388"/>
      <c r="X127" s="380"/>
      <c r="Y127" s="388"/>
      <c r="Z127" s="380"/>
      <c r="AA127" s="388"/>
      <c r="AB127" s="380"/>
      <c r="AC127" s="388"/>
      <c r="AD127" s="380"/>
      <c r="AE127" s="388"/>
      <c r="AF127" s="380"/>
      <c r="AG127" s="390"/>
      <c r="AH127" s="379"/>
      <c r="AI127" s="388"/>
      <c r="AJ127" t="str">
        <f t="shared" si="101"/>
        <v/>
      </c>
      <c r="CA127" s="135" t="str">
        <f>IF(AND(C127&gt;0,AH127="")," * No olvide digitar la variable Pueblos originarios. Digite Cero si no tiene.",IF(AH127&gt;C127,"* La variable Pueblos originarios No puede ser mayor al Total.",""))</f>
        <v/>
      </c>
      <c r="CB127" s="135" t="str">
        <f t="shared" si="96"/>
        <v/>
      </c>
      <c r="CO127" s="1901">
        <f t="shared" si="97"/>
        <v>0</v>
      </c>
      <c r="CP127" s="1901">
        <f t="shared" si="98"/>
        <v>0</v>
      </c>
    </row>
    <row r="128" spans="1:94" ht="15" customHeight="1" x14ac:dyDescent="0.3">
      <c r="A128" s="6267" t="s">
        <v>808</v>
      </c>
      <c r="B128" s="6267"/>
      <c r="C128" s="511">
        <f t="shared" si="93"/>
        <v>0</v>
      </c>
      <c r="D128" s="512">
        <f t="shared" si="94"/>
        <v>0</v>
      </c>
      <c r="E128" s="586">
        <f t="shared" si="99"/>
        <v>0</v>
      </c>
      <c r="F128" s="505"/>
      <c r="G128" s="508"/>
      <c r="H128" s="505"/>
      <c r="I128" s="508"/>
      <c r="J128" s="505"/>
      <c r="K128" s="508"/>
      <c r="L128" s="505"/>
      <c r="M128" s="508"/>
      <c r="N128" s="505"/>
      <c r="O128" s="508"/>
      <c r="P128" s="505"/>
      <c r="Q128" s="508"/>
      <c r="R128" s="505"/>
      <c r="S128" s="508"/>
      <c r="T128" s="505"/>
      <c r="U128" s="508"/>
      <c r="V128" s="505"/>
      <c r="W128" s="508"/>
      <c r="X128" s="505"/>
      <c r="Y128" s="508"/>
      <c r="Z128" s="505"/>
      <c r="AA128" s="508"/>
      <c r="AB128" s="505"/>
      <c r="AC128" s="508"/>
      <c r="AD128" s="505"/>
      <c r="AE128" s="508"/>
      <c r="AF128" s="505"/>
      <c r="AG128" s="506"/>
      <c r="AH128" s="534"/>
      <c r="AI128" s="508"/>
      <c r="AJ128" t="str">
        <f t="shared" si="101"/>
        <v/>
      </c>
      <c r="CA128" s="135" t="str">
        <f>IF(AND(C128&gt;0,AH128="")," * No olvide digitar la variable Pueblos originarios. Digite Cero si no tiene.",IF(AH128&gt;C128,"* La variable Pueblos originarios No puede ser mayor al Total.",""))</f>
        <v/>
      </c>
      <c r="CB128" s="135" t="str">
        <f t="shared" si="96"/>
        <v/>
      </c>
      <c r="CO128" s="1901">
        <f t="shared" si="97"/>
        <v>0</v>
      </c>
      <c r="CP128" s="1901">
        <f t="shared" si="98"/>
        <v>0</v>
      </c>
    </row>
    <row r="129" spans="1:95" s="6" customFormat="1" ht="18" customHeight="1" x14ac:dyDescent="0.25">
      <c r="A129" s="298" t="s">
        <v>809</v>
      </c>
      <c r="B129" s="298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592"/>
      <c r="AM129" s="592"/>
    </row>
    <row r="130" spans="1:95" x14ac:dyDescent="0.3">
      <c r="A130" s="5944" t="s">
        <v>285</v>
      </c>
      <c r="B130" s="6243"/>
      <c r="C130" s="6190" t="s">
        <v>77</v>
      </c>
      <c r="D130" s="6190"/>
      <c r="E130" s="6190"/>
      <c r="F130" s="6137" t="s">
        <v>101</v>
      </c>
      <c r="G130" s="6188"/>
      <c r="H130" s="6188"/>
      <c r="I130" s="6188"/>
      <c r="J130" s="6188"/>
      <c r="K130" s="6188"/>
      <c r="L130" s="6188"/>
      <c r="M130" s="6188"/>
      <c r="N130" s="6188"/>
      <c r="O130" s="6188"/>
      <c r="P130" s="6188"/>
      <c r="Q130" s="6188"/>
      <c r="R130" s="6188"/>
      <c r="S130" s="6188"/>
      <c r="T130" s="6188"/>
      <c r="U130" s="6188"/>
      <c r="V130" s="6188"/>
      <c r="W130" s="6188"/>
      <c r="X130" s="6188"/>
      <c r="Y130" s="6188"/>
      <c r="Z130" s="6188"/>
      <c r="AA130" s="6188"/>
      <c r="AB130" s="6188"/>
      <c r="AC130" s="6188"/>
      <c r="AD130" s="6188"/>
      <c r="AE130" s="6188"/>
      <c r="AF130" s="6188"/>
      <c r="AG130" s="6187"/>
      <c r="AH130" s="6314" t="s">
        <v>810</v>
      </c>
      <c r="AI130" s="6315"/>
      <c r="AJ130" s="6315"/>
      <c r="AK130" s="6316"/>
      <c r="AL130" s="6249" t="s">
        <v>36</v>
      </c>
      <c r="AM130" s="6243" t="s">
        <v>37</v>
      </c>
    </row>
    <row r="131" spans="1:95" x14ac:dyDescent="0.3">
      <c r="A131" s="5776"/>
      <c r="B131" s="5759"/>
      <c r="C131" s="5851"/>
      <c r="D131" s="5851"/>
      <c r="E131" s="5851"/>
      <c r="F131" s="6149" t="s">
        <v>44</v>
      </c>
      <c r="G131" s="6149"/>
      <c r="H131" s="6149" t="s">
        <v>45</v>
      </c>
      <c r="I131" s="6149"/>
      <c r="J131" s="6149" t="s">
        <v>46</v>
      </c>
      <c r="K131" s="6149"/>
      <c r="L131" s="6149" t="s">
        <v>47</v>
      </c>
      <c r="M131" s="6149"/>
      <c r="N131" s="6149" t="s">
        <v>48</v>
      </c>
      <c r="O131" s="6149"/>
      <c r="P131" s="6149" t="s">
        <v>49</v>
      </c>
      <c r="Q131" s="6149"/>
      <c r="R131" s="6149" t="s">
        <v>50</v>
      </c>
      <c r="S131" s="6149"/>
      <c r="T131" s="6149" t="s">
        <v>51</v>
      </c>
      <c r="U131" s="6149"/>
      <c r="V131" s="6149" t="s">
        <v>52</v>
      </c>
      <c r="W131" s="6149"/>
      <c r="X131" s="6149" t="s">
        <v>53</v>
      </c>
      <c r="Y131" s="6149"/>
      <c r="Z131" s="6137" t="s">
        <v>54</v>
      </c>
      <c r="AA131" s="6183"/>
      <c r="AB131" s="6137" t="s">
        <v>55</v>
      </c>
      <c r="AC131" s="6183"/>
      <c r="AD131" s="6137" t="s">
        <v>56</v>
      </c>
      <c r="AE131" s="6183"/>
      <c r="AF131" s="6137" t="s">
        <v>57</v>
      </c>
      <c r="AG131" s="6187"/>
      <c r="AH131" s="6249" t="s">
        <v>811</v>
      </c>
      <c r="AI131" s="6213" t="s">
        <v>812</v>
      </c>
      <c r="AJ131" s="6213" t="s">
        <v>813</v>
      </c>
      <c r="AK131" s="6250" t="s">
        <v>814</v>
      </c>
      <c r="AL131" s="5766"/>
      <c r="AM131" s="5759"/>
    </row>
    <row r="132" spans="1:95" ht="18.75" customHeight="1" x14ac:dyDescent="0.3">
      <c r="A132" s="5796"/>
      <c r="B132" s="5760"/>
      <c r="C132" s="468" t="s">
        <v>79</v>
      </c>
      <c r="D132" s="555" t="s">
        <v>58</v>
      </c>
      <c r="E132" s="465" t="s">
        <v>59</v>
      </c>
      <c r="F132" s="464" t="s">
        <v>58</v>
      </c>
      <c r="G132" s="487" t="s">
        <v>59</v>
      </c>
      <c r="H132" s="464" t="s">
        <v>58</v>
      </c>
      <c r="I132" s="487" t="s">
        <v>59</v>
      </c>
      <c r="J132" s="464" t="s">
        <v>58</v>
      </c>
      <c r="K132" s="487" t="s">
        <v>59</v>
      </c>
      <c r="L132" s="464" t="s">
        <v>58</v>
      </c>
      <c r="M132" s="487" t="s">
        <v>59</v>
      </c>
      <c r="N132" s="464" t="s">
        <v>58</v>
      </c>
      <c r="O132" s="487" t="s">
        <v>59</v>
      </c>
      <c r="P132" s="464" t="s">
        <v>58</v>
      </c>
      <c r="Q132" s="487" t="s">
        <v>59</v>
      </c>
      <c r="R132" s="464" t="s">
        <v>58</v>
      </c>
      <c r="S132" s="487" t="s">
        <v>59</v>
      </c>
      <c r="T132" s="464" t="s">
        <v>58</v>
      </c>
      <c r="U132" s="487" t="s">
        <v>59</v>
      </c>
      <c r="V132" s="464" t="s">
        <v>58</v>
      </c>
      <c r="W132" s="487" t="s">
        <v>59</v>
      </c>
      <c r="X132" s="464" t="s">
        <v>58</v>
      </c>
      <c r="Y132" s="487" t="s">
        <v>59</v>
      </c>
      <c r="Z132" s="464" t="s">
        <v>58</v>
      </c>
      <c r="AA132" s="487" t="s">
        <v>59</v>
      </c>
      <c r="AB132" s="464" t="s">
        <v>58</v>
      </c>
      <c r="AC132" s="487" t="s">
        <v>59</v>
      </c>
      <c r="AD132" s="464" t="s">
        <v>58</v>
      </c>
      <c r="AE132" s="487" t="s">
        <v>59</v>
      </c>
      <c r="AF132" s="464" t="s">
        <v>58</v>
      </c>
      <c r="AG132" s="593" t="s">
        <v>59</v>
      </c>
      <c r="AH132" s="5767"/>
      <c r="AI132" s="5818"/>
      <c r="AJ132" s="5818"/>
      <c r="AK132" s="6251"/>
      <c r="AL132" s="5767"/>
      <c r="AM132" s="5760"/>
    </row>
    <row r="133" spans="1:95" x14ac:dyDescent="0.3">
      <c r="A133" s="6305" t="s">
        <v>815</v>
      </c>
      <c r="B133" s="6306"/>
      <c r="C133" s="511">
        <f>SUM(D133:E133)</f>
        <v>0</v>
      </c>
      <c r="D133" s="512">
        <f>SUM(F133+H133+J133+L133+N133+P133+R133+T133+V133+X133+Z133+AB133+AD133+AF133)</f>
        <v>0</v>
      </c>
      <c r="E133" s="586">
        <f>SUM(G133+I133+K133+M133+O133+Q133+S133+U133+W133+Y133+AA133+AC133+AE133+AG133)</f>
        <v>0</v>
      </c>
      <c r="F133" s="474"/>
      <c r="G133" s="576"/>
      <c r="H133" s="474"/>
      <c r="I133" s="576"/>
      <c r="J133" s="474"/>
      <c r="K133" s="576"/>
      <c r="L133" s="474"/>
      <c r="M133" s="576"/>
      <c r="N133" s="474"/>
      <c r="O133" s="576"/>
      <c r="P133" s="474"/>
      <c r="Q133" s="576"/>
      <c r="R133" s="474"/>
      <c r="S133" s="576"/>
      <c r="T133" s="474"/>
      <c r="U133" s="576"/>
      <c r="V133" s="474"/>
      <c r="W133" s="576"/>
      <c r="X133" s="474"/>
      <c r="Y133" s="576"/>
      <c r="Z133" s="474"/>
      <c r="AA133" s="576"/>
      <c r="AB133" s="474"/>
      <c r="AC133" s="576"/>
      <c r="AD133" s="474"/>
      <c r="AE133" s="576"/>
      <c r="AF133" s="474"/>
      <c r="AG133" s="476"/>
      <c r="AH133" s="497"/>
      <c r="AI133" s="494"/>
      <c r="AJ133" s="494"/>
      <c r="AK133" s="476"/>
      <c r="AL133" s="497"/>
      <c r="AM133" s="475"/>
      <c r="AN133" t="str">
        <f>CB133&amp;CC133&amp;CA133</f>
        <v/>
      </c>
      <c r="CA133" s="3024" t="str">
        <f>IF(OR(AH133+AI133+AJ133+AK133&gt;C133,)," ** La suma de Causal de Egresos no deben ser mayor que el Total Ambos Sexos","")</f>
        <v/>
      </c>
      <c r="CB133" s="135" t="str">
        <f>IF(AND($C133&gt;0,AL133=""),"  * No olvide digitar la variable Pueblos originarios. Digite Cero si no tiene.",IF(AL133&gt;$C133,"  * La variable Pueblos originarios No puede ser mayor al Total.",""))</f>
        <v/>
      </c>
      <c r="CC133" s="135" t="str">
        <f>IF(AND($C133&gt;0,AM133="")," * No olvide digitar la variable Migrantes. Digite Cero si no tiene.",IF(AM133&gt;$C133," * La variable Migrantes No puede ser mayor al Total.",""))</f>
        <v/>
      </c>
      <c r="CO133" s="1901">
        <f>IF((AH133+AI133+AJ133+AK133)&gt;$C133,1,0)</f>
        <v>0</v>
      </c>
      <c r="CP133" s="1901">
        <f t="shared" ref="CP133:CP141" si="102">IF(AND($C133&gt;0,AL133=""),1,IF(AL133&gt;$C133,1,0))</f>
        <v>0</v>
      </c>
      <c r="CQ133" s="1901">
        <f t="shared" ref="CQ133:CQ141" si="103">IF(AND($C133&gt;0,AM133=""),1,IF(AM133&gt;$C133,1,0))</f>
        <v>0</v>
      </c>
    </row>
    <row r="134" spans="1:95" x14ac:dyDescent="0.3">
      <c r="A134" s="6185" t="s">
        <v>799</v>
      </c>
      <c r="B134" s="492" t="s">
        <v>800</v>
      </c>
      <c r="C134" s="300">
        <f t="shared" ref="C134:C141" si="104">SUM(D134:E134)</f>
        <v>0</v>
      </c>
      <c r="D134" s="587">
        <f t="shared" ref="D134:E140" si="105">SUM(F134+H134+J134+L134+N134+P134+R134+T134+V134+X134+Z134+AB134+AD134+AF134)</f>
        <v>0</v>
      </c>
      <c r="E134" s="588">
        <f t="shared" si="105"/>
        <v>0</v>
      </c>
      <c r="F134" s="474"/>
      <c r="G134" s="576"/>
      <c r="H134" s="474"/>
      <c r="I134" s="576"/>
      <c r="J134" s="474"/>
      <c r="K134" s="576"/>
      <c r="L134" s="474"/>
      <c r="M134" s="576"/>
      <c r="N134" s="474"/>
      <c r="O134" s="576"/>
      <c r="P134" s="474"/>
      <c r="Q134" s="576"/>
      <c r="R134" s="474"/>
      <c r="S134" s="576"/>
      <c r="T134" s="474"/>
      <c r="U134" s="576"/>
      <c r="V134" s="474"/>
      <c r="W134" s="576"/>
      <c r="X134" s="474"/>
      <c r="Y134" s="576"/>
      <c r="Z134" s="474"/>
      <c r="AA134" s="576"/>
      <c r="AB134" s="474"/>
      <c r="AC134" s="576"/>
      <c r="AD134" s="474"/>
      <c r="AE134" s="576"/>
      <c r="AF134" s="474"/>
      <c r="AG134" s="476"/>
      <c r="AH134" s="497"/>
      <c r="AI134" s="494"/>
      <c r="AJ134" s="494"/>
      <c r="AK134" s="476"/>
      <c r="AL134" s="497"/>
      <c r="AM134" s="475"/>
      <c r="AN134" t="str">
        <f>CB134&amp;CC134&amp;CA134</f>
        <v/>
      </c>
      <c r="CA134" s="3024" t="str">
        <f t="shared" ref="CA134:CA141" si="106">IF(OR(AH134+AI134+AJ134+AK134&gt;C134,)," ** La suma de Causal de Egresos no deben ser mayor que el Total Ambos Sexos","")</f>
        <v/>
      </c>
      <c r="CB134" s="135" t="str">
        <f t="shared" ref="CB134:CB141" si="107">IF(AND($C134&gt;0,AL134=""),"  * No olvide digitar la variable Pueblos originarios. Digite Cero si no tiene.",IF(AL134&gt;$C134,"  * La variable Pueblos originarios No puede ser mayor al Total.",""))</f>
        <v/>
      </c>
      <c r="CC134" s="135" t="str">
        <f t="shared" ref="CC134:CC141" si="108">IF(AND($C134&gt;0,AM134="")," * No olvide digitar la variable Migrantes. Digite Cero si no tiene.",IF(AM134&gt;$C134," * La variable Migrantes No puede ser mayor al Total.",""))</f>
        <v/>
      </c>
      <c r="CO134" s="1901">
        <f t="shared" ref="CO134:CO141" si="109">IF((AH134+AI134+AJ134+AK134)&gt;$C134,1,0)</f>
        <v>0</v>
      </c>
      <c r="CP134" s="1901">
        <f t="shared" si="102"/>
        <v>0</v>
      </c>
      <c r="CQ134" s="1901">
        <f t="shared" si="103"/>
        <v>0</v>
      </c>
    </row>
    <row r="135" spans="1:95" x14ac:dyDescent="0.3">
      <c r="A135" s="5844"/>
      <c r="B135" s="358" t="s">
        <v>801</v>
      </c>
      <c r="C135" s="478">
        <f t="shared" si="104"/>
        <v>0</v>
      </c>
      <c r="D135" s="589">
        <f t="shared" si="105"/>
        <v>0</v>
      </c>
      <c r="E135" s="560">
        <f t="shared" si="105"/>
        <v>0</v>
      </c>
      <c r="F135" s="346"/>
      <c r="G135" s="347"/>
      <c r="H135" s="346"/>
      <c r="I135" s="347"/>
      <c r="J135" s="346"/>
      <c r="K135" s="347"/>
      <c r="L135" s="346"/>
      <c r="M135" s="347"/>
      <c r="N135" s="346"/>
      <c r="O135" s="347"/>
      <c r="P135" s="346"/>
      <c r="Q135" s="347"/>
      <c r="R135" s="346"/>
      <c r="S135" s="347"/>
      <c r="T135" s="346"/>
      <c r="U135" s="347"/>
      <c r="V135" s="346"/>
      <c r="W135" s="347"/>
      <c r="X135" s="346"/>
      <c r="Y135" s="347"/>
      <c r="Z135" s="346"/>
      <c r="AA135" s="347"/>
      <c r="AB135" s="346"/>
      <c r="AC135" s="347"/>
      <c r="AD135" s="346"/>
      <c r="AE135" s="347"/>
      <c r="AF135" s="346"/>
      <c r="AG135" s="481"/>
      <c r="AH135" s="430"/>
      <c r="AI135" s="369"/>
      <c r="AJ135" s="369"/>
      <c r="AK135" s="481"/>
      <c r="AL135" s="430"/>
      <c r="AM135" s="347"/>
      <c r="AN135" t="str">
        <f>CB135&amp;CC135&amp;CA135</f>
        <v/>
      </c>
      <c r="CA135" s="3024" t="str">
        <f t="shared" si="106"/>
        <v/>
      </c>
      <c r="CB135" s="135" t="str">
        <f t="shared" si="107"/>
        <v/>
      </c>
      <c r="CC135" s="135" t="str">
        <f t="shared" si="108"/>
        <v/>
      </c>
      <c r="CO135" s="1901">
        <f t="shared" si="109"/>
        <v>0</v>
      </c>
      <c r="CP135" s="1901">
        <f t="shared" si="102"/>
        <v>0</v>
      </c>
      <c r="CQ135" s="1901">
        <f t="shared" si="103"/>
        <v>0</v>
      </c>
    </row>
    <row r="136" spans="1:95" x14ac:dyDescent="0.3">
      <c r="A136" s="5844"/>
      <c r="B136" s="358" t="s">
        <v>802</v>
      </c>
      <c r="C136" s="478">
        <f t="shared" si="104"/>
        <v>0</v>
      </c>
      <c r="D136" s="589">
        <f t="shared" si="105"/>
        <v>0</v>
      </c>
      <c r="E136" s="560">
        <f t="shared" si="105"/>
        <v>0</v>
      </c>
      <c r="F136" s="346"/>
      <c r="G136" s="347"/>
      <c r="H136" s="346"/>
      <c r="I136" s="347"/>
      <c r="J136" s="346"/>
      <c r="K136" s="347"/>
      <c r="L136" s="346"/>
      <c r="M136" s="347"/>
      <c r="N136" s="346"/>
      <c r="O136" s="347"/>
      <c r="P136" s="346"/>
      <c r="Q136" s="347"/>
      <c r="R136" s="346"/>
      <c r="S136" s="347"/>
      <c r="T136" s="346"/>
      <c r="U136" s="347"/>
      <c r="V136" s="346"/>
      <c r="W136" s="347"/>
      <c r="X136" s="346"/>
      <c r="Y136" s="347"/>
      <c r="Z136" s="346"/>
      <c r="AA136" s="347"/>
      <c r="AB136" s="346"/>
      <c r="AC136" s="347"/>
      <c r="AD136" s="346"/>
      <c r="AE136" s="347"/>
      <c r="AF136" s="346"/>
      <c r="AG136" s="481"/>
      <c r="AH136" s="430"/>
      <c r="AI136" s="369"/>
      <c r="AJ136" s="369"/>
      <c r="AK136" s="481"/>
      <c r="AL136" s="430"/>
      <c r="AM136" s="347"/>
      <c r="AN136" t="str">
        <f>CB136&amp;CC136&amp;CA136</f>
        <v/>
      </c>
      <c r="CA136" s="3024" t="str">
        <f t="shared" si="106"/>
        <v/>
      </c>
      <c r="CB136" s="135" t="str">
        <f t="shared" si="107"/>
        <v/>
      </c>
      <c r="CC136" s="135" t="str">
        <f t="shared" si="108"/>
        <v/>
      </c>
      <c r="CO136" s="1901">
        <f t="shared" si="109"/>
        <v>0</v>
      </c>
      <c r="CP136" s="1901">
        <f t="shared" si="102"/>
        <v>0</v>
      </c>
      <c r="CQ136" s="1901">
        <f t="shared" si="103"/>
        <v>0</v>
      </c>
    </row>
    <row r="137" spans="1:95" ht="22.5" customHeight="1" x14ac:dyDescent="0.3">
      <c r="A137" s="5844"/>
      <c r="B137" s="357" t="s">
        <v>816</v>
      </c>
      <c r="C137" s="478">
        <f t="shared" si="104"/>
        <v>0</v>
      </c>
      <c r="D137" s="589">
        <f t="shared" si="105"/>
        <v>0</v>
      </c>
      <c r="E137" s="560">
        <f t="shared" si="105"/>
        <v>0</v>
      </c>
      <c r="F137" s="346"/>
      <c r="G137" s="347"/>
      <c r="H137" s="346"/>
      <c r="I137" s="347"/>
      <c r="J137" s="346"/>
      <c r="K137" s="347"/>
      <c r="L137" s="346"/>
      <c r="M137" s="347"/>
      <c r="N137" s="346"/>
      <c r="O137" s="347"/>
      <c r="P137" s="346"/>
      <c r="Q137" s="347"/>
      <c r="R137" s="346"/>
      <c r="S137" s="347"/>
      <c r="T137" s="346"/>
      <c r="U137" s="347"/>
      <c r="V137" s="346"/>
      <c r="W137" s="347"/>
      <c r="X137" s="346"/>
      <c r="Y137" s="347"/>
      <c r="Z137" s="346"/>
      <c r="AA137" s="347"/>
      <c r="AB137" s="346"/>
      <c r="AC137" s="347"/>
      <c r="AD137" s="346"/>
      <c r="AE137" s="347"/>
      <c r="AF137" s="346"/>
      <c r="AG137" s="481"/>
      <c r="AH137" s="430"/>
      <c r="AI137" s="369"/>
      <c r="AJ137" s="369"/>
      <c r="AK137" s="481"/>
      <c r="AL137" s="430"/>
      <c r="AM137" s="347"/>
      <c r="AN137" t="str">
        <f>CB137&amp;CC137&amp;CA137</f>
        <v/>
      </c>
      <c r="CA137" s="3024" t="str">
        <f t="shared" si="106"/>
        <v/>
      </c>
      <c r="CB137" s="135" t="str">
        <f t="shared" si="107"/>
        <v/>
      </c>
      <c r="CC137" s="135" t="str">
        <f t="shared" si="108"/>
        <v/>
      </c>
      <c r="CO137" s="1901">
        <f t="shared" si="109"/>
        <v>0</v>
      </c>
      <c r="CP137" s="1901">
        <f t="shared" si="102"/>
        <v>0</v>
      </c>
      <c r="CQ137" s="1901">
        <f t="shared" si="103"/>
        <v>0</v>
      </c>
    </row>
    <row r="138" spans="1:95" ht="24.6" customHeight="1" x14ac:dyDescent="0.3">
      <c r="A138" s="5844"/>
      <c r="B138" s="357" t="s">
        <v>804</v>
      </c>
      <c r="C138" s="478">
        <f t="shared" ref="C138" si="110">SUM(D138:E138)</f>
        <v>0</v>
      </c>
      <c r="D138" s="589">
        <f t="shared" ref="D138" si="111">SUM(F138+H138+J138+L138+N138+P138+R138+T138+V138+X138+Z138+AB138+AD138+AF138)</f>
        <v>0</v>
      </c>
      <c r="E138" s="560">
        <f t="shared" ref="E138" si="112">SUM(G138+I138+K138+M138+O138+Q138+S138+U138+W138+Y138+AA138+AC138+AE138+AG138)</f>
        <v>0</v>
      </c>
      <c r="F138" s="192"/>
      <c r="G138" s="2"/>
      <c r="H138" s="192"/>
      <c r="I138" s="2"/>
      <c r="J138" s="192"/>
      <c r="K138" s="2"/>
      <c r="L138" s="192"/>
      <c r="M138" s="2"/>
      <c r="N138" s="192"/>
      <c r="O138" s="2"/>
      <c r="P138" s="192"/>
      <c r="Q138" s="2"/>
      <c r="R138" s="192"/>
      <c r="S138" s="2"/>
      <c r="T138" s="192"/>
      <c r="U138" s="2"/>
      <c r="V138" s="192"/>
      <c r="W138" s="2"/>
      <c r="X138" s="192"/>
      <c r="Y138" s="2"/>
      <c r="Z138" s="192"/>
      <c r="AA138" s="2"/>
      <c r="AB138" s="192"/>
      <c r="AC138" s="2"/>
      <c r="AD138" s="192"/>
      <c r="AE138" s="2"/>
      <c r="AF138" s="192"/>
      <c r="AG138" s="376"/>
      <c r="AH138" s="377"/>
      <c r="AI138" s="594"/>
      <c r="AJ138" s="594"/>
      <c r="AK138" s="376"/>
      <c r="AL138" s="377"/>
      <c r="AM138" s="2"/>
      <c r="CA138" s="3024" t="str">
        <f t="shared" si="106"/>
        <v/>
      </c>
      <c r="CB138" s="135" t="str">
        <f t="shared" si="107"/>
        <v/>
      </c>
      <c r="CC138" s="135" t="str">
        <f t="shared" si="108"/>
        <v/>
      </c>
      <c r="CO138" s="1901">
        <f t="shared" si="109"/>
        <v>0</v>
      </c>
      <c r="CP138" s="1901">
        <f t="shared" si="102"/>
        <v>0</v>
      </c>
      <c r="CQ138" s="1901">
        <f t="shared" si="103"/>
        <v>0</v>
      </c>
    </row>
    <row r="139" spans="1:95" x14ac:dyDescent="0.3">
      <c r="A139" s="5844"/>
      <c r="B139" s="357" t="s">
        <v>805</v>
      </c>
      <c r="C139" s="478">
        <f t="shared" si="104"/>
        <v>0</v>
      </c>
      <c r="D139" s="589">
        <f t="shared" si="105"/>
        <v>0</v>
      </c>
      <c r="E139" s="560">
        <f t="shared" si="105"/>
        <v>0</v>
      </c>
      <c r="F139" s="192"/>
      <c r="G139" s="2"/>
      <c r="H139" s="192"/>
      <c r="I139" s="2"/>
      <c r="J139" s="192"/>
      <c r="K139" s="2"/>
      <c r="L139" s="192"/>
      <c r="M139" s="2"/>
      <c r="N139" s="192"/>
      <c r="O139" s="2"/>
      <c r="P139" s="192"/>
      <c r="Q139" s="2"/>
      <c r="R139" s="192"/>
      <c r="S139" s="2"/>
      <c r="T139" s="192"/>
      <c r="U139" s="2"/>
      <c r="V139" s="192"/>
      <c r="W139" s="2"/>
      <c r="X139" s="192"/>
      <c r="Y139" s="2"/>
      <c r="Z139" s="192"/>
      <c r="AA139" s="2"/>
      <c r="AB139" s="192"/>
      <c r="AC139" s="2"/>
      <c r="AD139" s="192"/>
      <c r="AE139" s="2"/>
      <c r="AF139" s="192"/>
      <c r="AG139" s="376"/>
      <c r="AH139" s="377"/>
      <c r="AI139" s="594"/>
      <c r="AJ139" s="594"/>
      <c r="AK139" s="376"/>
      <c r="AL139" s="377"/>
      <c r="AM139" s="2"/>
      <c r="AN139" t="str">
        <f>CB139&amp;CC139&amp;CA139</f>
        <v/>
      </c>
      <c r="CA139" s="3024" t="str">
        <f t="shared" si="106"/>
        <v/>
      </c>
      <c r="CB139" s="135" t="str">
        <f t="shared" si="107"/>
        <v/>
      </c>
      <c r="CC139" s="135" t="str">
        <f t="shared" si="108"/>
        <v/>
      </c>
      <c r="CO139" s="1901">
        <f t="shared" si="109"/>
        <v>0</v>
      </c>
      <c r="CP139" s="1901">
        <f t="shared" si="102"/>
        <v>0</v>
      </c>
      <c r="CQ139" s="1901">
        <f t="shared" si="103"/>
        <v>0</v>
      </c>
    </row>
    <row r="140" spans="1:95" x14ac:dyDescent="0.3">
      <c r="A140" s="5844"/>
      <c r="B140" s="196" t="s">
        <v>806</v>
      </c>
      <c r="C140" s="478">
        <f t="shared" si="104"/>
        <v>0</v>
      </c>
      <c r="D140" s="589">
        <f t="shared" si="105"/>
        <v>0</v>
      </c>
      <c r="E140" s="560">
        <f t="shared" si="105"/>
        <v>0</v>
      </c>
      <c r="F140" s="192"/>
      <c r="G140" s="2"/>
      <c r="H140" s="192"/>
      <c r="I140" s="2"/>
      <c r="J140" s="192"/>
      <c r="K140" s="2"/>
      <c r="L140" s="192"/>
      <c r="M140" s="2"/>
      <c r="N140" s="192"/>
      <c r="O140" s="2"/>
      <c r="P140" s="192"/>
      <c r="Q140" s="2"/>
      <c r="R140" s="192"/>
      <c r="S140" s="2"/>
      <c r="T140" s="192"/>
      <c r="U140" s="2"/>
      <c r="V140" s="192"/>
      <c r="W140" s="2"/>
      <c r="X140" s="192"/>
      <c r="Y140" s="2"/>
      <c r="Z140" s="192"/>
      <c r="AA140" s="2"/>
      <c r="AB140" s="192"/>
      <c r="AC140" s="2"/>
      <c r="AD140" s="192"/>
      <c r="AE140" s="2"/>
      <c r="AF140" s="192"/>
      <c r="AG140" s="376"/>
      <c r="AH140" s="377"/>
      <c r="AI140" s="594"/>
      <c r="AJ140" s="594"/>
      <c r="AK140" s="376"/>
      <c r="AL140" s="377"/>
      <c r="AM140" s="2"/>
      <c r="AN140" t="str">
        <f>CB140&amp;CC140&amp;CA140</f>
        <v/>
      </c>
      <c r="CA140" s="3024" t="str">
        <f t="shared" si="106"/>
        <v/>
      </c>
      <c r="CB140" s="135" t="str">
        <f t="shared" si="107"/>
        <v/>
      </c>
      <c r="CC140" s="135" t="str">
        <f t="shared" si="108"/>
        <v/>
      </c>
      <c r="CO140" s="1901">
        <f t="shared" si="109"/>
        <v>0</v>
      </c>
      <c r="CP140" s="1901">
        <f t="shared" si="102"/>
        <v>0</v>
      </c>
      <c r="CQ140" s="1901">
        <f t="shared" si="103"/>
        <v>0</v>
      </c>
    </row>
    <row r="141" spans="1:95" x14ac:dyDescent="0.3">
      <c r="A141" s="5791"/>
      <c r="B141" s="519" t="s">
        <v>807</v>
      </c>
      <c r="C141" s="483">
        <f t="shared" si="104"/>
        <v>0</v>
      </c>
      <c r="D141" s="595">
        <f>SUM(V141+X141+Z141+AB141+AD141+AF141)</f>
        <v>0</v>
      </c>
      <c r="E141" s="563">
        <f>SUM(W141+Y141+AA141+AC141+AE141+AG141)</f>
        <v>0</v>
      </c>
      <c r="F141" s="1741"/>
      <c r="G141" s="1742"/>
      <c r="H141" s="1741"/>
      <c r="I141" s="1742"/>
      <c r="J141" s="1741"/>
      <c r="K141" s="1742"/>
      <c r="L141" s="1741"/>
      <c r="M141" s="1742"/>
      <c r="N141" s="1741"/>
      <c r="O141" s="1742"/>
      <c r="P141" s="1741"/>
      <c r="Q141" s="1742"/>
      <c r="R141" s="1741"/>
      <c r="S141" s="1742"/>
      <c r="T141" s="1741"/>
      <c r="U141" s="1742"/>
      <c r="V141" s="380"/>
      <c r="W141" s="388"/>
      <c r="X141" s="380"/>
      <c r="Y141" s="388"/>
      <c r="Z141" s="380"/>
      <c r="AA141" s="388"/>
      <c r="AB141" s="380"/>
      <c r="AC141" s="388"/>
      <c r="AD141" s="380"/>
      <c r="AE141" s="388"/>
      <c r="AF141" s="380"/>
      <c r="AG141" s="392"/>
      <c r="AH141" s="379"/>
      <c r="AI141" s="372"/>
      <c r="AJ141" s="372"/>
      <c r="AK141" s="392"/>
      <c r="AL141" s="379"/>
      <c r="AM141" s="388"/>
      <c r="AN141" t="str">
        <f>CB141&amp;CC141&amp;CA141</f>
        <v/>
      </c>
      <c r="CA141" s="3024" t="str">
        <f t="shared" si="106"/>
        <v/>
      </c>
      <c r="CB141" s="135" t="str">
        <f t="shared" si="107"/>
        <v/>
      </c>
      <c r="CC141" s="135" t="str">
        <f t="shared" si="108"/>
        <v/>
      </c>
      <c r="CO141" s="1901">
        <f t="shared" si="109"/>
        <v>0</v>
      </c>
      <c r="CP141" s="1901">
        <f t="shared" si="102"/>
        <v>0</v>
      </c>
      <c r="CQ141" s="1901">
        <f t="shared" si="103"/>
        <v>0</v>
      </c>
    </row>
    <row r="142" spans="1:95" s="6" customFormat="1" ht="18" customHeight="1" x14ac:dyDescent="0.25">
      <c r="A142" s="298" t="s">
        <v>817</v>
      </c>
      <c r="B142" s="298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</row>
    <row r="143" spans="1:95" ht="15" customHeight="1" x14ac:dyDescent="0.3">
      <c r="A143" s="5944" t="s">
        <v>285</v>
      </c>
      <c r="B143" s="6243"/>
      <c r="C143" s="5944" t="s">
        <v>839</v>
      </c>
      <c r="D143" s="6242"/>
      <c r="E143" s="6243"/>
      <c r="F143" s="6137" t="s">
        <v>101</v>
      </c>
      <c r="G143" s="6188"/>
      <c r="H143" s="6188"/>
      <c r="I143" s="6188"/>
      <c r="J143" s="6188"/>
      <c r="K143" s="6188"/>
      <c r="L143" s="6188"/>
      <c r="M143" s="6188"/>
      <c r="N143" s="6188"/>
      <c r="O143" s="6188"/>
      <c r="P143" s="6188"/>
      <c r="Q143" s="6188"/>
      <c r="R143" s="6188"/>
      <c r="S143" s="6188"/>
      <c r="T143" s="6188"/>
      <c r="U143" s="6188"/>
      <c r="V143" s="6188"/>
      <c r="W143" s="6188"/>
      <c r="X143" s="6188"/>
      <c r="Y143" s="6188"/>
      <c r="Z143" s="6188"/>
      <c r="AA143" s="6188"/>
      <c r="AB143" s="6188"/>
      <c r="AC143" s="6188"/>
      <c r="AD143" s="6188"/>
      <c r="AE143" s="6188"/>
      <c r="AF143" s="6188"/>
      <c r="AG143" s="6188"/>
      <c r="AH143" s="6188"/>
      <c r="AI143" s="6188"/>
      <c r="AJ143" s="6188"/>
      <c r="AK143" s="6188"/>
      <c r="AL143" s="6188"/>
      <c r="AM143" s="6187"/>
      <c r="AN143" s="6273" t="s">
        <v>810</v>
      </c>
      <c r="AO143" s="6274"/>
      <c r="AP143" s="6275"/>
      <c r="AQ143" s="6249" t="s">
        <v>36</v>
      </c>
      <c r="AR143" s="6243" t="s">
        <v>37</v>
      </c>
    </row>
    <row r="144" spans="1:95" ht="15" customHeight="1" x14ac:dyDescent="0.3">
      <c r="A144" s="5776"/>
      <c r="B144" s="5759"/>
      <c r="C144" s="5776"/>
      <c r="D144" s="5777"/>
      <c r="E144" s="5759"/>
      <c r="F144" s="6137" t="s">
        <v>790</v>
      </c>
      <c r="G144" s="6183"/>
      <c r="H144" s="6137" t="s">
        <v>791</v>
      </c>
      <c r="I144" s="6183"/>
      <c r="J144" s="6137" t="s">
        <v>43</v>
      </c>
      <c r="K144" s="6183"/>
      <c r="L144" s="6137" t="s">
        <v>44</v>
      </c>
      <c r="M144" s="6183"/>
      <c r="N144" s="6149" t="s">
        <v>45</v>
      </c>
      <c r="O144" s="6149"/>
      <c r="P144" s="6149" t="s">
        <v>46</v>
      </c>
      <c r="Q144" s="6149"/>
      <c r="R144" s="6149" t="s">
        <v>47</v>
      </c>
      <c r="S144" s="6149"/>
      <c r="T144" s="6149" t="s">
        <v>48</v>
      </c>
      <c r="U144" s="6149"/>
      <c r="V144" s="6149" t="s">
        <v>49</v>
      </c>
      <c r="W144" s="6149"/>
      <c r="X144" s="6149" t="s">
        <v>50</v>
      </c>
      <c r="Y144" s="6149"/>
      <c r="Z144" s="6149" t="s">
        <v>51</v>
      </c>
      <c r="AA144" s="6149"/>
      <c r="AB144" s="6149" t="s">
        <v>52</v>
      </c>
      <c r="AC144" s="6149"/>
      <c r="AD144" s="6149" t="s">
        <v>53</v>
      </c>
      <c r="AE144" s="6149"/>
      <c r="AF144" s="6137" t="s">
        <v>54</v>
      </c>
      <c r="AG144" s="6183"/>
      <c r="AH144" s="6137" t="s">
        <v>55</v>
      </c>
      <c r="AI144" s="6183"/>
      <c r="AJ144" s="6137" t="s">
        <v>56</v>
      </c>
      <c r="AK144" s="6183"/>
      <c r="AL144" s="6137" t="s">
        <v>57</v>
      </c>
      <c r="AM144" s="6187"/>
      <c r="AN144" s="6249" t="s">
        <v>818</v>
      </c>
      <c r="AO144" s="6213" t="s">
        <v>819</v>
      </c>
      <c r="AP144" s="6250" t="s">
        <v>813</v>
      </c>
      <c r="AQ144" s="5766"/>
      <c r="AR144" s="5759"/>
    </row>
    <row r="145" spans="1:95" ht="15" customHeight="1" x14ac:dyDescent="0.3">
      <c r="A145" s="5796"/>
      <c r="B145" s="5760"/>
      <c r="C145" s="468" t="s">
        <v>79</v>
      </c>
      <c r="D145" s="555" t="s">
        <v>58</v>
      </c>
      <c r="E145" s="465" t="s">
        <v>59</v>
      </c>
      <c r="F145" s="464" t="s">
        <v>58</v>
      </c>
      <c r="G145" s="487" t="s">
        <v>59</v>
      </c>
      <c r="H145" s="464" t="s">
        <v>58</v>
      </c>
      <c r="I145" s="487" t="s">
        <v>59</v>
      </c>
      <c r="J145" s="464" t="s">
        <v>58</v>
      </c>
      <c r="K145" s="487" t="s">
        <v>59</v>
      </c>
      <c r="L145" s="464" t="s">
        <v>58</v>
      </c>
      <c r="M145" s="487" t="s">
        <v>59</v>
      </c>
      <c r="N145" s="464" t="s">
        <v>58</v>
      </c>
      <c r="O145" s="487" t="s">
        <v>59</v>
      </c>
      <c r="P145" s="464" t="s">
        <v>58</v>
      </c>
      <c r="Q145" s="487" t="s">
        <v>59</v>
      </c>
      <c r="R145" s="464" t="s">
        <v>58</v>
      </c>
      <c r="S145" s="487" t="s">
        <v>59</v>
      </c>
      <c r="T145" s="464" t="s">
        <v>58</v>
      </c>
      <c r="U145" s="487" t="s">
        <v>59</v>
      </c>
      <c r="V145" s="464" t="s">
        <v>58</v>
      </c>
      <c r="W145" s="487" t="s">
        <v>59</v>
      </c>
      <c r="X145" s="464" t="s">
        <v>58</v>
      </c>
      <c r="Y145" s="487" t="s">
        <v>59</v>
      </c>
      <c r="Z145" s="464" t="s">
        <v>58</v>
      </c>
      <c r="AA145" s="487" t="s">
        <v>59</v>
      </c>
      <c r="AB145" s="464" t="s">
        <v>58</v>
      </c>
      <c r="AC145" s="487" t="s">
        <v>59</v>
      </c>
      <c r="AD145" s="464" t="s">
        <v>58</v>
      </c>
      <c r="AE145" s="487" t="s">
        <v>59</v>
      </c>
      <c r="AF145" s="464" t="s">
        <v>58</v>
      </c>
      <c r="AG145" s="487" t="s">
        <v>59</v>
      </c>
      <c r="AH145" s="464" t="s">
        <v>58</v>
      </c>
      <c r="AI145" s="487" t="s">
        <v>59</v>
      </c>
      <c r="AJ145" s="464" t="s">
        <v>58</v>
      </c>
      <c r="AK145" s="487" t="s">
        <v>59</v>
      </c>
      <c r="AL145" s="464" t="s">
        <v>58</v>
      </c>
      <c r="AM145" s="593" t="s">
        <v>59</v>
      </c>
      <c r="AN145" s="5767"/>
      <c r="AO145" s="5818"/>
      <c r="AP145" s="6251"/>
      <c r="AQ145" s="5767"/>
      <c r="AR145" s="5760"/>
    </row>
    <row r="146" spans="1:95" ht="15" customHeight="1" x14ac:dyDescent="0.3">
      <c r="A146" s="6297" t="s">
        <v>820</v>
      </c>
      <c r="B146" s="6335"/>
      <c r="C146" s="471">
        <f>SUM(D146:E146)</f>
        <v>0</v>
      </c>
      <c r="D146" s="597">
        <f>SUM(F146+H146+J146+L146+N146+P146+R146+T146+V146+X146+Z146+AB146+AD146+AF146+AH146+AJ146+AL146)</f>
        <v>0</v>
      </c>
      <c r="E146" s="598">
        <f>SUM(G146+I146+K146+M146+O146+Q146+S146+U146+W146+Y146+AA146+AC146+AE146+AG146+AI146+AK146+AM146)</f>
        <v>0</v>
      </c>
      <c r="F146" s="474"/>
      <c r="G146" s="576"/>
      <c r="H146" s="474"/>
      <c r="I146" s="576"/>
      <c r="J146" s="474"/>
      <c r="K146" s="576"/>
      <c r="L146" s="474"/>
      <c r="M146" s="576"/>
      <c r="N146" s="474"/>
      <c r="O146" s="576"/>
      <c r="P146" s="474"/>
      <c r="Q146" s="576"/>
      <c r="R146" s="474"/>
      <c r="S146" s="576"/>
      <c r="T146" s="474"/>
      <c r="U146" s="576"/>
      <c r="V146" s="474"/>
      <c r="W146" s="576"/>
      <c r="X146" s="474"/>
      <c r="Y146" s="576"/>
      <c r="Z146" s="474"/>
      <c r="AA146" s="576"/>
      <c r="AB146" s="474"/>
      <c r="AC146" s="576"/>
      <c r="AD146" s="474"/>
      <c r="AE146" s="576"/>
      <c r="AF146" s="474"/>
      <c r="AG146" s="576"/>
      <c r="AH146" s="474"/>
      <c r="AI146" s="576"/>
      <c r="AJ146" s="474"/>
      <c r="AK146" s="576"/>
      <c r="AL146" s="474"/>
      <c r="AM146" s="476"/>
      <c r="AN146" s="497"/>
      <c r="AO146" s="494"/>
      <c r="AP146" s="476"/>
      <c r="AQ146" s="497"/>
      <c r="AR146" s="475"/>
      <c r="AS146" t="str">
        <f>CA146&amp;CB146</f>
        <v/>
      </c>
      <c r="CA146" s="3024"/>
      <c r="CB146" s="135" t="str">
        <f>IF(AND($C146&gt;0,AQ146="")," * No olvide digitar la variable Pueblos originarios. Digite Cero si no tiene.",IF(AQ146&gt;$C146," * La variable Pueblos originarios No puede ser mayor al Total.",""))</f>
        <v/>
      </c>
      <c r="CC146" s="135" t="str">
        <f>IF(AND($C146&gt;0,AR146="")," * No olvide digitar la variable Migrantes. Digite Cero si no tiene.",IF(AR146&gt;$C146," * La variable Migrantes No puede ser mayor al Total.",""))</f>
        <v/>
      </c>
      <c r="CO146" s="1901"/>
      <c r="CP146" s="1901">
        <f>IF(AND($C146&gt;0,AQ146=""),1,IF(AQ146&gt;$C146,1,0))</f>
        <v>0</v>
      </c>
      <c r="CQ146" s="1901">
        <f>IF(AND($C146&gt;0,AR146=""),1,IF(AR146&gt;$C146,1,0))</f>
        <v>0</v>
      </c>
    </row>
    <row r="147" spans="1:95" ht="15" customHeight="1" x14ac:dyDescent="0.3">
      <c r="A147" s="6295" t="s">
        <v>821</v>
      </c>
      <c r="B147" s="6296"/>
      <c r="C147" s="197">
        <f>SUM(D147:E147)</f>
        <v>0</v>
      </c>
      <c r="D147" s="590">
        <f t="shared" ref="D147:E150" si="113">SUM(F147+H147+J147+L147+N147+P147+R147+T147+V147+X147+Z147+AB147+AD147+AF147+AH147+AJ147+AL147)</f>
        <v>0</v>
      </c>
      <c r="E147" s="62">
        <f>SUM(G147+I147+K147+M147+O147+Q147+S147+U147+W147+Y147+AA147+AC147+AE147+AG147+AI147+AK147+AM147)</f>
        <v>0</v>
      </c>
      <c r="F147" s="192"/>
      <c r="G147" s="2"/>
      <c r="H147" s="192"/>
      <c r="I147" s="2"/>
      <c r="J147" s="192"/>
      <c r="K147" s="2"/>
      <c r="L147" s="192"/>
      <c r="M147" s="2"/>
      <c r="N147" s="192"/>
      <c r="O147" s="2"/>
      <c r="P147" s="192"/>
      <c r="Q147" s="2"/>
      <c r="R147" s="192"/>
      <c r="S147" s="2"/>
      <c r="T147" s="192"/>
      <c r="U147" s="2"/>
      <c r="V147" s="192"/>
      <c r="W147" s="2"/>
      <c r="X147" s="192"/>
      <c r="Y147" s="2"/>
      <c r="Z147" s="192"/>
      <c r="AA147" s="2"/>
      <c r="AB147" s="192"/>
      <c r="AC147" s="2"/>
      <c r="AD147" s="192"/>
      <c r="AE147" s="2"/>
      <c r="AF147" s="192"/>
      <c r="AG147" s="2"/>
      <c r="AH147" s="192"/>
      <c r="AI147" s="2"/>
      <c r="AJ147" s="192"/>
      <c r="AK147" s="2"/>
      <c r="AL147" s="192"/>
      <c r="AM147" s="376"/>
      <c r="AN147" s="377"/>
      <c r="AO147" s="594"/>
      <c r="AP147" s="376"/>
      <c r="AQ147" s="377"/>
      <c r="AR147" s="2"/>
      <c r="AS147" t="str">
        <f>CA147&amp;CB147</f>
        <v/>
      </c>
      <c r="CA147" s="3024"/>
      <c r="CB147" s="135" t="str">
        <f t="shared" ref="CB147:CB150" si="114">IF(AND($C147&gt;0,AQ147="")," * No olvide digitar la variable Pueblos originarios. Digite Cero si no tiene.",IF(AQ147&gt;$C147," * La variable Pueblos originarios No puede ser mayor al Total.",""))</f>
        <v/>
      </c>
      <c r="CC147" s="135" t="str">
        <f t="shared" ref="CC147:CC150" si="115">IF(AND($C147&gt;0,AR147="")," * No olvide digitar la variable Migrantes. Digite Cero si no tiene.",IF(AR147&gt;$C147," * La variable Migrantes No puede ser mayor al Total.",""))</f>
        <v/>
      </c>
      <c r="CO147" s="1901"/>
      <c r="CP147" s="1901">
        <f t="shared" ref="CP147:CP150" si="116">IF(AND($C147&gt;0,AQ147=""),1,IF(AQ147&gt;$C147,1,0))</f>
        <v>0</v>
      </c>
      <c r="CQ147" s="1901">
        <f t="shared" ref="CQ147:CQ150" si="117">IF(AND($C147&gt;0,AR147=""),1,IF(AR147&gt;$C147,1,0))</f>
        <v>0</v>
      </c>
    </row>
    <row r="148" spans="1:95" ht="15" customHeight="1" x14ac:dyDescent="0.3">
      <c r="A148" s="6185" t="s">
        <v>822</v>
      </c>
      <c r="B148" s="492" t="s">
        <v>823</v>
      </c>
      <c r="C148" s="471">
        <f>SUM(D148:E148)</f>
        <v>0</v>
      </c>
      <c r="D148" s="597">
        <f t="shared" si="113"/>
        <v>0</v>
      </c>
      <c r="E148" s="598">
        <f t="shared" si="113"/>
        <v>0</v>
      </c>
      <c r="F148" s="474"/>
      <c r="G148" s="576"/>
      <c r="H148" s="474"/>
      <c r="I148" s="576"/>
      <c r="J148" s="474"/>
      <c r="K148" s="576"/>
      <c r="L148" s="474"/>
      <c r="M148" s="576"/>
      <c r="N148" s="474"/>
      <c r="O148" s="576"/>
      <c r="P148" s="474"/>
      <c r="Q148" s="576"/>
      <c r="R148" s="474"/>
      <c r="S148" s="576"/>
      <c r="T148" s="474"/>
      <c r="U148" s="576"/>
      <c r="V148" s="474"/>
      <c r="W148" s="576"/>
      <c r="X148" s="474"/>
      <c r="Y148" s="576"/>
      <c r="Z148" s="474"/>
      <c r="AA148" s="576"/>
      <c r="AB148" s="474"/>
      <c r="AC148" s="576"/>
      <c r="AD148" s="474"/>
      <c r="AE148" s="576"/>
      <c r="AF148" s="474"/>
      <c r="AG148" s="576"/>
      <c r="AH148" s="474"/>
      <c r="AI148" s="576"/>
      <c r="AJ148" s="474"/>
      <c r="AK148" s="576"/>
      <c r="AL148" s="474"/>
      <c r="AM148" s="476"/>
      <c r="AN148" s="497"/>
      <c r="AO148" s="494"/>
      <c r="AP148" s="476"/>
      <c r="AQ148" s="497"/>
      <c r="AR148" s="475"/>
      <c r="AS148" t="str">
        <f>CA148&amp;CB148</f>
        <v/>
      </c>
      <c r="CA148" s="3024"/>
      <c r="CB148" s="135" t="str">
        <f t="shared" si="114"/>
        <v/>
      </c>
      <c r="CC148" s="135" t="str">
        <f t="shared" si="115"/>
        <v/>
      </c>
      <c r="CO148" s="1901"/>
      <c r="CP148" s="1901">
        <f t="shared" si="116"/>
        <v>0</v>
      </c>
      <c r="CQ148" s="1901">
        <f t="shared" si="117"/>
        <v>0</v>
      </c>
    </row>
    <row r="149" spans="1:95" ht="15" customHeight="1" x14ac:dyDescent="0.3">
      <c r="A149" s="5791"/>
      <c r="B149" s="519" t="s">
        <v>824</v>
      </c>
      <c r="C149" s="483">
        <f>SUM(D149:E149)</f>
        <v>0</v>
      </c>
      <c r="D149" s="595">
        <f>SUM(F149+H149+J149+L149+N149+P149+R149+T149+V149+X149+Z149+AB149+AD149+AF149+AH149+AJ149+AL149)</f>
        <v>0</v>
      </c>
      <c r="E149" s="485">
        <f t="shared" si="113"/>
        <v>0</v>
      </c>
      <c r="F149" s="380"/>
      <c r="G149" s="388"/>
      <c r="H149" s="380"/>
      <c r="I149" s="388"/>
      <c r="J149" s="380"/>
      <c r="K149" s="388"/>
      <c r="L149" s="380"/>
      <c r="M149" s="388"/>
      <c r="N149" s="380"/>
      <c r="O149" s="388"/>
      <c r="P149" s="380"/>
      <c r="Q149" s="388"/>
      <c r="R149" s="380"/>
      <c r="S149" s="388"/>
      <c r="T149" s="380"/>
      <c r="U149" s="388"/>
      <c r="V149" s="380"/>
      <c r="W149" s="388"/>
      <c r="X149" s="380"/>
      <c r="Y149" s="388"/>
      <c r="Z149" s="380"/>
      <c r="AA149" s="388"/>
      <c r="AB149" s="380"/>
      <c r="AC149" s="388"/>
      <c r="AD149" s="380"/>
      <c r="AE149" s="388"/>
      <c r="AF149" s="380"/>
      <c r="AG149" s="388"/>
      <c r="AH149" s="380"/>
      <c r="AI149" s="388"/>
      <c r="AJ149" s="380"/>
      <c r="AK149" s="388"/>
      <c r="AL149" s="380"/>
      <c r="AM149" s="392"/>
      <c r="AN149" s="379"/>
      <c r="AO149" s="372"/>
      <c r="AP149" s="392"/>
      <c r="AQ149" s="379"/>
      <c r="AR149" s="388"/>
      <c r="AS149" t="str">
        <f>CA149&amp;CB149</f>
        <v/>
      </c>
      <c r="CA149" s="3024"/>
      <c r="CB149" s="135" t="str">
        <f t="shared" si="114"/>
        <v/>
      </c>
      <c r="CC149" s="135" t="str">
        <f t="shared" si="115"/>
        <v/>
      </c>
      <c r="CO149" s="1901"/>
      <c r="CP149" s="1901">
        <f t="shared" si="116"/>
        <v>0</v>
      </c>
      <c r="CQ149" s="1901">
        <f t="shared" si="117"/>
        <v>0</v>
      </c>
    </row>
    <row r="150" spans="1:95" ht="15" customHeight="1" x14ac:dyDescent="0.3">
      <c r="A150" s="6337" t="s">
        <v>4335</v>
      </c>
      <c r="B150" s="6338"/>
      <c r="C150" s="562">
        <f>SUM(D150:E150)</f>
        <v>0</v>
      </c>
      <c r="D150" s="301">
        <f t="shared" si="113"/>
        <v>0</v>
      </c>
      <c r="E150" s="599">
        <f>SUM(G150+I150+K150+M150+O150+Q150+S150+U150+W150+Y150+AA150+AC150+AE150+AG150+AI150+AK150+AM150)</f>
        <v>0</v>
      </c>
      <c r="F150" s="373"/>
      <c r="G150" s="530"/>
      <c r="H150" s="373"/>
      <c r="I150" s="530"/>
      <c r="J150" s="373"/>
      <c r="K150" s="530"/>
      <c r="L150" s="373"/>
      <c r="M150" s="530"/>
      <c r="N150" s="373"/>
      <c r="O150" s="530"/>
      <c r="P150" s="373"/>
      <c r="Q150" s="530"/>
      <c r="R150" s="373"/>
      <c r="S150" s="530"/>
      <c r="T150" s="373"/>
      <c r="U150" s="530"/>
      <c r="V150" s="373"/>
      <c r="W150" s="530"/>
      <c r="X150" s="373"/>
      <c r="Y150" s="530"/>
      <c r="Z150" s="373"/>
      <c r="AA150" s="530"/>
      <c r="AB150" s="373"/>
      <c r="AC150" s="530"/>
      <c r="AD150" s="373"/>
      <c r="AE150" s="530"/>
      <c r="AF150" s="373"/>
      <c r="AG150" s="530"/>
      <c r="AH150" s="373"/>
      <c r="AI150" s="530"/>
      <c r="AJ150" s="373"/>
      <c r="AK150" s="530"/>
      <c r="AL150" s="373"/>
      <c r="AM150" s="600"/>
      <c r="AN150" s="266"/>
      <c r="AO150" s="262"/>
      <c r="AP150" s="600"/>
      <c r="AQ150" s="266"/>
      <c r="AR150" s="530"/>
      <c r="AS150" t="str">
        <f>CA150&amp;CB150</f>
        <v/>
      </c>
      <c r="CA150" s="3024"/>
      <c r="CB150" s="135" t="str">
        <f t="shared" si="114"/>
        <v/>
      </c>
      <c r="CC150" s="135" t="str">
        <f t="shared" si="115"/>
        <v/>
      </c>
      <c r="CO150" s="1901"/>
      <c r="CP150" s="1901">
        <f t="shared" si="116"/>
        <v>0</v>
      </c>
      <c r="CQ150" s="1901">
        <f t="shared" si="117"/>
        <v>0</v>
      </c>
    </row>
    <row r="151" spans="1:95" s="6" customFormat="1" ht="18" customHeight="1" x14ac:dyDescent="0.25">
      <c r="A151" s="298" t="s">
        <v>825</v>
      </c>
      <c r="B151" s="298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601"/>
      <c r="N151" s="602"/>
      <c r="O151" s="603"/>
    </row>
    <row r="152" spans="1:95" ht="15" customHeight="1" x14ac:dyDescent="0.3">
      <c r="A152" s="5944" t="s">
        <v>697</v>
      </c>
      <c r="B152" s="6243"/>
      <c r="C152" s="6276" t="s">
        <v>77</v>
      </c>
      <c r="D152" s="6247"/>
      <c r="E152" s="6277"/>
      <c r="F152" s="6276" t="s">
        <v>54</v>
      </c>
      <c r="G152" s="6277"/>
      <c r="H152" s="6276" t="s">
        <v>55</v>
      </c>
      <c r="I152" s="6277"/>
      <c r="J152" s="6276" t="s">
        <v>56</v>
      </c>
      <c r="K152" s="6277"/>
      <c r="L152" s="6276" t="s">
        <v>57</v>
      </c>
      <c r="M152" s="6278"/>
      <c r="N152" s="6249" t="s">
        <v>36</v>
      </c>
      <c r="O152" s="6243" t="s">
        <v>37</v>
      </c>
    </row>
    <row r="153" spans="1:95" ht="15" customHeight="1" x14ac:dyDescent="0.3">
      <c r="A153" s="5796"/>
      <c r="B153" s="5760"/>
      <c r="C153" s="607" t="s">
        <v>79</v>
      </c>
      <c r="D153" s="608" t="s">
        <v>58</v>
      </c>
      <c r="E153" s="605" t="s">
        <v>59</v>
      </c>
      <c r="F153" s="607" t="s">
        <v>58</v>
      </c>
      <c r="G153" s="605" t="s">
        <v>59</v>
      </c>
      <c r="H153" s="607" t="s">
        <v>58</v>
      </c>
      <c r="I153" s="605" t="s">
        <v>59</v>
      </c>
      <c r="J153" s="607" t="s">
        <v>58</v>
      </c>
      <c r="K153" s="605" t="s">
        <v>59</v>
      </c>
      <c r="L153" s="607" t="s">
        <v>58</v>
      </c>
      <c r="M153" s="606" t="s">
        <v>59</v>
      </c>
      <c r="N153" s="5767"/>
      <c r="O153" s="5760"/>
    </row>
    <row r="154" spans="1:95" ht="15" customHeight="1" x14ac:dyDescent="0.3">
      <c r="A154" s="6185" t="s">
        <v>826</v>
      </c>
      <c r="B154" s="609" t="s">
        <v>827</v>
      </c>
      <c r="C154" s="610">
        <f>SUM(D154:E154)</f>
        <v>0</v>
      </c>
      <c r="D154" s="611">
        <f>SUM(F154+H154+J154+L154)</f>
        <v>0</v>
      </c>
      <c r="E154" s="612">
        <f>SUM(G154+I154+K154+M154)</f>
        <v>0</v>
      </c>
      <c r="F154" s="290"/>
      <c r="G154" s="107"/>
      <c r="H154" s="290"/>
      <c r="I154" s="107"/>
      <c r="J154" s="290"/>
      <c r="K154" s="107"/>
      <c r="L154" s="290"/>
      <c r="M154" s="61"/>
      <c r="N154" s="296"/>
      <c r="O154" s="107"/>
      <c r="P154" t="str">
        <f>CA154&amp;CB154</f>
        <v/>
      </c>
      <c r="CA154" s="135" t="str">
        <f>IF(AND(C154&gt;0,N154="")," * No olvide digitar la variable Pueblos originarios. Digite Cero si no tiene.",IF(N154&gt;C154," * La variable Pueblos originarios No puede ser mayor al Total.",""))</f>
        <v/>
      </c>
      <c r="CB154" s="135" t="str">
        <f>IF(AND(C154&gt;0,O154="")," * No olvide digitar la variable Migrantes. Digite Cero si no tiene.",IF(O154&gt;C154," * La variable Pueblos Migrantes No puede ser mayor al Total.",""))</f>
        <v/>
      </c>
      <c r="CO154" s="1901">
        <f>IF(AND($C154&gt;0,N154=""),1,IF(N154&gt;$C154,1,0))</f>
        <v>0</v>
      </c>
      <c r="CP154" s="1901">
        <f>IF(AND($C154&gt;0,O154=""),1,IF(O154&gt;$C154,1,0))</f>
        <v>0</v>
      </c>
    </row>
    <row r="155" spans="1:95" ht="15" customHeight="1" x14ac:dyDescent="0.3">
      <c r="A155" s="5844"/>
      <c r="B155" s="358" t="s">
        <v>828</v>
      </c>
      <c r="C155" s="478">
        <f>SUM(D155:E155)</f>
        <v>0</v>
      </c>
      <c r="D155" s="589">
        <f t="shared" ref="D155:E156" si="118">SUM(F155+H155+J155+L155)</f>
        <v>0</v>
      </c>
      <c r="E155" s="480">
        <f t="shared" si="118"/>
        <v>0</v>
      </c>
      <c r="F155" s="290"/>
      <c r="G155" s="107"/>
      <c r="H155" s="290"/>
      <c r="I155" s="107"/>
      <c r="J155" s="290"/>
      <c r="K155" s="107"/>
      <c r="L155" s="290"/>
      <c r="M155" s="61"/>
      <c r="N155" s="296"/>
      <c r="O155" s="107"/>
      <c r="P155" t="str">
        <f>CA155&amp;CB155</f>
        <v/>
      </c>
      <c r="CA155" s="135" t="str">
        <f t="shared" ref="CA155:CA156" si="119">IF(AND(C155&gt;0,N155="")," * No olvide digitar la variable Pueblos originarios. Digite Cero si no tiene.",IF(N155&gt;C155," * La variable Pueblos originarios No puede ser mayor al Total.",""))</f>
        <v/>
      </c>
      <c r="CB155" s="135" t="str">
        <f t="shared" ref="CB155:CB156" si="120">IF(AND(C155&gt;0,O155="")," * No olvide digitar la variable Migrantes. Digite Cero si no tiene.",IF(O155&gt;C155," * La variable Pueblos Migrantes No puede ser mayor al Total.",""))</f>
        <v/>
      </c>
      <c r="CO155" s="1901">
        <f t="shared" ref="CO155:CO156" si="121">IF(AND($C155&gt;0,N155=""),1,IF(N155&gt;$C155,1,0))</f>
        <v>0</v>
      </c>
      <c r="CP155" s="1901">
        <f t="shared" ref="CP155:CP156" si="122">IF(AND($C155&gt;0,O155=""),1,IF(O155&gt;$C155,1,0))</f>
        <v>0</v>
      </c>
    </row>
    <row r="156" spans="1:95" ht="15" customHeight="1" x14ac:dyDescent="0.3">
      <c r="A156" s="5844"/>
      <c r="B156" s="198" t="s">
        <v>829</v>
      </c>
      <c r="C156" s="197">
        <f>SUM(D156:E156)</f>
        <v>0</v>
      </c>
      <c r="D156" s="590">
        <f t="shared" si="118"/>
        <v>0</v>
      </c>
      <c r="E156" s="62">
        <f t="shared" si="118"/>
        <v>0</v>
      </c>
      <c r="F156" s="290"/>
      <c r="G156" s="107"/>
      <c r="H156" s="290"/>
      <c r="I156" s="107"/>
      <c r="J156" s="290"/>
      <c r="K156" s="107"/>
      <c r="L156" s="290"/>
      <c r="M156" s="61"/>
      <c r="N156" s="296"/>
      <c r="O156" s="107"/>
      <c r="P156" t="str">
        <f>CA156&amp;CB156</f>
        <v/>
      </c>
      <c r="CA156" s="135" t="str">
        <f t="shared" si="119"/>
        <v/>
      </c>
      <c r="CB156" s="135" t="str">
        <f t="shared" si="120"/>
        <v/>
      </c>
      <c r="CO156" s="1901">
        <f t="shared" si="121"/>
        <v>0</v>
      </c>
      <c r="CP156" s="1901">
        <f t="shared" si="122"/>
        <v>0</v>
      </c>
    </row>
    <row r="157" spans="1:95" s="49" customFormat="1" ht="15" customHeight="1" x14ac:dyDescent="0.2">
      <c r="A157" s="6336" t="s">
        <v>830</v>
      </c>
      <c r="B157" s="6336"/>
      <c r="C157" s="613">
        <f>SUM(C154:C156)</f>
        <v>0</v>
      </c>
      <c r="D157" s="614">
        <f>SUM(D154:D156)</f>
        <v>0</v>
      </c>
      <c r="E157" s="615">
        <f>SUM(E154:E156)</f>
        <v>0</v>
      </c>
      <c r="F157" s="613">
        <f>SUM(F154:F156)</f>
        <v>0</v>
      </c>
      <c r="G157" s="615">
        <f t="shared" ref="G157:M157" si="123">SUM(G154:G156)</f>
        <v>0</v>
      </c>
      <c r="H157" s="613">
        <f t="shared" si="123"/>
        <v>0</v>
      </c>
      <c r="I157" s="615">
        <f t="shared" si="123"/>
        <v>0</v>
      </c>
      <c r="J157" s="613">
        <f t="shared" si="123"/>
        <v>0</v>
      </c>
      <c r="K157" s="615">
        <f t="shared" si="123"/>
        <v>0</v>
      </c>
      <c r="L157" s="613">
        <f t="shared" si="123"/>
        <v>0</v>
      </c>
      <c r="M157" s="616">
        <f t="shared" si="123"/>
        <v>0</v>
      </c>
      <c r="N157" s="514">
        <f>SUM(N154:N156)</f>
        <v>0</v>
      </c>
      <c r="O157" s="615">
        <f>SUM(O154:O156)</f>
        <v>0</v>
      </c>
    </row>
    <row r="158" spans="1:95" x14ac:dyDescent="0.3">
      <c r="A158" s="6185" t="s">
        <v>831</v>
      </c>
      <c r="B158" s="295" t="s">
        <v>832</v>
      </c>
      <c r="C158" s="300">
        <f>SUM(D158:E158)</f>
        <v>0</v>
      </c>
      <c r="D158" s="587">
        <f t="shared" ref="D158:E161" si="124">SUM(F158+H158+J158+L158)</f>
        <v>0</v>
      </c>
      <c r="E158" s="146">
        <f t="shared" si="124"/>
        <v>0</v>
      </c>
      <c r="F158" s="290"/>
      <c r="G158" s="107"/>
      <c r="H158" s="290"/>
      <c r="I158" s="107"/>
      <c r="J158" s="290"/>
      <c r="K158" s="107"/>
      <c r="L158" s="290"/>
      <c r="M158" s="61"/>
      <c r="N158" s="296"/>
      <c r="O158" s="107"/>
      <c r="P158" t="str">
        <f>CA158&amp;CB158</f>
        <v/>
      </c>
      <c r="CA158" s="135" t="str">
        <f>IF(AND(C158&gt;0,N158="")," * No olvide digitar la variable Pueblos originarios. Digite Cero si no tiene.",IF(N158&gt;C158," * La variable Pueblos originarios No puede ser mayor al Total.",""))</f>
        <v/>
      </c>
      <c r="CB158" s="135" t="str">
        <f>IF(AND(C158&gt;0,O158=""),"  * No olvide digitar la variable Migrantes. Digite Cero si no tiene.",IF(O158&gt;C158,"  * La variable Pueblos Migrantes No puede ser mayor al Total.",""))</f>
        <v/>
      </c>
      <c r="CO158" s="1901">
        <f t="shared" ref="CO158:CO161" si="125">IF(AND($C158&gt;0,N158=""),1,IF(N158&gt;$C158,1,0))</f>
        <v>0</v>
      </c>
      <c r="CP158" s="1901">
        <f t="shared" ref="CP158:CP161" si="126">IF(AND($C158&gt;0,O158=""),1,IF(O158&gt;$C158,1,0))</f>
        <v>0</v>
      </c>
    </row>
    <row r="159" spans="1:95" x14ac:dyDescent="0.3">
      <c r="A159" s="5844"/>
      <c r="B159" s="358" t="s">
        <v>833</v>
      </c>
      <c r="C159" s="478">
        <f>SUM(D159:E159)</f>
        <v>0</v>
      </c>
      <c r="D159" s="589">
        <f t="shared" si="124"/>
        <v>0</v>
      </c>
      <c r="E159" s="480">
        <f t="shared" si="124"/>
        <v>0</v>
      </c>
      <c r="F159" s="346"/>
      <c r="G159" s="347"/>
      <c r="H159" s="346"/>
      <c r="I159" s="347"/>
      <c r="J159" s="346"/>
      <c r="K159" s="347"/>
      <c r="L159" s="346"/>
      <c r="M159" s="481"/>
      <c r="N159" s="430"/>
      <c r="O159" s="347"/>
      <c r="P159" t="str">
        <f>CA159&amp;CB159</f>
        <v/>
      </c>
      <c r="CA159" s="135" t="str">
        <f>IF(AND(C159&gt;0,N159=""),"  * No olvide digitar la variable Pueblos originarios. Digite Cero si no tiene.",IF(N159&gt;C159,"  * La variable Pueblos originarios No puede ser mayor al Total.",""))</f>
        <v/>
      </c>
      <c r="CB159" s="135" t="str">
        <f>IF(AND(C159&gt;0,O159=""),"  * No olvide digitar la variable Migrantes. Digite Cero si no tiene.",IF(O159&gt;C159,"  * La variable Pueblos Migrantes No puede ser mayor al Total.",""))</f>
        <v/>
      </c>
      <c r="CO159" s="1901">
        <f t="shared" si="125"/>
        <v>0</v>
      </c>
      <c r="CP159" s="1901">
        <f t="shared" si="126"/>
        <v>0</v>
      </c>
    </row>
    <row r="160" spans="1:95" x14ac:dyDescent="0.3">
      <c r="A160" s="5844"/>
      <c r="B160" s="358" t="s">
        <v>834</v>
      </c>
      <c r="C160" s="478">
        <f>SUM(D160:E160)</f>
        <v>0</v>
      </c>
      <c r="D160" s="589">
        <f t="shared" si="124"/>
        <v>0</v>
      </c>
      <c r="E160" s="480">
        <f t="shared" si="124"/>
        <v>0</v>
      </c>
      <c r="F160" s="346"/>
      <c r="G160" s="347"/>
      <c r="H160" s="346"/>
      <c r="I160" s="347"/>
      <c r="J160" s="346"/>
      <c r="K160" s="347"/>
      <c r="L160" s="346"/>
      <c r="M160" s="481"/>
      <c r="N160" s="430"/>
      <c r="O160" s="347"/>
      <c r="P160" t="str">
        <f>CA160&amp;CB160</f>
        <v/>
      </c>
      <c r="CA160" s="135" t="str">
        <f>IF(AND(C160&gt;0,N160=""),"  * No olvide digitar la variable Pueblos originarios. Digite Cero si no tiene.",IF(N160&gt;C160,"  * La variable Pueblos originarios No puede ser mayor al Total.",""))</f>
        <v/>
      </c>
      <c r="CB160" s="135" t="str">
        <f>IF(AND(C160&gt;0,O160=""),"  * No olvide digitar la variable Migrantes. Digite Cero si no tiene.",IF(O160&gt;C160,"  * La variable Pueblos Migrantes No puede ser mayor al Total.",""))</f>
        <v/>
      </c>
      <c r="CO160" s="1901">
        <f t="shared" si="125"/>
        <v>0</v>
      </c>
      <c r="CP160" s="1901">
        <f t="shared" si="126"/>
        <v>0</v>
      </c>
    </row>
    <row r="161" spans="1:94" x14ac:dyDescent="0.3">
      <c r="A161" s="5791"/>
      <c r="B161" s="193" t="s">
        <v>835</v>
      </c>
      <c r="C161" s="197">
        <f>SUM(D161:E161)</f>
        <v>0</v>
      </c>
      <c r="D161" s="590">
        <f t="shared" si="124"/>
        <v>0</v>
      </c>
      <c r="E161" s="62">
        <f t="shared" si="124"/>
        <v>0</v>
      </c>
      <c r="F161" s="192"/>
      <c r="G161" s="2"/>
      <c r="H161" s="192"/>
      <c r="I161" s="2"/>
      <c r="J161" s="192"/>
      <c r="K161" s="2"/>
      <c r="L161" s="192"/>
      <c r="M161" s="376"/>
      <c r="N161" s="377"/>
      <c r="O161" s="2"/>
      <c r="P161" t="str">
        <f>CA161&amp;CB161</f>
        <v/>
      </c>
      <c r="CA161" s="135" t="str">
        <f>IF(AND(C161&gt;0,N161=""),"  * No olvide digitar la variable Pueblos originarios. Digite Cero si no tiene.",IF(N161&gt;C161,"  * La variable Pueblos originarios No puede ser mayor al Total.",""))</f>
        <v/>
      </c>
      <c r="CB161" s="135" t="str">
        <f>IF(AND(C161&gt;0,O161=""),"  * No olvide digitar la variable Migrantes. Digite Cero si no tiene.",IF(O161&gt;C161,"  * La variable Pueblos Migrantes No puede ser mayor al Total.",""))</f>
        <v/>
      </c>
      <c r="CO161" s="1901">
        <f t="shared" si="125"/>
        <v>0</v>
      </c>
      <c r="CP161" s="1901">
        <f t="shared" si="126"/>
        <v>0</v>
      </c>
    </row>
    <row r="162" spans="1:94" s="49" customFormat="1" ht="15" customHeight="1" x14ac:dyDescent="0.2">
      <c r="A162" s="6340" t="s">
        <v>830</v>
      </c>
      <c r="B162" s="6336"/>
      <c r="C162" s="613">
        <f>SUM(C158:C161)</f>
        <v>0</v>
      </c>
      <c r="D162" s="614">
        <f>SUM(D158:D161)</f>
        <v>0</v>
      </c>
      <c r="E162" s="615">
        <f>SUM(E158:E161)</f>
        <v>0</v>
      </c>
      <c r="F162" s="613">
        <f>SUM(F158:F161)</f>
        <v>0</v>
      </c>
      <c r="G162" s="615">
        <f t="shared" ref="G162:M162" si="127">SUM(G158:G161)</f>
        <v>0</v>
      </c>
      <c r="H162" s="613">
        <f t="shared" si="127"/>
        <v>0</v>
      </c>
      <c r="I162" s="615">
        <f t="shared" si="127"/>
        <v>0</v>
      </c>
      <c r="J162" s="613">
        <f t="shared" si="127"/>
        <v>0</v>
      </c>
      <c r="K162" s="615">
        <f t="shared" si="127"/>
        <v>0</v>
      </c>
      <c r="L162" s="613">
        <f t="shared" si="127"/>
        <v>0</v>
      </c>
      <c r="M162" s="616">
        <f t="shared" si="127"/>
        <v>0</v>
      </c>
      <c r="N162" s="514">
        <f>SUM(N158:N161)</f>
        <v>0</v>
      </c>
      <c r="O162" s="615">
        <f>SUM(O158:O161)</f>
        <v>0</v>
      </c>
    </row>
    <row r="163" spans="1:94" x14ac:dyDescent="0.3">
      <c r="A163" s="6340" t="s">
        <v>212</v>
      </c>
      <c r="B163" s="6340"/>
      <c r="C163" s="562">
        <f>SUM(C157+C162)</f>
        <v>0</v>
      </c>
      <c r="D163" s="301">
        <f>SUM(D157+D162)</f>
        <v>0</v>
      </c>
      <c r="E163" s="599">
        <f>SUM(E157+E162)</f>
        <v>0</v>
      </c>
      <c r="F163" s="562">
        <f>SUM(F157+F162)</f>
        <v>0</v>
      </c>
      <c r="G163" s="599">
        <f>SUM(G157+G162)</f>
        <v>0</v>
      </c>
      <c r="H163" s="562">
        <f t="shared" ref="H163:M163" si="128">SUM(H157+H162)</f>
        <v>0</v>
      </c>
      <c r="I163" s="599">
        <f t="shared" si="128"/>
        <v>0</v>
      </c>
      <c r="J163" s="562">
        <f t="shared" si="128"/>
        <v>0</v>
      </c>
      <c r="K163" s="599">
        <f t="shared" si="128"/>
        <v>0</v>
      </c>
      <c r="L163" s="562">
        <f t="shared" si="128"/>
        <v>0</v>
      </c>
      <c r="M163" s="617">
        <f t="shared" si="128"/>
        <v>0</v>
      </c>
      <c r="N163" s="302">
        <f>SUM(N157+N162)</f>
        <v>0</v>
      </c>
      <c r="O163" s="599">
        <f>SUM(O157+O162)</f>
        <v>0</v>
      </c>
    </row>
    <row r="164" spans="1:94" s="6" customFormat="1" ht="18" customHeight="1" x14ac:dyDescent="0.25">
      <c r="A164" s="298" t="s">
        <v>836</v>
      </c>
      <c r="B164" s="298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602"/>
      <c r="R164" s="603"/>
    </row>
    <row r="165" spans="1:94" x14ac:dyDescent="0.3">
      <c r="A165" s="5944" t="s">
        <v>697</v>
      </c>
      <c r="B165" s="6243"/>
      <c r="C165" s="6276" t="s">
        <v>77</v>
      </c>
      <c r="D165" s="6247"/>
      <c r="E165" s="6277"/>
      <c r="F165" s="6276" t="s">
        <v>54</v>
      </c>
      <c r="G165" s="6277"/>
      <c r="H165" s="6276" t="s">
        <v>55</v>
      </c>
      <c r="I165" s="6277"/>
      <c r="J165" s="6276" t="s">
        <v>56</v>
      </c>
      <c r="K165" s="6277"/>
      <c r="L165" s="6276" t="s">
        <v>57</v>
      </c>
      <c r="M165" s="6278"/>
      <c r="N165" s="6339" t="s">
        <v>810</v>
      </c>
      <c r="O165" s="6247"/>
      <c r="P165" s="6278"/>
      <c r="Q165" s="6249" t="s">
        <v>36</v>
      </c>
      <c r="R165" s="6243" t="s">
        <v>37</v>
      </c>
    </row>
    <row r="166" spans="1:94" x14ac:dyDescent="0.3">
      <c r="A166" s="5796"/>
      <c r="B166" s="5760"/>
      <c r="C166" s="607" t="s">
        <v>79</v>
      </c>
      <c r="D166" s="608" t="s">
        <v>58</v>
      </c>
      <c r="E166" s="605" t="s">
        <v>59</v>
      </c>
      <c r="F166" s="607" t="s">
        <v>58</v>
      </c>
      <c r="G166" s="605" t="s">
        <v>59</v>
      </c>
      <c r="H166" s="607" t="s">
        <v>58</v>
      </c>
      <c r="I166" s="605" t="s">
        <v>59</v>
      </c>
      <c r="J166" s="607" t="s">
        <v>58</v>
      </c>
      <c r="K166" s="605" t="s">
        <v>59</v>
      </c>
      <c r="L166" s="607" t="s">
        <v>58</v>
      </c>
      <c r="M166" s="604" t="s">
        <v>59</v>
      </c>
      <c r="N166" s="618" t="s">
        <v>811</v>
      </c>
      <c r="O166" s="608" t="s">
        <v>812</v>
      </c>
      <c r="P166" s="606" t="s">
        <v>813</v>
      </c>
      <c r="Q166" s="5767"/>
      <c r="R166" s="5760"/>
    </row>
    <row r="167" spans="1:94" x14ac:dyDescent="0.3">
      <c r="A167" s="6185" t="s">
        <v>826</v>
      </c>
      <c r="B167" s="492" t="s">
        <v>827</v>
      </c>
      <c r="C167" s="619">
        <f>SUM(D167:E167)</f>
        <v>0</v>
      </c>
      <c r="D167" s="620">
        <f t="shared" ref="D167:E169" si="129">SUM(F167+H167+J167+L167)</f>
        <v>0</v>
      </c>
      <c r="E167" s="621">
        <f t="shared" si="129"/>
        <v>0</v>
      </c>
      <c r="F167" s="474"/>
      <c r="G167" s="576"/>
      <c r="H167" s="474"/>
      <c r="I167" s="576"/>
      <c r="J167" s="474"/>
      <c r="K167" s="576"/>
      <c r="L167" s="474"/>
      <c r="M167" s="559"/>
      <c r="N167" s="497"/>
      <c r="O167" s="494"/>
      <c r="P167" s="476"/>
      <c r="Q167" s="497"/>
      <c r="R167" s="576"/>
      <c r="S167" t="str">
        <f>CA167&amp;CB167&amp;CC167</f>
        <v/>
      </c>
      <c r="CA167" s="135" t="str">
        <f>IF(AND(C167&gt;0,Q167=""),"  * No olvide digitar la variable Pueblos originarios. Digite Cero si no tiene.",IF(Q167&gt;C167," * La variable Pueblos originarios No puede ser mayor al Total.",""))</f>
        <v/>
      </c>
      <c r="CB167" s="135" t="str">
        <f>IF(AND(C167&gt;0,R167=""),"   * No olvide digitar la variable Migrantes. Digite Cero si no tiene.",IF(R167&gt;C167," *  La variable Migrantes No puede ser mayor al Total.",""))</f>
        <v/>
      </c>
      <c r="CO167" s="1901">
        <f>IF(AND(C167&gt;0,Q167=""),1,IF(Q167&gt;C167,1,0))</f>
        <v>0</v>
      </c>
      <c r="CP167" s="1901">
        <f>IF(AND(C167&gt;0,R167=""),1,IF(R167&gt;C167,1,0))</f>
        <v>0</v>
      </c>
    </row>
    <row r="168" spans="1:94" x14ac:dyDescent="0.3">
      <c r="A168" s="5844"/>
      <c r="B168" s="358" t="s">
        <v>828</v>
      </c>
      <c r="C168" s="342">
        <f>SUM(D168:E168)</f>
        <v>0</v>
      </c>
      <c r="D168" s="622">
        <f t="shared" si="129"/>
        <v>0</v>
      </c>
      <c r="E168" s="345">
        <f t="shared" si="129"/>
        <v>0</v>
      </c>
      <c r="F168" s="346"/>
      <c r="G168" s="347"/>
      <c r="H168" s="346"/>
      <c r="I168" s="347"/>
      <c r="J168" s="346"/>
      <c r="K168" s="347"/>
      <c r="L168" s="346"/>
      <c r="M168" s="561"/>
      <c r="N168" s="430"/>
      <c r="O168" s="369"/>
      <c r="P168" s="481"/>
      <c r="Q168" s="430"/>
      <c r="R168" s="347"/>
      <c r="S168" t="str">
        <f>CA168&amp;CB168&amp;CC168</f>
        <v/>
      </c>
      <c r="CA168" s="135" t="str">
        <f>IF(AND(C168&gt;0,Q168=""),"   * No olvide digitar la variable Pueblos originarios. Digite Cero si no tiene.",IF(Q168&gt;C168," *  La variable Pueblos originarios No puede ser mayor al Total.",""))</f>
        <v/>
      </c>
      <c r="CB168" s="135" t="str">
        <f>IF(AND(C168&gt;0,R168=""),"   * No olvide digitar la variable Migrantes. Digite Cero si no tiene.",IF(R168&gt;C168," *  La variable Migrantes No puede ser mayor al Total.",""))</f>
        <v/>
      </c>
      <c r="CO168" s="1901">
        <f>IF(AND(C168&gt;0,Q168=""),1,IF(Q168&gt;C168,1,0))</f>
        <v>0</v>
      </c>
      <c r="CP168" s="1901">
        <f>IF(AND(C168&gt;0,R168=""),1,IF(R168&gt;C168,1,0))</f>
        <v>0</v>
      </c>
    </row>
    <row r="169" spans="1:94" x14ac:dyDescent="0.3">
      <c r="A169" s="5844"/>
      <c r="B169" s="198" t="s">
        <v>829</v>
      </c>
      <c r="C169" s="199">
        <f>SUM(D169:E169)</f>
        <v>0</v>
      </c>
      <c r="D169" s="623">
        <f t="shared" si="129"/>
        <v>0</v>
      </c>
      <c r="E169" s="10">
        <f t="shared" si="129"/>
        <v>0</v>
      </c>
      <c r="F169" s="192"/>
      <c r="G169" s="2"/>
      <c r="H169" s="192"/>
      <c r="I169" s="2"/>
      <c r="J169" s="192"/>
      <c r="K169" s="2"/>
      <c r="L169" s="192"/>
      <c r="M169" s="64"/>
      <c r="N169" s="377"/>
      <c r="O169" s="594"/>
      <c r="P169" s="376"/>
      <c r="Q169" s="377"/>
      <c r="R169" s="2"/>
      <c r="S169" t="str">
        <f>CA169&amp;CB169&amp;CC169</f>
        <v/>
      </c>
      <c r="CA169" s="135" t="str">
        <f>IF(AND(C169&gt;0,Q169=""),"   * No olvide digitar la variable Pueblos originarios. Digite Cero si no tiene.",IF(Q169&gt;C169," *  La variable Pueblos originarios No puede ser mayor al Total.",""))</f>
        <v/>
      </c>
      <c r="CB169" s="135" t="str">
        <f>IF(AND(C169&gt;0,R169=""),"   * No olvide digitar la variable Migrantes. Digite Cero si no tiene.",IF(R169&gt;C169," *  La variable Migrantes No puede ser mayor al Total.",""))</f>
        <v/>
      </c>
      <c r="CO169" s="1901">
        <f>IF(AND(C169&gt;0,Q169=""),1,IF(Q169&gt;C169,1,0))</f>
        <v>0</v>
      </c>
      <c r="CP169" s="1901">
        <f>IF(AND(C169&gt;0,R169=""),1,IF(R169&gt;C169,1,0))</f>
        <v>0</v>
      </c>
    </row>
    <row r="170" spans="1:94" ht="15" customHeight="1" x14ac:dyDescent="0.3">
      <c r="A170" s="6336" t="s">
        <v>830</v>
      </c>
      <c r="B170" s="6336"/>
      <c r="C170" s="624">
        <f>SUM(C167:C169)</f>
        <v>0</v>
      </c>
      <c r="D170" s="625">
        <f>SUM(D167:D169)</f>
        <v>0</v>
      </c>
      <c r="E170" s="626">
        <f>SUM(E167:E169)</f>
        <v>0</v>
      </c>
      <c r="F170" s="624">
        <f>SUM(F167:F169)</f>
        <v>0</v>
      </c>
      <c r="G170" s="626">
        <f t="shared" ref="G170:P170" si="130">SUM(G167:G169)</f>
        <v>0</v>
      </c>
      <c r="H170" s="624">
        <f t="shared" si="130"/>
        <v>0</v>
      </c>
      <c r="I170" s="626">
        <f t="shared" si="130"/>
        <v>0</v>
      </c>
      <c r="J170" s="624">
        <f t="shared" si="130"/>
        <v>0</v>
      </c>
      <c r="K170" s="626">
        <f t="shared" si="130"/>
        <v>0</v>
      </c>
      <c r="L170" s="624">
        <f t="shared" si="130"/>
        <v>0</v>
      </c>
      <c r="M170" s="627">
        <f t="shared" si="130"/>
        <v>0</v>
      </c>
      <c r="N170" s="628">
        <f t="shared" si="130"/>
        <v>0</v>
      </c>
      <c r="O170" s="625">
        <f t="shared" si="130"/>
        <v>0</v>
      </c>
      <c r="P170" s="629">
        <f t="shared" si="130"/>
        <v>0</v>
      </c>
      <c r="Q170" s="628">
        <f>SUM(Q167:Q169)</f>
        <v>0</v>
      </c>
      <c r="R170" s="626">
        <f>SUM(R167:R169)</f>
        <v>0</v>
      </c>
    </row>
    <row r="171" spans="1:94" x14ac:dyDescent="0.3">
      <c r="A171" s="6185" t="s">
        <v>831</v>
      </c>
      <c r="B171" s="295" t="s">
        <v>832</v>
      </c>
      <c r="C171" s="303">
        <f>SUM(D171:E171)</f>
        <v>0</v>
      </c>
      <c r="D171" s="630">
        <f>SUM(F171+H171+J171+L171)</f>
        <v>0</v>
      </c>
      <c r="E171" s="141">
        <f>SUM(G171+I171+K171+M171)</f>
        <v>0</v>
      </c>
      <c r="F171" s="290"/>
      <c r="G171" s="107"/>
      <c r="H171" s="290"/>
      <c r="I171" s="107"/>
      <c r="J171" s="290"/>
      <c r="K171" s="107"/>
      <c r="L171" s="290"/>
      <c r="M171" s="65"/>
      <c r="N171" s="296"/>
      <c r="O171" s="535"/>
      <c r="P171" s="61"/>
      <c r="Q171" s="296"/>
      <c r="R171" s="107"/>
      <c r="S171" t="str">
        <f>CA171&amp;CB171&amp;CC171</f>
        <v/>
      </c>
      <c r="CA171" s="135" t="str">
        <f>IF(AND(C171&gt;0,Q171=""),"   * No olvide digitar la variable Pueblos originarios. Digite Cero si no tiene.",IF(Q171&gt;C171," *  La variable Pueblos originarios No puede ser mayor al Total.",""))</f>
        <v/>
      </c>
      <c r="CB171" s="135" t="str">
        <f>IF(AND(C171&gt;0,R171=""),"   * No olvide digitar la variable Migrantes. Digite Cero si no tiene.",IF(R171&gt;C171," *  La variable Migrantes No puede ser mayor al Total.",""))</f>
        <v/>
      </c>
      <c r="CO171" s="1901">
        <f>IF(AND(C171&gt;0,Q171=""),1,IF(Q171&gt;C171,1,0))</f>
        <v>0</v>
      </c>
      <c r="CP171" s="1901">
        <f>IF(AND(C171&gt;0,R171=""),1,IF(R171&gt;C171,1,0))</f>
        <v>0</v>
      </c>
    </row>
    <row r="172" spans="1:94" x14ac:dyDescent="0.3">
      <c r="A172" s="5844"/>
      <c r="B172" s="358" t="s">
        <v>833</v>
      </c>
      <c r="C172" s="342">
        <f>SUM(D172:E172)</f>
        <v>0</v>
      </c>
      <c r="D172" s="622">
        <f t="shared" ref="D172:E174" si="131">SUM(F172+H172+J172+L172)</f>
        <v>0</v>
      </c>
      <c r="E172" s="345">
        <f t="shared" si="131"/>
        <v>0</v>
      </c>
      <c r="F172" s="346"/>
      <c r="G172" s="347"/>
      <c r="H172" s="346"/>
      <c r="I172" s="347"/>
      <c r="J172" s="346"/>
      <c r="K172" s="347"/>
      <c r="L172" s="346"/>
      <c r="M172" s="561"/>
      <c r="N172" s="430"/>
      <c r="O172" s="369"/>
      <c r="P172" s="481"/>
      <c r="Q172" s="430"/>
      <c r="R172" s="347"/>
      <c r="S172" t="str">
        <f>CA172&amp;CB172&amp;CC172</f>
        <v/>
      </c>
      <c r="CA172" s="135" t="str">
        <f>IF(AND(C172&gt;0,Q172=""),"   * No olvide digitar la variable Pueblos originarios. Digite Cero si no tiene.",IF(Q172&gt;C172," *  La variable Pueblos originarios No puede ser mayor al Total.",""))</f>
        <v/>
      </c>
      <c r="CB172" s="135" t="str">
        <f>IF(AND(C172&gt;0,R172=""),"   * No olvide digitar la variable Migrantes. Digite Cero si no tiene.",IF(R172&gt;C172," *  La variable Migrantes No puede ser mayor al Total.",""))</f>
        <v/>
      </c>
      <c r="CO172" s="1901">
        <f>IF(AND(C172&gt;0,Q172=""),1,IF(Q172&gt;C172,1,0))</f>
        <v>0</v>
      </c>
      <c r="CP172" s="1901">
        <f>IF(AND(C172&gt;0,R172=""),1,IF(R172&gt;C172,1,0))</f>
        <v>0</v>
      </c>
    </row>
    <row r="173" spans="1:94" x14ac:dyDescent="0.3">
      <c r="A173" s="5844"/>
      <c r="B173" s="358" t="s">
        <v>834</v>
      </c>
      <c r="C173" s="342">
        <f>SUM(D173:E173)</f>
        <v>0</v>
      </c>
      <c r="D173" s="622">
        <f t="shared" si="131"/>
        <v>0</v>
      </c>
      <c r="E173" s="345">
        <f t="shared" si="131"/>
        <v>0</v>
      </c>
      <c r="F173" s="346"/>
      <c r="G173" s="347"/>
      <c r="H173" s="346"/>
      <c r="I173" s="347"/>
      <c r="J173" s="346"/>
      <c r="K173" s="347"/>
      <c r="L173" s="346"/>
      <c r="M173" s="561"/>
      <c r="N173" s="430"/>
      <c r="O173" s="369"/>
      <c r="P173" s="481"/>
      <c r="Q173" s="430"/>
      <c r="R173" s="347"/>
      <c r="S173" t="str">
        <f>CA173&amp;CB173&amp;CC173</f>
        <v/>
      </c>
      <c r="CA173" s="135" t="str">
        <f>IF(AND(C173&gt;0,Q173=""),"   * No olvide digitar la variable Pueblos originarios. Digite Cero si no tiene.",IF(Q173&gt;C173," *  La variable Pueblos originarios No puede ser mayor al Total.",""))</f>
        <v/>
      </c>
      <c r="CB173" s="135" t="str">
        <f>IF(AND(C173&gt;0,R173=""),"   * No olvide digitar la variable Migrantes. Digite Cero si no tiene.",IF(R173&gt;C173," *  La variable Migrantes No puede ser mayor al Total.",""))</f>
        <v/>
      </c>
      <c r="CO173" s="1901">
        <f>IF(AND(C173&gt;0,Q173=""),1,IF(Q173&gt;C173,1,0))</f>
        <v>0</v>
      </c>
      <c r="CP173" s="1901">
        <f>IF(AND(C173&gt;0,R173=""),1,IF(R173&gt;C173,1,0))</f>
        <v>0</v>
      </c>
    </row>
    <row r="174" spans="1:94" x14ac:dyDescent="0.3">
      <c r="A174" s="5791"/>
      <c r="B174" s="193" t="s">
        <v>835</v>
      </c>
      <c r="C174" s="199">
        <f>SUM(D174:E174)</f>
        <v>0</v>
      </c>
      <c r="D174" s="623">
        <f t="shared" si="131"/>
        <v>0</v>
      </c>
      <c r="E174" s="10">
        <f t="shared" si="131"/>
        <v>0</v>
      </c>
      <c r="F174" s="192"/>
      <c r="G174" s="2"/>
      <c r="H174" s="192"/>
      <c r="I174" s="2"/>
      <c r="J174" s="192"/>
      <c r="K174" s="2"/>
      <c r="L174" s="192"/>
      <c r="M174" s="64"/>
      <c r="N174" s="377"/>
      <c r="O174" s="594"/>
      <c r="P174" s="376"/>
      <c r="Q174" s="377"/>
      <c r="R174" s="2"/>
      <c r="S174" t="str">
        <f>CA174&amp;CB174&amp;CC174</f>
        <v/>
      </c>
      <c r="CA174" s="135" t="str">
        <f>IF(AND(C174&gt;0,Q174=""),"   * No olvide digitar la variable Pueblos originarios. Digite Cero si no tiene.",IF(Q174&gt;C174," *  La variable Pueblos originarios No puede ser mayor al Total.",""))</f>
        <v/>
      </c>
      <c r="CB174" s="135" t="str">
        <f>IF(AND(C174&gt;0,R174=""),"   * No olvide digitar la variable Migrantes. Digite Cero si no tiene.",IF(R174&gt;C174," *  La variable Migrantes No puede ser mayor al Total.",""))</f>
        <v/>
      </c>
      <c r="CO174" s="1901">
        <f>IF(AND(C174&gt;0,Q174=""),1,IF(Q174&gt;C174,1,0))</f>
        <v>0</v>
      </c>
      <c r="CP174" s="1901">
        <f>IF(AND(C174&gt;0,R174=""),1,IF(R174&gt;C174,1,0))</f>
        <v>0</v>
      </c>
    </row>
    <row r="175" spans="1:94" ht="15" customHeight="1" x14ac:dyDescent="0.3">
      <c r="A175" s="6340" t="s">
        <v>830</v>
      </c>
      <c r="B175" s="6336"/>
      <c r="C175" s="624">
        <f>SUM(C171:C174)</f>
        <v>0</v>
      </c>
      <c r="D175" s="625">
        <f>SUM(D171:D174)</f>
        <v>0</v>
      </c>
      <c r="E175" s="626">
        <f>SUM(E171:E174)</f>
        <v>0</v>
      </c>
      <c r="F175" s="624">
        <f>SUM(F171:F174)</f>
        <v>0</v>
      </c>
      <c r="G175" s="626">
        <f t="shared" ref="G175:P175" si="132">SUM(G171:G174)</f>
        <v>0</v>
      </c>
      <c r="H175" s="624">
        <f t="shared" si="132"/>
        <v>0</v>
      </c>
      <c r="I175" s="626">
        <f t="shared" si="132"/>
        <v>0</v>
      </c>
      <c r="J175" s="624">
        <f t="shared" si="132"/>
        <v>0</v>
      </c>
      <c r="K175" s="626">
        <f t="shared" si="132"/>
        <v>0</v>
      </c>
      <c r="L175" s="624">
        <f t="shared" si="132"/>
        <v>0</v>
      </c>
      <c r="M175" s="627">
        <f t="shared" si="132"/>
        <v>0</v>
      </c>
      <c r="N175" s="628">
        <f t="shared" si="132"/>
        <v>0</v>
      </c>
      <c r="O175" s="625">
        <f t="shared" si="132"/>
        <v>0</v>
      </c>
      <c r="P175" s="629">
        <f t="shared" si="132"/>
        <v>0</v>
      </c>
      <c r="Q175" s="628">
        <f>SUM(Q171:Q174)</f>
        <v>0</v>
      </c>
      <c r="R175" s="626">
        <f>SUM(R171:R174)</f>
        <v>0</v>
      </c>
    </row>
    <row r="176" spans="1:94" x14ac:dyDescent="0.3">
      <c r="A176" s="6340" t="s">
        <v>212</v>
      </c>
      <c r="B176" s="6340"/>
      <c r="C176" s="343">
        <f>SUM(C170+C175)</f>
        <v>0</v>
      </c>
      <c r="D176" s="304">
        <f t="shared" ref="D176:P176" si="133">SUM(D170+D175)</f>
        <v>0</v>
      </c>
      <c r="E176" s="631">
        <f t="shared" si="133"/>
        <v>0</v>
      </c>
      <c r="F176" s="343">
        <f t="shared" si="133"/>
        <v>0</v>
      </c>
      <c r="G176" s="631">
        <f t="shared" si="133"/>
        <v>0</v>
      </c>
      <c r="H176" s="343">
        <f t="shared" si="133"/>
        <v>0</v>
      </c>
      <c r="I176" s="631">
        <f t="shared" si="133"/>
        <v>0</v>
      </c>
      <c r="J176" s="343">
        <f t="shared" si="133"/>
        <v>0</v>
      </c>
      <c r="K176" s="631">
        <f t="shared" si="133"/>
        <v>0</v>
      </c>
      <c r="L176" s="343">
        <f t="shared" si="133"/>
        <v>0</v>
      </c>
      <c r="M176" s="632">
        <f t="shared" si="133"/>
        <v>0</v>
      </c>
      <c r="N176" s="305">
        <f t="shared" si="133"/>
        <v>0</v>
      </c>
      <c r="O176" s="304">
        <f t="shared" si="133"/>
        <v>0</v>
      </c>
      <c r="P176" s="633">
        <f t="shared" si="133"/>
        <v>0</v>
      </c>
      <c r="Q176" s="305">
        <f>SUM(Q170+Q175)</f>
        <v>0</v>
      </c>
      <c r="R176" s="631">
        <f>SUM(R170+R175)</f>
        <v>0</v>
      </c>
    </row>
    <row r="177" spans="1:94" s="6" customFormat="1" ht="18" customHeight="1" x14ac:dyDescent="0.25">
      <c r="A177" s="298" t="s">
        <v>837</v>
      </c>
      <c r="B177" s="298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94" ht="15" customHeight="1" x14ac:dyDescent="0.3">
      <c r="A178" s="5944" t="s">
        <v>697</v>
      </c>
      <c r="B178" s="6243"/>
      <c r="C178" s="6247" t="s">
        <v>77</v>
      </c>
      <c r="D178" s="6247"/>
      <c r="E178" s="6277"/>
      <c r="F178" s="6276" t="s">
        <v>53</v>
      </c>
      <c r="G178" s="6277"/>
      <c r="H178" s="6276" t="s">
        <v>54</v>
      </c>
      <c r="I178" s="6277"/>
      <c r="J178" s="6276" t="s">
        <v>55</v>
      </c>
      <c r="K178" s="6277"/>
      <c r="L178" s="6276" t="s">
        <v>56</v>
      </c>
      <c r="M178" s="6277"/>
      <c r="N178" s="6276" t="s">
        <v>57</v>
      </c>
      <c r="O178" s="6278"/>
      <c r="P178" s="6249" t="s">
        <v>36</v>
      </c>
      <c r="Q178" s="6243" t="s">
        <v>37</v>
      </c>
    </row>
    <row r="179" spans="1:94" ht="15" customHeight="1" x14ac:dyDescent="0.3">
      <c r="A179" s="5796"/>
      <c r="B179" s="5760"/>
      <c r="C179" s="607" t="s">
        <v>79</v>
      </c>
      <c r="D179" s="608" t="s">
        <v>58</v>
      </c>
      <c r="E179" s="605" t="s">
        <v>59</v>
      </c>
      <c r="F179" s="607" t="s">
        <v>58</v>
      </c>
      <c r="G179" s="605" t="s">
        <v>59</v>
      </c>
      <c r="H179" s="607" t="s">
        <v>58</v>
      </c>
      <c r="I179" s="605" t="s">
        <v>59</v>
      </c>
      <c r="J179" s="607" t="s">
        <v>58</v>
      </c>
      <c r="K179" s="605" t="s">
        <v>59</v>
      </c>
      <c r="L179" s="607" t="s">
        <v>58</v>
      </c>
      <c r="M179" s="605" t="s">
        <v>59</v>
      </c>
      <c r="N179" s="607" t="s">
        <v>58</v>
      </c>
      <c r="O179" s="470" t="s">
        <v>59</v>
      </c>
      <c r="P179" s="5767"/>
      <c r="Q179" s="5760"/>
    </row>
    <row r="180" spans="1:94" ht="15" customHeight="1" x14ac:dyDescent="0.3">
      <c r="A180" s="6185" t="s">
        <v>838</v>
      </c>
      <c r="B180" s="609" t="s">
        <v>827</v>
      </c>
      <c r="C180" s="610">
        <f>SUM(D180+E180)</f>
        <v>0</v>
      </c>
      <c r="D180" s="611">
        <f>SUM(F180+H180+J180+L180+N180)</f>
        <v>0</v>
      </c>
      <c r="E180" s="612">
        <f>SUM(G180+I180+K180+M180+O180)</f>
        <v>0</v>
      </c>
      <c r="F180" s="474"/>
      <c r="G180" s="576"/>
      <c r="H180" s="474"/>
      <c r="I180" s="576"/>
      <c r="J180" s="474"/>
      <c r="K180" s="576"/>
      <c r="L180" s="474"/>
      <c r="M180" s="576"/>
      <c r="N180" s="474"/>
      <c r="O180" s="496"/>
      <c r="P180" s="497"/>
      <c r="Q180" s="576"/>
      <c r="R180" t="str">
        <f>CA180&amp;CB180</f>
        <v/>
      </c>
      <c r="CA180" s="135" t="str">
        <f>IF(AND(C180&gt;0,P180="")," * No olvide digitar la variable Pueblos originarios. Digite Cero si no tiene.",IF(P180&gt;C180," * La variable Pueblos originarios No puede ser mayor al Total.",""))</f>
        <v/>
      </c>
      <c r="CB180" s="135" t="str">
        <f>IF(AND(C180&gt;0,Q180="")," * No olvide digitar la variable Migrantes. Digite Cero si no tiene.",IF(Q180&gt;C180," * La variable Migrantes No puede ser mayor al Total.",""))</f>
        <v/>
      </c>
      <c r="CO180" s="1901">
        <f>IF(AND(C180&gt;0,P180=""),1,IF(P180&gt;C180,1,0))</f>
        <v>0</v>
      </c>
      <c r="CP180" s="1901">
        <f>IF(AND(C180&gt;0,Q180=""),1,IF(Q180&gt;C180,1,0))</f>
        <v>0</v>
      </c>
    </row>
    <row r="181" spans="1:94" ht="15" customHeight="1" x14ac:dyDescent="0.3">
      <c r="A181" s="5844"/>
      <c r="B181" s="358" t="s">
        <v>828</v>
      </c>
      <c r="C181" s="478">
        <f>SUM(D181+E181)</f>
        <v>0</v>
      </c>
      <c r="D181" s="589">
        <f>SUM(H181+J181+L181+N181)</f>
        <v>0</v>
      </c>
      <c r="E181" s="480">
        <f>SUM(I181+K181+M181+O181)</f>
        <v>0</v>
      </c>
      <c r="F181" s="634"/>
      <c r="G181" s="368"/>
      <c r="H181" s="290"/>
      <c r="I181" s="107"/>
      <c r="J181" s="290"/>
      <c r="K181" s="107"/>
      <c r="L181" s="290"/>
      <c r="M181" s="107"/>
      <c r="N181" s="290"/>
      <c r="O181" s="431"/>
      <c r="P181" s="296"/>
      <c r="Q181" s="107"/>
      <c r="R181" t="str">
        <f>CA181&amp;CB181</f>
        <v/>
      </c>
      <c r="CA181" s="135" t="str">
        <f>IF(AND(C181&gt;0,P181=""),"   * No olvide digitar la variable Pueblos originarios. Digite Cero si no tiene.",IF(P181&gt;C181," *  La variable Pueblos originarios No puede ser mayor al Total.",""))</f>
        <v/>
      </c>
      <c r="CB181" s="135" t="str">
        <f t="shared" ref="CB181:CB182" si="134">IF(AND(C181&gt;0,Q181="")," * No olvide digitar la variable Migrantes. Digite Cero si no tiene.",IF(Q181&gt;C181," * La variable Migrantes No puede ser mayor al Total.",""))</f>
        <v/>
      </c>
      <c r="CO181" s="1901">
        <f>IF(AND(C181&gt;0,P181=""),1,IF(P181&gt;C181,1,0))</f>
        <v>0</v>
      </c>
      <c r="CP181" s="1901">
        <f>IF(AND(C181&gt;0,Q181=""),1,IF(Q181&gt;C181,1,0))</f>
        <v>0</v>
      </c>
    </row>
    <row r="182" spans="1:94" ht="15" customHeight="1" x14ac:dyDescent="0.3">
      <c r="A182" s="5844"/>
      <c r="B182" s="193" t="s">
        <v>829</v>
      </c>
      <c r="C182" s="483">
        <f>SUM(D182+E182)</f>
        <v>0</v>
      </c>
      <c r="D182" s="595">
        <f>SUM(H182+J182+L182+N182)</f>
        <v>0</v>
      </c>
      <c r="E182" s="485">
        <f>SUM(I182+K182+M182+O182)</f>
        <v>0</v>
      </c>
      <c r="F182" s="635"/>
      <c r="G182" s="636"/>
      <c r="H182" s="380"/>
      <c r="I182" s="388"/>
      <c r="J182" s="380"/>
      <c r="K182" s="388"/>
      <c r="L182" s="380"/>
      <c r="M182" s="388"/>
      <c r="N182" s="380"/>
      <c r="O182" s="390"/>
      <c r="P182" s="379"/>
      <c r="Q182" s="388"/>
      <c r="R182" t="str">
        <f>CA182&amp;CB182</f>
        <v/>
      </c>
      <c r="CA182" s="135" t="str">
        <f>IF(AND(C182&gt;0,P182=""),"   * No olvide digitar la variable Pueblos originarios. Digite Cero si no tiene.",IF(P182&gt;C182," *  La variable Pueblos originarios No puede ser mayor al Total.",""))</f>
        <v/>
      </c>
      <c r="CB182" s="135" t="str">
        <f t="shared" si="134"/>
        <v/>
      </c>
      <c r="CO182" s="1901">
        <f>IF(AND(C182&gt;0,P182=""),1,IF(P182&gt;C182,1,0))</f>
        <v>0</v>
      </c>
      <c r="CP182" s="1901">
        <f>IF(AND(C182&gt;0,Q182=""),1,IF(Q182&gt;C182,1,0))</f>
        <v>0</v>
      </c>
    </row>
    <row r="183" spans="1:94" ht="15" customHeight="1" x14ac:dyDescent="0.3">
      <c r="A183" s="5791"/>
      <c r="B183" s="596" t="s">
        <v>839</v>
      </c>
      <c r="C183" s="562">
        <f>SUM(C180:C182)</f>
        <v>0</v>
      </c>
      <c r="D183" s="301">
        <f>SUM(D180:D182)</f>
        <v>0</v>
      </c>
      <c r="E183" s="599">
        <f>SUM(E180:E182)</f>
        <v>0</v>
      </c>
      <c r="F183" s="562">
        <f>SUM(F180:F182)</f>
        <v>0</v>
      </c>
      <c r="G183" s="599">
        <f t="shared" ref="G183:O183" si="135">SUM(G180:G182)</f>
        <v>0</v>
      </c>
      <c r="H183" s="562">
        <f t="shared" si="135"/>
        <v>0</v>
      </c>
      <c r="I183" s="599">
        <f t="shared" si="135"/>
        <v>0</v>
      </c>
      <c r="J183" s="562">
        <f t="shared" si="135"/>
        <v>0</v>
      </c>
      <c r="K183" s="599">
        <f t="shared" si="135"/>
        <v>0</v>
      </c>
      <c r="L183" s="562">
        <f t="shared" si="135"/>
        <v>0</v>
      </c>
      <c r="M183" s="599">
        <f t="shared" si="135"/>
        <v>0</v>
      </c>
      <c r="N183" s="562">
        <f t="shared" si="135"/>
        <v>0</v>
      </c>
      <c r="O183" s="306">
        <f t="shared" si="135"/>
        <v>0</v>
      </c>
      <c r="P183" s="302">
        <f>SUM(P180:P182)</f>
        <v>0</v>
      </c>
      <c r="Q183" s="599">
        <f>SUM(Q180:Q182)</f>
        <v>0</v>
      </c>
    </row>
    <row r="184" spans="1:94" ht="15" customHeight="1" x14ac:dyDescent="0.3">
      <c r="A184" s="5844" t="s">
        <v>840</v>
      </c>
      <c r="B184" s="295" t="s">
        <v>841</v>
      </c>
      <c r="C184" s="300">
        <f>SUM(D184+E184)</f>
        <v>0</v>
      </c>
      <c r="D184" s="587">
        <f>SUM(F184+H184+J184+L184+N184)</f>
        <v>0</v>
      </c>
      <c r="E184" s="146">
        <f>SUM(G184+I184+K184+M184+O184)</f>
        <v>0</v>
      </c>
      <c r="F184" s="245"/>
      <c r="G184" s="637"/>
      <c r="H184" s="66"/>
      <c r="I184" s="637"/>
      <c r="J184" s="290"/>
      <c r="K184" s="107"/>
      <c r="L184" s="290"/>
      <c r="M184" s="107"/>
      <c r="N184" s="307"/>
      <c r="O184" s="431"/>
      <c r="P184" s="74"/>
      <c r="Q184" s="107"/>
      <c r="R184" t="str">
        <f>CA184&amp;CB184</f>
        <v/>
      </c>
      <c r="CA184" s="135" t="str">
        <f>IF(AND(C184&gt;0,P184="")," * No olvide digitar la variable Pueblos originarios. Digite Cero si no tiene.",IF(P184&gt;C184," * La variable Pueblos originarios No puede ser mayor al Total.",""))</f>
        <v/>
      </c>
      <c r="CB184" s="135" t="str">
        <f>IF(AND(C184&gt;0,Q184=""),"   No olvide digitar la variable Migrantes. Digite Cero si no tiene.",IF(Q184&gt;C184," * La variable Migrantes No puede ser mayor al Total.",""))</f>
        <v/>
      </c>
      <c r="CO184" s="1901">
        <f>IF(AND(C184&gt;0,P184=""),1,IF(P184&gt;C184,1,0))</f>
        <v>0</v>
      </c>
      <c r="CP184" s="1901">
        <f>IF(AND(C184&gt;0,Q184=""),1,IF(Q184&gt;C184,1,0))</f>
        <v>0</v>
      </c>
    </row>
    <row r="185" spans="1:94" ht="15" customHeight="1" x14ac:dyDescent="0.3">
      <c r="A185" s="5844"/>
      <c r="B185" s="358" t="s">
        <v>811</v>
      </c>
      <c r="C185" s="308">
        <f>SUM(D185+E185)</f>
        <v>0</v>
      </c>
      <c r="D185" s="630">
        <f t="shared" ref="D185:E187" si="136">SUM(F185+H185+J185+L185+N185)</f>
        <v>0</v>
      </c>
      <c r="E185" s="141">
        <f t="shared" si="136"/>
        <v>0</v>
      </c>
      <c r="F185" s="290"/>
      <c r="G185" s="107"/>
      <c r="H185" s="346"/>
      <c r="I185" s="107"/>
      <c r="J185" s="346"/>
      <c r="K185" s="107"/>
      <c r="L185" s="290"/>
      <c r="M185" s="107"/>
      <c r="N185" s="346"/>
      <c r="O185" s="431"/>
      <c r="P185" s="430"/>
      <c r="Q185" s="107"/>
      <c r="R185" t="str">
        <f>CA185&amp;CB185</f>
        <v/>
      </c>
      <c r="CA185" s="135" t="str">
        <f t="shared" ref="CA185:CA187" si="137">IF(AND(C185&gt;0,P185="")," * No olvide digitar la variable Pueblos originarios. Digite Cero si no tiene.",IF(P185&gt;C185," * La variable Pueblos originarios No puede ser mayor al Total.",""))</f>
        <v/>
      </c>
      <c r="CB185" s="135" t="str">
        <f t="shared" ref="CB185:CB187" si="138">IF(AND(C185&gt;0,Q185=""),"   No olvide digitar la variable Migrantes. Digite Cero si no tiene.",IF(Q185&gt;C185," * La variable Migrantes No puede ser mayor al Total.",""))</f>
        <v/>
      </c>
      <c r="CO185" s="1901">
        <f>IF(AND(C185&gt;0,P185=""),1,IF(P185&gt;C185,1,0))</f>
        <v>0</v>
      </c>
      <c r="CP185" s="1901">
        <f>IF(AND(C185&gt;0,Q185=""),1,IF(Q185&gt;C185,1,0))</f>
        <v>0</v>
      </c>
    </row>
    <row r="186" spans="1:94" ht="15" customHeight="1" x14ac:dyDescent="0.3">
      <c r="A186" s="5844"/>
      <c r="B186" s="358" t="s">
        <v>812</v>
      </c>
      <c r="C186" s="342">
        <f>SUM(D186+E186)</f>
        <v>0</v>
      </c>
      <c r="D186" s="622">
        <f t="shared" si="136"/>
        <v>0</v>
      </c>
      <c r="E186" s="345">
        <f t="shared" si="136"/>
        <v>0</v>
      </c>
      <c r="F186" s="346"/>
      <c r="G186" s="347"/>
      <c r="H186" s="346"/>
      <c r="I186" s="347"/>
      <c r="J186" s="346"/>
      <c r="K186" s="347"/>
      <c r="L186" s="346"/>
      <c r="M186" s="347"/>
      <c r="N186" s="346"/>
      <c r="O186" s="352"/>
      <c r="P186" s="430"/>
      <c r="Q186" s="347"/>
      <c r="R186" t="str">
        <f>CA186&amp;CB186</f>
        <v/>
      </c>
      <c r="CA186" s="135" t="str">
        <f t="shared" si="137"/>
        <v/>
      </c>
      <c r="CB186" s="135" t="str">
        <f t="shared" si="138"/>
        <v/>
      </c>
      <c r="CO186" s="1901">
        <f>IF(AND(C186&gt;0,P186=""),1,IF(P186&gt;C186,1,0))</f>
        <v>0</v>
      </c>
      <c r="CP186" s="1901">
        <f>IF(AND(C186&gt;0,Q186=""),1,IF(Q186&gt;C186,1,0))</f>
        <v>0</v>
      </c>
    </row>
    <row r="187" spans="1:94" ht="15" customHeight="1" x14ac:dyDescent="0.3">
      <c r="A187" s="5791"/>
      <c r="B187" s="519" t="s">
        <v>813</v>
      </c>
      <c r="C187" s="638">
        <f>SUM(D187+E187)</f>
        <v>0</v>
      </c>
      <c r="D187" s="639">
        <f t="shared" si="136"/>
        <v>0</v>
      </c>
      <c r="E187" s="640">
        <f t="shared" si="136"/>
        <v>0</v>
      </c>
      <c r="F187" s="380"/>
      <c r="G187" s="388"/>
      <c r="H187" s="380"/>
      <c r="I187" s="388"/>
      <c r="J187" s="380"/>
      <c r="K187" s="388"/>
      <c r="L187" s="380"/>
      <c r="M187" s="388"/>
      <c r="N187" s="380"/>
      <c r="O187" s="390"/>
      <c r="P187" s="379"/>
      <c r="Q187" s="388"/>
      <c r="R187" t="str">
        <f>CA187&amp;CB187</f>
        <v/>
      </c>
      <c r="CA187" s="135" t="str">
        <f t="shared" si="137"/>
        <v/>
      </c>
      <c r="CB187" s="135" t="str">
        <f t="shared" si="138"/>
        <v/>
      </c>
      <c r="CO187" s="1901">
        <f>IF(AND(C187&gt;0,P187=""),1,IF(P187&gt;C187,1,0))</f>
        <v>0</v>
      </c>
      <c r="CP187" s="1901">
        <f>IF(AND(C187&gt;0,Q187=""),1,IF(Q187&gt;C187,1,0))</f>
        <v>0</v>
      </c>
    </row>
    <row r="188" spans="1:94" x14ac:dyDescent="0.3">
      <c r="A188" s="24" t="s">
        <v>842</v>
      </c>
      <c r="B188" s="24"/>
      <c r="C188" s="88"/>
      <c r="D188" s="88"/>
      <c r="E188" s="88"/>
      <c r="F188" s="88"/>
      <c r="G188" s="88"/>
      <c r="H188" s="88"/>
    </row>
    <row r="189" spans="1:94" x14ac:dyDescent="0.3">
      <c r="A189" s="24" t="s">
        <v>843</v>
      </c>
      <c r="B189" s="24"/>
      <c r="C189" s="88"/>
      <c r="D189" s="88"/>
      <c r="E189" s="88"/>
      <c r="F189" s="88"/>
      <c r="G189" s="88"/>
      <c r="H189" s="88"/>
    </row>
    <row r="190" spans="1:94" s="6" customFormat="1" ht="18" customHeight="1" x14ac:dyDescent="0.25">
      <c r="A190" s="298" t="s">
        <v>844</v>
      </c>
      <c r="B190" s="298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94"/>
      <c r="AV190" s="94"/>
      <c r="AW190" s="94"/>
    </row>
    <row r="191" spans="1:94" ht="30" customHeight="1" x14ac:dyDescent="0.3">
      <c r="A191" s="5944" t="s">
        <v>845</v>
      </c>
      <c r="B191" s="6243"/>
      <c r="C191" s="6149" t="s">
        <v>77</v>
      </c>
      <c r="D191" s="6149"/>
      <c r="E191" s="6149"/>
      <c r="F191" s="6149" t="s">
        <v>343</v>
      </c>
      <c r="G191" s="6149"/>
      <c r="H191" s="6149" t="s">
        <v>326</v>
      </c>
      <c r="I191" s="6149"/>
      <c r="J191" s="6149" t="s">
        <v>94</v>
      </c>
      <c r="K191" s="6149"/>
      <c r="L191" s="6149" t="s">
        <v>44</v>
      </c>
      <c r="M191" s="6149"/>
      <c r="N191" s="6143" t="s">
        <v>45</v>
      </c>
      <c r="O191" s="6180"/>
      <c r="P191" s="6151" t="s">
        <v>46</v>
      </c>
      <c r="Q191" s="6151"/>
      <c r="R191" s="6151" t="s">
        <v>47</v>
      </c>
      <c r="S191" s="6151"/>
      <c r="T191" s="6151" t="s">
        <v>48</v>
      </c>
      <c r="U191" s="6151"/>
      <c r="V191" s="6151" t="s">
        <v>49</v>
      </c>
      <c r="W191" s="6151"/>
      <c r="X191" s="6151" t="s">
        <v>50</v>
      </c>
      <c r="Y191" s="6151"/>
      <c r="Z191" s="6151" t="s">
        <v>51</v>
      </c>
      <c r="AA191" s="6151"/>
      <c r="AB191" s="6151" t="s">
        <v>52</v>
      </c>
      <c r="AC191" s="6151"/>
      <c r="AD191" s="6151" t="s">
        <v>53</v>
      </c>
      <c r="AE191" s="6151"/>
      <c r="AF191" s="6151" t="s">
        <v>54</v>
      </c>
      <c r="AG191" s="6151"/>
      <c r="AH191" s="6151" t="s">
        <v>55</v>
      </c>
      <c r="AI191" s="6151"/>
      <c r="AJ191" s="6151" t="s">
        <v>56</v>
      </c>
      <c r="AK191" s="6151"/>
      <c r="AL191" s="6151" t="s">
        <v>57</v>
      </c>
      <c r="AM191" s="6276"/>
      <c r="AN191" s="6345" t="s">
        <v>453</v>
      </c>
      <c r="AO191" s="6347" t="s">
        <v>454</v>
      </c>
      <c r="AP191" s="6276" t="s">
        <v>36</v>
      </c>
      <c r="AQ191" s="6277"/>
      <c r="AR191" s="6186" t="s">
        <v>455</v>
      </c>
      <c r="AS191" s="6243" t="s">
        <v>456</v>
      </c>
      <c r="AT191" s="6276" t="s">
        <v>37</v>
      </c>
      <c r="AU191" s="6277"/>
      <c r="AV191" s="6143" t="s">
        <v>457</v>
      </c>
      <c r="AW191" s="6180" t="s">
        <v>846</v>
      </c>
      <c r="AX191" s="6190" t="s">
        <v>847</v>
      </c>
    </row>
    <row r="192" spans="1:94" ht="30" customHeight="1" x14ac:dyDescent="0.3">
      <c r="A192" s="5796"/>
      <c r="B192" s="5760"/>
      <c r="C192" s="641" t="s">
        <v>79</v>
      </c>
      <c r="D192" s="491" t="s">
        <v>58</v>
      </c>
      <c r="E192" s="642" t="s">
        <v>59</v>
      </c>
      <c r="F192" s="641" t="s">
        <v>58</v>
      </c>
      <c r="G192" s="642" t="s">
        <v>59</v>
      </c>
      <c r="H192" s="641" t="s">
        <v>58</v>
      </c>
      <c r="I192" s="642" t="s">
        <v>59</v>
      </c>
      <c r="J192" s="641" t="s">
        <v>58</v>
      </c>
      <c r="K192" s="642" t="s">
        <v>59</v>
      </c>
      <c r="L192" s="641" t="s">
        <v>58</v>
      </c>
      <c r="M192" s="642" t="s">
        <v>59</v>
      </c>
      <c r="N192" s="641" t="s">
        <v>58</v>
      </c>
      <c r="O192" s="642" t="s">
        <v>59</v>
      </c>
      <c r="P192" s="641" t="s">
        <v>58</v>
      </c>
      <c r="Q192" s="642" t="s">
        <v>59</v>
      </c>
      <c r="R192" s="641" t="s">
        <v>58</v>
      </c>
      <c r="S192" s="642" t="s">
        <v>59</v>
      </c>
      <c r="T192" s="641" t="s">
        <v>58</v>
      </c>
      <c r="U192" s="642" t="s">
        <v>59</v>
      </c>
      <c r="V192" s="641" t="s">
        <v>58</v>
      </c>
      <c r="W192" s="642" t="s">
        <v>59</v>
      </c>
      <c r="X192" s="641" t="s">
        <v>58</v>
      </c>
      <c r="Y192" s="642" t="s">
        <v>59</v>
      </c>
      <c r="Z192" s="641" t="s">
        <v>58</v>
      </c>
      <c r="AA192" s="642" t="s">
        <v>59</v>
      </c>
      <c r="AB192" s="641" t="s">
        <v>58</v>
      </c>
      <c r="AC192" s="642" t="s">
        <v>59</v>
      </c>
      <c r="AD192" s="641" t="s">
        <v>58</v>
      </c>
      <c r="AE192" s="642" t="s">
        <v>59</v>
      </c>
      <c r="AF192" s="641" t="s">
        <v>58</v>
      </c>
      <c r="AG192" s="642" t="s">
        <v>59</v>
      </c>
      <c r="AH192" s="641" t="s">
        <v>58</v>
      </c>
      <c r="AI192" s="642" t="s">
        <v>59</v>
      </c>
      <c r="AJ192" s="641" t="s">
        <v>58</v>
      </c>
      <c r="AK192" s="642" t="s">
        <v>59</v>
      </c>
      <c r="AL192" s="641" t="s">
        <v>58</v>
      </c>
      <c r="AM192" s="643" t="s">
        <v>59</v>
      </c>
      <c r="AN192" s="6346"/>
      <c r="AO192" s="6348"/>
      <c r="AP192" s="641" t="s">
        <v>58</v>
      </c>
      <c r="AQ192" s="642" t="s">
        <v>59</v>
      </c>
      <c r="AR192" s="5835"/>
      <c r="AS192" s="5760"/>
      <c r="AT192" s="641" t="s">
        <v>58</v>
      </c>
      <c r="AU192" s="642" t="s">
        <v>59</v>
      </c>
      <c r="AV192" s="467" t="s">
        <v>462</v>
      </c>
      <c r="AW192" s="556" t="s">
        <v>463</v>
      </c>
      <c r="AX192" s="5756"/>
    </row>
    <row r="193" spans="1:103" s="6" customFormat="1" ht="18" customHeight="1" x14ac:dyDescent="0.25">
      <c r="A193" s="6341" t="s">
        <v>848</v>
      </c>
      <c r="B193" s="6342"/>
      <c r="C193" s="645">
        <f>SUM(D193+E193)</f>
        <v>0</v>
      </c>
      <c r="D193" s="646">
        <f>SUM(F193+H193+J193+L193+N193+P193+R193+T193+V193+X193+Z193+AB193+AD193+AF193+AH193+AJ193+AL193)</f>
        <v>0</v>
      </c>
      <c r="E193" s="67">
        <f>SUM(G193+I193+K193+M193+O193+Q193+S193+U193+W193+Y193+AA193+AC193+AE193+AG193+AI193+AK193+AM193)</f>
        <v>0</v>
      </c>
      <c r="F193" s="505"/>
      <c r="G193" s="42"/>
      <c r="H193" s="505"/>
      <c r="I193" s="42"/>
      <c r="J193" s="505"/>
      <c r="K193" s="42"/>
      <c r="L193" s="505"/>
      <c r="M193" s="42"/>
      <c r="N193" s="505"/>
      <c r="O193" s="42"/>
      <c r="P193" s="505"/>
      <c r="Q193" s="42"/>
      <c r="R193" s="505"/>
      <c r="S193" s="42"/>
      <c r="T193" s="505"/>
      <c r="U193" s="42"/>
      <c r="V193" s="505"/>
      <c r="W193" s="42"/>
      <c r="X193" s="505"/>
      <c r="Y193" s="42"/>
      <c r="Z193" s="505"/>
      <c r="AA193" s="42"/>
      <c r="AB193" s="505"/>
      <c r="AC193" s="42"/>
      <c r="AD193" s="373"/>
      <c r="AE193" s="42"/>
      <c r="AF193" s="373"/>
      <c r="AG193" s="42"/>
      <c r="AH193" s="373"/>
      <c r="AI193" s="42"/>
      <c r="AJ193" s="373"/>
      <c r="AK193" s="42"/>
      <c r="AL193" s="373"/>
      <c r="AM193" s="66"/>
      <c r="AN193" s="534"/>
      <c r="AO193" s="42"/>
      <c r="AP193" s="373"/>
      <c r="AQ193" s="42"/>
      <c r="AR193" s="505"/>
      <c r="AS193" s="508"/>
      <c r="AT193" s="647"/>
      <c r="AU193" s="648"/>
      <c r="AV193" s="647"/>
      <c r="AW193" s="648"/>
      <c r="AX193" s="649"/>
      <c r="AY193" s="6" t="str">
        <f>CA193&amp;CB193&amp;CC193&amp;CD193&amp;CE193&amp;CF193&amp;CG193&amp;CH193&amp;CI193&amp;CJ193&amp;CK193</f>
        <v/>
      </c>
      <c r="CA193" s="135" t="str">
        <f>IF(AND(E193&gt;0,AN193=""), "* No olvide digitar la variable Gestantes. Digite Cero si no tiene.",IF(AN193&gt;E193,"  * La variable Gestantes No puede ser mayor al Total Mujeres.",""))</f>
        <v/>
      </c>
      <c r="CB193" s="135" t="str">
        <f>IF(AND(E193&gt;0,AO193=""), "* No olvide digitar la variable Madre de hijo menor de 5 años. Digite Cero si no tiene.",IF(AO193&gt;E193,"  * La variable Madre de hijo menor de 5 años No puede ser mayor al Total de Mujeres.",""))</f>
        <v/>
      </c>
      <c r="CC193" s="135" t="str">
        <f>IF(AND(D193&gt;0,OR(AP193="")), "* No olvide digitar la variable Pueblos originarios - Hombres. Digite Cero si no tiene.",IF((AP193)&gt;D193,"  * La variable Pueblos originarios - Hombres No puede ser mayor al Total Hombres.",""))</f>
        <v/>
      </c>
      <c r="CD193" s="135" t="str">
        <f>IF(AND(E193&gt;0,OR(AQ193="")), "* No olvide digitar la variable Pueblos originarios - Mujeres. Digite Cero si no tiene.",IF((AQ193)&gt;E193,"  * La variable Pueblos originarios - Mujeres No puede ser mayor al Total Mujeres.",""))</f>
        <v/>
      </c>
      <c r="CE193" s="135" t="str">
        <f>IF(AND($C193&gt;0,AR193=""), "* No olvide digitar la variable Niños, niñas, adolescentes y jóvenes SENAME. Digite Cero si no tiene.",IF(AR193&gt;$C193,"  * La variable Niños, niñas, adolescentes y jóvenes SENAME No puede ser mayor al Total.",""))</f>
        <v/>
      </c>
      <c r="CF193" s="135" t="str">
        <f>IF(AND(C193&gt;0,AS193=""), "* No olvide digitar la variable Niños, niñas, adolescentes y jóvenes Mejor Niñez. Digite Cero si no tiene.",IF(AS193&gt;C193,"  * La variable Niños, niñas, adolescentes y jóvenes Mejor Niñez No puede ser mayor al Total.",""))</f>
        <v/>
      </c>
      <c r="CG193" s="135" t="str">
        <f>IF(AND(D193&gt;0,OR(AT193="")), "* No olvide digitar la variable Migrantes - Hombres. Digite Cero si no tiene.",IF((AT193)&gt;D193,"  * La variable Migrantes - Hombres No puede ser mayor al Total Hombres.",""))</f>
        <v/>
      </c>
      <c r="CH193" s="135" t="str">
        <f>IF(AND(E193&gt;0,OR(AU193="")), "* No olvide digitar la variable Migrantes - Mujeres. Digite Cero si no tiene.",IF((AU193)&gt;E193,"  * La variable Migrantes - Mujeres No puede ser mayor al Total Mujeres.",""))</f>
        <v/>
      </c>
      <c r="CI193" s="135" t="str">
        <f>IF(AND(E193&gt;0,OR(AV193="")), "* No olvide digitar la variable Trans Masculino. Digite Cero si no tiene.",IF((AV193)&gt;E193,"  * La variable Trans Masculino No puede ser mayor al Total Mujeres.",""))</f>
        <v/>
      </c>
      <c r="CJ193" s="135" t="str">
        <f>IF(AND(D193&gt;0,OR(AW193="")), "* No olvide digitar la variable Trans Femenino. Digite Cero si no tiene.",IF((AW193)&gt;D193,"  * La variable Trans Femenino No puede ser mayor al Total Mujeres.",""))</f>
        <v/>
      </c>
      <c r="CK193" s="135" t="str">
        <f>IF(AND($C193&gt;0,AX193=""), "* No olvide digitar la variable Adolescentes derivados de Espacios Amigables. Digite Cero si no tiene.",IF(AX193&gt;$C193,"  * La variable Adolescentes derivados de Espacios Amigables No puede ser mayor al Total.",""))</f>
        <v/>
      </c>
      <c r="CO193" s="55">
        <f>IF(AND(E193&gt;0,AN193=""),1,IF(AN193&gt;E193,1,0))</f>
        <v>0</v>
      </c>
      <c r="CP193" s="55">
        <f>IF(AND(E193&gt;0,AO193=""),1,IF(AO193&gt;E193,1,0))</f>
        <v>0</v>
      </c>
      <c r="CQ193" s="55">
        <f>IF(AND(D193&gt;0,OR(AP193="")),1,IF((AP193)&gt;D193,1,0))</f>
        <v>0</v>
      </c>
      <c r="CR193" s="55">
        <f>IF(AND(E193&gt;0,OR(AQ193="")),1,IF((AQ193)&gt;E193,1,0))</f>
        <v>0</v>
      </c>
      <c r="CS193" s="55">
        <f>IF(AND(C193&gt;0,AR193=""),1,IF(AR193&gt;C193,1,0))</f>
        <v>0</v>
      </c>
      <c r="CT193" s="55">
        <f>IF(AND(C193&gt;0,AS193=""),1,IF(AS193&gt;C193,1,0))</f>
        <v>0</v>
      </c>
      <c r="CU193" s="55">
        <f>IF(AND(D193&gt;0,OR(AT193="")),1,IF((AT193)&gt;D193,1,0))</f>
        <v>0</v>
      </c>
      <c r="CV193" s="55">
        <f>IF(AND(E193&gt;0,OR(AU193="")),1,IF((AU193)&gt;E193,1,0))</f>
        <v>0</v>
      </c>
      <c r="CW193" s="55">
        <f>IF(AND(E193&gt;0,OR(AV193="")),1,IF((AV193)&gt;E193,1,0))</f>
        <v>0</v>
      </c>
      <c r="CX193" s="55">
        <f>IF(AND(D193&gt;0,OR(AW193="")),1,IF((AW193)&gt;D193,1,0))</f>
        <v>0</v>
      </c>
      <c r="CY193" s="55">
        <f>IF(AND(C193&gt;0,AX193=""),1,IF(AX193&gt;C193,1,0))</f>
        <v>0</v>
      </c>
    </row>
    <row r="194" spans="1:103" s="6" customFormat="1" ht="18" customHeight="1" x14ac:dyDescent="0.25">
      <c r="A194" s="6343" t="s">
        <v>849</v>
      </c>
      <c r="B194" s="6344"/>
      <c r="C194" s="650"/>
      <c r="D194" s="651"/>
      <c r="E194" s="651"/>
      <c r="F194" s="651"/>
      <c r="G194" s="651"/>
      <c r="H194" s="651"/>
      <c r="I194" s="651"/>
      <c r="J194" s="651"/>
      <c r="K194" s="651"/>
      <c r="L194" s="651"/>
      <c r="M194" s="651"/>
      <c r="N194" s="651"/>
      <c r="O194" s="651"/>
      <c r="P194" s="651"/>
      <c r="Q194" s="651"/>
      <c r="R194" s="651"/>
      <c r="S194" s="651"/>
      <c r="T194" s="651"/>
      <c r="U194" s="651"/>
      <c r="V194" s="651"/>
      <c r="W194" s="651"/>
      <c r="X194" s="651"/>
      <c r="Y194" s="651"/>
      <c r="Z194" s="651"/>
      <c r="AA194" s="651"/>
      <c r="AB194" s="651"/>
      <c r="AC194" s="651"/>
      <c r="AD194" s="651"/>
      <c r="AE194" s="651"/>
      <c r="AF194" s="651"/>
      <c r="AG194" s="651"/>
      <c r="AH194" s="651"/>
      <c r="AI194" s="651"/>
      <c r="AJ194" s="651"/>
      <c r="AK194" s="651"/>
      <c r="AL194" s="651"/>
      <c r="AM194" s="651"/>
      <c r="AN194" s="651"/>
      <c r="AO194" s="651"/>
      <c r="AP194" s="651"/>
      <c r="AQ194" s="651"/>
      <c r="AR194" s="651"/>
      <c r="AS194" s="651"/>
      <c r="AT194" s="651"/>
      <c r="AU194" s="651"/>
      <c r="AV194" s="651"/>
      <c r="AW194" s="652"/>
      <c r="AX194" s="653"/>
    </row>
    <row r="195" spans="1:103" s="6" customFormat="1" ht="15" customHeight="1" x14ac:dyDescent="0.25">
      <c r="A195" s="6185" t="s">
        <v>850</v>
      </c>
      <c r="B195" s="656" t="s">
        <v>851</v>
      </c>
      <c r="C195" s="654">
        <f t="shared" ref="C195:C198" si="139">SUM(D195+E195)</f>
        <v>0</v>
      </c>
      <c r="D195" s="655">
        <f t="shared" ref="D195:D198" si="140">SUM(F195+H195+J195+L195+N195+P195+R195+T195+V195+X195+Z195+AB195+AD195+AF195+AH195+AJ195+AL195)</f>
        <v>0</v>
      </c>
      <c r="E195" s="656">
        <f t="shared" ref="E195:E198" si="141">SUM(G195+I195+K195+M195+O195+Q195+S195+U195+W195+Y195+AA195+AC195+AE195+AG195+AI195+AK195+AM195)</f>
        <v>0</v>
      </c>
      <c r="F195" s="474"/>
      <c r="G195" s="576"/>
      <c r="H195" s="474"/>
      <c r="I195" s="576"/>
      <c r="J195" s="474"/>
      <c r="K195" s="576"/>
      <c r="L195" s="474"/>
      <c r="M195" s="576"/>
      <c r="N195" s="474"/>
      <c r="O195" s="576"/>
      <c r="P195" s="474"/>
      <c r="Q195" s="576"/>
      <c r="R195" s="474"/>
      <c r="S195" s="576"/>
      <c r="T195" s="474"/>
      <c r="U195" s="576"/>
      <c r="V195" s="474"/>
      <c r="W195" s="576"/>
      <c r="X195" s="474"/>
      <c r="Y195" s="576"/>
      <c r="Z195" s="474"/>
      <c r="AA195" s="576"/>
      <c r="AB195" s="474"/>
      <c r="AC195" s="576"/>
      <c r="AD195" s="474"/>
      <c r="AE195" s="576"/>
      <c r="AF195" s="474"/>
      <c r="AG195" s="576"/>
      <c r="AH195" s="474"/>
      <c r="AI195" s="576"/>
      <c r="AJ195" s="474"/>
      <c r="AK195" s="576"/>
      <c r="AL195" s="474"/>
      <c r="AM195" s="559"/>
      <c r="AN195" s="497"/>
      <c r="AO195" s="475"/>
      <c r="AP195" s="474"/>
      <c r="AQ195" s="576"/>
      <c r="AR195" s="474"/>
      <c r="AS195" s="475"/>
      <c r="AT195" s="559"/>
      <c r="AU195" s="577"/>
      <c r="AV195" s="559"/>
      <c r="AW195" s="577"/>
      <c r="AX195" s="576"/>
      <c r="AY195" s="6" t="str">
        <f t="shared" ref="AY195:AY241" si="142">CA195&amp;CB195&amp;CC195&amp;CD195&amp;CE195&amp;CF195&amp;CG195&amp;CH195&amp;CI195&amp;CJ195&amp;CK195</f>
        <v/>
      </c>
      <c r="CA195" s="135" t="str">
        <f t="shared" ref="CA195:CA207" si="143">IF(AND(E195&gt;0,AN195=""), "* No olvide digitar la variable Gestantes. Digite Cero si no tiene.",IF(AN195&gt;E195,"  * La variable Gestantes No puede ser mayor al Total Mujeres.",""))</f>
        <v/>
      </c>
      <c r="CB195" s="135" t="str">
        <f t="shared" ref="CB195:CB207" si="144">IF(AND(E195&gt;0,AO195=""), "* No olvide digitar la variable Madre de hijo menor de 5 años. Digite Cero si no tiene.",IF(AO195&gt;E195,"  * La variable Madre de hijo menor de 5 años No puede ser mayor al Total de Mujeres.",""))</f>
        <v/>
      </c>
      <c r="CC195" s="135" t="str">
        <f t="shared" ref="CC195:CC207" si="145">IF(AND(D195&gt;0,OR(AP195="")), "* No olvide digitar la variable Pueblos originarios - Hombres. Digite Cero si no tiene.",IF((AP195)&gt;D195,"  * La variable Pueblos originarios - Hombres No puede ser mayor al Total Hombres.",""))</f>
        <v/>
      </c>
      <c r="CD195" s="135" t="str">
        <f t="shared" ref="CD195:CD207" si="146">IF(AND(E195&gt;0,OR(AQ195="")), "* No olvide digitar la variable Pueblos originarios - Mujeres. Digite Cero si no tiene.",IF((AQ195)&gt;E195,"  * La variable Pueblos originarios - Mujeres No puede ser mayor al Total Mujeres.",""))</f>
        <v/>
      </c>
      <c r="CE195" s="135" t="str">
        <f t="shared" ref="CE195:CE207" si="147">IF(AND($C195&gt;0,AR195=""), "* No olvide digitar la variable Niños, niñas, adolescentes y jóvenes SENAME. Digite Cero si no tiene.",IF(AR195&gt;$C195,"  * La variable Niños, niñas, adolescentes y jóvenes SENAME No puede ser mayor al Total.",""))</f>
        <v/>
      </c>
      <c r="CF195" s="135" t="str">
        <f t="shared" ref="CF195:CF207" si="148">IF(AND(C195&gt;0,AS195=""), "* No olvide digitar la variable Niños, niñas, adolescentes y jóvenes Mejor Niñez. Digite Cero si no tiene.",IF(AS195&gt;C195,"  * La variable Niños, niñas, adolescentes y jóvenes Mejor Niñez No puede ser mayor al Total.",""))</f>
        <v/>
      </c>
      <c r="CG195" s="135" t="str">
        <f>IF(AND(D195&gt;0,OR(AT195="")), "* No olvide digitar la variable Migrantes - Hombres. Digite Cero si no tiene.",IF((AT195)&gt;D195,"  * La variable Migrantes - Hombres No puede ser mayor al Total Hombres.",""))</f>
        <v/>
      </c>
      <c r="CH195" s="135" t="str">
        <f t="shared" ref="CH195:CH207" si="149">IF(AND(E195&gt;0,OR(AU195="")), "* No olvide digitar la variable Migrantes - Mujeres. Digite Cero si no tiene.",IF((AU195)&gt;E195,"  * La variable Migrantes - Mujeres No puede ser mayor al Total Mujeres.",""))</f>
        <v/>
      </c>
      <c r="CI195" s="135" t="str">
        <f>IF(AND(E195&gt;0,OR(AV195="")), "* No olvide digitar la variable Trans Masculino. Digite Cero si no tiene.",IF((AV195)&gt;E195,"  * La variable Trans Masculino No puede ser mayor al Total Mujeres.",""))</f>
        <v/>
      </c>
      <c r="CJ195" s="135" t="str">
        <f>IF(AND(D195&gt;0,OR(AW195="")), "* No olvide digitar la variable Trans Femenino. Digite Cero si no tiene.",IF((AW195)&gt;D195,"  * La variable Trans Femenino No puede ser mayor al Total Hombres.",""))</f>
        <v/>
      </c>
      <c r="CK195" s="135" t="str">
        <f t="shared" ref="CK195:CK207" si="150">IF(AND($C195&gt;0,AX195=""), "* No olvide digitar la variable Adolescentes derivados de Espacios Amigables. Digite Cero si no tiene.",IF(AX195&gt;$C195,"  * La variable Adolescentes derivados de Espacios Amigables No puede ser mayor al Total.",""))</f>
        <v/>
      </c>
      <c r="CO195" s="55">
        <f t="shared" ref="CO195:CO207" si="151">IF(AND(E195&gt;0,AN195=""),1,IF(AN195&gt;E195,1,0))</f>
        <v>0</v>
      </c>
      <c r="CP195" s="55">
        <f t="shared" ref="CP195:CP207" si="152">IF(AND(E195&gt;0,AO195=""),1,IF(AO195&gt;E195,1,0))</f>
        <v>0</v>
      </c>
      <c r="CQ195" s="55">
        <f t="shared" ref="CQ195:CQ207" si="153">IF(AND(D195&gt;0,OR(AP195="")),1,IF((AP195)&gt;D195,1,0))</f>
        <v>0</v>
      </c>
      <c r="CR195" s="55">
        <f t="shared" ref="CR195:CR207" si="154">IF(AND(E195&gt;0,OR(AQ195="")),1,IF((AQ195)&gt;E195,1,0))</f>
        <v>0</v>
      </c>
      <c r="CS195" s="55">
        <f t="shared" ref="CS195:CS207" si="155">IF(AND(C195&gt;0,AR195=""),1,IF(AR195&gt;C195,1,0))</f>
        <v>0</v>
      </c>
      <c r="CT195" s="55">
        <f t="shared" ref="CT195:CT207" si="156">IF(AND(C195&gt;0,AS195=""),1,IF(AS195&gt;C195,1,0))</f>
        <v>0</v>
      </c>
      <c r="CU195" s="55">
        <f t="shared" ref="CU195:CU207" si="157">IF(AND(D195&gt;0,OR(AT195="")),1,IF((AT195)&gt;D195,1,0))</f>
        <v>0</v>
      </c>
      <c r="CV195" s="55">
        <f t="shared" ref="CV195:CV207" si="158">IF(AND(E195&gt;0,OR(AU195="")),1,IF((AU195)&gt;E195,1,0))</f>
        <v>0</v>
      </c>
      <c r="CW195" s="55">
        <f t="shared" ref="CW195:CW207" si="159">IF(AND(E195&gt;0,OR(AV195="")),1,IF((AV195)&gt;E195,1,0))</f>
        <v>0</v>
      </c>
      <c r="CX195" s="55">
        <f t="shared" ref="CX195:CX207" si="160">IF(AND(D195&gt;0,OR(AW195="")),1,IF((AW195)&gt;D195,1,0))</f>
        <v>0</v>
      </c>
      <c r="CY195" s="55">
        <f t="shared" ref="CY195:CY241" si="161">IF(AND(C195&gt;0,AX195=""),1,IF(AX195&gt;C195,1,0))</f>
        <v>0</v>
      </c>
    </row>
    <row r="196" spans="1:103" s="6" customFormat="1" ht="15" customHeight="1" x14ac:dyDescent="0.25">
      <c r="A196" s="5791"/>
      <c r="B196" s="387" t="s">
        <v>852</v>
      </c>
      <c r="C196" s="309">
        <f t="shared" si="139"/>
        <v>0</v>
      </c>
      <c r="D196" s="657">
        <f t="shared" si="140"/>
        <v>0</v>
      </c>
      <c r="E196" s="108">
        <f t="shared" si="141"/>
        <v>0</v>
      </c>
      <c r="F196" s="290"/>
      <c r="G196" s="107"/>
      <c r="H196" s="290"/>
      <c r="I196" s="107"/>
      <c r="J196" s="290"/>
      <c r="K196" s="107"/>
      <c r="L196" s="290"/>
      <c r="M196" s="107"/>
      <c r="N196" s="290"/>
      <c r="O196" s="107"/>
      <c r="P196" s="290"/>
      <c r="Q196" s="107"/>
      <c r="R196" s="290"/>
      <c r="S196" s="107"/>
      <c r="T196" s="290"/>
      <c r="U196" s="107"/>
      <c r="V196" s="290"/>
      <c r="W196" s="107"/>
      <c r="X196" s="290"/>
      <c r="Y196" s="107"/>
      <c r="Z196" s="290"/>
      <c r="AA196" s="107"/>
      <c r="AB196" s="290"/>
      <c r="AC196" s="107"/>
      <c r="AD196" s="290"/>
      <c r="AE196" s="107"/>
      <c r="AF196" s="290"/>
      <c r="AG196" s="107"/>
      <c r="AH196" s="290"/>
      <c r="AI196" s="107"/>
      <c r="AJ196" s="290"/>
      <c r="AK196" s="107"/>
      <c r="AL196" s="290"/>
      <c r="AM196" s="65"/>
      <c r="AN196" s="296"/>
      <c r="AO196" s="107"/>
      <c r="AP196" s="290"/>
      <c r="AQ196" s="107"/>
      <c r="AR196" s="290"/>
      <c r="AS196" s="107"/>
      <c r="AT196" s="65"/>
      <c r="AU196" s="637"/>
      <c r="AV196" s="65"/>
      <c r="AW196" s="637"/>
      <c r="AX196" s="107"/>
      <c r="AY196" s="6" t="str">
        <f t="shared" si="142"/>
        <v/>
      </c>
      <c r="CA196" s="135" t="str">
        <f t="shared" si="143"/>
        <v/>
      </c>
      <c r="CB196" s="135" t="str">
        <f t="shared" si="144"/>
        <v/>
      </c>
      <c r="CC196" s="135" t="str">
        <f t="shared" si="145"/>
        <v/>
      </c>
      <c r="CD196" s="135" t="str">
        <f t="shared" si="146"/>
        <v/>
      </c>
      <c r="CE196" s="135" t="str">
        <f t="shared" si="147"/>
        <v/>
      </c>
      <c r="CF196" s="135" t="str">
        <f t="shared" si="148"/>
        <v/>
      </c>
      <c r="CG196" s="135" t="str">
        <f t="shared" ref="CG196:CG241" si="162">IF(AND(D196&gt;0,OR(AT196="")), "* No olvide digitar la variable Migrantes - Hombres. Digite Cero si no tiene.",IF((AT196)&gt;D196,"  * La variable Migrantes - Hombres No puede ser mayor al Total Hombres.",""))</f>
        <v/>
      </c>
      <c r="CH196" s="135" t="str">
        <f t="shared" si="149"/>
        <v/>
      </c>
      <c r="CI196" s="135" t="str">
        <f t="shared" ref="CI196:CI208" si="163">IF(AND(E196&gt;0,OR(AV196="")), "* No olvide digitar la variable Trans Masculino. Digite Cero si no tiene.",IF((AV196)&gt;E196,"  * La variable Trans Masculino No puede ser mayor al Total Mujeres.",""))</f>
        <v/>
      </c>
      <c r="CJ196" s="135" t="str">
        <f t="shared" ref="CJ196:CJ207" si="164">IF(AND(D196&gt;0,OR(AW196="")), "* No olvide digitar la variable Trans Femenino. Digite Cero si no tiene.",IF((AW196)&gt;D196,"  * La variable Trans Femenino No puede ser mayor al Total Hombres.",""))</f>
        <v/>
      </c>
      <c r="CK196" s="135" t="str">
        <f t="shared" si="150"/>
        <v/>
      </c>
      <c r="CO196" s="55">
        <f t="shared" si="151"/>
        <v>0</v>
      </c>
      <c r="CP196" s="55">
        <f t="shared" si="152"/>
        <v>0</v>
      </c>
      <c r="CQ196" s="55">
        <f t="shared" si="153"/>
        <v>0</v>
      </c>
      <c r="CR196" s="55">
        <f t="shared" si="154"/>
        <v>0</v>
      </c>
      <c r="CS196" s="55">
        <f t="shared" si="155"/>
        <v>0</v>
      </c>
      <c r="CT196" s="55">
        <f t="shared" si="156"/>
        <v>0</v>
      </c>
      <c r="CU196" s="55">
        <f t="shared" si="157"/>
        <v>0</v>
      </c>
      <c r="CV196" s="55">
        <f t="shared" si="158"/>
        <v>0</v>
      </c>
      <c r="CW196" s="55">
        <f t="shared" si="159"/>
        <v>0</v>
      </c>
      <c r="CX196" s="55">
        <f t="shared" si="160"/>
        <v>0</v>
      </c>
      <c r="CY196" s="55">
        <f t="shared" si="161"/>
        <v>0</v>
      </c>
    </row>
    <row r="197" spans="1:103" s="6" customFormat="1" ht="15" customHeight="1" x14ac:dyDescent="0.25">
      <c r="A197" s="6185" t="s">
        <v>853</v>
      </c>
      <c r="B197" s="656" t="s">
        <v>851</v>
      </c>
      <c r="C197" s="654">
        <f t="shared" si="139"/>
        <v>0</v>
      </c>
      <c r="D197" s="655">
        <f t="shared" si="140"/>
        <v>0</v>
      </c>
      <c r="E197" s="656">
        <f t="shared" si="141"/>
        <v>0</v>
      </c>
      <c r="F197" s="474"/>
      <c r="G197" s="576"/>
      <c r="H197" s="474"/>
      <c r="I197" s="576"/>
      <c r="J197" s="474"/>
      <c r="K197" s="576"/>
      <c r="L197" s="474"/>
      <c r="M197" s="576"/>
      <c r="N197" s="474"/>
      <c r="O197" s="576"/>
      <c r="P197" s="474"/>
      <c r="Q197" s="576"/>
      <c r="R197" s="474"/>
      <c r="S197" s="576"/>
      <c r="T197" s="474"/>
      <c r="U197" s="576"/>
      <c r="V197" s="474"/>
      <c r="W197" s="576"/>
      <c r="X197" s="474"/>
      <c r="Y197" s="576"/>
      <c r="Z197" s="474"/>
      <c r="AA197" s="576"/>
      <c r="AB197" s="474"/>
      <c r="AC197" s="576"/>
      <c r="AD197" s="474"/>
      <c r="AE197" s="576"/>
      <c r="AF197" s="474"/>
      <c r="AG197" s="576"/>
      <c r="AH197" s="474"/>
      <c r="AI197" s="576"/>
      <c r="AJ197" s="474"/>
      <c r="AK197" s="576"/>
      <c r="AL197" s="474"/>
      <c r="AM197" s="559"/>
      <c r="AN197" s="497"/>
      <c r="AO197" s="475"/>
      <c r="AP197" s="474"/>
      <c r="AQ197" s="576"/>
      <c r="AR197" s="474"/>
      <c r="AS197" s="475"/>
      <c r="AT197" s="559"/>
      <c r="AU197" s="577"/>
      <c r="AV197" s="559"/>
      <c r="AW197" s="577"/>
      <c r="AX197" s="576"/>
      <c r="AY197" s="6" t="str">
        <f t="shared" si="142"/>
        <v/>
      </c>
      <c r="CA197" s="135" t="str">
        <f t="shared" si="143"/>
        <v/>
      </c>
      <c r="CB197" s="135" t="str">
        <f t="shared" si="144"/>
        <v/>
      </c>
      <c r="CC197" s="135" t="str">
        <f t="shared" si="145"/>
        <v/>
      </c>
      <c r="CD197" s="135" t="str">
        <f t="shared" si="146"/>
        <v/>
      </c>
      <c r="CE197" s="135" t="str">
        <f t="shared" si="147"/>
        <v/>
      </c>
      <c r="CF197" s="135" t="str">
        <f t="shared" si="148"/>
        <v/>
      </c>
      <c r="CG197" s="135" t="str">
        <f t="shared" si="162"/>
        <v/>
      </c>
      <c r="CH197" s="135" t="str">
        <f t="shared" si="149"/>
        <v/>
      </c>
      <c r="CI197" s="135" t="str">
        <f t="shared" si="163"/>
        <v/>
      </c>
      <c r="CJ197" s="135" t="str">
        <f t="shared" si="164"/>
        <v/>
      </c>
      <c r="CK197" s="135" t="str">
        <f t="shared" si="150"/>
        <v/>
      </c>
      <c r="CO197" s="55">
        <f t="shared" si="151"/>
        <v>0</v>
      </c>
      <c r="CP197" s="55">
        <f t="shared" si="152"/>
        <v>0</v>
      </c>
      <c r="CQ197" s="55">
        <f t="shared" si="153"/>
        <v>0</v>
      </c>
      <c r="CR197" s="55">
        <f t="shared" si="154"/>
        <v>0</v>
      </c>
      <c r="CS197" s="55">
        <f t="shared" si="155"/>
        <v>0</v>
      </c>
      <c r="CT197" s="55">
        <f t="shared" si="156"/>
        <v>0</v>
      </c>
      <c r="CU197" s="55">
        <f t="shared" si="157"/>
        <v>0</v>
      </c>
      <c r="CV197" s="55">
        <f t="shared" si="158"/>
        <v>0</v>
      </c>
      <c r="CW197" s="55">
        <f t="shared" si="159"/>
        <v>0</v>
      </c>
      <c r="CX197" s="55">
        <f t="shared" si="160"/>
        <v>0</v>
      </c>
      <c r="CY197" s="55">
        <f t="shared" si="161"/>
        <v>0</v>
      </c>
    </row>
    <row r="198" spans="1:103" s="6" customFormat="1" ht="15" customHeight="1" x14ac:dyDescent="0.25">
      <c r="A198" s="5791"/>
      <c r="B198" s="387" t="s">
        <v>852</v>
      </c>
      <c r="C198" s="309">
        <f t="shared" si="139"/>
        <v>0</v>
      </c>
      <c r="D198" s="657">
        <f t="shared" si="140"/>
        <v>0</v>
      </c>
      <c r="E198" s="108">
        <f t="shared" si="141"/>
        <v>0</v>
      </c>
      <c r="F198" s="290"/>
      <c r="G198" s="107"/>
      <c r="H198" s="290"/>
      <c r="I198" s="107"/>
      <c r="J198" s="290"/>
      <c r="K198" s="107"/>
      <c r="L198" s="290"/>
      <c r="M198" s="107"/>
      <c r="N198" s="290"/>
      <c r="O198" s="107"/>
      <c r="P198" s="290"/>
      <c r="Q198" s="107"/>
      <c r="R198" s="290"/>
      <c r="S198" s="107"/>
      <c r="T198" s="290"/>
      <c r="U198" s="107"/>
      <c r="V198" s="290"/>
      <c r="W198" s="107"/>
      <c r="X198" s="290"/>
      <c r="Y198" s="107"/>
      <c r="Z198" s="290"/>
      <c r="AA198" s="107"/>
      <c r="AB198" s="290"/>
      <c r="AC198" s="107"/>
      <c r="AD198" s="290"/>
      <c r="AE198" s="107"/>
      <c r="AF198" s="290"/>
      <c r="AG198" s="107"/>
      <c r="AH198" s="290"/>
      <c r="AI198" s="107"/>
      <c r="AJ198" s="290"/>
      <c r="AK198" s="107"/>
      <c r="AL198" s="290"/>
      <c r="AM198" s="65"/>
      <c r="AN198" s="296"/>
      <c r="AO198" s="107"/>
      <c r="AP198" s="290"/>
      <c r="AQ198" s="107"/>
      <c r="AR198" s="290"/>
      <c r="AS198" s="107"/>
      <c r="AT198" s="65"/>
      <c r="AU198" s="637"/>
      <c r="AV198" s="65"/>
      <c r="AW198" s="637"/>
      <c r="AX198" s="107"/>
      <c r="AY198" s="6" t="str">
        <f t="shared" si="142"/>
        <v/>
      </c>
      <c r="CA198" s="135" t="str">
        <f t="shared" si="143"/>
        <v/>
      </c>
      <c r="CB198" s="135" t="str">
        <f t="shared" si="144"/>
        <v/>
      </c>
      <c r="CC198" s="135" t="str">
        <f t="shared" si="145"/>
        <v/>
      </c>
      <c r="CD198" s="135" t="str">
        <f t="shared" si="146"/>
        <v/>
      </c>
      <c r="CE198" s="135" t="str">
        <f t="shared" si="147"/>
        <v/>
      </c>
      <c r="CF198" s="135" t="str">
        <f t="shared" si="148"/>
        <v/>
      </c>
      <c r="CG198" s="135" t="str">
        <f t="shared" si="162"/>
        <v/>
      </c>
      <c r="CH198" s="135" t="str">
        <f t="shared" si="149"/>
        <v/>
      </c>
      <c r="CI198" s="135" t="str">
        <f t="shared" si="163"/>
        <v/>
      </c>
      <c r="CJ198" s="135" t="str">
        <f t="shared" si="164"/>
        <v/>
      </c>
      <c r="CK198" s="135" t="str">
        <f t="shared" si="150"/>
        <v/>
      </c>
      <c r="CO198" s="55">
        <f t="shared" si="151"/>
        <v>0</v>
      </c>
      <c r="CP198" s="55">
        <f t="shared" si="152"/>
        <v>0</v>
      </c>
      <c r="CQ198" s="55">
        <f t="shared" si="153"/>
        <v>0</v>
      </c>
      <c r="CR198" s="55">
        <f t="shared" si="154"/>
        <v>0</v>
      </c>
      <c r="CS198" s="55">
        <f t="shared" si="155"/>
        <v>0</v>
      </c>
      <c r="CT198" s="55">
        <f t="shared" si="156"/>
        <v>0</v>
      </c>
      <c r="CU198" s="55">
        <f t="shared" si="157"/>
        <v>0</v>
      </c>
      <c r="CV198" s="55">
        <f t="shared" si="158"/>
        <v>0</v>
      </c>
      <c r="CW198" s="55">
        <f t="shared" si="159"/>
        <v>0</v>
      </c>
      <c r="CX198" s="55">
        <f t="shared" si="160"/>
        <v>0</v>
      </c>
      <c r="CY198" s="55">
        <f t="shared" si="161"/>
        <v>0</v>
      </c>
    </row>
    <row r="199" spans="1:103" ht="15" customHeight="1" x14ac:dyDescent="0.3">
      <c r="A199" s="6185" t="s">
        <v>854</v>
      </c>
      <c r="B199" s="656" t="s">
        <v>851</v>
      </c>
      <c r="C199" s="654">
        <f>SUM(D199+E199)</f>
        <v>0</v>
      </c>
      <c r="D199" s="655">
        <f t="shared" ref="D199:E207" si="165">SUM(F199+H199+J199+L199+N199+P199+R199+T199+V199+X199+Z199+AB199+AD199+AF199+AH199+AJ199+AL199)</f>
        <v>0</v>
      </c>
      <c r="E199" s="656">
        <f t="shared" si="165"/>
        <v>0</v>
      </c>
      <c r="F199" s="474"/>
      <c r="G199" s="576"/>
      <c r="H199" s="474"/>
      <c r="I199" s="576"/>
      <c r="J199" s="474"/>
      <c r="K199" s="576"/>
      <c r="L199" s="474"/>
      <c r="M199" s="576"/>
      <c r="N199" s="474"/>
      <c r="O199" s="576"/>
      <c r="P199" s="474"/>
      <c r="Q199" s="576"/>
      <c r="R199" s="474"/>
      <c r="S199" s="576"/>
      <c r="T199" s="474"/>
      <c r="U199" s="576"/>
      <c r="V199" s="474"/>
      <c r="W199" s="576"/>
      <c r="X199" s="474"/>
      <c r="Y199" s="576"/>
      <c r="Z199" s="474"/>
      <c r="AA199" s="576"/>
      <c r="AB199" s="474"/>
      <c r="AC199" s="576"/>
      <c r="AD199" s="474"/>
      <c r="AE199" s="576"/>
      <c r="AF199" s="474"/>
      <c r="AG199" s="576"/>
      <c r="AH199" s="474"/>
      <c r="AI199" s="576"/>
      <c r="AJ199" s="474"/>
      <c r="AK199" s="576"/>
      <c r="AL199" s="474"/>
      <c r="AM199" s="559"/>
      <c r="AN199" s="497"/>
      <c r="AO199" s="475"/>
      <c r="AP199" s="474"/>
      <c r="AQ199" s="576"/>
      <c r="AR199" s="474"/>
      <c r="AS199" s="475"/>
      <c r="AT199" s="559"/>
      <c r="AU199" s="577"/>
      <c r="AV199" s="559"/>
      <c r="AW199" s="577"/>
      <c r="AX199" s="576"/>
      <c r="AY199" s="6" t="str">
        <f t="shared" si="142"/>
        <v/>
      </c>
      <c r="CA199" s="135" t="str">
        <f t="shared" si="143"/>
        <v/>
      </c>
      <c r="CB199" s="135" t="str">
        <f t="shared" si="144"/>
        <v/>
      </c>
      <c r="CC199" s="135" t="str">
        <f t="shared" si="145"/>
        <v/>
      </c>
      <c r="CD199" s="135" t="str">
        <f t="shared" si="146"/>
        <v/>
      </c>
      <c r="CE199" s="135" t="str">
        <f t="shared" si="147"/>
        <v/>
      </c>
      <c r="CF199" s="135" t="str">
        <f t="shared" si="148"/>
        <v/>
      </c>
      <c r="CG199" s="135" t="str">
        <f t="shared" si="162"/>
        <v/>
      </c>
      <c r="CH199" s="135" t="str">
        <f t="shared" si="149"/>
        <v/>
      </c>
      <c r="CI199" s="135" t="str">
        <f t="shared" si="163"/>
        <v/>
      </c>
      <c r="CJ199" s="135" t="str">
        <f t="shared" si="164"/>
        <v/>
      </c>
      <c r="CK199" s="135" t="str">
        <f t="shared" si="150"/>
        <v/>
      </c>
      <c r="CL199" s="6"/>
      <c r="CM199" s="6"/>
      <c r="CN199" s="6"/>
      <c r="CO199" s="55">
        <f t="shared" si="151"/>
        <v>0</v>
      </c>
      <c r="CP199" s="55">
        <f t="shared" si="152"/>
        <v>0</v>
      </c>
      <c r="CQ199" s="55">
        <f t="shared" si="153"/>
        <v>0</v>
      </c>
      <c r="CR199" s="55">
        <f t="shared" si="154"/>
        <v>0</v>
      </c>
      <c r="CS199" s="55">
        <f t="shared" si="155"/>
        <v>0</v>
      </c>
      <c r="CT199" s="55">
        <f t="shared" si="156"/>
        <v>0</v>
      </c>
      <c r="CU199" s="55">
        <f t="shared" si="157"/>
        <v>0</v>
      </c>
      <c r="CV199" s="55">
        <f t="shared" si="158"/>
        <v>0</v>
      </c>
      <c r="CW199" s="55">
        <f t="shared" si="159"/>
        <v>0</v>
      </c>
      <c r="CX199" s="55">
        <f t="shared" si="160"/>
        <v>0</v>
      </c>
      <c r="CY199" s="55">
        <f t="shared" si="161"/>
        <v>0</v>
      </c>
    </row>
    <row r="200" spans="1:103" ht="15" customHeight="1" x14ac:dyDescent="0.3">
      <c r="A200" s="5791"/>
      <c r="B200" s="387" t="s">
        <v>852</v>
      </c>
      <c r="C200" s="386">
        <f>SUM(D200+E200)</f>
        <v>0</v>
      </c>
      <c r="D200" s="310">
        <f t="shared" si="165"/>
        <v>0</v>
      </c>
      <c r="E200" s="658">
        <f t="shared" si="165"/>
        <v>0</v>
      </c>
      <c r="F200" s="373"/>
      <c r="G200" s="530"/>
      <c r="H200" s="373"/>
      <c r="I200" s="530"/>
      <c r="J200" s="373"/>
      <c r="K200" s="530"/>
      <c r="L200" s="373"/>
      <c r="M200" s="530"/>
      <c r="N200" s="373"/>
      <c r="O200" s="530"/>
      <c r="P200" s="373"/>
      <c r="Q200" s="530"/>
      <c r="R200" s="373"/>
      <c r="S200" s="530"/>
      <c r="T200" s="373"/>
      <c r="U200" s="530"/>
      <c r="V200" s="373"/>
      <c r="W200" s="530"/>
      <c r="X200" s="373"/>
      <c r="Y200" s="530"/>
      <c r="Z200" s="373"/>
      <c r="AA200" s="530"/>
      <c r="AB200" s="373"/>
      <c r="AC200" s="530"/>
      <c r="AD200" s="373"/>
      <c r="AE200" s="530"/>
      <c r="AF200" s="373"/>
      <c r="AG200" s="530"/>
      <c r="AH200" s="373"/>
      <c r="AI200" s="530"/>
      <c r="AJ200" s="373"/>
      <c r="AK200" s="530"/>
      <c r="AL200" s="373"/>
      <c r="AM200" s="659"/>
      <c r="AN200" s="266"/>
      <c r="AO200" s="530"/>
      <c r="AP200" s="373"/>
      <c r="AQ200" s="530"/>
      <c r="AR200" s="373"/>
      <c r="AS200" s="530"/>
      <c r="AT200" s="659"/>
      <c r="AU200" s="311"/>
      <c r="AV200" s="659"/>
      <c r="AW200" s="311"/>
      <c r="AX200" s="530"/>
      <c r="AY200" s="6" t="str">
        <f t="shared" si="142"/>
        <v/>
      </c>
      <c r="CA200" s="135" t="str">
        <f t="shared" si="143"/>
        <v/>
      </c>
      <c r="CB200" s="135" t="str">
        <f t="shared" si="144"/>
        <v/>
      </c>
      <c r="CC200" s="135" t="str">
        <f t="shared" si="145"/>
        <v/>
      </c>
      <c r="CD200" s="135" t="str">
        <f t="shared" si="146"/>
        <v/>
      </c>
      <c r="CE200" s="135" t="str">
        <f t="shared" si="147"/>
        <v/>
      </c>
      <c r="CF200" s="135" t="str">
        <f t="shared" si="148"/>
        <v/>
      </c>
      <c r="CG200" s="135" t="str">
        <f t="shared" si="162"/>
        <v/>
      </c>
      <c r="CH200" s="135" t="str">
        <f t="shared" si="149"/>
        <v/>
      </c>
      <c r="CI200" s="135" t="str">
        <f t="shared" si="163"/>
        <v/>
      </c>
      <c r="CJ200" s="135" t="str">
        <f t="shared" si="164"/>
        <v/>
      </c>
      <c r="CK200" s="135" t="str">
        <f t="shared" si="150"/>
        <v/>
      </c>
      <c r="CL200" s="6"/>
      <c r="CM200" s="6"/>
      <c r="CN200" s="6"/>
      <c r="CO200" s="55">
        <f t="shared" si="151"/>
        <v>0</v>
      </c>
      <c r="CP200" s="55">
        <f t="shared" si="152"/>
        <v>0</v>
      </c>
      <c r="CQ200" s="55">
        <f t="shared" si="153"/>
        <v>0</v>
      </c>
      <c r="CR200" s="55">
        <f t="shared" si="154"/>
        <v>0</v>
      </c>
      <c r="CS200" s="55">
        <f t="shared" si="155"/>
        <v>0</v>
      </c>
      <c r="CT200" s="55">
        <f t="shared" si="156"/>
        <v>0</v>
      </c>
      <c r="CU200" s="55">
        <f t="shared" si="157"/>
        <v>0</v>
      </c>
      <c r="CV200" s="55">
        <f t="shared" si="158"/>
        <v>0</v>
      </c>
      <c r="CW200" s="55">
        <f t="shared" si="159"/>
        <v>0</v>
      </c>
      <c r="CX200" s="55">
        <f t="shared" si="160"/>
        <v>0</v>
      </c>
      <c r="CY200" s="55">
        <f t="shared" si="161"/>
        <v>0</v>
      </c>
    </row>
    <row r="201" spans="1:103" x14ac:dyDescent="0.3">
      <c r="A201" s="6333" t="s">
        <v>855</v>
      </c>
      <c r="B201" s="6334"/>
      <c r="C201" s="645">
        <f t="shared" ref="C201:C241" si="166">SUM(D201+E201)</f>
        <v>0</v>
      </c>
      <c r="D201" s="646">
        <f t="shared" si="165"/>
        <v>0</v>
      </c>
      <c r="E201" s="568">
        <f t="shared" si="165"/>
        <v>0</v>
      </c>
      <c r="F201" s="505"/>
      <c r="G201" s="508"/>
      <c r="H201" s="505"/>
      <c r="I201" s="508"/>
      <c r="J201" s="505"/>
      <c r="K201" s="508"/>
      <c r="L201" s="505"/>
      <c r="M201" s="508"/>
      <c r="N201" s="505"/>
      <c r="O201" s="508"/>
      <c r="P201" s="505"/>
      <c r="Q201" s="508"/>
      <c r="R201" s="505"/>
      <c r="S201" s="508"/>
      <c r="T201" s="505"/>
      <c r="U201" s="508"/>
      <c r="V201" s="505"/>
      <c r="W201" s="508"/>
      <c r="X201" s="505"/>
      <c r="Y201" s="508"/>
      <c r="Z201" s="505"/>
      <c r="AA201" s="508"/>
      <c r="AB201" s="505"/>
      <c r="AC201" s="508"/>
      <c r="AD201" s="505"/>
      <c r="AE201" s="508"/>
      <c r="AF201" s="505"/>
      <c r="AG201" s="508"/>
      <c r="AH201" s="505"/>
      <c r="AI201" s="508"/>
      <c r="AJ201" s="505"/>
      <c r="AK201" s="508"/>
      <c r="AL201" s="505"/>
      <c r="AM201" s="647"/>
      <c r="AN201" s="534"/>
      <c r="AO201" s="508"/>
      <c r="AP201" s="505"/>
      <c r="AQ201" s="508"/>
      <c r="AR201" s="505"/>
      <c r="AS201" s="508"/>
      <c r="AT201" s="647"/>
      <c r="AU201" s="648"/>
      <c r="AV201" s="647"/>
      <c r="AW201" s="648"/>
      <c r="AX201" s="508"/>
      <c r="AY201" s="6" t="str">
        <f t="shared" si="142"/>
        <v/>
      </c>
      <c r="CA201" s="135" t="str">
        <f t="shared" si="143"/>
        <v/>
      </c>
      <c r="CB201" s="135" t="str">
        <f t="shared" si="144"/>
        <v/>
      </c>
      <c r="CC201" s="135" t="str">
        <f t="shared" si="145"/>
        <v/>
      </c>
      <c r="CD201" s="135" t="str">
        <f t="shared" si="146"/>
        <v/>
      </c>
      <c r="CE201" s="135" t="str">
        <f t="shared" si="147"/>
        <v/>
      </c>
      <c r="CF201" s="135" t="str">
        <f t="shared" si="148"/>
        <v/>
      </c>
      <c r="CG201" s="135" t="str">
        <f t="shared" si="162"/>
        <v/>
      </c>
      <c r="CH201" s="135" t="str">
        <f t="shared" si="149"/>
        <v/>
      </c>
      <c r="CI201" s="135" t="str">
        <f t="shared" si="163"/>
        <v/>
      </c>
      <c r="CJ201" s="135" t="str">
        <f t="shared" si="164"/>
        <v/>
      </c>
      <c r="CK201" s="135" t="str">
        <f t="shared" si="150"/>
        <v/>
      </c>
      <c r="CL201" s="6"/>
      <c r="CM201" s="6"/>
      <c r="CN201" s="6"/>
      <c r="CO201" s="55">
        <f t="shared" si="151"/>
        <v>0</v>
      </c>
      <c r="CP201" s="55">
        <f t="shared" si="152"/>
        <v>0</v>
      </c>
      <c r="CQ201" s="55">
        <f t="shared" si="153"/>
        <v>0</v>
      </c>
      <c r="CR201" s="55">
        <f t="shared" si="154"/>
        <v>0</v>
      </c>
      <c r="CS201" s="55">
        <f t="shared" si="155"/>
        <v>0</v>
      </c>
      <c r="CT201" s="55">
        <f t="shared" si="156"/>
        <v>0</v>
      </c>
      <c r="CU201" s="55">
        <f t="shared" si="157"/>
        <v>0</v>
      </c>
      <c r="CV201" s="55">
        <f t="shared" si="158"/>
        <v>0</v>
      </c>
      <c r="CW201" s="55">
        <f t="shared" si="159"/>
        <v>0</v>
      </c>
      <c r="CX201" s="55">
        <f t="shared" si="160"/>
        <v>0</v>
      </c>
      <c r="CY201" s="55">
        <f t="shared" si="161"/>
        <v>0</v>
      </c>
    </row>
    <row r="202" spans="1:103" x14ac:dyDescent="0.3">
      <c r="A202" s="6185" t="s">
        <v>856</v>
      </c>
      <c r="B202" s="656" t="s">
        <v>857</v>
      </c>
      <c r="C202" s="654">
        <f t="shared" si="166"/>
        <v>0</v>
      </c>
      <c r="D202" s="655">
        <f>SUM(H202+J202+L202+N202+P202+R202+T202+V202+X202+Z202+AB202+AD202+AF202+AH202+AJ202+AL202)</f>
        <v>0</v>
      </c>
      <c r="E202" s="656">
        <f>SUM(I202+K202+M202+O202+Q202+S202+U202+W202+Y202+AA202+AC202+AE202+AG202+AI202+AK202+AM202)</f>
        <v>0</v>
      </c>
      <c r="F202" s="660"/>
      <c r="G202" s="661"/>
      <c r="H202" s="474"/>
      <c r="I202" s="576"/>
      <c r="J202" s="474"/>
      <c r="K202" s="576"/>
      <c r="L202" s="474"/>
      <c r="M202" s="576"/>
      <c r="N202" s="474"/>
      <c r="O202" s="576"/>
      <c r="P202" s="474"/>
      <c r="Q202" s="576"/>
      <c r="R202" s="474"/>
      <c r="S202" s="576"/>
      <c r="T202" s="474"/>
      <c r="U202" s="576"/>
      <c r="V202" s="474"/>
      <c r="W202" s="576"/>
      <c r="X202" s="474"/>
      <c r="Y202" s="576"/>
      <c r="Z202" s="474"/>
      <c r="AA202" s="576"/>
      <c r="AB202" s="474"/>
      <c r="AC202" s="576"/>
      <c r="AD202" s="474"/>
      <c r="AE202" s="576"/>
      <c r="AF202" s="474"/>
      <c r="AG202" s="576"/>
      <c r="AH202" s="474"/>
      <c r="AI202" s="576"/>
      <c r="AJ202" s="474"/>
      <c r="AK202" s="576"/>
      <c r="AL202" s="474"/>
      <c r="AM202" s="559"/>
      <c r="AN202" s="497"/>
      <c r="AO202" s="475"/>
      <c r="AP202" s="474"/>
      <c r="AQ202" s="576"/>
      <c r="AR202" s="474"/>
      <c r="AS202" s="475"/>
      <c r="AT202" s="559"/>
      <c r="AU202" s="577"/>
      <c r="AV202" s="559"/>
      <c r="AW202" s="577"/>
      <c r="AX202" s="576"/>
      <c r="AY202" s="6" t="str">
        <f t="shared" si="142"/>
        <v/>
      </c>
      <c r="CA202" s="135" t="str">
        <f t="shared" si="143"/>
        <v/>
      </c>
      <c r="CB202" s="135" t="str">
        <f t="shared" si="144"/>
        <v/>
      </c>
      <c r="CC202" s="135" t="str">
        <f t="shared" si="145"/>
        <v/>
      </c>
      <c r="CD202" s="135" t="str">
        <f t="shared" si="146"/>
        <v/>
      </c>
      <c r="CE202" s="135" t="str">
        <f t="shared" si="147"/>
        <v/>
      </c>
      <c r="CF202" s="135" t="str">
        <f t="shared" si="148"/>
        <v/>
      </c>
      <c r="CG202" s="135" t="str">
        <f t="shared" si="162"/>
        <v/>
      </c>
      <c r="CH202" s="135" t="str">
        <f t="shared" si="149"/>
        <v/>
      </c>
      <c r="CI202" s="135" t="str">
        <f t="shared" si="163"/>
        <v/>
      </c>
      <c r="CJ202" s="135" t="str">
        <f t="shared" si="164"/>
        <v/>
      </c>
      <c r="CK202" s="135" t="str">
        <f t="shared" si="150"/>
        <v/>
      </c>
      <c r="CL202" s="6"/>
      <c r="CM202" s="6"/>
      <c r="CN202" s="6"/>
      <c r="CO202" s="55">
        <f t="shared" si="151"/>
        <v>0</v>
      </c>
      <c r="CP202" s="55">
        <f t="shared" si="152"/>
        <v>0</v>
      </c>
      <c r="CQ202" s="55">
        <f t="shared" si="153"/>
        <v>0</v>
      </c>
      <c r="CR202" s="55">
        <f t="shared" si="154"/>
        <v>0</v>
      </c>
      <c r="CS202" s="55">
        <f t="shared" si="155"/>
        <v>0</v>
      </c>
      <c r="CT202" s="55">
        <f t="shared" si="156"/>
        <v>0</v>
      </c>
      <c r="CU202" s="55">
        <f t="shared" si="157"/>
        <v>0</v>
      </c>
      <c r="CV202" s="55">
        <f t="shared" si="158"/>
        <v>0</v>
      </c>
      <c r="CW202" s="55">
        <f t="shared" si="159"/>
        <v>0</v>
      </c>
      <c r="CX202" s="55">
        <f t="shared" si="160"/>
        <v>0</v>
      </c>
      <c r="CY202" s="55">
        <f t="shared" si="161"/>
        <v>0</v>
      </c>
    </row>
    <row r="203" spans="1:103" x14ac:dyDescent="0.3">
      <c r="A203" s="5791"/>
      <c r="B203" s="387" t="s">
        <v>858</v>
      </c>
      <c r="C203" s="73">
        <f t="shared" si="166"/>
        <v>0</v>
      </c>
      <c r="D203" s="246">
        <f>SUM(H203+J203+L203+N203+P203+R203+T203+V203+X203+Z203+AB203+AD203+AF203+AH203+AJ203+AL203)</f>
        <v>0</v>
      </c>
      <c r="E203" s="67">
        <f>SUM(I203+K203+M203+O203+Q203+S203+U203+W203+Y203+AA203+AC203+AE203+AG203+AI203+AK203+AM203)</f>
        <v>0</v>
      </c>
      <c r="F203" s="285"/>
      <c r="G203" s="286"/>
      <c r="H203" s="47"/>
      <c r="I203" s="42"/>
      <c r="J203" s="47"/>
      <c r="K203" s="42"/>
      <c r="L203" s="373"/>
      <c r="M203" s="530"/>
      <c r="N203" s="47"/>
      <c r="O203" s="42"/>
      <c r="P203" s="47"/>
      <c r="Q203" s="42"/>
      <c r="R203" s="47"/>
      <c r="S203" s="42"/>
      <c r="T203" s="47"/>
      <c r="U203" s="42"/>
      <c r="V203" s="47"/>
      <c r="W203" s="42"/>
      <c r="X203" s="47"/>
      <c r="Y203" s="42"/>
      <c r="Z203" s="47"/>
      <c r="AA203" s="42"/>
      <c r="AB203" s="47"/>
      <c r="AC203" s="42"/>
      <c r="AD203" s="47"/>
      <c r="AE203" s="42"/>
      <c r="AF203" s="47"/>
      <c r="AG203" s="42"/>
      <c r="AH203" s="47"/>
      <c r="AI203" s="42"/>
      <c r="AJ203" s="47"/>
      <c r="AK203" s="42"/>
      <c r="AL203" s="47"/>
      <c r="AM203" s="66"/>
      <c r="AN203" s="266"/>
      <c r="AO203" s="530"/>
      <c r="AP203" s="373"/>
      <c r="AQ203" s="530"/>
      <c r="AR203" s="373"/>
      <c r="AS203" s="530"/>
      <c r="AT203" s="659"/>
      <c r="AU203" s="311"/>
      <c r="AV203" s="659"/>
      <c r="AW203" s="311"/>
      <c r="AX203" s="530"/>
      <c r="AY203" s="6" t="str">
        <f t="shared" si="142"/>
        <v/>
      </c>
      <c r="CA203" s="135" t="str">
        <f t="shared" si="143"/>
        <v/>
      </c>
      <c r="CB203" s="135" t="str">
        <f t="shared" si="144"/>
        <v/>
      </c>
      <c r="CC203" s="135" t="str">
        <f t="shared" si="145"/>
        <v/>
      </c>
      <c r="CD203" s="135" t="str">
        <f t="shared" si="146"/>
        <v/>
      </c>
      <c r="CE203" s="135" t="str">
        <f t="shared" si="147"/>
        <v/>
      </c>
      <c r="CF203" s="135" t="str">
        <f t="shared" si="148"/>
        <v/>
      </c>
      <c r="CG203" s="135" t="str">
        <f t="shared" si="162"/>
        <v/>
      </c>
      <c r="CH203" s="135" t="str">
        <f t="shared" si="149"/>
        <v/>
      </c>
      <c r="CI203" s="135" t="str">
        <f t="shared" si="163"/>
        <v/>
      </c>
      <c r="CJ203" s="135" t="str">
        <f t="shared" si="164"/>
        <v/>
      </c>
      <c r="CK203" s="135" t="str">
        <f t="shared" si="150"/>
        <v/>
      </c>
      <c r="CL203" s="6"/>
      <c r="CM203" s="6"/>
      <c r="CN203" s="6"/>
      <c r="CO203" s="55">
        <f t="shared" si="151"/>
        <v>0</v>
      </c>
      <c r="CP203" s="55">
        <f t="shared" si="152"/>
        <v>0</v>
      </c>
      <c r="CQ203" s="55">
        <f t="shared" si="153"/>
        <v>0</v>
      </c>
      <c r="CR203" s="55">
        <f t="shared" si="154"/>
        <v>0</v>
      </c>
      <c r="CS203" s="55">
        <f t="shared" si="155"/>
        <v>0</v>
      </c>
      <c r="CT203" s="55">
        <f t="shared" si="156"/>
        <v>0</v>
      </c>
      <c r="CU203" s="55">
        <f t="shared" si="157"/>
        <v>0</v>
      </c>
      <c r="CV203" s="55">
        <f t="shared" si="158"/>
        <v>0</v>
      </c>
      <c r="CW203" s="55">
        <f t="shared" si="159"/>
        <v>0</v>
      </c>
      <c r="CX203" s="55">
        <f t="shared" si="160"/>
        <v>0</v>
      </c>
      <c r="CY203" s="55">
        <f t="shared" si="161"/>
        <v>0</v>
      </c>
    </row>
    <row r="204" spans="1:103" s="6" customFormat="1" ht="18" customHeight="1" x14ac:dyDescent="0.25">
      <c r="A204" s="662" t="s">
        <v>859</v>
      </c>
      <c r="B204" s="644"/>
      <c r="C204" s="613">
        <f t="shared" si="166"/>
        <v>0</v>
      </c>
      <c r="D204" s="614">
        <f t="shared" si="165"/>
        <v>0</v>
      </c>
      <c r="E204" s="615">
        <f t="shared" si="165"/>
        <v>0</v>
      </c>
      <c r="F204" s="505"/>
      <c r="G204" s="508"/>
      <c r="H204" s="505"/>
      <c r="I204" s="508"/>
      <c r="J204" s="505"/>
      <c r="K204" s="508"/>
      <c r="L204" s="505"/>
      <c r="M204" s="508"/>
      <c r="N204" s="505"/>
      <c r="O204" s="508"/>
      <c r="P204" s="505"/>
      <c r="Q204" s="508"/>
      <c r="R204" s="505"/>
      <c r="S204" s="508"/>
      <c r="T204" s="505"/>
      <c r="U204" s="508"/>
      <c r="V204" s="505"/>
      <c r="W204" s="508"/>
      <c r="X204" s="505"/>
      <c r="Y204" s="508"/>
      <c r="Z204" s="505"/>
      <c r="AA204" s="508"/>
      <c r="AB204" s="505"/>
      <c r="AC204" s="508"/>
      <c r="AD204" s="505"/>
      <c r="AE204" s="508"/>
      <c r="AF204" s="505"/>
      <c r="AG204" s="508"/>
      <c r="AH204" s="505"/>
      <c r="AI204" s="508"/>
      <c r="AJ204" s="505"/>
      <c r="AK204" s="508"/>
      <c r="AL204" s="505"/>
      <c r="AM204" s="647"/>
      <c r="AN204" s="534"/>
      <c r="AO204" s="508"/>
      <c r="AP204" s="373"/>
      <c r="AQ204" s="508"/>
      <c r="AR204" s="505"/>
      <c r="AS204" s="508"/>
      <c r="AT204" s="647"/>
      <c r="AU204" s="648"/>
      <c r="AV204" s="647"/>
      <c r="AW204" s="648"/>
      <c r="AX204" s="508"/>
      <c r="AY204" s="6" t="str">
        <f t="shared" si="142"/>
        <v/>
      </c>
      <c r="CA204" s="135" t="str">
        <f t="shared" si="143"/>
        <v/>
      </c>
      <c r="CB204" s="135" t="str">
        <f t="shared" si="144"/>
        <v/>
      </c>
      <c r="CC204" s="135" t="str">
        <f t="shared" si="145"/>
        <v/>
      </c>
      <c r="CD204" s="135" t="str">
        <f t="shared" si="146"/>
        <v/>
      </c>
      <c r="CE204" s="135" t="str">
        <f t="shared" si="147"/>
        <v/>
      </c>
      <c r="CF204" s="135" t="str">
        <f t="shared" si="148"/>
        <v/>
      </c>
      <c r="CG204" s="135" t="str">
        <f t="shared" si="162"/>
        <v/>
      </c>
      <c r="CH204" s="135" t="str">
        <f t="shared" si="149"/>
        <v/>
      </c>
      <c r="CI204" s="135" t="str">
        <f t="shared" si="163"/>
        <v/>
      </c>
      <c r="CJ204" s="135" t="str">
        <f t="shared" si="164"/>
        <v/>
      </c>
      <c r="CK204" s="135" t="str">
        <f t="shared" si="150"/>
        <v/>
      </c>
      <c r="CO204" s="55">
        <f t="shared" si="151"/>
        <v>0</v>
      </c>
      <c r="CP204" s="55">
        <f t="shared" si="152"/>
        <v>0</v>
      </c>
      <c r="CQ204" s="55">
        <f t="shared" si="153"/>
        <v>0</v>
      </c>
      <c r="CR204" s="55">
        <f t="shared" si="154"/>
        <v>0</v>
      </c>
      <c r="CS204" s="55">
        <f t="shared" si="155"/>
        <v>0</v>
      </c>
      <c r="CT204" s="55">
        <f t="shared" si="156"/>
        <v>0</v>
      </c>
      <c r="CU204" s="55">
        <f t="shared" si="157"/>
        <v>0</v>
      </c>
      <c r="CV204" s="55">
        <f t="shared" si="158"/>
        <v>0</v>
      </c>
      <c r="CW204" s="55">
        <f t="shared" si="159"/>
        <v>0</v>
      </c>
      <c r="CX204" s="55">
        <f t="shared" si="160"/>
        <v>0</v>
      </c>
      <c r="CY204" s="55">
        <f t="shared" si="161"/>
        <v>0</v>
      </c>
    </row>
    <row r="205" spans="1:103" ht="15" customHeight="1" x14ac:dyDescent="0.3">
      <c r="A205" s="6185" t="s">
        <v>860</v>
      </c>
      <c r="B205" s="108" t="s">
        <v>861</v>
      </c>
      <c r="C205" s="309">
        <f t="shared" si="166"/>
        <v>0</v>
      </c>
      <c r="D205" s="657">
        <f t="shared" si="165"/>
        <v>0</v>
      </c>
      <c r="E205" s="108">
        <f t="shared" si="165"/>
        <v>0</v>
      </c>
      <c r="F205" s="290"/>
      <c r="G205" s="107"/>
      <c r="H205" s="290"/>
      <c r="I205" s="107"/>
      <c r="J205" s="290"/>
      <c r="K205" s="107"/>
      <c r="L205" s="290"/>
      <c r="M205" s="107"/>
      <c r="N205" s="290"/>
      <c r="O205" s="107"/>
      <c r="P205" s="290"/>
      <c r="Q205" s="107"/>
      <c r="R205" s="290"/>
      <c r="S205" s="107"/>
      <c r="T205" s="290"/>
      <c r="U205" s="107"/>
      <c r="V205" s="290"/>
      <c r="W205" s="107"/>
      <c r="X205" s="290"/>
      <c r="Y205" s="107"/>
      <c r="Z205" s="290"/>
      <c r="AA205" s="107"/>
      <c r="AB205" s="290"/>
      <c r="AC205" s="107"/>
      <c r="AD205" s="290"/>
      <c r="AE205" s="107"/>
      <c r="AF205" s="290"/>
      <c r="AG205" s="107"/>
      <c r="AH205" s="290"/>
      <c r="AI205" s="107"/>
      <c r="AJ205" s="290"/>
      <c r="AK205" s="107"/>
      <c r="AL205" s="290"/>
      <c r="AM205" s="65"/>
      <c r="AN205" s="296"/>
      <c r="AO205" s="107"/>
      <c r="AP205" s="290"/>
      <c r="AQ205" s="42"/>
      <c r="AR205" s="47"/>
      <c r="AS205" s="42"/>
      <c r="AT205" s="66"/>
      <c r="AU205" s="95"/>
      <c r="AV205" s="66"/>
      <c r="AW205" s="95"/>
      <c r="AX205" s="42"/>
      <c r="AY205" s="6" t="str">
        <f t="shared" si="142"/>
        <v/>
      </c>
      <c r="CA205" s="135" t="str">
        <f t="shared" si="143"/>
        <v/>
      </c>
      <c r="CB205" s="135" t="str">
        <f t="shared" si="144"/>
        <v/>
      </c>
      <c r="CC205" s="135" t="str">
        <f t="shared" si="145"/>
        <v/>
      </c>
      <c r="CD205" s="135" t="str">
        <f t="shared" si="146"/>
        <v/>
      </c>
      <c r="CE205" s="135" t="str">
        <f t="shared" si="147"/>
        <v/>
      </c>
      <c r="CF205" s="135" t="str">
        <f t="shared" si="148"/>
        <v/>
      </c>
      <c r="CG205" s="135" t="str">
        <f t="shared" si="162"/>
        <v/>
      </c>
      <c r="CH205" s="135" t="str">
        <f t="shared" si="149"/>
        <v/>
      </c>
      <c r="CI205" s="135" t="str">
        <f t="shared" si="163"/>
        <v/>
      </c>
      <c r="CJ205" s="135" t="str">
        <f t="shared" si="164"/>
        <v/>
      </c>
      <c r="CK205" s="135" t="str">
        <f t="shared" si="150"/>
        <v/>
      </c>
      <c r="CL205" s="6"/>
      <c r="CM205" s="6"/>
      <c r="CN205" s="6"/>
      <c r="CO205" s="55">
        <f t="shared" si="151"/>
        <v>0</v>
      </c>
      <c r="CP205" s="55">
        <f t="shared" si="152"/>
        <v>0</v>
      </c>
      <c r="CQ205" s="55">
        <f t="shared" si="153"/>
        <v>0</v>
      </c>
      <c r="CR205" s="55">
        <f t="shared" si="154"/>
        <v>0</v>
      </c>
      <c r="CS205" s="55">
        <f t="shared" si="155"/>
        <v>0</v>
      </c>
      <c r="CT205" s="55">
        <f t="shared" si="156"/>
        <v>0</v>
      </c>
      <c r="CU205" s="55">
        <f t="shared" si="157"/>
        <v>0</v>
      </c>
      <c r="CV205" s="55">
        <f t="shared" si="158"/>
        <v>0</v>
      </c>
      <c r="CW205" s="55">
        <f t="shared" si="159"/>
        <v>0</v>
      </c>
      <c r="CX205" s="55">
        <f t="shared" si="160"/>
        <v>0</v>
      </c>
      <c r="CY205" s="55">
        <f t="shared" si="161"/>
        <v>0</v>
      </c>
    </row>
    <row r="206" spans="1:103" ht="15" customHeight="1" x14ac:dyDescent="0.3">
      <c r="A206" s="5844"/>
      <c r="B206" s="500" t="s">
        <v>862</v>
      </c>
      <c r="C206" s="663">
        <f t="shared" si="166"/>
        <v>0</v>
      </c>
      <c r="D206" s="664">
        <f t="shared" si="165"/>
        <v>0</v>
      </c>
      <c r="E206" s="500">
        <f t="shared" si="165"/>
        <v>0</v>
      </c>
      <c r="F206" s="346"/>
      <c r="G206" s="347"/>
      <c r="H206" s="346"/>
      <c r="I206" s="347"/>
      <c r="J206" s="346"/>
      <c r="K206" s="347"/>
      <c r="L206" s="346"/>
      <c r="M206" s="347"/>
      <c r="N206" s="346"/>
      <c r="O206" s="347"/>
      <c r="P206" s="346"/>
      <c r="Q206" s="347"/>
      <c r="R206" s="346"/>
      <c r="S206" s="347"/>
      <c r="T206" s="346"/>
      <c r="U206" s="347"/>
      <c r="V206" s="346"/>
      <c r="W206" s="347"/>
      <c r="X206" s="346"/>
      <c r="Y206" s="347"/>
      <c r="Z206" s="346"/>
      <c r="AA206" s="347"/>
      <c r="AB206" s="346"/>
      <c r="AC206" s="347"/>
      <c r="AD206" s="346"/>
      <c r="AE206" s="347"/>
      <c r="AF206" s="346"/>
      <c r="AG206" s="347"/>
      <c r="AH206" s="346"/>
      <c r="AI206" s="347"/>
      <c r="AJ206" s="346"/>
      <c r="AK206" s="347"/>
      <c r="AL206" s="346"/>
      <c r="AM206" s="561"/>
      <c r="AN206" s="430"/>
      <c r="AO206" s="347"/>
      <c r="AP206" s="346"/>
      <c r="AQ206" s="2"/>
      <c r="AR206" s="192"/>
      <c r="AS206" s="2"/>
      <c r="AT206" s="64"/>
      <c r="AU206" s="383"/>
      <c r="AV206" s="64"/>
      <c r="AW206" s="383"/>
      <c r="AX206" s="2"/>
      <c r="AY206" s="6" t="str">
        <f t="shared" si="142"/>
        <v/>
      </c>
      <c r="CA206" s="135" t="str">
        <f t="shared" si="143"/>
        <v/>
      </c>
      <c r="CB206" s="135" t="str">
        <f t="shared" si="144"/>
        <v/>
      </c>
      <c r="CC206" s="135" t="str">
        <f t="shared" si="145"/>
        <v/>
      </c>
      <c r="CD206" s="135" t="str">
        <f t="shared" si="146"/>
        <v/>
      </c>
      <c r="CE206" s="135" t="str">
        <f t="shared" si="147"/>
        <v/>
      </c>
      <c r="CF206" s="135" t="str">
        <f t="shared" si="148"/>
        <v/>
      </c>
      <c r="CG206" s="135" t="str">
        <f t="shared" si="162"/>
        <v/>
      </c>
      <c r="CH206" s="135" t="str">
        <f t="shared" si="149"/>
        <v/>
      </c>
      <c r="CI206" s="135" t="str">
        <f t="shared" si="163"/>
        <v/>
      </c>
      <c r="CJ206" s="135" t="str">
        <f t="shared" si="164"/>
        <v/>
      </c>
      <c r="CK206" s="135" t="str">
        <f t="shared" si="150"/>
        <v/>
      </c>
      <c r="CL206" s="6"/>
      <c r="CM206" s="6"/>
      <c r="CN206" s="6"/>
      <c r="CO206" s="55">
        <f t="shared" si="151"/>
        <v>0</v>
      </c>
      <c r="CP206" s="55">
        <f t="shared" si="152"/>
        <v>0</v>
      </c>
      <c r="CQ206" s="55">
        <f t="shared" si="153"/>
        <v>0</v>
      </c>
      <c r="CR206" s="55">
        <f t="shared" si="154"/>
        <v>0</v>
      </c>
      <c r="CS206" s="55">
        <f t="shared" si="155"/>
        <v>0</v>
      </c>
      <c r="CT206" s="55">
        <f t="shared" si="156"/>
        <v>0</v>
      </c>
      <c r="CU206" s="55">
        <f t="shared" si="157"/>
        <v>0</v>
      </c>
      <c r="CV206" s="55">
        <f t="shared" si="158"/>
        <v>0</v>
      </c>
      <c r="CW206" s="55">
        <f t="shared" si="159"/>
        <v>0</v>
      </c>
      <c r="CX206" s="55">
        <f t="shared" si="160"/>
        <v>0</v>
      </c>
      <c r="CY206" s="55">
        <f t="shared" si="161"/>
        <v>0</v>
      </c>
    </row>
    <row r="207" spans="1:103" ht="15" customHeight="1" x14ac:dyDescent="0.3">
      <c r="A207" s="5844"/>
      <c r="B207" s="500" t="s">
        <v>863</v>
      </c>
      <c r="C207" s="663">
        <f t="shared" si="166"/>
        <v>0</v>
      </c>
      <c r="D207" s="375">
        <f t="shared" si="165"/>
        <v>0</v>
      </c>
      <c r="E207" s="500">
        <f t="shared" si="165"/>
        <v>0</v>
      </c>
      <c r="F207" s="192"/>
      <c r="G207" s="2"/>
      <c r="H207" s="192"/>
      <c r="I207" s="2"/>
      <c r="J207" s="192"/>
      <c r="K207" s="2"/>
      <c r="L207" s="192"/>
      <c r="M207" s="2"/>
      <c r="N207" s="192"/>
      <c r="O207" s="2"/>
      <c r="P207" s="192"/>
      <c r="Q207" s="2"/>
      <c r="R207" s="192"/>
      <c r="S207" s="2"/>
      <c r="T207" s="192"/>
      <c r="U207" s="2"/>
      <c r="V207" s="192"/>
      <c r="W207" s="2"/>
      <c r="X207" s="192"/>
      <c r="Y207" s="2"/>
      <c r="Z207" s="192"/>
      <c r="AA207" s="2"/>
      <c r="AB207" s="192"/>
      <c r="AC207" s="2"/>
      <c r="AD207" s="192"/>
      <c r="AE207" s="2"/>
      <c r="AF207" s="192"/>
      <c r="AG207" s="2"/>
      <c r="AH207" s="192"/>
      <c r="AI207" s="2"/>
      <c r="AJ207" s="192"/>
      <c r="AK207" s="2"/>
      <c r="AL207" s="192"/>
      <c r="AM207" s="64"/>
      <c r="AN207" s="377"/>
      <c r="AO207" s="2"/>
      <c r="AP207" s="192"/>
      <c r="AQ207" s="2"/>
      <c r="AR207" s="192"/>
      <c r="AS207" s="2"/>
      <c r="AT207" s="64"/>
      <c r="AU207" s="383"/>
      <c r="AV207" s="64"/>
      <c r="AW207" s="383"/>
      <c r="AX207" s="2"/>
      <c r="AY207" s="6" t="str">
        <f t="shared" si="142"/>
        <v/>
      </c>
      <c r="CA207" s="135" t="str">
        <f t="shared" si="143"/>
        <v/>
      </c>
      <c r="CB207" s="135" t="str">
        <f t="shared" si="144"/>
        <v/>
      </c>
      <c r="CC207" s="135" t="str">
        <f t="shared" si="145"/>
        <v/>
      </c>
      <c r="CD207" s="135" t="str">
        <f t="shared" si="146"/>
        <v/>
      </c>
      <c r="CE207" s="135" t="str">
        <f t="shared" si="147"/>
        <v/>
      </c>
      <c r="CF207" s="135" t="str">
        <f t="shared" si="148"/>
        <v/>
      </c>
      <c r="CG207" s="135" t="str">
        <f t="shared" si="162"/>
        <v/>
      </c>
      <c r="CH207" s="135" t="str">
        <f t="shared" si="149"/>
        <v/>
      </c>
      <c r="CI207" s="135" t="str">
        <f t="shared" si="163"/>
        <v/>
      </c>
      <c r="CJ207" s="135" t="str">
        <f t="shared" si="164"/>
        <v/>
      </c>
      <c r="CK207" s="135" t="str">
        <f t="shared" si="150"/>
        <v/>
      </c>
      <c r="CL207" s="6"/>
      <c r="CM207" s="6"/>
      <c r="CN207" s="6"/>
      <c r="CO207" s="55">
        <f t="shared" si="151"/>
        <v>0</v>
      </c>
      <c r="CP207" s="55">
        <f t="shared" si="152"/>
        <v>0</v>
      </c>
      <c r="CQ207" s="55">
        <f t="shared" si="153"/>
        <v>0</v>
      </c>
      <c r="CR207" s="55">
        <f t="shared" si="154"/>
        <v>0</v>
      </c>
      <c r="CS207" s="55">
        <f t="shared" si="155"/>
        <v>0</v>
      </c>
      <c r="CT207" s="55">
        <f t="shared" si="156"/>
        <v>0</v>
      </c>
      <c r="CU207" s="55">
        <f t="shared" si="157"/>
        <v>0</v>
      </c>
      <c r="CV207" s="55">
        <f t="shared" si="158"/>
        <v>0</v>
      </c>
      <c r="CW207" s="55">
        <f t="shared" si="159"/>
        <v>0</v>
      </c>
      <c r="CX207" s="55">
        <f t="shared" si="160"/>
        <v>0</v>
      </c>
      <c r="CY207" s="55">
        <f t="shared" si="161"/>
        <v>0</v>
      </c>
    </row>
    <row r="208" spans="1:103" ht="15" customHeight="1" x14ac:dyDescent="0.3">
      <c r="A208" s="5844"/>
      <c r="B208" s="665" t="s">
        <v>864</v>
      </c>
      <c r="C208" s="663">
        <f t="shared" si="166"/>
        <v>0</v>
      </c>
      <c r="D208" s="287"/>
      <c r="E208" s="500">
        <f>SUM(K208+M208+O208+Q208+S208+U208+W208+Y208+AA208+AC208+AE208+AG208+AI208+AK208+AM208)</f>
        <v>0</v>
      </c>
      <c r="F208" s="634"/>
      <c r="G208" s="368"/>
      <c r="H208" s="634"/>
      <c r="I208" s="368"/>
      <c r="J208" s="634"/>
      <c r="K208" s="347"/>
      <c r="L208" s="634"/>
      <c r="M208" s="347"/>
      <c r="N208" s="634"/>
      <c r="O208" s="347"/>
      <c r="P208" s="634"/>
      <c r="Q208" s="347"/>
      <c r="R208" s="634"/>
      <c r="S208" s="347"/>
      <c r="T208" s="634"/>
      <c r="U208" s="347"/>
      <c r="V208" s="634"/>
      <c r="W208" s="347"/>
      <c r="X208" s="634"/>
      <c r="Y208" s="347"/>
      <c r="Z208" s="634"/>
      <c r="AA208" s="347"/>
      <c r="AB208" s="634"/>
      <c r="AC208" s="347"/>
      <c r="AD208" s="634"/>
      <c r="AE208" s="347"/>
      <c r="AF208" s="634"/>
      <c r="AG208" s="347"/>
      <c r="AH208" s="634"/>
      <c r="AI208" s="347"/>
      <c r="AJ208" s="634"/>
      <c r="AK208" s="347"/>
      <c r="AL208" s="634"/>
      <c r="AM208" s="561"/>
      <c r="AN208" s="430"/>
      <c r="AO208" s="347"/>
      <c r="AP208" s="634"/>
      <c r="AQ208" s="347"/>
      <c r="AR208" s="346"/>
      <c r="AS208" s="347"/>
      <c r="AT208" s="634"/>
      <c r="AU208" s="350"/>
      <c r="AV208" s="561"/>
      <c r="AW208" s="634"/>
      <c r="AX208" s="347"/>
      <c r="AY208" s="6" t="str">
        <f>CA208&amp;CB208&amp;CD208&amp;CE208&amp;CF208&amp;CH208&amp;CI208&amp;CK208</f>
        <v/>
      </c>
      <c r="CA208" s="135" t="str">
        <f t="shared" ref="CA208:CA226" si="167">IF(AND(E208&gt;0,AN208=""), "* No olvide digitar la variable Gestantes. Digite Cero si no tiene.",IF(AN208&gt;E208,"  * La  variable Gestantes No puede ser mayor al Total Mujeres.",""))</f>
        <v/>
      </c>
      <c r="CB208" s="135" t="str">
        <f>IF(AND(E208&gt;0,AO208=""), "* No olvide digitar la variable Madre de hijo menor de 5 años. Digite Cero si no tiene.",IF(AO208&gt;E208,"  * La variable Madre de hijo menor de 5 años No puede ser mayor al Total Mujeres.",""))</f>
        <v/>
      </c>
      <c r="CC208" s="178"/>
      <c r="CD208" s="135" t="str">
        <f t="shared" ref="CD208:CD241" si="168">IF(AND(E208&gt;0,OR(AQ208="")), "* No olvide digitar la variable Pueblos originarios - Mujeres. Digite Cero si no tiene.",IF((AQ208)&gt;E208,"  * La variable Pueblos originarios - Mujeres No puede ser mayor al Total.",""))</f>
        <v/>
      </c>
      <c r="CE208" s="135" t="str">
        <f t="shared" ref="CE208:CE241" si="169">IF(AND(C208&gt;0,AR208=""), "* No olvide digitar la variable Niños, niñas, adolescentes y jóvenes SENAME. Digite Cero si no tiene.",IF(AR208&gt;C208,"  * La variable Niños, niñas, adolescentes y jóvenes SENAME No puede ser mayor al Total.",""))</f>
        <v/>
      </c>
      <c r="CF208" s="135" t="str">
        <f>IF(AND(C208&gt;0,AS208=""), "* No olvide digitar la variable Niños, niñas, adolescentes y jóvenes Mejor Niñez. Digite Cero si no tiene.",IF(AS208&gt;C208,"  * La variable Niños, niñas, adolescentes y jóvenes Mejor Niñez No puede ser mayor al Total.",""))</f>
        <v/>
      </c>
      <c r="CG208" s="178"/>
      <c r="CH208" s="135" t="str">
        <f>IF(AND(E208&gt;0,OR(AU208="")), "* No olvide digitar la variable Migrantes - Mujeres. Digite Cero si no tiene.",IF((AU208)&gt;E208,"  * La variable Migrantes - Mujeres No puede ser mayor al Total.",""))</f>
        <v/>
      </c>
      <c r="CI208" s="135" t="str">
        <f t="shared" si="163"/>
        <v/>
      </c>
      <c r="CJ208" s="428"/>
      <c r="CK208" s="135" t="str">
        <f>IF(AND($C208&gt;0,AX208=""), "* No olvide digitar la variable Adolescentes derivados de Espacios Amigables. Digite Cero si no tiene.",IF(AX208&gt;$C208,"  * La variable Adolescentes derivados de Espacios Amigables No puede ser mayor al Total.",""))</f>
        <v/>
      </c>
      <c r="CL208" s="6"/>
      <c r="CO208" s="55">
        <f t="shared" ref="CO208:CO226" si="170">IF(AND(E208&gt;0,AN208=""),1,IF(AN208&gt;E208,1,0))</f>
        <v>0</v>
      </c>
      <c r="CP208" s="55">
        <f t="shared" ref="CP208:CP217" si="171">IF(AND(E208&gt;0,AO208=""),1,IF(AO208&gt;E208,1,0))</f>
        <v>0</v>
      </c>
      <c r="CQ208" s="433"/>
      <c r="CR208" s="55">
        <f t="shared" ref="CR208:CR241" si="172">IF(AND(E208&gt;0,OR(AQ208="")),1,IF((AQ208)&gt;E208,1,0))</f>
        <v>0</v>
      </c>
      <c r="CS208" s="55">
        <f t="shared" ref="CS208:CS241" si="173">IF(AND(C208&gt;0,AR208=""),1,IF(AR208&gt;C208,1,0))</f>
        <v>0</v>
      </c>
      <c r="CT208" s="55">
        <f t="shared" ref="CT208:CT241" si="174">IF(AND(C208&gt;0,AS208=""),1,IF(AS208&gt;C208,1,0))</f>
        <v>0</v>
      </c>
      <c r="CU208" s="433"/>
      <c r="CV208" s="55">
        <f t="shared" ref="CV208:CV241" si="175">IF(AND(E208&gt;0,OR(AU208="")),1,IF((AU208)&gt;E208,1,0))</f>
        <v>0</v>
      </c>
      <c r="CW208" s="55">
        <f>IF(AND(E208&gt;0,OR(AV208="")),1,IF((AV208)&gt;E208,1,0))</f>
        <v>0</v>
      </c>
      <c r="CX208" s="433"/>
      <c r="CY208" s="55">
        <f t="shared" si="161"/>
        <v>0</v>
      </c>
    </row>
    <row r="209" spans="1:103" ht="15" customHeight="1" x14ac:dyDescent="0.3">
      <c r="A209" s="5844"/>
      <c r="B209" s="500" t="s">
        <v>865</v>
      </c>
      <c r="C209" s="663">
        <f t="shared" si="166"/>
        <v>0</v>
      </c>
      <c r="D209" s="657">
        <f t="shared" ref="D209:E217" si="176">SUM(F209+H209+J209+L209+N209+P209+R209+T209+V209+X209+Z209+AB209+AD209+AF209+AH209+AJ209+AL209)</f>
        <v>0</v>
      </c>
      <c r="E209" s="500">
        <f t="shared" si="176"/>
        <v>0</v>
      </c>
      <c r="F209" s="290"/>
      <c r="G209" s="107"/>
      <c r="H209" s="290"/>
      <c r="I209" s="107"/>
      <c r="J209" s="290"/>
      <c r="K209" s="107"/>
      <c r="L209" s="290"/>
      <c r="M209" s="107"/>
      <c r="N209" s="290"/>
      <c r="O209" s="107"/>
      <c r="P209" s="290"/>
      <c r="Q209" s="107"/>
      <c r="R209" s="290"/>
      <c r="S209" s="107"/>
      <c r="T209" s="290"/>
      <c r="U209" s="107"/>
      <c r="V209" s="290"/>
      <c r="W209" s="107"/>
      <c r="X209" s="290"/>
      <c r="Y209" s="107"/>
      <c r="Z209" s="290"/>
      <c r="AA209" s="107"/>
      <c r="AB209" s="290"/>
      <c r="AC209" s="107"/>
      <c r="AD209" s="290"/>
      <c r="AE209" s="107"/>
      <c r="AF209" s="290"/>
      <c r="AG209" s="107"/>
      <c r="AH209" s="290"/>
      <c r="AI209" s="107"/>
      <c r="AJ209" s="290"/>
      <c r="AK209" s="107"/>
      <c r="AL209" s="290"/>
      <c r="AM209" s="65"/>
      <c r="AN209" s="296"/>
      <c r="AO209" s="107"/>
      <c r="AP209" s="290"/>
      <c r="AQ209" s="107"/>
      <c r="AR209" s="290"/>
      <c r="AS209" s="107"/>
      <c r="AT209" s="65"/>
      <c r="AU209" s="637"/>
      <c r="AV209" s="65"/>
      <c r="AW209" s="637"/>
      <c r="AX209" s="107"/>
      <c r="AY209" s="6" t="str">
        <f t="shared" si="142"/>
        <v/>
      </c>
      <c r="CA209" s="135" t="str">
        <f t="shared" ref="CA209:CA217" si="177">IF(AND(E209&gt;0,AN209=""), "* No olvide digitar la variable Gestantes. Digite Cero si no tiene.",IF(AN209&gt;E209,"  * La variable Gestantes No puede ser mayor al Total Mujeres.",""))</f>
        <v/>
      </c>
      <c r="CB209" s="135" t="str">
        <f t="shared" ref="CB209:CB217" si="178">IF(AND(E209&gt;0,AO209=""), "* No olvide digitar la variable Madre de hijo menor de 5 años. Digite Cero si no tiene.",IF(AO209&gt;E209,"  * La variable Madre de hijo menor de 5 años No puede ser mayor al Total de Mujeres.",""))</f>
        <v/>
      </c>
      <c r="CC209" s="135" t="str">
        <f t="shared" ref="CC209:CC217" si="179">IF(AND(D209&gt;0,OR(AP209="")), "* No olvide digitar la variable Pueblos originarios - Hombres. Digite Cero si no tiene.",IF((AP209)&gt;D209,"  * La variable Pueblos originarios - Hombres No puede ser mayor al Total Hombres.",""))</f>
        <v/>
      </c>
      <c r="CD209" s="135" t="str">
        <f t="shared" ref="CD209:CD217" si="180">IF(AND(E209&gt;0,OR(AQ209="")), "* No olvide digitar la variable Pueblos originarios - Mujeres. Digite Cero si no tiene.",IF((AQ209)&gt;E209,"  * La variable Pueblos originarios - Mujeres No puede ser mayor al Total Mujeres.",""))</f>
        <v/>
      </c>
      <c r="CE209" s="135" t="str">
        <f t="shared" ref="CE209:CE217" si="181">IF(AND($C209&gt;0,AR209=""), "* No olvide digitar la variable Niños, niñas, adolescentes y jóvenes SENAME. Digite Cero si no tiene.",IF(AR209&gt;$C209,"  * La variable Niños, niñas, adolescentes y jóvenes SENAME No puede ser mayor al Total.",""))</f>
        <v/>
      </c>
      <c r="CF209" s="135" t="str">
        <f t="shared" ref="CF209:CF217" si="182">IF(AND(C209&gt;0,AS209=""), "* No olvide digitar la variable Niños, niñas, adolescentes y jóvenes Mejor Niñez. Digite Cero si no tiene.",IF(AS209&gt;C209,"  * La variable Niños, niñas, adolescentes y jóvenes Mejor Niñez No puede ser mayor al Total.",""))</f>
        <v/>
      </c>
      <c r="CG209" s="135" t="str">
        <f t="shared" si="162"/>
        <v/>
      </c>
      <c r="CH209" s="135" t="str">
        <f t="shared" ref="CH209:CH217" si="183">IF(AND(E209&gt;0,OR(AU209="")), "* No olvide digitar la variable Migrantes - Mujeres. Digite Cero si no tiene.",IF((AU209)&gt;E209,"  * La variable Migrantes - Mujeres No puede ser mayor al Total Mujeres.",""))</f>
        <v/>
      </c>
      <c r="CI209" s="135" t="str">
        <f t="shared" ref="CI209:CI241" si="184">IF(AND(E209&gt;0,OR(AV209="")), "* No olvide digitar la variable Trans Masculino. Digite Cero si no tiene.",IF((AV209)&gt;E209,"  * La variable Trans Masculino No puede ser mayor al Total Mujeres.",""))</f>
        <v/>
      </c>
      <c r="CJ209" s="135" t="str">
        <f t="shared" ref="CJ209:CJ241" si="185">IF(AND(D209&gt;0,OR(AW209="")), "* No olvide digitar la variable Trans Femenino. Digite Cero si no tiene.",IF((AW209)&gt;D209,"  * La variable Trans Femenino No puede ser mayor al Total Hombres.",""))</f>
        <v/>
      </c>
      <c r="CK209" s="135" t="str">
        <f t="shared" ref="CK209:CK217" si="186">IF(AND($C209&gt;0,AX209=""), "* No olvide digitar la variable Adolescentes derivados de Espacios Amigables. Digite Cero si no tiene.",IF(AX209&gt;$C209,"  * La variable Adolescentes derivados de Espacios Amigables No puede ser mayor al Total.",""))</f>
        <v/>
      </c>
      <c r="CL209" s="6"/>
      <c r="CO209" s="55">
        <f t="shared" si="170"/>
        <v>0</v>
      </c>
      <c r="CP209" s="55">
        <f t="shared" si="171"/>
        <v>0</v>
      </c>
      <c r="CQ209" s="55">
        <f t="shared" ref="CQ209:CQ241" si="187">IF(AND(D209&gt;0,OR(AP209="")),1,IF((AP209)&gt;D209,1,0))</f>
        <v>0</v>
      </c>
      <c r="CR209" s="55">
        <f t="shared" si="172"/>
        <v>0</v>
      </c>
      <c r="CS209" s="55">
        <f t="shared" si="173"/>
        <v>0</v>
      </c>
      <c r="CT209" s="55">
        <f t="shared" si="174"/>
        <v>0</v>
      </c>
      <c r="CU209" s="55">
        <f t="shared" ref="CU209:CU241" si="188">IF(AND(D209&gt;0,OR(AT209="")),1,IF((AT209)&gt;D209,1,0))</f>
        <v>0</v>
      </c>
      <c r="CV209" s="55">
        <f t="shared" si="175"/>
        <v>0</v>
      </c>
      <c r="CW209" s="55">
        <f t="shared" ref="CW209:CW241" si="189">IF(AND(E209&gt;0,OR(AV209="")),1,IF((AV209)&gt;E209,1,0))</f>
        <v>0</v>
      </c>
      <c r="CX209" s="55">
        <f t="shared" ref="CX209:CX241" si="190">IF(AND(D209&gt;0,OR(AW209="")),1,IF((AW209)&gt;D209,1,0))</f>
        <v>0</v>
      </c>
      <c r="CY209" s="55">
        <f t="shared" si="161"/>
        <v>0</v>
      </c>
    </row>
    <row r="210" spans="1:103" ht="15" customHeight="1" x14ac:dyDescent="0.3">
      <c r="A210" s="5844"/>
      <c r="B210" s="68" t="s">
        <v>866</v>
      </c>
      <c r="C210" s="663">
        <f t="shared" si="166"/>
        <v>0</v>
      </c>
      <c r="D210" s="664">
        <f t="shared" si="176"/>
        <v>0</v>
      </c>
      <c r="E210" s="500">
        <f t="shared" si="176"/>
        <v>0</v>
      </c>
      <c r="F210" s="346"/>
      <c r="G210" s="347"/>
      <c r="H210" s="346"/>
      <c r="I210" s="347"/>
      <c r="J210" s="346"/>
      <c r="K210" s="347"/>
      <c r="L210" s="346"/>
      <c r="M210" s="347"/>
      <c r="N210" s="346"/>
      <c r="O210" s="347"/>
      <c r="P210" s="346"/>
      <c r="Q210" s="347"/>
      <c r="R210" s="346"/>
      <c r="S210" s="347"/>
      <c r="T210" s="346"/>
      <c r="U210" s="347"/>
      <c r="V210" s="346"/>
      <c r="W210" s="347"/>
      <c r="X210" s="346"/>
      <c r="Y210" s="347"/>
      <c r="Z210" s="346"/>
      <c r="AA210" s="347"/>
      <c r="AB210" s="346"/>
      <c r="AC210" s="347"/>
      <c r="AD210" s="346"/>
      <c r="AE210" s="347"/>
      <c r="AF210" s="346"/>
      <c r="AG210" s="347"/>
      <c r="AH210" s="346"/>
      <c r="AI210" s="347"/>
      <c r="AJ210" s="346"/>
      <c r="AK210" s="347"/>
      <c r="AL210" s="346"/>
      <c r="AM210" s="561"/>
      <c r="AN210" s="430"/>
      <c r="AO210" s="347"/>
      <c r="AP210" s="346"/>
      <c r="AQ210" s="42"/>
      <c r="AR210" s="47"/>
      <c r="AS210" s="42"/>
      <c r="AT210" s="66"/>
      <c r="AU210" s="95"/>
      <c r="AV210" s="66"/>
      <c r="AW210" s="95"/>
      <c r="AX210" s="42"/>
      <c r="AY210" s="6" t="str">
        <f t="shared" si="142"/>
        <v/>
      </c>
      <c r="CA210" s="135" t="str">
        <f t="shared" si="177"/>
        <v/>
      </c>
      <c r="CB210" s="135" t="str">
        <f t="shared" si="178"/>
        <v/>
      </c>
      <c r="CC210" s="135" t="str">
        <f t="shared" si="179"/>
        <v/>
      </c>
      <c r="CD210" s="135" t="str">
        <f t="shared" si="180"/>
        <v/>
      </c>
      <c r="CE210" s="135" t="str">
        <f t="shared" si="181"/>
        <v/>
      </c>
      <c r="CF210" s="135" t="str">
        <f t="shared" si="182"/>
        <v/>
      </c>
      <c r="CG210" s="135" t="str">
        <f t="shared" si="162"/>
        <v/>
      </c>
      <c r="CH210" s="135" t="str">
        <f t="shared" si="183"/>
        <v/>
      </c>
      <c r="CI210" s="135" t="str">
        <f t="shared" si="184"/>
        <v/>
      </c>
      <c r="CJ210" s="135" t="str">
        <f t="shared" si="185"/>
        <v/>
      </c>
      <c r="CK210" s="135" t="str">
        <f t="shared" si="186"/>
        <v/>
      </c>
      <c r="CL210" s="6"/>
      <c r="CO210" s="55">
        <f t="shared" si="170"/>
        <v>0</v>
      </c>
      <c r="CP210" s="55">
        <f t="shared" si="171"/>
        <v>0</v>
      </c>
      <c r="CQ210" s="55">
        <f t="shared" si="187"/>
        <v>0</v>
      </c>
      <c r="CR210" s="55">
        <f t="shared" si="172"/>
        <v>0</v>
      </c>
      <c r="CS210" s="55">
        <f t="shared" si="173"/>
        <v>0</v>
      </c>
      <c r="CT210" s="55">
        <f t="shared" si="174"/>
        <v>0</v>
      </c>
      <c r="CU210" s="55">
        <f t="shared" si="188"/>
        <v>0</v>
      </c>
      <c r="CV210" s="55">
        <f t="shared" si="175"/>
        <v>0</v>
      </c>
      <c r="CW210" s="55">
        <f t="shared" si="189"/>
        <v>0</v>
      </c>
      <c r="CX210" s="55">
        <f t="shared" si="190"/>
        <v>0</v>
      </c>
      <c r="CY210" s="55">
        <f t="shared" si="161"/>
        <v>0</v>
      </c>
    </row>
    <row r="211" spans="1:103" ht="15" customHeight="1" x14ac:dyDescent="0.3">
      <c r="A211" s="5844"/>
      <c r="B211" s="666" t="s">
        <v>867</v>
      </c>
      <c r="C211" s="663">
        <f t="shared" si="166"/>
        <v>0</v>
      </c>
      <c r="D211" s="664">
        <f t="shared" si="176"/>
        <v>0</v>
      </c>
      <c r="E211" s="500">
        <f t="shared" si="176"/>
        <v>0</v>
      </c>
      <c r="F211" s="346"/>
      <c r="G211" s="347"/>
      <c r="H211" s="346"/>
      <c r="I211" s="347"/>
      <c r="J211" s="346"/>
      <c r="K211" s="347"/>
      <c r="L211" s="346"/>
      <c r="M211" s="347"/>
      <c r="N211" s="346"/>
      <c r="O211" s="347"/>
      <c r="P211" s="346"/>
      <c r="Q211" s="347"/>
      <c r="R211" s="346"/>
      <c r="S211" s="347"/>
      <c r="T211" s="346"/>
      <c r="U211" s="347"/>
      <c r="V211" s="346"/>
      <c r="W211" s="347"/>
      <c r="X211" s="346"/>
      <c r="Y211" s="347"/>
      <c r="Z211" s="346"/>
      <c r="AA211" s="347"/>
      <c r="AB211" s="346"/>
      <c r="AC211" s="347"/>
      <c r="AD211" s="346"/>
      <c r="AE211" s="347"/>
      <c r="AF211" s="346"/>
      <c r="AG211" s="347"/>
      <c r="AH211" s="346"/>
      <c r="AI211" s="347"/>
      <c r="AJ211" s="346"/>
      <c r="AK211" s="347"/>
      <c r="AL211" s="346"/>
      <c r="AM211" s="561"/>
      <c r="AN211" s="430"/>
      <c r="AO211" s="347"/>
      <c r="AP211" s="346"/>
      <c r="AQ211" s="2"/>
      <c r="AR211" s="192"/>
      <c r="AS211" s="2"/>
      <c r="AT211" s="64"/>
      <c r="AU211" s="383"/>
      <c r="AV211" s="64"/>
      <c r="AW211" s="383"/>
      <c r="AX211" s="2"/>
      <c r="AY211" s="6" t="str">
        <f t="shared" si="142"/>
        <v/>
      </c>
      <c r="CA211" s="135" t="str">
        <f t="shared" si="177"/>
        <v/>
      </c>
      <c r="CB211" s="135" t="str">
        <f t="shared" si="178"/>
        <v/>
      </c>
      <c r="CC211" s="135" t="str">
        <f t="shared" si="179"/>
        <v/>
      </c>
      <c r="CD211" s="135" t="str">
        <f t="shared" si="180"/>
        <v/>
      </c>
      <c r="CE211" s="135" t="str">
        <f t="shared" si="181"/>
        <v/>
      </c>
      <c r="CF211" s="135" t="str">
        <f t="shared" si="182"/>
        <v/>
      </c>
      <c r="CG211" s="135" t="str">
        <f t="shared" si="162"/>
        <v/>
      </c>
      <c r="CH211" s="135" t="str">
        <f t="shared" si="183"/>
        <v/>
      </c>
      <c r="CI211" s="135" t="str">
        <f t="shared" si="184"/>
        <v/>
      </c>
      <c r="CJ211" s="135" t="str">
        <f t="shared" si="185"/>
        <v/>
      </c>
      <c r="CK211" s="135" t="str">
        <f t="shared" si="186"/>
        <v/>
      </c>
      <c r="CL211" s="6"/>
      <c r="CO211" s="55">
        <f t="shared" si="170"/>
        <v>0</v>
      </c>
      <c r="CP211" s="55">
        <f t="shared" si="171"/>
        <v>0</v>
      </c>
      <c r="CQ211" s="55">
        <f t="shared" si="187"/>
        <v>0</v>
      </c>
      <c r="CR211" s="55">
        <f t="shared" si="172"/>
        <v>0</v>
      </c>
      <c r="CS211" s="55">
        <f t="shared" si="173"/>
        <v>0</v>
      </c>
      <c r="CT211" s="55">
        <f t="shared" si="174"/>
        <v>0</v>
      </c>
      <c r="CU211" s="55">
        <f t="shared" si="188"/>
        <v>0</v>
      </c>
      <c r="CV211" s="55">
        <f t="shared" si="175"/>
        <v>0</v>
      </c>
      <c r="CW211" s="55">
        <f t="shared" si="189"/>
        <v>0</v>
      </c>
      <c r="CX211" s="55">
        <f t="shared" si="190"/>
        <v>0</v>
      </c>
      <c r="CY211" s="55">
        <f t="shared" si="161"/>
        <v>0</v>
      </c>
    </row>
    <row r="212" spans="1:103" ht="15" customHeight="1" x14ac:dyDescent="0.3">
      <c r="A212" s="5791"/>
      <c r="B212" s="69" t="s">
        <v>868</v>
      </c>
      <c r="C212" s="200">
        <f t="shared" si="166"/>
        <v>0</v>
      </c>
      <c r="D212" s="375">
        <f>SUM(H212+J212+L212+N212+P212+R212+T212+V212+X212+Z212+AB212+AD212+AF212+AH212+AJ212+AL212)</f>
        <v>0</v>
      </c>
      <c r="E212" s="52">
        <f>SUM(I212+K212+M212+O212+Q212+S212+U212+W212+Y212+AA212+AC212+AE212+AG212+AI212+AK212+AM212)</f>
        <v>0</v>
      </c>
      <c r="F212" s="1743"/>
      <c r="G212" s="1744"/>
      <c r="H212" s="192"/>
      <c r="I212" s="2"/>
      <c r="J212" s="192"/>
      <c r="K212" s="2"/>
      <c r="L212" s="192"/>
      <c r="M212" s="2"/>
      <c r="N212" s="192"/>
      <c r="O212" s="2"/>
      <c r="P212" s="192"/>
      <c r="Q212" s="2"/>
      <c r="R212" s="192"/>
      <c r="S212" s="2"/>
      <c r="T212" s="192"/>
      <c r="U212" s="2"/>
      <c r="V212" s="192"/>
      <c r="W212" s="2"/>
      <c r="X212" s="192"/>
      <c r="Y212" s="2"/>
      <c r="Z212" s="192"/>
      <c r="AA212" s="2"/>
      <c r="AB212" s="192"/>
      <c r="AC212" s="2"/>
      <c r="AD212" s="192"/>
      <c r="AE212" s="2"/>
      <c r="AF212" s="192"/>
      <c r="AG212" s="2"/>
      <c r="AH212" s="192"/>
      <c r="AI212" s="2"/>
      <c r="AJ212" s="192"/>
      <c r="AK212" s="2"/>
      <c r="AL212" s="192"/>
      <c r="AM212" s="64"/>
      <c r="AN212" s="377"/>
      <c r="AO212" s="2"/>
      <c r="AP212" s="192"/>
      <c r="AQ212" s="388"/>
      <c r="AR212" s="380"/>
      <c r="AS212" s="388"/>
      <c r="AT212" s="564"/>
      <c r="AU212" s="389"/>
      <c r="AV212" s="564"/>
      <c r="AW212" s="389"/>
      <c r="AX212" s="388"/>
      <c r="AY212" s="6" t="str">
        <f t="shared" si="142"/>
        <v/>
      </c>
      <c r="CA212" s="135" t="str">
        <f t="shared" si="177"/>
        <v/>
      </c>
      <c r="CB212" s="135" t="str">
        <f t="shared" si="178"/>
        <v/>
      </c>
      <c r="CC212" s="135" t="str">
        <f t="shared" si="179"/>
        <v/>
      </c>
      <c r="CD212" s="135" t="str">
        <f t="shared" si="180"/>
        <v/>
      </c>
      <c r="CE212" s="135" t="str">
        <f t="shared" si="181"/>
        <v/>
      </c>
      <c r="CF212" s="135" t="str">
        <f t="shared" si="182"/>
        <v/>
      </c>
      <c r="CG212" s="135" t="str">
        <f t="shared" si="162"/>
        <v/>
      </c>
      <c r="CH212" s="135" t="str">
        <f t="shared" si="183"/>
        <v/>
      </c>
      <c r="CI212" s="135" t="str">
        <f t="shared" si="184"/>
        <v/>
      </c>
      <c r="CJ212" s="135" t="str">
        <f t="shared" si="185"/>
        <v/>
      </c>
      <c r="CK212" s="135" t="str">
        <f t="shared" si="186"/>
        <v/>
      </c>
      <c r="CL212" s="6"/>
      <c r="CO212" s="55">
        <f t="shared" si="170"/>
        <v>0</v>
      </c>
      <c r="CP212" s="55">
        <f t="shared" si="171"/>
        <v>0</v>
      </c>
      <c r="CQ212" s="55">
        <f t="shared" si="187"/>
        <v>0</v>
      </c>
      <c r="CR212" s="55">
        <f t="shared" si="172"/>
        <v>0</v>
      </c>
      <c r="CS212" s="55">
        <f t="shared" si="173"/>
        <v>0</v>
      </c>
      <c r="CT212" s="55">
        <f t="shared" si="174"/>
        <v>0</v>
      </c>
      <c r="CU212" s="55">
        <f t="shared" si="188"/>
        <v>0</v>
      </c>
      <c r="CV212" s="55">
        <f t="shared" si="175"/>
        <v>0</v>
      </c>
      <c r="CW212" s="55">
        <f t="shared" si="189"/>
        <v>0</v>
      </c>
      <c r="CX212" s="55">
        <f t="shared" si="190"/>
        <v>0</v>
      </c>
      <c r="CY212" s="55">
        <f t="shared" si="161"/>
        <v>0</v>
      </c>
    </row>
    <row r="213" spans="1:103" ht="15" customHeight="1" x14ac:dyDescent="0.3">
      <c r="A213" s="6185" t="s">
        <v>869</v>
      </c>
      <c r="B213" s="667" t="s">
        <v>870</v>
      </c>
      <c r="C213" s="654">
        <f t="shared" si="166"/>
        <v>0</v>
      </c>
      <c r="D213" s="655">
        <f t="shared" si="176"/>
        <v>0</v>
      </c>
      <c r="E213" s="656">
        <f t="shared" si="176"/>
        <v>0</v>
      </c>
      <c r="F213" s="474"/>
      <c r="G213" s="576"/>
      <c r="H213" s="474"/>
      <c r="I213" s="576"/>
      <c r="J213" s="474"/>
      <c r="K213" s="576"/>
      <c r="L213" s="474"/>
      <c r="M213" s="576"/>
      <c r="N213" s="474"/>
      <c r="O213" s="576"/>
      <c r="P213" s="474"/>
      <c r="Q213" s="576"/>
      <c r="R213" s="474"/>
      <c r="S213" s="576"/>
      <c r="T213" s="474"/>
      <c r="U213" s="576"/>
      <c r="V213" s="474"/>
      <c r="W213" s="576"/>
      <c r="X213" s="474"/>
      <c r="Y213" s="576"/>
      <c r="Z213" s="474"/>
      <c r="AA213" s="576"/>
      <c r="AB213" s="474"/>
      <c r="AC213" s="576"/>
      <c r="AD213" s="474"/>
      <c r="AE213" s="576"/>
      <c r="AF213" s="474"/>
      <c r="AG213" s="576"/>
      <c r="AH213" s="474"/>
      <c r="AI213" s="576"/>
      <c r="AJ213" s="474"/>
      <c r="AK213" s="576"/>
      <c r="AL213" s="474"/>
      <c r="AM213" s="559"/>
      <c r="AN213" s="497"/>
      <c r="AO213" s="475"/>
      <c r="AP213" s="474"/>
      <c r="AQ213" s="668"/>
      <c r="AR213" s="669"/>
      <c r="AS213" s="668"/>
      <c r="AT213" s="670"/>
      <c r="AU213" s="671"/>
      <c r="AV213" s="670"/>
      <c r="AW213" s="671"/>
      <c r="AX213" s="668"/>
      <c r="AY213" s="6" t="str">
        <f t="shared" si="142"/>
        <v/>
      </c>
      <c r="CA213" s="135" t="str">
        <f t="shared" si="177"/>
        <v/>
      </c>
      <c r="CB213" s="135" t="str">
        <f t="shared" si="178"/>
        <v/>
      </c>
      <c r="CC213" s="135" t="str">
        <f t="shared" si="179"/>
        <v/>
      </c>
      <c r="CD213" s="135" t="str">
        <f t="shared" si="180"/>
        <v/>
      </c>
      <c r="CE213" s="135" t="str">
        <f t="shared" si="181"/>
        <v/>
      </c>
      <c r="CF213" s="135" t="str">
        <f t="shared" si="182"/>
        <v/>
      </c>
      <c r="CG213" s="135" t="str">
        <f t="shared" si="162"/>
        <v/>
      </c>
      <c r="CH213" s="135" t="str">
        <f t="shared" si="183"/>
        <v/>
      </c>
      <c r="CI213" s="135" t="str">
        <f t="shared" si="184"/>
        <v/>
      </c>
      <c r="CJ213" s="135" t="str">
        <f t="shared" si="185"/>
        <v/>
      </c>
      <c r="CK213" s="135" t="str">
        <f t="shared" si="186"/>
        <v/>
      </c>
      <c r="CL213" s="6"/>
      <c r="CO213" s="55">
        <f t="shared" si="170"/>
        <v>0</v>
      </c>
      <c r="CP213" s="55">
        <f t="shared" si="171"/>
        <v>0</v>
      </c>
      <c r="CQ213" s="55">
        <f t="shared" si="187"/>
        <v>0</v>
      </c>
      <c r="CR213" s="55">
        <f t="shared" si="172"/>
        <v>0</v>
      </c>
      <c r="CS213" s="55">
        <f t="shared" si="173"/>
        <v>0</v>
      </c>
      <c r="CT213" s="55">
        <f t="shared" si="174"/>
        <v>0</v>
      </c>
      <c r="CU213" s="55">
        <f t="shared" si="188"/>
        <v>0</v>
      </c>
      <c r="CV213" s="55">
        <f t="shared" si="175"/>
        <v>0</v>
      </c>
      <c r="CW213" s="55">
        <f t="shared" si="189"/>
        <v>0</v>
      </c>
      <c r="CX213" s="55">
        <f t="shared" si="190"/>
        <v>0</v>
      </c>
      <c r="CY213" s="55">
        <f t="shared" si="161"/>
        <v>0</v>
      </c>
    </row>
    <row r="214" spans="1:103" ht="15" customHeight="1" x14ac:dyDescent="0.3">
      <c r="A214" s="5844"/>
      <c r="B214" s="500" t="s">
        <v>871</v>
      </c>
      <c r="C214" s="663">
        <f t="shared" si="166"/>
        <v>0</v>
      </c>
      <c r="D214" s="664">
        <f>SUM(F214+H214+J214+L214+N214+P214+R214+T214+V214+X214+Z214+AB214+AD214+AF214+AH214+AJ214+AL214)</f>
        <v>0</v>
      </c>
      <c r="E214" s="500">
        <f t="shared" si="176"/>
        <v>0</v>
      </c>
      <c r="F214" s="346"/>
      <c r="G214" s="347"/>
      <c r="H214" s="346"/>
      <c r="I214" s="347"/>
      <c r="J214" s="346"/>
      <c r="K214" s="347"/>
      <c r="L214" s="346"/>
      <c r="M214" s="347"/>
      <c r="N214" s="346"/>
      <c r="O214" s="347"/>
      <c r="P214" s="346"/>
      <c r="Q214" s="347"/>
      <c r="R214" s="346"/>
      <c r="S214" s="347"/>
      <c r="T214" s="346"/>
      <c r="U214" s="347"/>
      <c r="V214" s="346"/>
      <c r="W214" s="347"/>
      <c r="X214" s="346"/>
      <c r="Y214" s="347"/>
      <c r="Z214" s="346"/>
      <c r="AA214" s="347"/>
      <c r="AB214" s="346"/>
      <c r="AC214" s="347"/>
      <c r="AD214" s="346"/>
      <c r="AE214" s="347"/>
      <c r="AF214" s="346"/>
      <c r="AG214" s="347"/>
      <c r="AH214" s="346"/>
      <c r="AI214" s="347"/>
      <c r="AJ214" s="346"/>
      <c r="AK214" s="347"/>
      <c r="AL214" s="346"/>
      <c r="AM214" s="561"/>
      <c r="AN214" s="430"/>
      <c r="AO214" s="347"/>
      <c r="AP214" s="346"/>
      <c r="AQ214" s="2"/>
      <c r="AR214" s="192"/>
      <c r="AS214" s="2"/>
      <c r="AT214" s="64"/>
      <c r="AU214" s="383"/>
      <c r="AV214" s="64"/>
      <c r="AW214" s="383"/>
      <c r="AX214" s="2"/>
      <c r="AY214" s="6" t="str">
        <f t="shared" si="142"/>
        <v/>
      </c>
      <c r="CA214" s="135" t="str">
        <f t="shared" si="177"/>
        <v/>
      </c>
      <c r="CB214" s="135" t="str">
        <f t="shared" si="178"/>
        <v/>
      </c>
      <c r="CC214" s="135" t="str">
        <f t="shared" si="179"/>
        <v/>
      </c>
      <c r="CD214" s="135" t="str">
        <f t="shared" si="180"/>
        <v/>
      </c>
      <c r="CE214" s="135" t="str">
        <f t="shared" si="181"/>
        <v/>
      </c>
      <c r="CF214" s="135" t="str">
        <f t="shared" si="182"/>
        <v/>
      </c>
      <c r="CG214" s="135" t="str">
        <f t="shared" si="162"/>
        <v/>
      </c>
      <c r="CH214" s="135" t="str">
        <f t="shared" si="183"/>
        <v/>
      </c>
      <c r="CI214" s="135" t="str">
        <f t="shared" si="184"/>
        <v/>
      </c>
      <c r="CJ214" s="135" t="str">
        <f t="shared" si="185"/>
        <v/>
      </c>
      <c r="CK214" s="135" t="str">
        <f t="shared" si="186"/>
        <v/>
      </c>
      <c r="CL214" s="6"/>
      <c r="CO214" s="55">
        <f t="shared" si="170"/>
        <v>0</v>
      </c>
      <c r="CP214" s="55">
        <f t="shared" si="171"/>
        <v>0</v>
      </c>
      <c r="CQ214" s="55">
        <f t="shared" si="187"/>
        <v>0</v>
      </c>
      <c r="CR214" s="55">
        <f t="shared" si="172"/>
        <v>0</v>
      </c>
      <c r="CS214" s="55">
        <f t="shared" si="173"/>
        <v>0</v>
      </c>
      <c r="CT214" s="55">
        <f t="shared" si="174"/>
        <v>0</v>
      </c>
      <c r="CU214" s="55">
        <f t="shared" si="188"/>
        <v>0</v>
      </c>
      <c r="CV214" s="55">
        <f t="shared" si="175"/>
        <v>0</v>
      </c>
      <c r="CW214" s="55">
        <f t="shared" si="189"/>
        <v>0</v>
      </c>
      <c r="CX214" s="55">
        <f t="shared" si="190"/>
        <v>0</v>
      </c>
      <c r="CY214" s="55">
        <f t="shared" si="161"/>
        <v>0</v>
      </c>
    </row>
    <row r="215" spans="1:103" ht="15" customHeight="1" x14ac:dyDescent="0.3">
      <c r="A215" s="5844"/>
      <c r="B215" s="52" t="s">
        <v>872</v>
      </c>
      <c r="C215" s="200">
        <f t="shared" si="166"/>
        <v>0</v>
      </c>
      <c r="D215" s="375">
        <f>SUM(F215+H215+J215+L215+N215+P215+R215+T215+V215+X215+Z215+AB215+AD215+AF215+AH215+AJ215+AL215)</f>
        <v>0</v>
      </c>
      <c r="E215" s="52">
        <f>SUM(G215+I215+K215+M215+O215+Q215+S215+U215+W215+Y215+AA215+AC215+AE215+AG215+AI215+AK215+AM215)</f>
        <v>0</v>
      </c>
      <c r="F215" s="192"/>
      <c r="G215" s="2"/>
      <c r="H215" s="192"/>
      <c r="I215" s="2"/>
      <c r="J215" s="192"/>
      <c r="K215" s="2"/>
      <c r="L215" s="192"/>
      <c r="M215" s="2"/>
      <c r="N215" s="192"/>
      <c r="O215" s="2"/>
      <c r="P215" s="192"/>
      <c r="Q215" s="2"/>
      <c r="R215" s="192"/>
      <c r="S215" s="2"/>
      <c r="T215" s="192"/>
      <c r="U215" s="2"/>
      <c r="V215" s="192"/>
      <c r="W215" s="2"/>
      <c r="X215" s="192"/>
      <c r="Y215" s="2"/>
      <c r="Z215" s="192"/>
      <c r="AA215" s="2"/>
      <c r="AB215" s="192"/>
      <c r="AC215" s="2"/>
      <c r="AD215" s="192"/>
      <c r="AE215" s="2"/>
      <c r="AF215" s="192"/>
      <c r="AG215" s="2"/>
      <c r="AH215" s="192"/>
      <c r="AI215" s="2"/>
      <c r="AJ215" s="192"/>
      <c r="AK215" s="2"/>
      <c r="AL215" s="192"/>
      <c r="AM215" s="64"/>
      <c r="AN215" s="377"/>
      <c r="AO215" s="2"/>
      <c r="AP215" s="192"/>
      <c r="AQ215" s="2"/>
      <c r="AR215" s="192"/>
      <c r="AS215" s="2"/>
      <c r="AT215" s="64"/>
      <c r="AU215" s="383"/>
      <c r="AV215" s="64"/>
      <c r="AW215" s="383"/>
      <c r="AX215" s="2"/>
      <c r="AY215" s="6" t="str">
        <f t="shared" si="142"/>
        <v/>
      </c>
      <c r="CA215" s="135" t="str">
        <f t="shared" si="177"/>
        <v/>
      </c>
      <c r="CB215" s="135" t="str">
        <f t="shared" si="178"/>
        <v/>
      </c>
      <c r="CC215" s="135" t="str">
        <f t="shared" si="179"/>
        <v/>
      </c>
      <c r="CD215" s="135" t="str">
        <f t="shared" si="180"/>
        <v/>
      </c>
      <c r="CE215" s="135" t="str">
        <f t="shared" si="181"/>
        <v/>
      </c>
      <c r="CF215" s="135" t="str">
        <f t="shared" si="182"/>
        <v/>
      </c>
      <c r="CG215" s="135" t="str">
        <f t="shared" si="162"/>
        <v/>
      </c>
      <c r="CH215" s="135" t="str">
        <f t="shared" si="183"/>
        <v/>
      </c>
      <c r="CI215" s="135" t="str">
        <f t="shared" si="184"/>
        <v/>
      </c>
      <c r="CJ215" s="135" t="str">
        <f t="shared" si="185"/>
        <v/>
      </c>
      <c r="CK215" s="135" t="str">
        <f t="shared" si="186"/>
        <v/>
      </c>
      <c r="CL215" s="6"/>
      <c r="CO215" s="55">
        <f t="shared" si="170"/>
        <v>0</v>
      </c>
      <c r="CP215" s="55">
        <f t="shared" si="171"/>
        <v>0</v>
      </c>
      <c r="CQ215" s="55">
        <f t="shared" si="187"/>
        <v>0</v>
      </c>
      <c r="CR215" s="55">
        <f t="shared" si="172"/>
        <v>0</v>
      </c>
      <c r="CS215" s="55">
        <f t="shared" si="173"/>
        <v>0</v>
      </c>
      <c r="CT215" s="55">
        <f t="shared" si="174"/>
        <v>0</v>
      </c>
      <c r="CU215" s="55">
        <f t="shared" si="188"/>
        <v>0</v>
      </c>
      <c r="CV215" s="55">
        <f t="shared" si="175"/>
        <v>0</v>
      </c>
      <c r="CW215" s="55">
        <f t="shared" si="189"/>
        <v>0</v>
      </c>
      <c r="CX215" s="55">
        <f t="shared" si="190"/>
        <v>0</v>
      </c>
      <c r="CY215" s="55">
        <f t="shared" si="161"/>
        <v>0</v>
      </c>
    </row>
    <row r="216" spans="1:103" ht="15" customHeight="1" x14ac:dyDescent="0.3">
      <c r="A216" s="5844"/>
      <c r="B216" s="52" t="s">
        <v>873</v>
      </c>
      <c r="C216" s="200">
        <f t="shared" si="166"/>
        <v>0</v>
      </c>
      <c r="D216" s="375">
        <f>SUM(F216+H216+J216+L216+N216+P216+R216+T216+V216+X216+Z216+AB216+AD216+AF216+AH216+AJ216+AL216)</f>
        <v>0</v>
      </c>
      <c r="E216" s="52">
        <f>SUM(G216+I216+K216+M216+O216+Q216+S216+U216+W216+Y216+AA216+AC216+AE216+AG216+AI216+AK216+AM216)</f>
        <v>0</v>
      </c>
      <c r="F216" s="192"/>
      <c r="G216" s="2"/>
      <c r="H216" s="192"/>
      <c r="I216" s="2"/>
      <c r="J216" s="192"/>
      <c r="K216" s="2"/>
      <c r="L216" s="192"/>
      <c r="M216" s="2"/>
      <c r="N216" s="192"/>
      <c r="O216" s="2"/>
      <c r="P216" s="192"/>
      <c r="Q216" s="2"/>
      <c r="R216" s="192"/>
      <c r="S216" s="2"/>
      <c r="T216" s="192"/>
      <c r="U216" s="2"/>
      <c r="V216" s="192"/>
      <c r="W216" s="2"/>
      <c r="X216" s="192"/>
      <c r="Y216" s="2"/>
      <c r="Z216" s="192"/>
      <c r="AA216" s="2"/>
      <c r="AB216" s="192"/>
      <c r="AC216" s="2"/>
      <c r="AD216" s="192"/>
      <c r="AE216" s="2"/>
      <c r="AF216" s="192"/>
      <c r="AG216" s="2"/>
      <c r="AH216" s="192"/>
      <c r="AI216" s="2"/>
      <c r="AJ216" s="192"/>
      <c r="AK216" s="2"/>
      <c r="AL216" s="192"/>
      <c r="AM216" s="64"/>
      <c r="AN216" s="377"/>
      <c r="AO216" s="2"/>
      <c r="AP216" s="192"/>
      <c r="AQ216" s="2"/>
      <c r="AR216" s="192"/>
      <c r="AS216" s="2"/>
      <c r="AT216" s="64"/>
      <c r="AU216" s="383"/>
      <c r="AV216" s="64"/>
      <c r="AW216" s="383"/>
      <c r="AX216" s="2"/>
      <c r="AY216" s="6" t="str">
        <f t="shared" si="142"/>
        <v/>
      </c>
      <c r="CA216" s="135" t="str">
        <f t="shared" si="177"/>
        <v/>
      </c>
      <c r="CB216" s="135" t="str">
        <f t="shared" si="178"/>
        <v/>
      </c>
      <c r="CC216" s="135" t="str">
        <f t="shared" si="179"/>
        <v/>
      </c>
      <c r="CD216" s="135" t="str">
        <f t="shared" si="180"/>
        <v/>
      </c>
      <c r="CE216" s="135" t="str">
        <f t="shared" si="181"/>
        <v/>
      </c>
      <c r="CF216" s="135" t="str">
        <f t="shared" si="182"/>
        <v/>
      </c>
      <c r="CG216" s="135" t="str">
        <f t="shared" si="162"/>
        <v/>
      </c>
      <c r="CH216" s="135" t="str">
        <f t="shared" si="183"/>
        <v/>
      </c>
      <c r="CI216" s="135" t="str">
        <f t="shared" si="184"/>
        <v/>
      </c>
      <c r="CJ216" s="135" t="str">
        <f t="shared" si="185"/>
        <v/>
      </c>
      <c r="CK216" s="135" t="str">
        <f t="shared" si="186"/>
        <v/>
      </c>
      <c r="CL216" s="6"/>
      <c r="CO216" s="55">
        <f t="shared" si="170"/>
        <v>0</v>
      </c>
      <c r="CP216" s="55">
        <f t="shared" si="171"/>
        <v>0</v>
      </c>
      <c r="CQ216" s="55">
        <f t="shared" si="187"/>
        <v>0</v>
      </c>
      <c r="CR216" s="55">
        <f t="shared" si="172"/>
        <v>0</v>
      </c>
      <c r="CS216" s="55">
        <f t="shared" si="173"/>
        <v>0</v>
      </c>
      <c r="CT216" s="55">
        <f t="shared" si="174"/>
        <v>0</v>
      </c>
      <c r="CU216" s="55">
        <f t="shared" si="188"/>
        <v>0</v>
      </c>
      <c r="CV216" s="55">
        <f t="shared" si="175"/>
        <v>0</v>
      </c>
      <c r="CW216" s="55">
        <f t="shared" si="189"/>
        <v>0</v>
      </c>
      <c r="CX216" s="55">
        <f t="shared" si="190"/>
        <v>0</v>
      </c>
      <c r="CY216" s="55">
        <f t="shared" si="161"/>
        <v>0</v>
      </c>
    </row>
    <row r="217" spans="1:103" ht="15" customHeight="1" x14ac:dyDescent="0.3">
      <c r="A217" s="5791"/>
      <c r="B217" s="387" t="s">
        <v>874</v>
      </c>
      <c r="C217" s="378">
        <f t="shared" si="166"/>
        <v>0</v>
      </c>
      <c r="D217" s="672">
        <f>SUM(F217+H217+J217+L217+N217+P217+R217+T217+V217+X217+Z217+AB217+AD217+AF217+AH217+AJ217+AL217)</f>
        <v>0</v>
      </c>
      <c r="E217" s="387">
        <f t="shared" si="176"/>
        <v>0</v>
      </c>
      <c r="F217" s="380"/>
      <c r="G217" s="388"/>
      <c r="H217" s="380"/>
      <c r="I217" s="388"/>
      <c r="J217" s="380"/>
      <c r="K217" s="388"/>
      <c r="L217" s="380"/>
      <c r="M217" s="388"/>
      <c r="N217" s="380"/>
      <c r="O217" s="388"/>
      <c r="P217" s="380"/>
      <c r="Q217" s="388"/>
      <c r="R217" s="380"/>
      <c r="S217" s="388"/>
      <c r="T217" s="380"/>
      <c r="U217" s="388"/>
      <c r="V217" s="380"/>
      <c r="W217" s="388"/>
      <c r="X217" s="380"/>
      <c r="Y217" s="388"/>
      <c r="Z217" s="380"/>
      <c r="AA217" s="388"/>
      <c r="AB217" s="380"/>
      <c r="AC217" s="388"/>
      <c r="AD217" s="380"/>
      <c r="AE217" s="388"/>
      <c r="AF217" s="380"/>
      <c r="AG217" s="388"/>
      <c r="AH217" s="380"/>
      <c r="AI217" s="388"/>
      <c r="AJ217" s="380"/>
      <c r="AK217" s="388"/>
      <c r="AL217" s="380"/>
      <c r="AM217" s="564"/>
      <c r="AN217" s="379"/>
      <c r="AO217" s="388"/>
      <c r="AP217" s="380"/>
      <c r="AQ217" s="388"/>
      <c r="AR217" s="380"/>
      <c r="AS217" s="388"/>
      <c r="AT217" s="564"/>
      <c r="AU217" s="389"/>
      <c r="AV217" s="564"/>
      <c r="AW217" s="389"/>
      <c r="AX217" s="388"/>
      <c r="AY217" s="6" t="str">
        <f t="shared" si="142"/>
        <v/>
      </c>
      <c r="CA217" s="135" t="str">
        <f t="shared" si="177"/>
        <v/>
      </c>
      <c r="CB217" s="135" t="str">
        <f t="shared" si="178"/>
        <v/>
      </c>
      <c r="CC217" s="135" t="str">
        <f t="shared" si="179"/>
        <v/>
      </c>
      <c r="CD217" s="135" t="str">
        <f t="shared" si="180"/>
        <v/>
      </c>
      <c r="CE217" s="135" t="str">
        <f t="shared" si="181"/>
        <v/>
      </c>
      <c r="CF217" s="135" t="str">
        <f t="shared" si="182"/>
        <v/>
      </c>
      <c r="CG217" s="135" t="str">
        <f t="shared" si="162"/>
        <v/>
      </c>
      <c r="CH217" s="135" t="str">
        <f t="shared" si="183"/>
        <v/>
      </c>
      <c r="CI217" s="135" t="str">
        <f t="shared" si="184"/>
        <v/>
      </c>
      <c r="CJ217" s="135" t="str">
        <f t="shared" si="185"/>
        <v/>
      </c>
      <c r="CK217" s="135" t="str">
        <f t="shared" si="186"/>
        <v/>
      </c>
      <c r="CL217" s="6"/>
      <c r="CO217" s="55">
        <f t="shared" si="170"/>
        <v>0</v>
      </c>
      <c r="CP217" s="55">
        <f t="shared" si="171"/>
        <v>0</v>
      </c>
      <c r="CQ217" s="55">
        <f t="shared" si="187"/>
        <v>0</v>
      </c>
      <c r="CR217" s="55">
        <f t="shared" si="172"/>
        <v>0</v>
      </c>
      <c r="CS217" s="55">
        <f t="shared" si="173"/>
        <v>0</v>
      </c>
      <c r="CT217" s="55">
        <f t="shared" si="174"/>
        <v>0</v>
      </c>
      <c r="CU217" s="55">
        <f t="shared" si="188"/>
        <v>0</v>
      </c>
      <c r="CV217" s="55">
        <f t="shared" si="175"/>
        <v>0</v>
      </c>
      <c r="CW217" s="55">
        <f t="shared" si="189"/>
        <v>0</v>
      </c>
      <c r="CX217" s="55">
        <f t="shared" si="190"/>
        <v>0</v>
      </c>
      <c r="CY217" s="55">
        <f t="shared" si="161"/>
        <v>0</v>
      </c>
    </row>
    <row r="218" spans="1:103" ht="15" customHeight="1" x14ac:dyDescent="0.3">
      <c r="A218" s="6185" t="s">
        <v>875</v>
      </c>
      <c r="B218" s="656" t="s">
        <v>876</v>
      </c>
      <c r="C218" s="654">
        <f t="shared" si="166"/>
        <v>0</v>
      </c>
      <c r="D218" s="655">
        <f>SUM(F218+H218+J218+L218+N218)</f>
        <v>0</v>
      </c>
      <c r="E218" s="656">
        <f t="shared" ref="D218:E221" si="191">SUM(G218+I218+K218+M218+O218)</f>
        <v>0</v>
      </c>
      <c r="F218" s="474"/>
      <c r="G218" s="576"/>
      <c r="H218" s="474"/>
      <c r="I218" s="576"/>
      <c r="J218" s="474"/>
      <c r="K218" s="576"/>
      <c r="L218" s="474"/>
      <c r="M218" s="576"/>
      <c r="N218" s="474"/>
      <c r="O218" s="576"/>
      <c r="P218" s="673"/>
      <c r="Q218" s="674"/>
      <c r="R218" s="674"/>
      <c r="S218" s="674"/>
      <c r="T218" s="674"/>
      <c r="U218" s="674"/>
      <c r="V218" s="674"/>
      <c r="W218" s="674"/>
      <c r="X218" s="674"/>
      <c r="Y218" s="674"/>
      <c r="Z218" s="674"/>
      <c r="AA218" s="674"/>
      <c r="AB218" s="674"/>
      <c r="AC218" s="674"/>
      <c r="AD218" s="674"/>
      <c r="AE218" s="674"/>
      <c r="AF218" s="674"/>
      <c r="AG218" s="674"/>
      <c r="AH218" s="674"/>
      <c r="AI218" s="674"/>
      <c r="AJ218" s="674"/>
      <c r="AK218" s="674"/>
      <c r="AL218" s="674"/>
      <c r="AM218" s="675"/>
      <c r="AN218" s="497"/>
      <c r="AO218" s="676"/>
      <c r="AP218" s="474"/>
      <c r="AQ218" s="668"/>
      <c r="AR218" s="669"/>
      <c r="AS218" s="668"/>
      <c r="AT218" s="670"/>
      <c r="AU218" s="671"/>
      <c r="AV218" s="670"/>
      <c r="AW218" s="671"/>
      <c r="AX218" s="668"/>
      <c r="AY218" s="6" t="str">
        <f>CA218&amp;CC218&amp;CD218&amp;CE218&amp;CF218&amp;CG218&amp;CH218&amp;CI218&amp;CJ218&amp;CK218</f>
        <v/>
      </c>
      <c r="CA218" s="135" t="str">
        <f>IF(AND(E218&gt;0,AN218=""), "* No olvide digitar la variable Gestantes. Digite Cero si no tiene.",IF(AN218&gt;E218,"  * La  variable Gestantes No puede ser mayor al Total Mujeres.",""))</f>
        <v/>
      </c>
      <c r="CB218" s="179"/>
      <c r="CC218" s="135" t="str">
        <f t="shared" ref="CC218:CC241" si="192">IF(AND(D218&gt;0,OR(AP218="")), "* No olvide digitar la variable Pueblos originarios - Hombres. Digite Cero si no tiene.",IF((AP218)&gt;D218,"  * La variable Pueblos originarios - Hombres No puede ser mayor al Total.",""))</f>
        <v/>
      </c>
      <c r="CD218" s="135" t="str">
        <f t="shared" si="168"/>
        <v/>
      </c>
      <c r="CE218" s="135" t="str">
        <f t="shared" si="169"/>
        <v/>
      </c>
      <c r="CF218" s="135" t="str">
        <f t="shared" ref="CF218:CF241" si="193">IF(AND(C218&gt;0,AS218=""), "* No olvide digitar la variable Niños, niñas, adolescentes y jóvenes Mejor Niñez. Digite Cero si no tiene.",IF(AS218&gt;C218,"  * La variable Niños, niñas, adolescentes y jóvenes Mejor Niñez No puede ser mayor al Total.",""))</f>
        <v/>
      </c>
      <c r="CG218" s="135" t="str">
        <f t="shared" si="162"/>
        <v/>
      </c>
      <c r="CH218" s="135" t="str">
        <f t="shared" ref="CH218:CH241" si="194">IF(AND(E218&gt;0,OR(AU218="")), "* No olvide digitar la variable Migrantes - Mujeres. Digite Cero si no tiene.",IF((AU218)&gt;E218,"  * La variable Migrantes - Mujeres No puede ser mayor al Total.",""))</f>
        <v/>
      </c>
      <c r="CI218" s="135" t="str">
        <f t="shared" si="184"/>
        <v/>
      </c>
      <c r="CJ218" s="135" t="str">
        <f t="shared" si="185"/>
        <v/>
      </c>
      <c r="CK218" s="135" t="str">
        <f t="shared" ref="CK218:CK240" si="195">IF(AND($C218&gt;0,AX218=""), "* No olvide digitar la variable Adolescentes derivados de Espacios Amigables. Digite Cero si no tiene.",IF(AX218&gt;$C218,"  * La variable Adolescentes derivados de Espacios Amigables No puede ser mayor al Total.",""))</f>
        <v/>
      </c>
      <c r="CL218" s="6"/>
      <c r="CO218" s="55">
        <f t="shared" si="170"/>
        <v>0</v>
      </c>
      <c r="CP218" s="433"/>
      <c r="CQ218" s="55">
        <f t="shared" si="187"/>
        <v>0</v>
      </c>
      <c r="CR218" s="55">
        <f t="shared" si="172"/>
        <v>0</v>
      </c>
      <c r="CS218" s="55">
        <f t="shared" si="173"/>
        <v>0</v>
      </c>
      <c r="CT218" s="55">
        <f t="shared" si="174"/>
        <v>0</v>
      </c>
      <c r="CU218" s="55">
        <f t="shared" si="188"/>
        <v>0</v>
      </c>
      <c r="CV218" s="55">
        <f t="shared" si="175"/>
        <v>0</v>
      </c>
      <c r="CW218" s="55">
        <f t="shared" si="189"/>
        <v>0</v>
      </c>
      <c r="CX218" s="55">
        <f t="shared" si="190"/>
        <v>0</v>
      </c>
      <c r="CY218" s="55">
        <f t="shared" si="161"/>
        <v>0</v>
      </c>
    </row>
    <row r="219" spans="1:103" ht="23.25" customHeight="1" x14ac:dyDescent="0.3">
      <c r="A219" s="5844"/>
      <c r="B219" s="500" t="s">
        <v>877</v>
      </c>
      <c r="C219" s="663">
        <f t="shared" si="166"/>
        <v>0</v>
      </c>
      <c r="D219" s="664">
        <f>SUM(F219+H219+J219+L219+N219)</f>
        <v>0</v>
      </c>
      <c r="E219" s="500">
        <f t="shared" si="191"/>
        <v>0</v>
      </c>
      <c r="F219" s="346"/>
      <c r="G219" s="347"/>
      <c r="H219" s="346"/>
      <c r="I219" s="347"/>
      <c r="J219" s="346"/>
      <c r="K219" s="347"/>
      <c r="L219" s="346"/>
      <c r="M219" s="347"/>
      <c r="N219" s="346"/>
      <c r="O219" s="347"/>
      <c r="P219" s="312"/>
      <c r="Q219" s="70"/>
      <c r="R219" s="70"/>
      <c r="S219" s="70"/>
      <c r="T219" s="70"/>
      <c r="U219" s="70"/>
      <c r="V219" s="70"/>
      <c r="W219" s="70"/>
      <c r="X219" s="70"/>
      <c r="Y219" s="70"/>
      <c r="Z219" s="70"/>
      <c r="AA219" s="70"/>
      <c r="AB219" s="70"/>
      <c r="AC219" s="70"/>
      <c r="AD219" s="70"/>
      <c r="AE219" s="70"/>
      <c r="AF219" s="70"/>
      <c r="AG219" s="70"/>
      <c r="AH219" s="70"/>
      <c r="AI219" s="70"/>
      <c r="AJ219" s="70"/>
      <c r="AK219" s="70"/>
      <c r="AL219" s="70"/>
      <c r="AM219" s="71"/>
      <c r="AN219" s="430"/>
      <c r="AO219" s="72"/>
      <c r="AP219" s="346"/>
      <c r="AQ219" s="2"/>
      <c r="AR219" s="192"/>
      <c r="AS219" s="2"/>
      <c r="AT219" s="64"/>
      <c r="AU219" s="383"/>
      <c r="AV219" s="64"/>
      <c r="AW219" s="383"/>
      <c r="AX219" s="2"/>
      <c r="AY219" s="6" t="str">
        <f t="shared" ref="AY219:AY221" si="196">CA219&amp;CC219&amp;CD219&amp;CE219&amp;CF219&amp;CG219&amp;CH219&amp;CI219&amp;CJ219&amp;CK219</f>
        <v/>
      </c>
      <c r="CA219" s="135" t="str">
        <f t="shared" si="167"/>
        <v/>
      </c>
      <c r="CB219" s="179"/>
      <c r="CC219" s="135" t="str">
        <f t="shared" si="192"/>
        <v/>
      </c>
      <c r="CD219" s="135" t="str">
        <f t="shared" si="168"/>
        <v/>
      </c>
      <c r="CE219" s="135" t="str">
        <f t="shared" si="169"/>
        <v/>
      </c>
      <c r="CF219" s="135" t="str">
        <f t="shared" si="193"/>
        <v/>
      </c>
      <c r="CG219" s="135" t="str">
        <f t="shared" si="162"/>
        <v/>
      </c>
      <c r="CH219" s="135" t="str">
        <f t="shared" si="194"/>
        <v/>
      </c>
      <c r="CI219" s="135" t="str">
        <f t="shared" si="184"/>
        <v/>
      </c>
      <c r="CJ219" s="135" t="str">
        <f t="shared" si="185"/>
        <v/>
      </c>
      <c r="CK219" s="135" t="str">
        <f t="shared" si="195"/>
        <v/>
      </c>
      <c r="CL219" s="6"/>
      <c r="CO219" s="55">
        <f t="shared" si="170"/>
        <v>0</v>
      </c>
      <c r="CP219" s="433"/>
      <c r="CQ219" s="55">
        <f t="shared" si="187"/>
        <v>0</v>
      </c>
      <c r="CR219" s="55">
        <f t="shared" si="172"/>
        <v>0</v>
      </c>
      <c r="CS219" s="55">
        <f t="shared" si="173"/>
        <v>0</v>
      </c>
      <c r="CT219" s="55">
        <f t="shared" si="174"/>
        <v>0</v>
      </c>
      <c r="CU219" s="55">
        <f t="shared" si="188"/>
        <v>0</v>
      </c>
      <c r="CV219" s="55">
        <f t="shared" si="175"/>
        <v>0</v>
      </c>
      <c r="CW219" s="55">
        <f t="shared" si="189"/>
        <v>0</v>
      </c>
      <c r="CX219" s="55">
        <f t="shared" si="190"/>
        <v>0</v>
      </c>
      <c r="CY219" s="55">
        <f t="shared" si="161"/>
        <v>0</v>
      </c>
    </row>
    <row r="220" spans="1:103" ht="23.25" customHeight="1" x14ac:dyDescent="0.3">
      <c r="A220" s="5844"/>
      <c r="B220" s="500" t="s">
        <v>878</v>
      </c>
      <c r="C220" s="663">
        <f t="shared" si="166"/>
        <v>0</v>
      </c>
      <c r="D220" s="664">
        <f t="shared" si="191"/>
        <v>0</v>
      </c>
      <c r="E220" s="500">
        <f t="shared" si="191"/>
        <v>0</v>
      </c>
      <c r="F220" s="346"/>
      <c r="G220" s="347"/>
      <c r="H220" s="346"/>
      <c r="I220" s="347"/>
      <c r="J220" s="346"/>
      <c r="K220" s="347"/>
      <c r="L220" s="346"/>
      <c r="M220" s="347"/>
      <c r="N220" s="346"/>
      <c r="O220" s="347"/>
      <c r="P220" s="312"/>
      <c r="Q220" s="70"/>
      <c r="R220" s="70"/>
      <c r="S220" s="70"/>
      <c r="T220" s="70"/>
      <c r="U220" s="70"/>
      <c r="V220" s="70"/>
      <c r="W220" s="70"/>
      <c r="X220" s="70"/>
      <c r="Y220" s="70"/>
      <c r="Z220" s="70"/>
      <c r="AA220" s="70"/>
      <c r="AB220" s="70"/>
      <c r="AC220" s="70"/>
      <c r="AD220" s="70"/>
      <c r="AE220" s="70"/>
      <c r="AF220" s="70"/>
      <c r="AG220" s="70"/>
      <c r="AH220" s="70"/>
      <c r="AI220" s="70"/>
      <c r="AJ220" s="70"/>
      <c r="AK220" s="70"/>
      <c r="AL220" s="70"/>
      <c r="AM220" s="71"/>
      <c r="AN220" s="430"/>
      <c r="AO220" s="72"/>
      <c r="AP220" s="346"/>
      <c r="AQ220" s="2"/>
      <c r="AR220" s="192"/>
      <c r="AS220" s="2"/>
      <c r="AT220" s="64"/>
      <c r="AU220" s="383"/>
      <c r="AV220" s="64"/>
      <c r="AW220" s="383"/>
      <c r="AX220" s="2"/>
      <c r="AY220" s="6" t="str">
        <f t="shared" si="196"/>
        <v/>
      </c>
      <c r="CA220" s="135" t="str">
        <f t="shared" si="167"/>
        <v/>
      </c>
      <c r="CB220" s="179"/>
      <c r="CC220" s="135" t="str">
        <f t="shared" si="192"/>
        <v/>
      </c>
      <c r="CD220" s="135" t="str">
        <f t="shared" si="168"/>
        <v/>
      </c>
      <c r="CE220" s="135" t="str">
        <f t="shared" si="169"/>
        <v/>
      </c>
      <c r="CF220" s="135" t="str">
        <f t="shared" si="193"/>
        <v/>
      </c>
      <c r="CG220" s="135" t="str">
        <f t="shared" si="162"/>
        <v/>
      </c>
      <c r="CH220" s="135" t="str">
        <f t="shared" si="194"/>
        <v/>
      </c>
      <c r="CI220" s="135" t="str">
        <f t="shared" si="184"/>
        <v/>
      </c>
      <c r="CJ220" s="135" t="str">
        <f t="shared" si="185"/>
        <v/>
      </c>
      <c r="CK220" s="135" t="str">
        <f t="shared" si="195"/>
        <v/>
      </c>
      <c r="CL220" s="6"/>
      <c r="CO220" s="55">
        <f t="shared" si="170"/>
        <v>0</v>
      </c>
      <c r="CP220" s="433"/>
      <c r="CQ220" s="55">
        <f t="shared" si="187"/>
        <v>0</v>
      </c>
      <c r="CR220" s="55">
        <f t="shared" si="172"/>
        <v>0</v>
      </c>
      <c r="CS220" s="55">
        <f t="shared" si="173"/>
        <v>0</v>
      </c>
      <c r="CT220" s="55">
        <f t="shared" si="174"/>
        <v>0</v>
      </c>
      <c r="CU220" s="55">
        <f t="shared" si="188"/>
        <v>0</v>
      </c>
      <c r="CV220" s="55">
        <f t="shared" si="175"/>
        <v>0</v>
      </c>
      <c r="CW220" s="55">
        <f t="shared" si="189"/>
        <v>0</v>
      </c>
      <c r="CX220" s="55">
        <f t="shared" si="190"/>
        <v>0</v>
      </c>
      <c r="CY220" s="55">
        <f t="shared" si="161"/>
        <v>0</v>
      </c>
    </row>
    <row r="221" spans="1:103" ht="36" customHeight="1" x14ac:dyDescent="0.3">
      <c r="A221" s="5791"/>
      <c r="B221" s="387" t="s">
        <v>879</v>
      </c>
      <c r="C221" s="378">
        <f t="shared" si="166"/>
        <v>0</v>
      </c>
      <c r="D221" s="672">
        <f t="shared" si="191"/>
        <v>0</v>
      </c>
      <c r="E221" s="387">
        <f t="shared" si="191"/>
        <v>0</v>
      </c>
      <c r="F221" s="380"/>
      <c r="G221" s="388"/>
      <c r="H221" s="380"/>
      <c r="I221" s="388"/>
      <c r="J221" s="380"/>
      <c r="K221" s="388"/>
      <c r="L221" s="380"/>
      <c r="M221" s="388"/>
      <c r="N221" s="380"/>
      <c r="O221" s="388"/>
      <c r="P221" s="677"/>
      <c r="Q221" s="678"/>
      <c r="R221" s="678"/>
      <c r="S221" s="678"/>
      <c r="T221" s="678"/>
      <c r="U221" s="678"/>
      <c r="V221" s="678"/>
      <c r="W221" s="678"/>
      <c r="X221" s="678"/>
      <c r="Y221" s="678"/>
      <c r="Z221" s="678"/>
      <c r="AA221" s="678"/>
      <c r="AB221" s="678"/>
      <c r="AC221" s="678"/>
      <c r="AD221" s="678"/>
      <c r="AE221" s="678"/>
      <c r="AF221" s="678"/>
      <c r="AG221" s="678"/>
      <c r="AH221" s="678"/>
      <c r="AI221" s="678"/>
      <c r="AJ221" s="678"/>
      <c r="AK221" s="678"/>
      <c r="AL221" s="678"/>
      <c r="AM221" s="679"/>
      <c r="AN221" s="379"/>
      <c r="AO221" s="566"/>
      <c r="AP221" s="380"/>
      <c r="AQ221" s="388"/>
      <c r="AR221" s="380"/>
      <c r="AS221" s="388"/>
      <c r="AT221" s="564"/>
      <c r="AU221" s="389"/>
      <c r="AV221" s="564"/>
      <c r="AW221" s="389"/>
      <c r="AX221" s="388"/>
      <c r="AY221" s="6" t="str">
        <f t="shared" si="196"/>
        <v/>
      </c>
      <c r="CA221" s="135" t="str">
        <f t="shared" si="167"/>
        <v/>
      </c>
      <c r="CB221" s="179"/>
      <c r="CC221" s="135" t="str">
        <f t="shared" si="192"/>
        <v/>
      </c>
      <c r="CD221" s="135" t="str">
        <f t="shared" si="168"/>
        <v/>
      </c>
      <c r="CE221" s="135" t="str">
        <f t="shared" si="169"/>
        <v/>
      </c>
      <c r="CF221" s="135" t="str">
        <f t="shared" si="193"/>
        <v/>
      </c>
      <c r="CG221" s="135" t="str">
        <f t="shared" si="162"/>
        <v/>
      </c>
      <c r="CH221" s="135" t="str">
        <f t="shared" si="194"/>
        <v/>
      </c>
      <c r="CI221" s="135" t="str">
        <f t="shared" si="184"/>
        <v/>
      </c>
      <c r="CJ221" s="135" t="str">
        <f t="shared" si="185"/>
        <v/>
      </c>
      <c r="CK221" s="135" t="str">
        <f t="shared" si="195"/>
        <v/>
      </c>
      <c r="CL221" s="6"/>
      <c r="CO221" s="55">
        <f t="shared" si="170"/>
        <v>0</v>
      </c>
      <c r="CP221" s="433"/>
      <c r="CQ221" s="55">
        <f t="shared" si="187"/>
        <v>0</v>
      </c>
      <c r="CR221" s="55">
        <f t="shared" si="172"/>
        <v>0</v>
      </c>
      <c r="CS221" s="55">
        <f t="shared" si="173"/>
        <v>0</v>
      </c>
      <c r="CT221" s="55">
        <f t="shared" si="174"/>
        <v>0</v>
      </c>
      <c r="CU221" s="55">
        <f t="shared" si="188"/>
        <v>0</v>
      </c>
      <c r="CV221" s="55">
        <f t="shared" si="175"/>
        <v>0</v>
      </c>
      <c r="CW221" s="55">
        <f t="shared" si="189"/>
        <v>0</v>
      </c>
      <c r="CX221" s="55">
        <f t="shared" si="190"/>
        <v>0</v>
      </c>
      <c r="CY221" s="55">
        <f t="shared" si="161"/>
        <v>0</v>
      </c>
    </row>
    <row r="222" spans="1:103" ht="15" customHeight="1" x14ac:dyDescent="0.3">
      <c r="A222" s="6185" t="s">
        <v>880</v>
      </c>
      <c r="B222" s="680" t="s">
        <v>881</v>
      </c>
      <c r="C222" s="309">
        <f t="shared" si="166"/>
        <v>0</v>
      </c>
      <c r="D222" s="657">
        <f t="shared" ref="D222:E241" si="197">SUM(F222+H222+J222+L222+N222+P222+R222+T222+V222+X222+Z222+AB222+AD222+AF222+AH222+AJ222+AL222)</f>
        <v>0</v>
      </c>
      <c r="E222" s="108">
        <f t="shared" si="197"/>
        <v>0</v>
      </c>
      <c r="F222" s="290"/>
      <c r="G222" s="107"/>
      <c r="H222" s="290"/>
      <c r="I222" s="107"/>
      <c r="J222" s="290"/>
      <c r="K222" s="107"/>
      <c r="L222" s="290"/>
      <c r="M222" s="107"/>
      <c r="N222" s="290"/>
      <c r="O222" s="107"/>
      <c r="P222" s="290"/>
      <c r="Q222" s="107"/>
      <c r="R222" s="290"/>
      <c r="S222" s="107"/>
      <c r="T222" s="290"/>
      <c r="U222" s="107"/>
      <c r="V222" s="290"/>
      <c r="W222" s="107"/>
      <c r="X222" s="290"/>
      <c r="Y222" s="107"/>
      <c r="Z222" s="290"/>
      <c r="AA222" s="107"/>
      <c r="AB222" s="290"/>
      <c r="AC222" s="107"/>
      <c r="AD222" s="290"/>
      <c r="AE222" s="107"/>
      <c r="AF222" s="290"/>
      <c r="AG222" s="107"/>
      <c r="AH222" s="290"/>
      <c r="AI222" s="107"/>
      <c r="AJ222" s="290"/>
      <c r="AK222" s="107"/>
      <c r="AL222" s="290"/>
      <c r="AM222" s="431"/>
      <c r="AN222" s="296"/>
      <c r="AO222" s="475"/>
      <c r="AP222" s="477"/>
      <c r="AQ222" s="107"/>
      <c r="AR222" s="290"/>
      <c r="AS222" s="107"/>
      <c r="AT222" s="65"/>
      <c r="AU222" s="637"/>
      <c r="AV222" s="245"/>
      <c r="AW222" s="637"/>
      <c r="AX222" s="107"/>
      <c r="AY222" s="6" t="str">
        <f t="shared" si="142"/>
        <v/>
      </c>
      <c r="CA222" s="135" t="str">
        <f t="shared" si="167"/>
        <v/>
      </c>
      <c r="CB222" s="135" t="str">
        <f>IF(AND(E222&gt;0,AO222=""), "* No olvide digitar la variable Madre de hijo menor de 5 años. Digite Cero si no tiene.",IF(AO222&gt;E222,"  * La variable Madre de hijo menor de 5 años No puede ser mayor al Total Mujeres.",""))</f>
        <v/>
      </c>
      <c r="CC222" s="135" t="str">
        <f t="shared" si="192"/>
        <v/>
      </c>
      <c r="CD222" s="135" t="str">
        <f t="shared" si="168"/>
        <v/>
      </c>
      <c r="CE222" s="135" t="str">
        <f t="shared" si="169"/>
        <v/>
      </c>
      <c r="CF222" s="135" t="str">
        <f t="shared" si="193"/>
        <v/>
      </c>
      <c r="CG222" s="135" t="str">
        <f t="shared" si="162"/>
        <v/>
      </c>
      <c r="CH222" s="135" t="str">
        <f t="shared" si="194"/>
        <v/>
      </c>
      <c r="CI222" s="135" t="str">
        <f t="shared" si="184"/>
        <v/>
      </c>
      <c r="CJ222" s="135" t="str">
        <f t="shared" si="185"/>
        <v/>
      </c>
      <c r="CK222" s="135" t="str">
        <f t="shared" si="195"/>
        <v/>
      </c>
      <c r="CL222" s="6"/>
      <c r="CO222" s="55">
        <f t="shared" si="170"/>
        <v>0</v>
      </c>
      <c r="CP222" s="55">
        <f>IF(AND(E222&gt;0,AO222=""),1,IF(AO222&gt;E222,1,0))</f>
        <v>0</v>
      </c>
      <c r="CQ222" s="55">
        <f t="shared" si="187"/>
        <v>0</v>
      </c>
      <c r="CR222" s="55">
        <f t="shared" si="172"/>
        <v>0</v>
      </c>
      <c r="CS222" s="55">
        <f t="shared" si="173"/>
        <v>0</v>
      </c>
      <c r="CT222" s="55">
        <f t="shared" si="174"/>
        <v>0</v>
      </c>
      <c r="CU222" s="55">
        <f t="shared" si="188"/>
        <v>0</v>
      </c>
      <c r="CV222" s="55">
        <f t="shared" si="175"/>
        <v>0</v>
      </c>
      <c r="CW222" s="55">
        <f t="shared" si="189"/>
        <v>0</v>
      </c>
      <c r="CX222" s="55">
        <f t="shared" si="190"/>
        <v>0</v>
      </c>
      <c r="CY222" s="55">
        <f t="shared" si="161"/>
        <v>0</v>
      </c>
    </row>
    <row r="223" spans="1:103" ht="15" customHeight="1" x14ac:dyDescent="0.3">
      <c r="A223" s="5844"/>
      <c r="B223" s="247" t="s">
        <v>882</v>
      </c>
      <c r="C223" s="663">
        <f t="shared" si="166"/>
        <v>0</v>
      </c>
      <c r="D223" s="664">
        <f t="shared" si="197"/>
        <v>0</v>
      </c>
      <c r="E223" s="500">
        <f t="shared" si="197"/>
        <v>0</v>
      </c>
      <c r="F223" s="346"/>
      <c r="G223" s="347"/>
      <c r="H223" s="346"/>
      <c r="I223" s="347"/>
      <c r="J223" s="346"/>
      <c r="K223" s="347"/>
      <c r="L223" s="346"/>
      <c r="M223" s="347"/>
      <c r="N223" s="346"/>
      <c r="O223" s="347"/>
      <c r="P223" s="346"/>
      <c r="Q223" s="347"/>
      <c r="R223" s="346"/>
      <c r="S223" s="347"/>
      <c r="T223" s="346"/>
      <c r="U223" s="347"/>
      <c r="V223" s="346"/>
      <c r="W223" s="347"/>
      <c r="X223" s="346"/>
      <c r="Y223" s="347"/>
      <c r="Z223" s="346"/>
      <c r="AA223" s="347"/>
      <c r="AB223" s="346"/>
      <c r="AC223" s="347"/>
      <c r="AD223" s="346"/>
      <c r="AE223" s="347"/>
      <c r="AF223" s="346"/>
      <c r="AG223" s="347"/>
      <c r="AH223" s="346"/>
      <c r="AI223" s="347"/>
      <c r="AJ223" s="346"/>
      <c r="AK223" s="347"/>
      <c r="AL223" s="346"/>
      <c r="AM223" s="352"/>
      <c r="AN223" s="430"/>
      <c r="AO223" s="347"/>
      <c r="AP223" s="348"/>
      <c r="AQ223" s="347"/>
      <c r="AR223" s="346"/>
      <c r="AS223" s="347"/>
      <c r="AT223" s="561"/>
      <c r="AU223" s="350"/>
      <c r="AV223" s="351"/>
      <c r="AW223" s="350"/>
      <c r="AX223" s="347"/>
      <c r="AY223" s="6" t="str">
        <f t="shared" si="142"/>
        <v/>
      </c>
      <c r="CA223" s="135" t="str">
        <f t="shared" si="167"/>
        <v/>
      </c>
      <c r="CB223" s="135" t="str">
        <f>IF(AND(E223&gt;0,AO223=""), "* No olvide digitar la variable Madre de hijo menor de 5 años. Digite Cero si no tiene.",IF(AO223&gt;E223,"  * La variable Madre de hijo menor de 5 años No puede ser mayor al Total Mujeres.",""))</f>
        <v/>
      </c>
      <c r="CC223" s="135" t="str">
        <f t="shared" si="192"/>
        <v/>
      </c>
      <c r="CD223" s="135" t="str">
        <f t="shared" si="168"/>
        <v/>
      </c>
      <c r="CE223" s="135" t="str">
        <f t="shared" si="169"/>
        <v/>
      </c>
      <c r="CF223" s="135" t="str">
        <f t="shared" si="193"/>
        <v/>
      </c>
      <c r="CG223" s="135" t="str">
        <f t="shared" si="162"/>
        <v/>
      </c>
      <c r="CH223" s="135" t="str">
        <f t="shared" si="194"/>
        <v/>
      </c>
      <c r="CI223" s="135" t="str">
        <f t="shared" si="184"/>
        <v/>
      </c>
      <c r="CJ223" s="135" t="str">
        <f t="shared" si="185"/>
        <v/>
      </c>
      <c r="CK223" s="135" t="str">
        <f t="shared" si="195"/>
        <v/>
      </c>
      <c r="CL223" s="6"/>
      <c r="CO223" s="55">
        <f t="shared" si="170"/>
        <v>0</v>
      </c>
      <c r="CP223" s="55">
        <f>IF(AND(E223&gt;0,AO223=""),1,IF(AO223&gt;E223,1,0))</f>
        <v>0</v>
      </c>
      <c r="CQ223" s="55">
        <f t="shared" si="187"/>
        <v>0</v>
      </c>
      <c r="CR223" s="55">
        <f t="shared" si="172"/>
        <v>0</v>
      </c>
      <c r="CS223" s="55">
        <f t="shared" si="173"/>
        <v>0</v>
      </c>
      <c r="CT223" s="55">
        <f t="shared" si="174"/>
        <v>0</v>
      </c>
      <c r="CU223" s="55">
        <f t="shared" si="188"/>
        <v>0</v>
      </c>
      <c r="CV223" s="55">
        <f t="shared" si="175"/>
        <v>0</v>
      </c>
      <c r="CW223" s="55">
        <f t="shared" si="189"/>
        <v>0</v>
      </c>
      <c r="CX223" s="55">
        <f t="shared" si="190"/>
        <v>0</v>
      </c>
      <c r="CY223" s="55">
        <f t="shared" si="161"/>
        <v>0</v>
      </c>
    </row>
    <row r="224" spans="1:103" ht="15" customHeight="1" x14ac:dyDescent="0.3">
      <c r="A224" s="5844"/>
      <c r="B224" s="665" t="s">
        <v>883</v>
      </c>
      <c r="C224" s="663">
        <f t="shared" si="166"/>
        <v>0</v>
      </c>
      <c r="D224" s="664">
        <f t="shared" si="197"/>
        <v>0</v>
      </c>
      <c r="E224" s="500">
        <f t="shared" si="197"/>
        <v>0</v>
      </c>
      <c r="F224" s="346"/>
      <c r="G224" s="347"/>
      <c r="H224" s="346"/>
      <c r="I224" s="347"/>
      <c r="J224" s="346"/>
      <c r="K224" s="347"/>
      <c r="L224" s="346"/>
      <c r="M224" s="347"/>
      <c r="N224" s="346"/>
      <c r="O224" s="347"/>
      <c r="P224" s="346"/>
      <c r="Q224" s="347"/>
      <c r="R224" s="346"/>
      <c r="S224" s="347"/>
      <c r="T224" s="346"/>
      <c r="U224" s="347"/>
      <c r="V224" s="346"/>
      <c r="W224" s="347"/>
      <c r="X224" s="346"/>
      <c r="Y224" s="347"/>
      <c r="Z224" s="346"/>
      <c r="AA224" s="347"/>
      <c r="AB224" s="346"/>
      <c r="AC224" s="347"/>
      <c r="AD224" s="346"/>
      <c r="AE224" s="347"/>
      <c r="AF224" s="346"/>
      <c r="AG224" s="347"/>
      <c r="AH224" s="346"/>
      <c r="AI224" s="347"/>
      <c r="AJ224" s="346"/>
      <c r="AK224" s="347"/>
      <c r="AL224" s="346"/>
      <c r="AM224" s="352"/>
      <c r="AN224" s="430"/>
      <c r="AO224" s="347"/>
      <c r="AP224" s="348"/>
      <c r="AQ224" s="347"/>
      <c r="AR224" s="346"/>
      <c r="AS224" s="347"/>
      <c r="AT224" s="561"/>
      <c r="AU224" s="350"/>
      <c r="AV224" s="351"/>
      <c r="AW224" s="350"/>
      <c r="AX224" s="347"/>
      <c r="AY224" s="6" t="str">
        <f t="shared" si="142"/>
        <v/>
      </c>
      <c r="CA224" s="135" t="str">
        <f t="shared" si="167"/>
        <v/>
      </c>
      <c r="CB224" s="135" t="str">
        <f>IF(AND(E224&gt;0,AO224=""), "* No olvide digitar la variable Madre de hijo menor de 5 años. Digite Cero si no tiene.",IF(AO224&gt;E224,"  * La variable Madre de hijo menor de 5 años No puede ser mayor al Total Mujeres.",""))</f>
        <v/>
      </c>
      <c r="CC224" s="135" t="str">
        <f t="shared" si="192"/>
        <v/>
      </c>
      <c r="CD224" s="135" t="str">
        <f t="shared" si="168"/>
        <v/>
      </c>
      <c r="CE224" s="135" t="str">
        <f t="shared" si="169"/>
        <v/>
      </c>
      <c r="CF224" s="135" t="str">
        <f t="shared" si="193"/>
        <v/>
      </c>
      <c r="CG224" s="135" t="str">
        <f t="shared" si="162"/>
        <v/>
      </c>
      <c r="CH224" s="135" t="str">
        <f t="shared" si="194"/>
        <v/>
      </c>
      <c r="CI224" s="135" t="str">
        <f t="shared" si="184"/>
        <v/>
      </c>
      <c r="CJ224" s="135" t="str">
        <f t="shared" si="185"/>
        <v/>
      </c>
      <c r="CK224" s="135" t="str">
        <f t="shared" si="195"/>
        <v/>
      </c>
      <c r="CL224" s="6"/>
      <c r="CO224" s="55">
        <f t="shared" si="170"/>
        <v>0</v>
      </c>
      <c r="CP224" s="55">
        <f>IF(AND(E224&gt;0,AO224=""),1,IF(AO224&gt;E224,1,0))</f>
        <v>0</v>
      </c>
      <c r="CQ224" s="55">
        <f t="shared" si="187"/>
        <v>0</v>
      </c>
      <c r="CR224" s="55">
        <f t="shared" si="172"/>
        <v>0</v>
      </c>
      <c r="CS224" s="55">
        <f t="shared" si="173"/>
        <v>0</v>
      </c>
      <c r="CT224" s="55">
        <f t="shared" si="174"/>
        <v>0</v>
      </c>
      <c r="CU224" s="55">
        <f t="shared" si="188"/>
        <v>0</v>
      </c>
      <c r="CV224" s="55">
        <f t="shared" si="175"/>
        <v>0</v>
      </c>
      <c r="CW224" s="55">
        <f t="shared" si="189"/>
        <v>0</v>
      </c>
      <c r="CX224" s="55">
        <f t="shared" si="190"/>
        <v>0</v>
      </c>
      <c r="CY224" s="55">
        <f t="shared" si="161"/>
        <v>0</v>
      </c>
    </row>
    <row r="225" spans="1:103" ht="15" customHeight="1" x14ac:dyDescent="0.3">
      <c r="A225" s="5844"/>
      <c r="B225" s="665" t="s">
        <v>884</v>
      </c>
      <c r="C225" s="663">
        <f t="shared" si="166"/>
        <v>0</v>
      </c>
      <c r="D225" s="664">
        <f t="shared" si="197"/>
        <v>0</v>
      </c>
      <c r="E225" s="500">
        <f t="shared" si="197"/>
        <v>0</v>
      </c>
      <c r="F225" s="346"/>
      <c r="G225" s="347"/>
      <c r="H225" s="346"/>
      <c r="I225" s="347"/>
      <c r="J225" s="346"/>
      <c r="K225" s="347"/>
      <c r="L225" s="346"/>
      <c r="M225" s="347"/>
      <c r="N225" s="346"/>
      <c r="O225" s="347"/>
      <c r="P225" s="346"/>
      <c r="Q225" s="347"/>
      <c r="R225" s="346"/>
      <c r="S225" s="347"/>
      <c r="T225" s="346"/>
      <c r="U225" s="347"/>
      <c r="V225" s="346"/>
      <c r="W225" s="347"/>
      <c r="X225" s="346"/>
      <c r="Y225" s="347"/>
      <c r="Z225" s="346"/>
      <c r="AA225" s="347"/>
      <c r="AB225" s="346"/>
      <c r="AC225" s="347"/>
      <c r="AD225" s="346"/>
      <c r="AE225" s="347"/>
      <c r="AF225" s="346"/>
      <c r="AG225" s="347"/>
      <c r="AH225" s="346"/>
      <c r="AI225" s="347"/>
      <c r="AJ225" s="346"/>
      <c r="AK225" s="347"/>
      <c r="AL225" s="346"/>
      <c r="AM225" s="352"/>
      <c r="AN225" s="430"/>
      <c r="AO225" s="347"/>
      <c r="AP225" s="348"/>
      <c r="AQ225" s="347"/>
      <c r="AR225" s="346"/>
      <c r="AS225" s="347"/>
      <c r="AT225" s="561"/>
      <c r="AU225" s="350"/>
      <c r="AV225" s="351"/>
      <c r="AW225" s="350"/>
      <c r="AX225" s="347"/>
      <c r="AY225" s="6" t="str">
        <f t="shared" si="142"/>
        <v/>
      </c>
      <c r="CA225" s="135" t="str">
        <f t="shared" si="167"/>
        <v/>
      </c>
      <c r="CB225" s="135" t="str">
        <f>IF(AND(E225&gt;0,AO225=""), "* No olvide digitar la variable Madre de hijo menor de 5 años. Digite Cero si no tiene.",IF(AO225&gt;E225,"  * La variable Madre de hijo menor de 5 años No puede ser mayor al Total Mujeres.",""))</f>
        <v/>
      </c>
      <c r="CC225" s="135" t="str">
        <f t="shared" si="192"/>
        <v/>
      </c>
      <c r="CD225" s="135" t="str">
        <f t="shared" si="168"/>
        <v/>
      </c>
      <c r="CE225" s="135" t="str">
        <f t="shared" si="169"/>
        <v/>
      </c>
      <c r="CF225" s="135" t="str">
        <f t="shared" si="193"/>
        <v/>
      </c>
      <c r="CG225" s="135" t="str">
        <f t="shared" si="162"/>
        <v/>
      </c>
      <c r="CH225" s="135" t="str">
        <f t="shared" si="194"/>
        <v/>
      </c>
      <c r="CI225" s="135" t="str">
        <f t="shared" si="184"/>
        <v/>
      </c>
      <c r="CJ225" s="135" t="str">
        <f t="shared" si="185"/>
        <v/>
      </c>
      <c r="CK225" s="135" t="str">
        <f t="shared" si="195"/>
        <v/>
      </c>
      <c r="CL225" s="6"/>
      <c r="CO225" s="55">
        <f t="shared" si="170"/>
        <v>0</v>
      </c>
      <c r="CP225" s="55">
        <f>IF(AND(E225&gt;0,AO225=""),1,IF(AO225&gt;E225,1,0))</f>
        <v>0</v>
      </c>
      <c r="CQ225" s="55">
        <f t="shared" si="187"/>
        <v>0</v>
      </c>
      <c r="CR225" s="55">
        <f t="shared" si="172"/>
        <v>0</v>
      </c>
      <c r="CS225" s="55">
        <f t="shared" si="173"/>
        <v>0</v>
      </c>
      <c r="CT225" s="55">
        <f t="shared" si="174"/>
        <v>0</v>
      </c>
      <c r="CU225" s="55">
        <f t="shared" si="188"/>
        <v>0</v>
      </c>
      <c r="CV225" s="55">
        <f t="shared" si="175"/>
        <v>0</v>
      </c>
      <c r="CW225" s="55">
        <f t="shared" si="189"/>
        <v>0</v>
      </c>
      <c r="CX225" s="55">
        <f t="shared" si="190"/>
        <v>0</v>
      </c>
      <c r="CY225" s="55">
        <f t="shared" si="161"/>
        <v>0</v>
      </c>
    </row>
    <row r="226" spans="1:103" ht="15" customHeight="1" x14ac:dyDescent="0.3">
      <c r="A226" s="5791"/>
      <c r="B226" s="681" t="s">
        <v>885</v>
      </c>
      <c r="C226" s="73">
        <f t="shared" si="166"/>
        <v>0</v>
      </c>
      <c r="D226" s="246">
        <f t="shared" si="197"/>
        <v>0</v>
      </c>
      <c r="E226" s="67">
        <f t="shared" si="197"/>
        <v>0</v>
      </c>
      <c r="F226" s="346"/>
      <c r="G226" s="347"/>
      <c r="H226" s="346"/>
      <c r="I226" s="347"/>
      <c r="J226" s="346"/>
      <c r="K226" s="347"/>
      <c r="L226" s="346"/>
      <c r="M226" s="347"/>
      <c r="N226" s="346"/>
      <c r="O226" s="347"/>
      <c r="P226" s="346"/>
      <c r="Q226" s="347"/>
      <c r="R226" s="346"/>
      <c r="S226" s="347"/>
      <c r="T226" s="346"/>
      <c r="U226" s="347"/>
      <c r="V226" s="346"/>
      <c r="W226" s="347"/>
      <c r="X226" s="346"/>
      <c r="Y226" s="347"/>
      <c r="Z226" s="346"/>
      <c r="AA226" s="347"/>
      <c r="AB226" s="346"/>
      <c r="AC226" s="347"/>
      <c r="AD226" s="346"/>
      <c r="AE226" s="347"/>
      <c r="AF226" s="346"/>
      <c r="AG226" s="347"/>
      <c r="AH226" s="346"/>
      <c r="AI226" s="347"/>
      <c r="AJ226" s="346"/>
      <c r="AK226" s="347"/>
      <c r="AL226" s="380"/>
      <c r="AM226" s="390"/>
      <c r="AN226" s="379"/>
      <c r="AO226" s="388"/>
      <c r="AP226" s="429"/>
      <c r="AQ226" s="388"/>
      <c r="AR226" s="380"/>
      <c r="AS226" s="388"/>
      <c r="AT226" s="564"/>
      <c r="AU226" s="389"/>
      <c r="AV226" s="682"/>
      <c r="AW226" s="389"/>
      <c r="AX226" s="388"/>
      <c r="AY226" s="6" t="str">
        <f t="shared" si="142"/>
        <v/>
      </c>
      <c r="CA226" s="135" t="str">
        <f t="shared" si="167"/>
        <v/>
      </c>
      <c r="CB226" s="135" t="str">
        <f>IF(AND(E226&gt;0,AO226=""), "* No olvide digitar la variable Madre de hijo menor de 5 años. Digite Cero si no tiene.",IF(AO226&gt;E226,"  * La variable Madre de hijo menor de 5 años No puede ser mayor al Total Mujeres.",""))</f>
        <v/>
      </c>
      <c r="CC226" s="135" t="str">
        <f t="shared" si="192"/>
        <v/>
      </c>
      <c r="CD226" s="135" t="str">
        <f t="shared" si="168"/>
        <v/>
      </c>
      <c r="CE226" s="135" t="str">
        <f t="shared" si="169"/>
        <v/>
      </c>
      <c r="CF226" s="135" t="str">
        <f t="shared" si="193"/>
        <v/>
      </c>
      <c r="CG226" s="135" t="str">
        <f t="shared" si="162"/>
        <v/>
      </c>
      <c r="CH226" s="135" t="str">
        <f t="shared" si="194"/>
        <v/>
      </c>
      <c r="CI226" s="135" t="str">
        <f t="shared" si="184"/>
        <v/>
      </c>
      <c r="CJ226" s="135" t="str">
        <f t="shared" si="185"/>
        <v/>
      </c>
      <c r="CK226" s="135" t="str">
        <f t="shared" si="195"/>
        <v/>
      </c>
      <c r="CL226" s="6"/>
      <c r="CO226" s="55">
        <f t="shared" si="170"/>
        <v>0</v>
      </c>
      <c r="CP226" s="55">
        <f>IF(AND(E226&gt;0,AO226=""),1,IF(AO226&gt;E226,1,0))</f>
        <v>0</v>
      </c>
      <c r="CQ226" s="55">
        <f t="shared" si="187"/>
        <v>0</v>
      </c>
      <c r="CR226" s="55">
        <f t="shared" si="172"/>
        <v>0</v>
      </c>
      <c r="CS226" s="55">
        <f t="shared" si="173"/>
        <v>0</v>
      </c>
      <c r="CT226" s="55">
        <f t="shared" si="174"/>
        <v>0</v>
      </c>
      <c r="CU226" s="55">
        <f t="shared" si="188"/>
        <v>0</v>
      </c>
      <c r="CV226" s="55">
        <f t="shared" si="175"/>
        <v>0</v>
      </c>
      <c r="CW226" s="55">
        <f t="shared" si="189"/>
        <v>0</v>
      </c>
      <c r="CX226" s="55">
        <f t="shared" si="190"/>
        <v>0</v>
      </c>
      <c r="CY226" s="55">
        <f t="shared" si="161"/>
        <v>0</v>
      </c>
    </row>
    <row r="227" spans="1:103" ht="15" customHeight="1" x14ac:dyDescent="0.3">
      <c r="A227" s="6185" t="s">
        <v>886</v>
      </c>
      <c r="B227" s="667" t="s">
        <v>887</v>
      </c>
      <c r="C227" s="654">
        <f t="shared" si="166"/>
        <v>0</v>
      </c>
      <c r="D227" s="655">
        <f t="shared" si="197"/>
        <v>0</v>
      </c>
      <c r="E227" s="656">
        <f t="shared" si="197"/>
        <v>0</v>
      </c>
      <c r="F227" s="660"/>
      <c r="G227" s="661"/>
      <c r="H227" s="660"/>
      <c r="I227" s="661"/>
      <c r="J227" s="660"/>
      <c r="K227" s="661"/>
      <c r="L227" s="660"/>
      <c r="M227" s="661"/>
      <c r="N227" s="660"/>
      <c r="O227" s="661"/>
      <c r="P227" s="660"/>
      <c r="Q227" s="661"/>
      <c r="R227" s="474"/>
      <c r="S227" s="576"/>
      <c r="T227" s="474"/>
      <c r="U227" s="576"/>
      <c r="V227" s="474"/>
      <c r="W227" s="576"/>
      <c r="X227" s="474"/>
      <c r="Y227" s="576"/>
      <c r="Z227" s="474"/>
      <c r="AA227" s="576"/>
      <c r="AB227" s="474"/>
      <c r="AC227" s="576"/>
      <c r="AD227" s="474"/>
      <c r="AE227" s="576"/>
      <c r="AF227" s="474"/>
      <c r="AG227" s="576"/>
      <c r="AH227" s="474"/>
      <c r="AI227" s="576"/>
      <c r="AJ227" s="474"/>
      <c r="AK227" s="576"/>
      <c r="AL227" s="474"/>
      <c r="AM227" s="496"/>
      <c r="AN227" s="683"/>
      <c r="AO227" s="676"/>
      <c r="AP227" s="477"/>
      <c r="AQ227" s="668"/>
      <c r="AR227" s="684"/>
      <c r="AS227" s="685"/>
      <c r="AT227" s="670"/>
      <c r="AU227" s="671"/>
      <c r="AV227" s="670"/>
      <c r="AW227" s="671"/>
      <c r="AX227" s="685"/>
      <c r="AY227" s="6" t="str">
        <f>CC227&amp;CD227&amp;CE227&amp;CF227&amp;CG227&amp;CH227&amp;CI227&amp;CJ227</f>
        <v/>
      </c>
      <c r="CA227" s="179"/>
      <c r="CB227" s="179"/>
      <c r="CC227" s="135" t="str">
        <f t="shared" si="192"/>
        <v/>
      </c>
      <c r="CD227" s="135" t="str">
        <f t="shared" si="168"/>
        <v/>
      </c>
      <c r="CE227" s="181"/>
      <c r="CF227" s="181"/>
      <c r="CG227" s="135" t="str">
        <f t="shared" si="162"/>
        <v/>
      </c>
      <c r="CH227" s="135" t="str">
        <f>IF(AND(E227&gt;0,OR(AU227="")), "* No olvide digitar la variable Migrantes - Mujeres. Digite Cero si no tiene.",IF((AU227)&gt;E227,"  * La variable Migrantes - Mujeres No puede ser mayor al Total.",""))</f>
        <v/>
      </c>
      <c r="CI227" s="135" t="str">
        <f t="shared" si="184"/>
        <v/>
      </c>
      <c r="CJ227" s="135" t="str">
        <f t="shared" si="185"/>
        <v/>
      </c>
      <c r="CK227" s="179"/>
      <c r="CL227" s="6"/>
      <c r="CO227" s="433"/>
      <c r="CP227" s="433"/>
      <c r="CQ227" s="55">
        <f t="shared" si="187"/>
        <v>0</v>
      </c>
      <c r="CR227" s="55">
        <f>IF(AND(E227&gt;0,OR(AQ227="")),1,IF((AQ227)&gt;E227,1,0))</f>
        <v>0</v>
      </c>
      <c r="CS227" s="433"/>
      <c r="CT227" s="433"/>
      <c r="CU227" s="55">
        <f>IF(AND(D227&gt;0,OR(AT227="")),1,IF((AT227)&gt;D227,1,0))</f>
        <v>0</v>
      </c>
      <c r="CV227" s="55">
        <f t="shared" si="175"/>
        <v>0</v>
      </c>
      <c r="CW227" s="55">
        <f t="shared" si="189"/>
        <v>0</v>
      </c>
      <c r="CX227" s="55">
        <f t="shared" si="190"/>
        <v>0</v>
      </c>
      <c r="CY227" s="433"/>
    </row>
    <row r="228" spans="1:103" ht="15" customHeight="1" x14ac:dyDescent="0.3">
      <c r="A228" s="5844"/>
      <c r="B228" s="665" t="s">
        <v>888</v>
      </c>
      <c r="C228" s="663">
        <f t="shared" si="166"/>
        <v>0</v>
      </c>
      <c r="D228" s="664">
        <f>SUM(F228+H228+J228+L228+N228+P228+R228+T228+V228+X228+Z228+AB228+AD228+AF228+AH228+AJ228+AL228)</f>
        <v>0</v>
      </c>
      <c r="E228" s="500">
        <f t="shared" si="197"/>
        <v>0</v>
      </c>
      <c r="F228" s="686"/>
      <c r="G228" s="687"/>
      <c r="H228" s="686"/>
      <c r="I228" s="687"/>
      <c r="J228" s="686"/>
      <c r="K228" s="687"/>
      <c r="L228" s="686"/>
      <c r="M228" s="687"/>
      <c r="N228" s="686"/>
      <c r="O228" s="687"/>
      <c r="P228" s="686"/>
      <c r="Q228" s="687"/>
      <c r="R228" s="346"/>
      <c r="S228" s="347"/>
      <c r="T228" s="346"/>
      <c r="U228" s="347"/>
      <c r="V228" s="346"/>
      <c r="W228" s="347"/>
      <c r="X228" s="346"/>
      <c r="Y228" s="347"/>
      <c r="Z228" s="346"/>
      <c r="AA228" s="347"/>
      <c r="AB228" s="346"/>
      <c r="AC228" s="347"/>
      <c r="AD228" s="346"/>
      <c r="AE228" s="347"/>
      <c r="AF228" s="346"/>
      <c r="AG228" s="347"/>
      <c r="AH228" s="346"/>
      <c r="AI228" s="347"/>
      <c r="AJ228" s="346"/>
      <c r="AK228" s="347"/>
      <c r="AL228" s="346"/>
      <c r="AM228" s="352"/>
      <c r="AN228" s="243"/>
      <c r="AO228" s="72"/>
      <c r="AP228" s="346"/>
      <c r="AQ228" s="2"/>
      <c r="AR228" s="288"/>
      <c r="AS228" s="131"/>
      <c r="AT228" s="64"/>
      <c r="AU228" s="383"/>
      <c r="AV228" s="64"/>
      <c r="AW228" s="383"/>
      <c r="AX228" s="131"/>
      <c r="AY228" s="6" t="str">
        <f t="shared" ref="AY228:AY229" si="198">CC228&amp;CD228&amp;CE228&amp;CF228&amp;CG228&amp;CH228&amp;CI228&amp;CJ228</f>
        <v/>
      </c>
      <c r="CA228" s="179"/>
      <c r="CB228" s="179"/>
      <c r="CC228" s="135" t="str">
        <f t="shared" si="192"/>
        <v/>
      </c>
      <c r="CD228" s="135" t="str">
        <f t="shared" si="168"/>
        <v/>
      </c>
      <c r="CE228" s="181"/>
      <c r="CF228" s="181"/>
      <c r="CG228" s="135" t="str">
        <f t="shared" si="162"/>
        <v/>
      </c>
      <c r="CH228" s="135" t="str">
        <f t="shared" si="194"/>
        <v/>
      </c>
      <c r="CI228" s="135" t="str">
        <f t="shared" si="184"/>
        <v/>
      </c>
      <c r="CJ228" s="135" t="str">
        <f t="shared" si="185"/>
        <v/>
      </c>
      <c r="CK228" s="179"/>
      <c r="CL228" s="6"/>
      <c r="CO228" s="433"/>
      <c r="CP228" s="433"/>
      <c r="CQ228" s="55">
        <f t="shared" si="187"/>
        <v>0</v>
      </c>
      <c r="CR228" s="55">
        <f t="shared" si="172"/>
        <v>0</v>
      </c>
      <c r="CS228" s="433"/>
      <c r="CT228" s="433"/>
      <c r="CU228" s="55">
        <f t="shared" si="188"/>
        <v>0</v>
      </c>
      <c r="CV228" s="55">
        <f t="shared" si="175"/>
        <v>0</v>
      </c>
      <c r="CW228" s="55">
        <f t="shared" si="189"/>
        <v>0</v>
      </c>
      <c r="CX228" s="55">
        <f t="shared" si="190"/>
        <v>0</v>
      </c>
      <c r="CY228" s="433"/>
    </row>
    <row r="229" spans="1:103" ht="15" customHeight="1" x14ac:dyDescent="0.3">
      <c r="A229" s="5791"/>
      <c r="B229" s="3025" t="s">
        <v>889</v>
      </c>
      <c r="C229" s="378">
        <f t="shared" si="166"/>
        <v>0</v>
      </c>
      <c r="D229" s="672">
        <f t="shared" si="197"/>
        <v>0</v>
      </c>
      <c r="E229" s="387">
        <f t="shared" si="197"/>
        <v>0</v>
      </c>
      <c r="F229" s="385"/>
      <c r="G229" s="391"/>
      <c r="H229" s="385"/>
      <c r="I229" s="391"/>
      <c r="J229" s="385"/>
      <c r="K229" s="391"/>
      <c r="L229" s="385"/>
      <c r="M229" s="391"/>
      <c r="N229" s="385"/>
      <c r="O229" s="391"/>
      <c r="P229" s="385"/>
      <c r="Q229" s="391"/>
      <c r="R229" s="380"/>
      <c r="S229" s="388"/>
      <c r="T229" s="380"/>
      <c r="U229" s="388"/>
      <c r="V229" s="380"/>
      <c r="W229" s="388"/>
      <c r="X229" s="380"/>
      <c r="Y229" s="388"/>
      <c r="Z229" s="380"/>
      <c r="AA229" s="388"/>
      <c r="AB229" s="380"/>
      <c r="AC229" s="388"/>
      <c r="AD229" s="380"/>
      <c r="AE229" s="388"/>
      <c r="AF229" s="380"/>
      <c r="AG229" s="388"/>
      <c r="AH229" s="380"/>
      <c r="AI229" s="388"/>
      <c r="AJ229" s="380"/>
      <c r="AK229" s="388"/>
      <c r="AL229" s="380"/>
      <c r="AM229" s="390"/>
      <c r="AN229" s="313"/>
      <c r="AO229" s="566"/>
      <c r="AP229" s="380"/>
      <c r="AQ229" s="388"/>
      <c r="AR229" s="385"/>
      <c r="AS229" s="391"/>
      <c r="AT229" s="564"/>
      <c r="AU229" s="389"/>
      <c r="AV229" s="564"/>
      <c r="AW229" s="389"/>
      <c r="AX229" s="391"/>
      <c r="AY229" s="6" t="str">
        <f t="shared" si="198"/>
        <v/>
      </c>
      <c r="CA229" s="179"/>
      <c r="CB229" s="179"/>
      <c r="CC229" s="135" t="str">
        <f t="shared" si="192"/>
        <v/>
      </c>
      <c r="CD229" s="135" t="str">
        <f t="shared" si="168"/>
        <v/>
      </c>
      <c r="CE229" s="181"/>
      <c r="CF229" s="181"/>
      <c r="CG229" s="135" t="str">
        <f t="shared" si="162"/>
        <v/>
      </c>
      <c r="CH229" s="135" t="str">
        <f t="shared" si="194"/>
        <v/>
      </c>
      <c r="CI229" s="135" t="str">
        <f t="shared" si="184"/>
        <v/>
      </c>
      <c r="CJ229" s="135" t="str">
        <f t="shared" si="185"/>
        <v/>
      </c>
      <c r="CK229" s="179"/>
      <c r="CL229" s="6"/>
      <c r="CO229" s="433"/>
      <c r="CP229" s="433"/>
      <c r="CQ229" s="55">
        <f t="shared" si="187"/>
        <v>0</v>
      </c>
      <c r="CR229" s="55">
        <f>IF(AND(E229&gt;0,OR(AQ229="")),1,IF((AQ229)&gt;E229,1,0))</f>
        <v>0</v>
      </c>
      <c r="CS229" s="433"/>
      <c r="CT229" s="433"/>
      <c r="CU229" s="55">
        <f t="shared" si="188"/>
        <v>0</v>
      </c>
      <c r="CV229" s="55">
        <f t="shared" si="175"/>
        <v>0</v>
      </c>
      <c r="CW229" s="55">
        <f t="shared" si="189"/>
        <v>0</v>
      </c>
      <c r="CX229" s="55">
        <f t="shared" si="190"/>
        <v>0</v>
      </c>
      <c r="CY229" s="433"/>
    </row>
    <row r="230" spans="1:103" ht="15" customHeight="1" x14ac:dyDescent="0.3">
      <c r="A230" s="6297" t="s">
        <v>890</v>
      </c>
      <c r="B230" s="6335"/>
      <c r="C230" s="654">
        <f>SUM(D230+E230)</f>
        <v>0</v>
      </c>
      <c r="D230" s="655">
        <f>SUM(F230+H230+J230+L230+N230+P230+R230+T230+V230+X230+Z230+AB230+AD230+AF230+AH230+AJ230+AL230)</f>
        <v>0</v>
      </c>
      <c r="E230" s="656">
        <f>SUM(G230+I230+K230+M230+O230+Q230+S230+U230+W230+Y230+AA230+AC230+AE230+AG230+AI230+AK230+AM230)</f>
        <v>0</v>
      </c>
      <c r="F230" s="474"/>
      <c r="G230" s="576"/>
      <c r="H230" s="474"/>
      <c r="I230" s="576"/>
      <c r="J230" s="474"/>
      <c r="K230" s="576"/>
      <c r="L230" s="474"/>
      <c r="M230" s="576"/>
      <c r="N230" s="474"/>
      <c r="O230" s="576"/>
      <c r="P230" s="474"/>
      <c r="Q230" s="576"/>
      <c r="R230" s="474"/>
      <c r="S230" s="576"/>
      <c r="T230" s="474"/>
      <c r="U230" s="576"/>
      <c r="V230" s="474"/>
      <c r="W230" s="576"/>
      <c r="X230" s="474"/>
      <c r="Y230" s="576"/>
      <c r="Z230" s="474"/>
      <c r="AA230" s="576"/>
      <c r="AB230" s="474"/>
      <c r="AC230" s="576"/>
      <c r="AD230" s="474"/>
      <c r="AE230" s="576"/>
      <c r="AF230" s="474"/>
      <c r="AG230" s="576"/>
      <c r="AH230" s="474"/>
      <c r="AI230" s="576"/>
      <c r="AJ230" s="474"/>
      <c r="AK230" s="576"/>
      <c r="AL230" s="474"/>
      <c r="AM230" s="496"/>
      <c r="AN230" s="430"/>
      <c r="AO230" s="347"/>
      <c r="AP230" s="474"/>
      <c r="AQ230" s="576"/>
      <c r="AR230" s="474"/>
      <c r="AS230" s="475"/>
      <c r="AT230" s="559"/>
      <c r="AU230" s="577"/>
      <c r="AV230" s="559"/>
      <c r="AW230" s="577"/>
      <c r="AX230" s="576"/>
      <c r="AY230" s="6" t="str">
        <f t="shared" si="142"/>
        <v/>
      </c>
      <c r="CA230" s="135" t="str">
        <f t="shared" ref="CA230:CA241" si="199">IF(AND(E230&gt;0,AN230=""), "* No olvide digitar la variable Gestantes. Digite Cero si no tiene.",IF(AN230&gt;E230,"  * La  variable Gestantes No puede ser mayor al Total Mujeres.",""))</f>
        <v/>
      </c>
      <c r="CB230" s="135" t="str">
        <f t="shared" ref="CB230:CB241" si="200">IF(AND(E230&gt;0,AO230=""), "* No olvide digitar la variable Madre de hijo menor de 5 años. Digite Cero si no tiene.",IF(AO230&gt;E230,"  * La variable Madre de hijo menor de 5 años No puede ser mayor al Total Mujeres.",""))</f>
        <v/>
      </c>
      <c r="CC230" s="135" t="str">
        <f t="shared" si="192"/>
        <v/>
      </c>
      <c r="CD230" s="135" t="str">
        <f t="shared" si="168"/>
        <v/>
      </c>
      <c r="CE230" s="135" t="str">
        <f t="shared" si="169"/>
        <v/>
      </c>
      <c r="CF230" s="135" t="str">
        <f t="shared" si="193"/>
        <v/>
      </c>
      <c r="CG230" s="135" t="str">
        <f t="shared" si="162"/>
        <v/>
      </c>
      <c r="CH230" s="135" t="str">
        <f t="shared" si="194"/>
        <v/>
      </c>
      <c r="CI230" s="135" t="str">
        <f t="shared" si="184"/>
        <v/>
      </c>
      <c r="CJ230" s="135" t="str">
        <f t="shared" si="185"/>
        <v/>
      </c>
      <c r="CK230" s="135" t="str">
        <f t="shared" si="195"/>
        <v/>
      </c>
      <c r="CL230" s="6"/>
      <c r="CO230" s="55">
        <f t="shared" ref="CO230:CO241" si="201">IF(AND(E230&gt;0,AN230=""),1,IF(AN230&gt;E230,1,0))</f>
        <v>0</v>
      </c>
      <c r="CP230" s="55">
        <f t="shared" ref="CP230:CP241" si="202">IF(AND(E230&gt;0,AO230=""),1,IF(AO230&gt;E230,1,0))</f>
        <v>0</v>
      </c>
      <c r="CQ230" s="55">
        <f t="shared" si="187"/>
        <v>0</v>
      </c>
      <c r="CR230" s="55">
        <f t="shared" si="172"/>
        <v>0</v>
      </c>
      <c r="CS230" s="55">
        <f t="shared" si="173"/>
        <v>0</v>
      </c>
      <c r="CT230" s="55">
        <f t="shared" si="174"/>
        <v>0</v>
      </c>
      <c r="CU230" s="55">
        <f t="shared" si="188"/>
        <v>0</v>
      </c>
      <c r="CV230" s="55">
        <f t="shared" si="175"/>
        <v>0</v>
      </c>
      <c r="CW230" s="55">
        <f t="shared" si="189"/>
        <v>0</v>
      </c>
      <c r="CX230" s="55">
        <f t="shared" si="190"/>
        <v>0</v>
      </c>
      <c r="CY230" s="55">
        <f t="shared" si="161"/>
        <v>0</v>
      </c>
    </row>
    <row r="231" spans="1:103" ht="15" customHeight="1" x14ac:dyDescent="0.3">
      <c r="A231" s="6349" t="s">
        <v>891</v>
      </c>
      <c r="B231" s="6350"/>
      <c r="C231" s="309">
        <f>SUM(D231+E231)</f>
        <v>0</v>
      </c>
      <c r="D231" s="657">
        <f>SUM(F231+H231+J231+L231+N231+P231+R231+T231+V231+X231+Z231+AB231+AD231+AF231+AH231+AJ231+AL231)</f>
        <v>0</v>
      </c>
      <c r="E231" s="108">
        <f>SUM(G231+I231+K231+M231+O231+Q231+S231+U231+W231+Y231+AA231+AC231+AE231+AG231+AI231+AK231+AM231)</f>
        <v>0</v>
      </c>
      <c r="F231" s="290"/>
      <c r="G231" s="107"/>
      <c r="H231" s="290"/>
      <c r="I231" s="107"/>
      <c r="J231" s="290"/>
      <c r="K231" s="107"/>
      <c r="L231" s="290"/>
      <c r="M231" s="107"/>
      <c r="N231" s="290"/>
      <c r="O231" s="107"/>
      <c r="P231" s="290"/>
      <c r="Q231" s="107"/>
      <c r="R231" s="290"/>
      <c r="S231" s="107"/>
      <c r="T231" s="290"/>
      <c r="U231" s="107"/>
      <c r="V231" s="290"/>
      <c r="W231" s="107"/>
      <c r="X231" s="290"/>
      <c r="Y231" s="107"/>
      <c r="Z231" s="290"/>
      <c r="AA231" s="107"/>
      <c r="AB231" s="290"/>
      <c r="AC231" s="107"/>
      <c r="AD231" s="290"/>
      <c r="AE231" s="107"/>
      <c r="AF231" s="290"/>
      <c r="AG231" s="107"/>
      <c r="AH231" s="290"/>
      <c r="AI231" s="107"/>
      <c r="AJ231" s="290"/>
      <c r="AK231" s="107"/>
      <c r="AL231" s="290"/>
      <c r="AM231" s="65"/>
      <c r="AN231" s="430"/>
      <c r="AO231" s="347"/>
      <c r="AP231" s="346"/>
      <c r="AQ231" s="347"/>
      <c r="AR231" s="346"/>
      <c r="AS231" s="347"/>
      <c r="AT231" s="561"/>
      <c r="AU231" s="350"/>
      <c r="AV231" s="561"/>
      <c r="AW231" s="350"/>
      <c r="AX231" s="347"/>
      <c r="AY231" s="6" t="str">
        <f t="shared" si="142"/>
        <v/>
      </c>
      <c r="CA231" s="135" t="str">
        <f t="shared" si="199"/>
        <v/>
      </c>
      <c r="CB231" s="135" t="str">
        <f t="shared" si="200"/>
        <v/>
      </c>
      <c r="CC231" s="135" t="str">
        <f t="shared" si="192"/>
        <v/>
      </c>
      <c r="CD231" s="135" t="str">
        <f t="shared" si="168"/>
        <v/>
      </c>
      <c r="CE231" s="135" t="str">
        <f t="shared" si="169"/>
        <v/>
      </c>
      <c r="CF231" s="135" t="str">
        <f t="shared" si="193"/>
        <v/>
      </c>
      <c r="CG231" s="135" t="str">
        <f t="shared" si="162"/>
        <v/>
      </c>
      <c r="CH231" s="135" t="str">
        <f t="shared" si="194"/>
        <v/>
      </c>
      <c r="CI231" s="135" t="str">
        <f t="shared" si="184"/>
        <v/>
      </c>
      <c r="CJ231" s="135" t="str">
        <f t="shared" si="185"/>
        <v/>
      </c>
      <c r="CK231" s="135" t="str">
        <f t="shared" si="195"/>
        <v/>
      </c>
      <c r="CL231" s="6"/>
      <c r="CO231" s="55">
        <f t="shared" si="201"/>
        <v>0</v>
      </c>
      <c r="CP231" s="55">
        <f t="shared" si="202"/>
        <v>0</v>
      </c>
      <c r="CQ231" s="55">
        <f t="shared" si="187"/>
        <v>0</v>
      </c>
      <c r="CR231" s="55">
        <f t="shared" si="172"/>
        <v>0</v>
      </c>
      <c r="CS231" s="55">
        <f t="shared" si="173"/>
        <v>0</v>
      </c>
      <c r="CT231" s="55">
        <f t="shared" si="174"/>
        <v>0</v>
      </c>
      <c r="CU231" s="55">
        <f t="shared" si="188"/>
        <v>0</v>
      </c>
      <c r="CV231" s="55">
        <f t="shared" si="175"/>
        <v>0</v>
      </c>
      <c r="CW231" s="55">
        <f t="shared" si="189"/>
        <v>0</v>
      </c>
      <c r="CX231" s="55">
        <f t="shared" si="190"/>
        <v>0</v>
      </c>
      <c r="CY231" s="55">
        <f t="shared" si="161"/>
        <v>0</v>
      </c>
    </row>
    <row r="232" spans="1:103" ht="15" customHeight="1" x14ac:dyDescent="0.3">
      <c r="A232" s="5969" t="s">
        <v>892</v>
      </c>
      <c r="B232" s="5970"/>
      <c r="C232" s="663">
        <f t="shared" si="166"/>
        <v>0</v>
      </c>
      <c r="D232" s="664">
        <f t="shared" si="197"/>
        <v>0</v>
      </c>
      <c r="E232" s="500">
        <f t="shared" si="197"/>
        <v>0</v>
      </c>
      <c r="F232" s="346"/>
      <c r="G232" s="347"/>
      <c r="H232" s="346"/>
      <c r="I232" s="347"/>
      <c r="J232" s="346"/>
      <c r="K232" s="347"/>
      <c r="L232" s="346"/>
      <c r="M232" s="347"/>
      <c r="N232" s="346"/>
      <c r="O232" s="347"/>
      <c r="P232" s="346"/>
      <c r="Q232" s="347"/>
      <c r="R232" s="346"/>
      <c r="S232" s="347"/>
      <c r="T232" s="346"/>
      <c r="U232" s="347"/>
      <c r="V232" s="346"/>
      <c r="W232" s="347"/>
      <c r="X232" s="346"/>
      <c r="Y232" s="347"/>
      <c r="Z232" s="346"/>
      <c r="AA232" s="347"/>
      <c r="AB232" s="346"/>
      <c r="AC232" s="347"/>
      <c r="AD232" s="346"/>
      <c r="AE232" s="347"/>
      <c r="AF232" s="346"/>
      <c r="AG232" s="347"/>
      <c r="AH232" s="346"/>
      <c r="AI232" s="347"/>
      <c r="AJ232" s="346"/>
      <c r="AK232" s="347"/>
      <c r="AL232" s="346"/>
      <c r="AM232" s="561"/>
      <c r="AN232" s="430"/>
      <c r="AO232" s="347"/>
      <c r="AP232" s="346"/>
      <c r="AQ232" s="347"/>
      <c r="AR232" s="346"/>
      <c r="AS232" s="347"/>
      <c r="AT232" s="561"/>
      <c r="AU232" s="350"/>
      <c r="AV232" s="561"/>
      <c r="AW232" s="350"/>
      <c r="AX232" s="347"/>
      <c r="AY232" s="6" t="str">
        <f t="shared" si="142"/>
        <v/>
      </c>
      <c r="CA232" s="135" t="str">
        <f t="shared" si="199"/>
        <v/>
      </c>
      <c r="CB232" s="135" t="str">
        <f t="shared" si="200"/>
        <v/>
      </c>
      <c r="CC232" s="135" t="str">
        <f t="shared" si="192"/>
        <v/>
      </c>
      <c r="CD232" s="135" t="str">
        <f t="shared" si="168"/>
        <v/>
      </c>
      <c r="CE232" s="135" t="str">
        <f t="shared" si="169"/>
        <v/>
      </c>
      <c r="CF232" s="135" t="str">
        <f t="shared" si="193"/>
        <v/>
      </c>
      <c r="CG232" s="135" t="str">
        <f t="shared" si="162"/>
        <v/>
      </c>
      <c r="CH232" s="135" t="str">
        <f t="shared" si="194"/>
        <v/>
      </c>
      <c r="CI232" s="135" t="str">
        <f t="shared" si="184"/>
        <v/>
      </c>
      <c r="CJ232" s="135" t="str">
        <f t="shared" si="185"/>
        <v/>
      </c>
      <c r="CK232" s="135" t="str">
        <f t="shared" si="195"/>
        <v/>
      </c>
      <c r="CL232" s="6"/>
      <c r="CO232" s="55">
        <f t="shared" si="201"/>
        <v>0</v>
      </c>
      <c r="CP232" s="55">
        <f t="shared" si="202"/>
        <v>0</v>
      </c>
      <c r="CQ232" s="55">
        <f t="shared" si="187"/>
        <v>0</v>
      </c>
      <c r="CR232" s="55">
        <f t="shared" si="172"/>
        <v>0</v>
      </c>
      <c r="CS232" s="55">
        <f t="shared" si="173"/>
        <v>0</v>
      </c>
      <c r="CT232" s="55">
        <f t="shared" si="174"/>
        <v>0</v>
      </c>
      <c r="CU232" s="55">
        <f t="shared" si="188"/>
        <v>0</v>
      </c>
      <c r="CV232" s="55">
        <f t="shared" si="175"/>
        <v>0</v>
      </c>
      <c r="CW232" s="55">
        <f t="shared" si="189"/>
        <v>0</v>
      </c>
      <c r="CX232" s="55">
        <f t="shared" si="190"/>
        <v>0</v>
      </c>
      <c r="CY232" s="55">
        <f t="shared" si="161"/>
        <v>0</v>
      </c>
    </row>
    <row r="233" spans="1:103" ht="15" customHeight="1" x14ac:dyDescent="0.3">
      <c r="A233" s="5969" t="s">
        <v>893</v>
      </c>
      <c r="B233" s="5970"/>
      <c r="C233" s="663">
        <f t="shared" si="166"/>
        <v>0</v>
      </c>
      <c r="D233" s="664">
        <f t="shared" si="197"/>
        <v>0</v>
      </c>
      <c r="E233" s="500">
        <f t="shared" si="197"/>
        <v>0</v>
      </c>
      <c r="F233" s="346"/>
      <c r="G233" s="347"/>
      <c r="H233" s="346"/>
      <c r="I233" s="347"/>
      <c r="J233" s="346"/>
      <c r="K233" s="347"/>
      <c r="L233" s="346"/>
      <c r="M233" s="347"/>
      <c r="N233" s="346"/>
      <c r="O233" s="347"/>
      <c r="P233" s="346"/>
      <c r="Q233" s="347"/>
      <c r="R233" s="346"/>
      <c r="S233" s="347"/>
      <c r="T233" s="346"/>
      <c r="U233" s="347"/>
      <c r="V233" s="346"/>
      <c r="W233" s="347"/>
      <c r="X233" s="346"/>
      <c r="Y233" s="347"/>
      <c r="Z233" s="346"/>
      <c r="AA233" s="347"/>
      <c r="AB233" s="346"/>
      <c r="AC233" s="347"/>
      <c r="AD233" s="346"/>
      <c r="AE233" s="347"/>
      <c r="AF233" s="346"/>
      <c r="AG233" s="347"/>
      <c r="AH233" s="346"/>
      <c r="AI233" s="347"/>
      <c r="AJ233" s="346"/>
      <c r="AK233" s="347"/>
      <c r="AL233" s="346"/>
      <c r="AM233" s="561"/>
      <c r="AN233" s="430"/>
      <c r="AO233" s="347"/>
      <c r="AP233" s="346"/>
      <c r="AQ233" s="347"/>
      <c r="AR233" s="346"/>
      <c r="AS233" s="347"/>
      <c r="AT233" s="561"/>
      <c r="AU233" s="350"/>
      <c r="AV233" s="561"/>
      <c r="AW233" s="350"/>
      <c r="AX233" s="347"/>
      <c r="AY233" s="6" t="str">
        <f t="shared" si="142"/>
        <v/>
      </c>
      <c r="CA233" s="135" t="str">
        <f t="shared" si="199"/>
        <v/>
      </c>
      <c r="CB233" s="135" t="str">
        <f t="shared" si="200"/>
        <v/>
      </c>
      <c r="CC233" s="135" t="str">
        <f t="shared" si="192"/>
        <v/>
      </c>
      <c r="CD233" s="135" t="str">
        <f t="shared" si="168"/>
        <v/>
      </c>
      <c r="CE233" s="135" t="str">
        <f t="shared" si="169"/>
        <v/>
      </c>
      <c r="CF233" s="135" t="str">
        <f t="shared" si="193"/>
        <v/>
      </c>
      <c r="CG233" s="135" t="str">
        <f t="shared" si="162"/>
        <v/>
      </c>
      <c r="CH233" s="135" t="str">
        <f t="shared" si="194"/>
        <v/>
      </c>
      <c r="CI233" s="135" t="str">
        <f t="shared" si="184"/>
        <v/>
      </c>
      <c r="CJ233" s="135" t="str">
        <f t="shared" si="185"/>
        <v/>
      </c>
      <c r="CK233" s="135" t="str">
        <f t="shared" si="195"/>
        <v/>
      </c>
      <c r="CL233" s="6"/>
      <c r="CO233" s="55">
        <f t="shared" si="201"/>
        <v>0</v>
      </c>
      <c r="CP233" s="55">
        <f t="shared" si="202"/>
        <v>0</v>
      </c>
      <c r="CQ233" s="55">
        <f t="shared" si="187"/>
        <v>0</v>
      </c>
      <c r="CR233" s="55">
        <f t="shared" si="172"/>
        <v>0</v>
      </c>
      <c r="CS233" s="55">
        <f t="shared" si="173"/>
        <v>0</v>
      </c>
      <c r="CT233" s="55">
        <f t="shared" si="174"/>
        <v>0</v>
      </c>
      <c r="CU233" s="55">
        <f t="shared" si="188"/>
        <v>0</v>
      </c>
      <c r="CV233" s="55">
        <f t="shared" si="175"/>
        <v>0</v>
      </c>
      <c r="CW233" s="55">
        <f t="shared" si="189"/>
        <v>0</v>
      </c>
      <c r="CX233" s="55">
        <f t="shared" si="190"/>
        <v>0</v>
      </c>
      <c r="CY233" s="55">
        <f t="shared" si="161"/>
        <v>0</v>
      </c>
    </row>
    <row r="234" spans="1:103" ht="15" customHeight="1" x14ac:dyDescent="0.3">
      <c r="A234" s="6295" t="s">
        <v>894</v>
      </c>
      <c r="B234" s="6296"/>
      <c r="C234" s="200">
        <f t="shared" si="166"/>
        <v>0</v>
      </c>
      <c r="D234" s="375">
        <f t="shared" si="197"/>
        <v>0</v>
      </c>
      <c r="E234" s="52">
        <f t="shared" si="197"/>
        <v>0</v>
      </c>
      <c r="F234" s="380"/>
      <c r="G234" s="388"/>
      <c r="H234" s="380"/>
      <c r="I234" s="388"/>
      <c r="J234" s="380"/>
      <c r="K234" s="388"/>
      <c r="L234" s="380"/>
      <c r="M234" s="388"/>
      <c r="N234" s="380"/>
      <c r="O234" s="388"/>
      <c r="P234" s="380"/>
      <c r="Q234" s="388"/>
      <c r="R234" s="380"/>
      <c r="S234" s="388"/>
      <c r="T234" s="380"/>
      <c r="U234" s="388"/>
      <c r="V234" s="380"/>
      <c r="W234" s="388"/>
      <c r="X234" s="380"/>
      <c r="Y234" s="388"/>
      <c r="Z234" s="380"/>
      <c r="AA234" s="388"/>
      <c r="AB234" s="380"/>
      <c r="AC234" s="388"/>
      <c r="AD234" s="380"/>
      <c r="AE234" s="388"/>
      <c r="AF234" s="380"/>
      <c r="AG234" s="388"/>
      <c r="AH234" s="380"/>
      <c r="AI234" s="388"/>
      <c r="AJ234" s="380"/>
      <c r="AK234" s="388"/>
      <c r="AL234" s="380"/>
      <c r="AM234" s="564"/>
      <c r="AN234" s="379"/>
      <c r="AO234" s="388"/>
      <c r="AP234" s="380"/>
      <c r="AQ234" s="388"/>
      <c r="AR234" s="380"/>
      <c r="AS234" s="388"/>
      <c r="AT234" s="564"/>
      <c r="AU234" s="389"/>
      <c r="AV234" s="564"/>
      <c r="AW234" s="389"/>
      <c r="AX234" s="388"/>
      <c r="AY234" s="6" t="str">
        <f t="shared" si="142"/>
        <v/>
      </c>
      <c r="CA234" s="135" t="str">
        <f t="shared" si="199"/>
        <v/>
      </c>
      <c r="CB234" s="135" t="str">
        <f t="shared" si="200"/>
        <v/>
      </c>
      <c r="CC234" s="135" t="str">
        <f t="shared" si="192"/>
        <v/>
      </c>
      <c r="CD234" s="135" t="str">
        <f t="shared" si="168"/>
        <v/>
      </c>
      <c r="CE234" s="135" t="str">
        <f t="shared" si="169"/>
        <v/>
      </c>
      <c r="CF234" s="135" t="str">
        <f t="shared" si="193"/>
        <v/>
      </c>
      <c r="CG234" s="135" t="str">
        <f t="shared" si="162"/>
        <v/>
      </c>
      <c r="CH234" s="135" t="str">
        <f t="shared" si="194"/>
        <v/>
      </c>
      <c r="CI234" s="135" t="str">
        <f t="shared" si="184"/>
        <v/>
      </c>
      <c r="CJ234" s="135" t="str">
        <f t="shared" si="185"/>
        <v/>
      </c>
      <c r="CK234" s="135" t="str">
        <f t="shared" si="195"/>
        <v/>
      </c>
      <c r="CL234" s="6"/>
      <c r="CO234" s="55">
        <f t="shared" si="201"/>
        <v>0</v>
      </c>
      <c r="CP234" s="55">
        <f t="shared" si="202"/>
        <v>0</v>
      </c>
      <c r="CQ234" s="55">
        <f t="shared" si="187"/>
        <v>0</v>
      </c>
      <c r="CR234" s="55">
        <f t="shared" si="172"/>
        <v>0</v>
      </c>
      <c r="CS234" s="55">
        <f t="shared" si="173"/>
        <v>0</v>
      </c>
      <c r="CT234" s="55">
        <f t="shared" si="174"/>
        <v>0</v>
      </c>
      <c r="CU234" s="55">
        <f t="shared" si="188"/>
        <v>0</v>
      </c>
      <c r="CV234" s="55">
        <f t="shared" si="175"/>
        <v>0</v>
      </c>
      <c r="CW234" s="55">
        <f t="shared" si="189"/>
        <v>0</v>
      </c>
      <c r="CX234" s="55">
        <f t="shared" si="190"/>
        <v>0</v>
      </c>
      <c r="CY234" s="55">
        <f t="shared" si="161"/>
        <v>0</v>
      </c>
    </row>
    <row r="235" spans="1:103" ht="15" customHeight="1" x14ac:dyDescent="0.3">
      <c r="A235" s="6185" t="s">
        <v>895</v>
      </c>
      <c r="B235" s="680" t="s">
        <v>896</v>
      </c>
      <c r="C235" s="654">
        <f t="shared" si="166"/>
        <v>0</v>
      </c>
      <c r="D235" s="655">
        <f t="shared" si="197"/>
        <v>0</v>
      </c>
      <c r="E235" s="688">
        <f t="shared" si="197"/>
        <v>0</v>
      </c>
      <c r="F235" s="47"/>
      <c r="G235" s="42"/>
      <c r="H235" s="47"/>
      <c r="I235" s="42"/>
      <c r="J235" s="47"/>
      <c r="K235" s="42"/>
      <c r="L235" s="47"/>
      <c r="M235" s="42"/>
      <c r="N235" s="47"/>
      <c r="O235" s="42"/>
      <c r="P235" s="47"/>
      <c r="Q235" s="42"/>
      <c r="R235" s="47"/>
      <c r="S235" s="42"/>
      <c r="T235" s="47"/>
      <c r="U235" s="42"/>
      <c r="V235" s="47"/>
      <c r="W235" s="42"/>
      <c r="X235" s="47"/>
      <c r="Y235" s="42"/>
      <c r="Z235" s="47"/>
      <c r="AA235" s="42"/>
      <c r="AB235" s="47"/>
      <c r="AC235" s="42"/>
      <c r="AD235" s="47"/>
      <c r="AE235" s="42"/>
      <c r="AF235" s="47"/>
      <c r="AG235" s="42"/>
      <c r="AH235" s="47"/>
      <c r="AI235" s="42"/>
      <c r="AJ235" s="47"/>
      <c r="AK235" s="42"/>
      <c r="AL235" s="47"/>
      <c r="AM235" s="66"/>
      <c r="AN235" s="74"/>
      <c r="AO235" s="42"/>
      <c r="AP235" s="47"/>
      <c r="AQ235" s="42"/>
      <c r="AR235" s="47"/>
      <c r="AS235" s="42"/>
      <c r="AT235" s="66"/>
      <c r="AU235" s="95"/>
      <c r="AV235" s="66"/>
      <c r="AW235" s="95"/>
      <c r="AX235" s="42"/>
      <c r="AY235" s="6" t="str">
        <f t="shared" si="142"/>
        <v/>
      </c>
      <c r="CA235" s="135" t="str">
        <f t="shared" si="199"/>
        <v/>
      </c>
      <c r="CB235" s="135" t="str">
        <f t="shared" si="200"/>
        <v/>
      </c>
      <c r="CC235" s="135" t="str">
        <f t="shared" si="192"/>
        <v/>
      </c>
      <c r="CD235" s="135" t="str">
        <f t="shared" si="168"/>
        <v/>
      </c>
      <c r="CE235" s="135" t="str">
        <f t="shared" si="169"/>
        <v/>
      </c>
      <c r="CF235" s="135" t="str">
        <f t="shared" si="193"/>
        <v/>
      </c>
      <c r="CG235" s="135" t="str">
        <f t="shared" si="162"/>
        <v/>
      </c>
      <c r="CH235" s="135" t="str">
        <f t="shared" si="194"/>
        <v/>
      </c>
      <c r="CI235" s="135" t="str">
        <f t="shared" si="184"/>
        <v/>
      </c>
      <c r="CJ235" s="135" t="str">
        <f t="shared" si="185"/>
        <v/>
      </c>
      <c r="CK235" s="135" t="str">
        <f t="shared" si="195"/>
        <v/>
      </c>
      <c r="CL235" s="6"/>
      <c r="CO235" s="55">
        <f t="shared" si="201"/>
        <v>0</v>
      </c>
      <c r="CP235" s="55">
        <f t="shared" si="202"/>
        <v>0</v>
      </c>
      <c r="CQ235" s="55">
        <f t="shared" si="187"/>
        <v>0</v>
      </c>
      <c r="CR235" s="55">
        <f t="shared" si="172"/>
        <v>0</v>
      </c>
      <c r="CS235" s="55">
        <f t="shared" si="173"/>
        <v>0</v>
      </c>
      <c r="CT235" s="55">
        <f t="shared" si="174"/>
        <v>0</v>
      </c>
      <c r="CU235" s="55">
        <f t="shared" si="188"/>
        <v>0</v>
      </c>
      <c r="CV235" s="55">
        <f t="shared" si="175"/>
        <v>0</v>
      </c>
      <c r="CW235" s="55">
        <f t="shared" si="189"/>
        <v>0</v>
      </c>
      <c r="CX235" s="55">
        <f t="shared" si="190"/>
        <v>0</v>
      </c>
      <c r="CY235" s="55">
        <f t="shared" si="161"/>
        <v>0</v>
      </c>
    </row>
    <row r="236" spans="1:103" ht="15" customHeight="1" x14ac:dyDescent="0.3">
      <c r="A236" s="5844"/>
      <c r="B236" s="357" t="s">
        <v>897</v>
      </c>
      <c r="C236" s="663">
        <f t="shared" si="166"/>
        <v>0</v>
      </c>
      <c r="D236" s="664">
        <f t="shared" si="197"/>
        <v>0</v>
      </c>
      <c r="E236" s="689">
        <f t="shared" si="197"/>
        <v>0</v>
      </c>
      <c r="F236" s="192"/>
      <c r="G236" s="2"/>
      <c r="H236" s="192"/>
      <c r="I236" s="2"/>
      <c r="J236" s="192"/>
      <c r="K236" s="2"/>
      <c r="L236" s="192"/>
      <c r="M236" s="2"/>
      <c r="N236" s="192"/>
      <c r="O236" s="2"/>
      <c r="P236" s="192"/>
      <c r="Q236" s="2"/>
      <c r="R236" s="192"/>
      <c r="S236" s="2"/>
      <c r="T236" s="192"/>
      <c r="U236" s="2"/>
      <c r="V236" s="192"/>
      <c r="W236" s="2"/>
      <c r="X236" s="192"/>
      <c r="Y236" s="2"/>
      <c r="Z236" s="192"/>
      <c r="AA236" s="2"/>
      <c r="AB236" s="192"/>
      <c r="AC236" s="2"/>
      <c r="AD236" s="192"/>
      <c r="AE236" s="2"/>
      <c r="AF236" s="192"/>
      <c r="AG236" s="2"/>
      <c r="AH236" s="192"/>
      <c r="AI236" s="2"/>
      <c r="AJ236" s="192"/>
      <c r="AK236" s="2"/>
      <c r="AL236" s="192"/>
      <c r="AM236" s="64"/>
      <c r="AN236" s="377"/>
      <c r="AO236" s="2"/>
      <c r="AP236" s="192"/>
      <c r="AQ236" s="2"/>
      <c r="AR236" s="192"/>
      <c r="AS236" s="2"/>
      <c r="AT236" s="64"/>
      <c r="AU236" s="383"/>
      <c r="AV236" s="64"/>
      <c r="AW236" s="383"/>
      <c r="AX236" s="2"/>
      <c r="AY236" s="6" t="str">
        <f t="shared" si="142"/>
        <v/>
      </c>
      <c r="CA236" s="135" t="str">
        <f t="shared" si="199"/>
        <v/>
      </c>
      <c r="CB236" s="135" t="str">
        <f t="shared" si="200"/>
        <v/>
      </c>
      <c r="CC236" s="135" t="str">
        <f t="shared" si="192"/>
        <v/>
      </c>
      <c r="CD236" s="135" t="str">
        <f t="shared" si="168"/>
        <v/>
      </c>
      <c r="CE236" s="135" t="str">
        <f t="shared" si="169"/>
        <v/>
      </c>
      <c r="CF236" s="135" t="str">
        <f t="shared" si="193"/>
        <v/>
      </c>
      <c r="CG236" s="135" t="str">
        <f t="shared" si="162"/>
        <v/>
      </c>
      <c r="CH236" s="135" t="str">
        <f t="shared" si="194"/>
        <v/>
      </c>
      <c r="CI236" s="135" t="str">
        <f t="shared" si="184"/>
        <v/>
      </c>
      <c r="CJ236" s="135" t="str">
        <f t="shared" si="185"/>
        <v/>
      </c>
      <c r="CK236" s="135" t="str">
        <f t="shared" si="195"/>
        <v/>
      </c>
      <c r="CL236" s="6"/>
      <c r="CO236" s="55">
        <f t="shared" si="201"/>
        <v>0</v>
      </c>
      <c r="CP236" s="55">
        <f t="shared" si="202"/>
        <v>0</v>
      </c>
      <c r="CQ236" s="55">
        <f t="shared" si="187"/>
        <v>0</v>
      </c>
      <c r="CR236" s="55">
        <f t="shared" si="172"/>
        <v>0</v>
      </c>
      <c r="CS236" s="55">
        <f t="shared" si="173"/>
        <v>0</v>
      </c>
      <c r="CT236" s="55">
        <f t="shared" si="174"/>
        <v>0</v>
      </c>
      <c r="CU236" s="55">
        <f t="shared" si="188"/>
        <v>0</v>
      </c>
      <c r="CV236" s="55">
        <f t="shared" si="175"/>
        <v>0</v>
      </c>
      <c r="CW236" s="55">
        <f t="shared" si="189"/>
        <v>0</v>
      </c>
      <c r="CX236" s="55">
        <f t="shared" si="190"/>
        <v>0</v>
      </c>
      <c r="CY236" s="55">
        <f t="shared" si="161"/>
        <v>0</v>
      </c>
    </row>
    <row r="237" spans="1:103" ht="15" customHeight="1" x14ac:dyDescent="0.3">
      <c r="A237" s="5844"/>
      <c r="B237" s="357" t="s">
        <v>898</v>
      </c>
      <c r="C237" s="663">
        <f t="shared" si="166"/>
        <v>0</v>
      </c>
      <c r="D237" s="664">
        <f t="shared" si="197"/>
        <v>0</v>
      </c>
      <c r="E237" s="689">
        <f t="shared" si="197"/>
        <v>0</v>
      </c>
      <c r="F237" s="192"/>
      <c r="G237" s="2"/>
      <c r="H237" s="192"/>
      <c r="I237" s="2"/>
      <c r="J237" s="192"/>
      <c r="K237" s="2"/>
      <c r="L237" s="192"/>
      <c r="M237" s="2"/>
      <c r="N237" s="192"/>
      <c r="O237" s="2"/>
      <c r="P237" s="192"/>
      <c r="Q237" s="2"/>
      <c r="R237" s="192"/>
      <c r="S237" s="2"/>
      <c r="T237" s="192"/>
      <c r="U237" s="2"/>
      <c r="V237" s="192"/>
      <c r="W237" s="2"/>
      <c r="X237" s="192"/>
      <c r="Y237" s="2"/>
      <c r="Z237" s="192"/>
      <c r="AA237" s="2"/>
      <c r="AB237" s="192"/>
      <c r="AC237" s="2"/>
      <c r="AD237" s="192"/>
      <c r="AE237" s="2"/>
      <c r="AF237" s="192"/>
      <c r="AG237" s="2"/>
      <c r="AH237" s="192"/>
      <c r="AI237" s="2"/>
      <c r="AJ237" s="192"/>
      <c r="AK237" s="2"/>
      <c r="AL237" s="192"/>
      <c r="AM237" s="64"/>
      <c r="AN237" s="377"/>
      <c r="AO237" s="2"/>
      <c r="AP237" s="192"/>
      <c r="AQ237" s="2"/>
      <c r="AR237" s="192"/>
      <c r="AS237" s="2"/>
      <c r="AT237" s="64"/>
      <c r="AU237" s="383"/>
      <c r="AV237" s="64"/>
      <c r="AW237" s="383"/>
      <c r="AX237" s="2"/>
      <c r="AY237" s="6" t="str">
        <f t="shared" si="142"/>
        <v/>
      </c>
      <c r="CA237" s="135" t="str">
        <f t="shared" si="199"/>
        <v/>
      </c>
      <c r="CB237" s="135" t="str">
        <f t="shared" si="200"/>
        <v/>
      </c>
      <c r="CC237" s="135" t="str">
        <f t="shared" si="192"/>
        <v/>
      </c>
      <c r="CD237" s="135" t="str">
        <f t="shared" si="168"/>
        <v/>
      </c>
      <c r="CE237" s="135" t="str">
        <f t="shared" si="169"/>
        <v/>
      </c>
      <c r="CF237" s="135" t="str">
        <f t="shared" si="193"/>
        <v/>
      </c>
      <c r="CG237" s="135" t="str">
        <f t="shared" si="162"/>
        <v/>
      </c>
      <c r="CH237" s="135" t="str">
        <f t="shared" si="194"/>
        <v/>
      </c>
      <c r="CI237" s="135" t="str">
        <f t="shared" si="184"/>
        <v/>
      </c>
      <c r="CJ237" s="135" t="str">
        <f t="shared" si="185"/>
        <v/>
      </c>
      <c r="CK237" s="135" t="str">
        <f t="shared" si="195"/>
        <v/>
      </c>
      <c r="CL237" s="6"/>
      <c r="CO237" s="55">
        <f t="shared" si="201"/>
        <v>0</v>
      </c>
      <c r="CP237" s="55">
        <f t="shared" si="202"/>
        <v>0</v>
      </c>
      <c r="CQ237" s="55">
        <f t="shared" si="187"/>
        <v>0</v>
      </c>
      <c r="CR237" s="55">
        <f t="shared" si="172"/>
        <v>0</v>
      </c>
      <c r="CS237" s="55">
        <f t="shared" si="173"/>
        <v>0</v>
      </c>
      <c r="CT237" s="55">
        <f t="shared" si="174"/>
        <v>0</v>
      </c>
      <c r="CU237" s="55">
        <f t="shared" si="188"/>
        <v>0</v>
      </c>
      <c r="CV237" s="55">
        <f t="shared" si="175"/>
        <v>0</v>
      </c>
      <c r="CW237" s="55">
        <f t="shared" si="189"/>
        <v>0</v>
      </c>
      <c r="CX237" s="55">
        <f t="shared" si="190"/>
        <v>0</v>
      </c>
      <c r="CY237" s="55">
        <f t="shared" si="161"/>
        <v>0</v>
      </c>
    </row>
    <row r="238" spans="1:103" ht="15" customHeight="1" x14ac:dyDescent="0.3">
      <c r="A238" s="5844"/>
      <c r="B238" s="357" t="s">
        <v>899</v>
      </c>
      <c r="C238" s="663">
        <f t="shared" si="166"/>
        <v>0</v>
      </c>
      <c r="D238" s="664">
        <f t="shared" si="197"/>
        <v>0</v>
      </c>
      <c r="E238" s="689">
        <f t="shared" si="197"/>
        <v>0</v>
      </c>
      <c r="F238" s="192"/>
      <c r="G238" s="2"/>
      <c r="H238" s="192"/>
      <c r="I238" s="2"/>
      <c r="J238" s="192"/>
      <c r="K238" s="2"/>
      <c r="L238" s="192"/>
      <c r="M238" s="2"/>
      <c r="N238" s="192"/>
      <c r="O238" s="2"/>
      <c r="P238" s="192"/>
      <c r="Q238" s="2"/>
      <c r="R238" s="192"/>
      <c r="S238" s="2"/>
      <c r="T238" s="192"/>
      <c r="U238" s="2"/>
      <c r="V238" s="192"/>
      <c r="W238" s="2"/>
      <c r="X238" s="192"/>
      <c r="Y238" s="2"/>
      <c r="Z238" s="192"/>
      <c r="AA238" s="2"/>
      <c r="AB238" s="192"/>
      <c r="AC238" s="2"/>
      <c r="AD238" s="192"/>
      <c r="AE238" s="2"/>
      <c r="AF238" s="192"/>
      <c r="AG238" s="2"/>
      <c r="AH238" s="192"/>
      <c r="AI238" s="2"/>
      <c r="AJ238" s="192"/>
      <c r="AK238" s="2"/>
      <c r="AL238" s="192"/>
      <c r="AM238" s="64"/>
      <c r="AN238" s="377"/>
      <c r="AO238" s="2"/>
      <c r="AP238" s="192"/>
      <c r="AQ238" s="2"/>
      <c r="AR238" s="192"/>
      <c r="AS238" s="2"/>
      <c r="AT238" s="64"/>
      <c r="AU238" s="383"/>
      <c r="AV238" s="64"/>
      <c r="AW238" s="383"/>
      <c r="AX238" s="2"/>
      <c r="AY238" s="6" t="str">
        <f t="shared" si="142"/>
        <v/>
      </c>
      <c r="CA238" s="135" t="str">
        <f t="shared" si="199"/>
        <v/>
      </c>
      <c r="CB238" s="135" t="str">
        <f t="shared" si="200"/>
        <v/>
      </c>
      <c r="CC238" s="135" t="str">
        <f t="shared" si="192"/>
        <v/>
      </c>
      <c r="CD238" s="135" t="str">
        <f t="shared" si="168"/>
        <v/>
      </c>
      <c r="CE238" s="135" t="str">
        <f t="shared" si="169"/>
        <v/>
      </c>
      <c r="CF238" s="135" t="str">
        <f t="shared" si="193"/>
        <v/>
      </c>
      <c r="CG238" s="135" t="str">
        <f t="shared" si="162"/>
        <v/>
      </c>
      <c r="CH238" s="135" t="str">
        <f t="shared" si="194"/>
        <v/>
      </c>
      <c r="CI238" s="135" t="str">
        <f t="shared" si="184"/>
        <v/>
      </c>
      <c r="CJ238" s="135" t="str">
        <f t="shared" si="185"/>
        <v/>
      </c>
      <c r="CK238" s="135" t="str">
        <f t="shared" si="195"/>
        <v/>
      </c>
      <c r="CL238" s="6"/>
      <c r="CO238" s="55">
        <f t="shared" si="201"/>
        <v>0</v>
      </c>
      <c r="CP238" s="55">
        <f t="shared" si="202"/>
        <v>0</v>
      </c>
      <c r="CQ238" s="55">
        <f t="shared" si="187"/>
        <v>0</v>
      </c>
      <c r="CR238" s="55">
        <f t="shared" si="172"/>
        <v>0</v>
      </c>
      <c r="CS238" s="55">
        <f t="shared" si="173"/>
        <v>0</v>
      </c>
      <c r="CT238" s="55">
        <f t="shared" si="174"/>
        <v>0</v>
      </c>
      <c r="CU238" s="55">
        <f t="shared" si="188"/>
        <v>0</v>
      </c>
      <c r="CV238" s="55">
        <f t="shared" si="175"/>
        <v>0</v>
      </c>
      <c r="CW238" s="55">
        <f t="shared" si="189"/>
        <v>0</v>
      </c>
      <c r="CX238" s="55">
        <f t="shared" si="190"/>
        <v>0</v>
      </c>
      <c r="CY238" s="55">
        <f t="shared" si="161"/>
        <v>0</v>
      </c>
    </row>
    <row r="239" spans="1:103" ht="24" customHeight="1" x14ac:dyDescent="0.3">
      <c r="A239" s="5791"/>
      <c r="B239" s="690" t="s">
        <v>900</v>
      </c>
      <c r="C239" s="378">
        <f t="shared" si="166"/>
        <v>0</v>
      </c>
      <c r="D239" s="672">
        <f t="shared" si="197"/>
        <v>0</v>
      </c>
      <c r="E239" s="691">
        <f t="shared" si="197"/>
        <v>0</v>
      </c>
      <c r="F239" s="380"/>
      <c r="G239" s="388"/>
      <c r="H239" s="380"/>
      <c r="I239" s="388"/>
      <c r="J239" s="380"/>
      <c r="K239" s="388"/>
      <c r="L239" s="380"/>
      <c r="M239" s="388"/>
      <c r="N239" s="380"/>
      <c r="O239" s="388"/>
      <c r="P239" s="380"/>
      <c r="Q239" s="388"/>
      <c r="R239" s="380"/>
      <c r="S239" s="388"/>
      <c r="T239" s="380"/>
      <c r="U239" s="388"/>
      <c r="V239" s="380"/>
      <c r="W239" s="388"/>
      <c r="X239" s="380"/>
      <c r="Y239" s="388"/>
      <c r="Z239" s="380"/>
      <c r="AA239" s="388"/>
      <c r="AB239" s="380"/>
      <c r="AC239" s="388"/>
      <c r="AD239" s="380"/>
      <c r="AE239" s="388"/>
      <c r="AF239" s="380"/>
      <c r="AG239" s="388"/>
      <c r="AH239" s="380"/>
      <c r="AI239" s="388"/>
      <c r="AJ239" s="380"/>
      <c r="AK239" s="388"/>
      <c r="AL239" s="380"/>
      <c r="AM239" s="564"/>
      <c r="AN239" s="379"/>
      <c r="AO239" s="388"/>
      <c r="AP239" s="380"/>
      <c r="AQ239" s="388"/>
      <c r="AR239" s="380"/>
      <c r="AS239" s="388"/>
      <c r="AT239" s="564"/>
      <c r="AU239" s="389"/>
      <c r="AV239" s="564"/>
      <c r="AW239" s="389"/>
      <c r="AX239" s="388"/>
      <c r="AY239" s="6" t="str">
        <f t="shared" si="142"/>
        <v/>
      </c>
      <c r="CA239" s="135" t="str">
        <f t="shared" si="199"/>
        <v/>
      </c>
      <c r="CB239" s="135" t="str">
        <f t="shared" si="200"/>
        <v/>
      </c>
      <c r="CC239" s="135" t="str">
        <f t="shared" si="192"/>
        <v/>
      </c>
      <c r="CD239" s="135" t="str">
        <f t="shared" si="168"/>
        <v/>
      </c>
      <c r="CE239" s="135" t="str">
        <f t="shared" si="169"/>
        <v/>
      </c>
      <c r="CF239" s="135" t="str">
        <f t="shared" si="193"/>
        <v/>
      </c>
      <c r="CG239" s="135" t="str">
        <f t="shared" si="162"/>
        <v/>
      </c>
      <c r="CH239" s="135" t="str">
        <f t="shared" si="194"/>
        <v/>
      </c>
      <c r="CI239" s="135" t="str">
        <f t="shared" si="184"/>
        <v/>
      </c>
      <c r="CJ239" s="135" t="str">
        <f t="shared" si="185"/>
        <v/>
      </c>
      <c r="CK239" s="135" t="str">
        <f t="shared" si="195"/>
        <v/>
      </c>
      <c r="CL239" s="6"/>
      <c r="CO239" s="55">
        <f t="shared" si="201"/>
        <v>0</v>
      </c>
      <c r="CP239" s="55">
        <f t="shared" si="202"/>
        <v>0</v>
      </c>
      <c r="CQ239" s="55">
        <f t="shared" si="187"/>
        <v>0</v>
      </c>
      <c r="CR239" s="55">
        <f t="shared" si="172"/>
        <v>0</v>
      </c>
      <c r="CS239" s="55">
        <f t="shared" si="173"/>
        <v>0</v>
      </c>
      <c r="CT239" s="55">
        <f t="shared" si="174"/>
        <v>0</v>
      </c>
      <c r="CU239" s="55">
        <f t="shared" si="188"/>
        <v>0</v>
      </c>
      <c r="CV239" s="55">
        <f t="shared" si="175"/>
        <v>0</v>
      </c>
      <c r="CW239" s="55">
        <f t="shared" si="189"/>
        <v>0</v>
      </c>
      <c r="CX239" s="55">
        <f t="shared" si="190"/>
        <v>0</v>
      </c>
      <c r="CY239" s="55">
        <f t="shared" si="161"/>
        <v>0</v>
      </c>
    </row>
    <row r="240" spans="1:103" ht="15" customHeight="1" x14ac:dyDescent="0.3">
      <c r="A240" s="6351" t="s">
        <v>901</v>
      </c>
      <c r="B240" s="6352"/>
      <c r="C240" s="73">
        <f t="shared" si="166"/>
        <v>0</v>
      </c>
      <c r="D240" s="246">
        <f t="shared" si="197"/>
        <v>0</v>
      </c>
      <c r="E240" s="67">
        <f t="shared" si="197"/>
        <v>0</v>
      </c>
      <c r="F240" s="47"/>
      <c r="G240" s="42"/>
      <c r="H240" s="47"/>
      <c r="I240" s="42"/>
      <c r="J240" s="47"/>
      <c r="K240" s="42"/>
      <c r="L240" s="47"/>
      <c r="M240" s="42"/>
      <c r="N240" s="47"/>
      <c r="O240" s="42"/>
      <c r="P240" s="47"/>
      <c r="Q240" s="42"/>
      <c r="R240" s="47"/>
      <c r="S240" s="42"/>
      <c r="T240" s="47"/>
      <c r="U240" s="42"/>
      <c r="V240" s="47"/>
      <c r="W240" s="42"/>
      <c r="X240" s="47"/>
      <c r="Y240" s="42"/>
      <c r="Z240" s="47"/>
      <c r="AA240" s="42"/>
      <c r="AB240" s="47"/>
      <c r="AC240" s="42"/>
      <c r="AD240" s="47"/>
      <c r="AE240" s="42"/>
      <c r="AF240" s="47"/>
      <c r="AG240" s="42"/>
      <c r="AH240" s="47"/>
      <c r="AI240" s="42"/>
      <c r="AJ240" s="47"/>
      <c r="AK240" s="42"/>
      <c r="AL240" s="47"/>
      <c r="AM240" s="66"/>
      <c r="AN240" s="74"/>
      <c r="AO240" s="42"/>
      <c r="AP240" s="47"/>
      <c r="AQ240" s="42"/>
      <c r="AR240" s="47"/>
      <c r="AS240" s="42"/>
      <c r="AT240" s="66"/>
      <c r="AU240" s="95"/>
      <c r="AV240" s="66"/>
      <c r="AW240" s="95"/>
      <c r="AX240" s="42"/>
      <c r="AY240" s="6" t="str">
        <f t="shared" si="142"/>
        <v/>
      </c>
      <c r="CA240" s="135" t="str">
        <f t="shared" si="199"/>
        <v/>
      </c>
      <c r="CB240" s="135" t="str">
        <f t="shared" si="200"/>
        <v/>
      </c>
      <c r="CC240" s="135" t="str">
        <f t="shared" si="192"/>
        <v/>
      </c>
      <c r="CD240" s="135" t="str">
        <f t="shared" si="168"/>
        <v/>
      </c>
      <c r="CE240" s="135" t="str">
        <f t="shared" si="169"/>
        <v/>
      </c>
      <c r="CF240" s="135" t="str">
        <f t="shared" si="193"/>
        <v/>
      </c>
      <c r="CG240" s="135" t="str">
        <f t="shared" si="162"/>
        <v/>
      </c>
      <c r="CH240" s="135" t="str">
        <f t="shared" si="194"/>
        <v/>
      </c>
      <c r="CI240" s="135" t="str">
        <f t="shared" si="184"/>
        <v/>
      </c>
      <c r="CJ240" s="135" t="str">
        <f>IF(AND(D240&gt;0,OR(AW240="")), "* No olvide digitar la variable Trans Femenino. Digite Cero si no tiene.",IF((AW240)&gt;D240,"  * La variable Trans Femenino No puede ser mayor al Total Hombres.",""))</f>
        <v/>
      </c>
      <c r="CK240" s="135" t="str">
        <f t="shared" si="195"/>
        <v/>
      </c>
      <c r="CL240" s="6"/>
      <c r="CO240" s="55">
        <f t="shared" si="201"/>
        <v>0</v>
      </c>
      <c r="CP240" s="55">
        <f t="shared" si="202"/>
        <v>0</v>
      </c>
      <c r="CQ240" s="55">
        <f t="shared" si="187"/>
        <v>0</v>
      </c>
      <c r="CR240" s="55">
        <f t="shared" si="172"/>
        <v>0</v>
      </c>
      <c r="CS240" s="55">
        <f t="shared" si="173"/>
        <v>0</v>
      </c>
      <c r="CT240" s="55">
        <f t="shared" si="174"/>
        <v>0</v>
      </c>
      <c r="CU240" s="55">
        <f t="shared" si="188"/>
        <v>0</v>
      </c>
      <c r="CV240" s="55">
        <f t="shared" si="175"/>
        <v>0</v>
      </c>
      <c r="CW240" s="55">
        <f t="shared" si="189"/>
        <v>0</v>
      </c>
      <c r="CX240" s="55">
        <f t="shared" si="190"/>
        <v>0</v>
      </c>
      <c r="CY240" s="55">
        <f t="shared" si="161"/>
        <v>0</v>
      </c>
    </row>
    <row r="241" spans="1:103" ht="15" customHeight="1" x14ac:dyDescent="0.3">
      <c r="A241" s="6291" t="s">
        <v>902</v>
      </c>
      <c r="B241" s="6292"/>
      <c r="C241" s="378">
        <f t="shared" si="166"/>
        <v>0</v>
      </c>
      <c r="D241" s="672">
        <f t="shared" si="197"/>
        <v>0</v>
      </c>
      <c r="E241" s="387">
        <f t="shared" si="197"/>
        <v>0</v>
      </c>
      <c r="F241" s="380"/>
      <c r="G241" s="388"/>
      <c r="H241" s="380"/>
      <c r="I241" s="388"/>
      <c r="J241" s="380"/>
      <c r="K241" s="388"/>
      <c r="L241" s="380"/>
      <c r="M241" s="388"/>
      <c r="N241" s="380"/>
      <c r="O241" s="388"/>
      <c r="P241" s="380"/>
      <c r="Q241" s="388"/>
      <c r="R241" s="380"/>
      <c r="S241" s="388"/>
      <c r="T241" s="380"/>
      <c r="U241" s="388"/>
      <c r="V241" s="380"/>
      <c r="W241" s="388"/>
      <c r="X241" s="380"/>
      <c r="Y241" s="388"/>
      <c r="Z241" s="380"/>
      <c r="AA241" s="388"/>
      <c r="AB241" s="380"/>
      <c r="AC241" s="388"/>
      <c r="AD241" s="380"/>
      <c r="AE241" s="388"/>
      <c r="AF241" s="380"/>
      <c r="AG241" s="388"/>
      <c r="AH241" s="380"/>
      <c r="AI241" s="388"/>
      <c r="AJ241" s="380"/>
      <c r="AK241" s="388"/>
      <c r="AL241" s="380"/>
      <c r="AM241" s="564"/>
      <c r="AN241" s="692"/>
      <c r="AO241" s="693"/>
      <c r="AP241" s="380"/>
      <c r="AQ241" s="388"/>
      <c r="AR241" s="380"/>
      <c r="AS241" s="388"/>
      <c r="AT241" s="564"/>
      <c r="AU241" s="389"/>
      <c r="AV241" s="564"/>
      <c r="AW241" s="389"/>
      <c r="AX241" s="388"/>
      <c r="AY241" s="6" t="str">
        <f t="shared" si="142"/>
        <v/>
      </c>
      <c r="CA241" s="135" t="str">
        <f t="shared" si="199"/>
        <v/>
      </c>
      <c r="CB241" s="135" t="str">
        <f t="shared" si="200"/>
        <v/>
      </c>
      <c r="CC241" s="135" t="str">
        <f t="shared" si="192"/>
        <v/>
      </c>
      <c r="CD241" s="135" t="str">
        <f t="shared" si="168"/>
        <v/>
      </c>
      <c r="CE241" s="135" t="str">
        <f t="shared" si="169"/>
        <v/>
      </c>
      <c r="CF241" s="135" t="str">
        <f t="shared" si="193"/>
        <v/>
      </c>
      <c r="CG241" s="135" t="str">
        <f t="shared" si="162"/>
        <v/>
      </c>
      <c r="CH241" s="135" t="str">
        <f t="shared" si="194"/>
        <v/>
      </c>
      <c r="CI241" s="135" t="str">
        <f t="shared" si="184"/>
        <v/>
      </c>
      <c r="CJ241" s="135" t="str">
        <f t="shared" si="185"/>
        <v/>
      </c>
      <c r="CK241" s="135" t="str">
        <f>IF(AND($C241&gt;0,AX241=""), "* No olvide digitar la variable Adolescentes derivados de Espacios Amigables. Digite Cero si no tiene.",IF(AX241&gt;$C241,"  * La variable Adolescentes derivados de Espacios Amigables No puede ser mayor al Total.",""))</f>
        <v/>
      </c>
      <c r="CL241" s="6"/>
      <c r="CO241" s="55">
        <f t="shared" si="201"/>
        <v>0</v>
      </c>
      <c r="CP241" s="55">
        <f t="shared" si="202"/>
        <v>0</v>
      </c>
      <c r="CQ241" s="55">
        <f t="shared" si="187"/>
        <v>0</v>
      </c>
      <c r="CR241" s="55">
        <f t="shared" si="172"/>
        <v>0</v>
      </c>
      <c r="CS241" s="55">
        <f t="shared" si="173"/>
        <v>0</v>
      </c>
      <c r="CT241" s="55">
        <f t="shared" si="174"/>
        <v>0</v>
      </c>
      <c r="CU241" s="55">
        <f t="shared" si="188"/>
        <v>0</v>
      </c>
      <c r="CV241" s="55">
        <f t="shared" si="175"/>
        <v>0</v>
      </c>
      <c r="CW241" s="55">
        <f t="shared" si="189"/>
        <v>0</v>
      </c>
      <c r="CX241" s="55">
        <f t="shared" si="190"/>
        <v>0</v>
      </c>
      <c r="CY241" s="55">
        <f t="shared" si="161"/>
        <v>0</v>
      </c>
    </row>
    <row r="242" spans="1:103" s="6" customFormat="1" ht="18" customHeight="1" x14ac:dyDescent="0.25">
      <c r="A242" s="298" t="s">
        <v>903</v>
      </c>
      <c r="B242" s="298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</row>
    <row r="243" spans="1:103" ht="30" customHeight="1" x14ac:dyDescent="0.3">
      <c r="A243" s="5944" t="s">
        <v>904</v>
      </c>
      <c r="B243" s="6243"/>
      <c r="C243" s="6149" t="s">
        <v>77</v>
      </c>
      <c r="D243" s="6149"/>
      <c r="E243" s="6149"/>
      <c r="F243" s="6149" t="s">
        <v>343</v>
      </c>
      <c r="G243" s="6149"/>
      <c r="H243" s="6149" t="s">
        <v>326</v>
      </c>
      <c r="I243" s="6149"/>
      <c r="J243" s="6149" t="s">
        <v>94</v>
      </c>
      <c r="K243" s="6149"/>
      <c r="L243" s="6149" t="s">
        <v>44</v>
      </c>
      <c r="M243" s="6149"/>
      <c r="N243" s="6143" t="s">
        <v>45</v>
      </c>
      <c r="O243" s="6180"/>
      <c r="P243" s="6151" t="s">
        <v>46</v>
      </c>
      <c r="Q243" s="6151"/>
      <c r="R243" s="6151" t="s">
        <v>47</v>
      </c>
      <c r="S243" s="6151"/>
      <c r="T243" s="6151" t="s">
        <v>48</v>
      </c>
      <c r="U243" s="6151"/>
      <c r="V243" s="6151" t="s">
        <v>49</v>
      </c>
      <c r="W243" s="6151"/>
      <c r="X243" s="6151" t="s">
        <v>50</v>
      </c>
      <c r="Y243" s="6151"/>
      <c r="Z243" s="6151" t="s">
        <v>51</v>
      </c>
      <c r="AA243" s="6151"/>
      <c r="AB243" s="6151" t="s">
        <v>52</v>
      </c>
      <c r="AC243" s="6151"/>
      <c r="AD243" s="6151" t="s">
        <v>53</v>
      </c>
      <c r="AE243" s="6151"/>
      <c r="AF243" s="6151" t="s">
        <v>54</v>
      </c>
      <c r="AG243" s="6151"/>
      <c r="AH243" s="6151" t="s">
        <v>55</v>
      </c>
      <c r="AI243" s="6151"/>
      <c r="AJ243" s="6151" t="s">
        <v>56</v>
      </c>
      <c r="AK243" s="6151"/>
      <c r="AL243" s="6151" t="s">
        <v>57</v>
      </c>
      <c r="AM243" s="6276"/>
      <c r="AN243" s="6339" t="s">
        <v>905</v>
      </c>
      <c r="AO243" s="6247"/>
      <c r="AP243" s="6278"/>
      <c r="AQ243" s="6354" t="s">
        <v>453</v>
      </c>
      <c r="AR243" s="6347" t="s">
        <v>454</v>
      </c>
      <c r="AS243" s="6151" t="s">
        <v>36</v>
      </c>
      <c r="AT243" s="6151"/>
      <c r="AU243" s="6186" t="s">
        <v>455</v>
      </c>
      <c r="AV243" s="6243" t="s">
        <v>35</v>
      </c>
      <c r="AW243" s="6186" t="s">
        <v>37</v>
      </c>
      <c r="AX243" s="6243" t="s">
        <v>906</v>
      </c>
    </row>
    <row r="244" spans="1:103" ht="30" customHeight="1" x14ac:dyDescent="0.3">
      <c r="A244" s="5796"/>
      <c r="B244" s="5760"/>
      <c r="C244" s="607" t="s">
        <v>79</v>
      </c>
      <c r="D244" s="509" t="s">
        <v>58</v>
      </c>
      <c r="E244" s="642" t="s">
        <v>59</v>
      </c>
      <c r="F244" s="641" t="s">
        <v>58</v>
      </c>
      <c r="G244" s="642" t="s">
        <v>59</v>
      </c>
      <c r="H244" s="641" t="s">
        <v>58</v>
      </c>
      <c r="I244" s="642" t="s">
        <v>59</v>
      </c>
      <c r="J244" s="641" t="s">
        <v>58</v>
      </c>
      <c r="K244" s="642" t="s">
        <v>59</v>
      </c>
      <c r="L244" s="641" t="s">
        <v>58</v>
      </c>
      <c r="M244" s="642" t="s">
        <v>59</v>
      </c>
      <c r="N244" s="641" t="s">
        <v>58</v>
      </c>
      <c r="O244" s="642" t="s">
        <v>59</v>
      </c>
      <c r="P244" s="641" t="s">
        <v>58</v>
      </c>
      <c r="Q244" s="642" t="s">
        <v>59</v>
      </c>
      <c r="R244" s="641" t="s">
        <v>58</v>
      </c>
      <c r="S244" s="642" t="s">
        <v>59</v>
      </c>
      <c r="T244" s="641" t="s">
        <v>58</v>
      </c>
      <c r="U244" s="642" t="s">
        <v>59</v>
      </c>
      <c r="V244" s="641" t="s">
        <v>58</v>
      </c>
      <c r="W244" s="642" t="s">
        <v>59</v>
      </c>
      <c r="X244" s="641" t="s">
        <v>58</v>
      </c>
      <c r="Y244" s="642" t="s">
        <v>59</v>
      </c>
      <c r="Z244" s="641" t="s">
        <v>58</v>
      </c>
      <c r="AA244" s="642" t="s">
        <v>59</v>
      </c>
      <c r="AB244" s="641" t="s">
        <v>58</v>
      </c>
      <c r="AC244" s="642" t="s">
        <v>59</v>
      </c>
      <c r="AD244" s="641" t="s">
        <v>58</v>
      </c>
      <c r="AE244" s="642" t="s">
        <v>59</v>
      </c>
      <c r="AF244" s="641" t="s">
        <v>58</v>
      </c>
      <c r="AG244" s="642" t="s">
        <v>59</v>
      </c>
      <c r="AH244" s="641" t="s">
        <v>58</v>
      </c>
      <c r="AI244" s="642" t="s">
        <v>59</v>
      </c>
      <c r="AJ244" s="641" t="s">
        <v>58</v>
      </c>
      <c r="AK244" s="642" t="s">
        <v>59</v>
      </c>
      <c r="AL244" s="641" t="s">
        <v>58</v>
      </c>
      <c r="AM244" s="643" t="s">
        <v>59</v>
      </c>
      <c r="AN244" s="618" t="s">
        <v>811</v>
      </c>
      <c r="AO244" s="554" t="s">
        <v>813</v>
      </c>
      <c r="AP244" s="606" t="s">
        <v>907</v>
      </c>
      <c r="AQ244" s="6355"/>
      <c r="AR244" s="6348"/>
      <c r="AS244" s="641" t="s">
        <v>58</v>
      </c>
      <c r="AT244" s="642" t="s">
        <v>59</v>
      </c>
      <c r="AU244" s="5835"/>
      <c r="AV244" s="5760"/>
      <c r="AW244" s="5835"/>
      <c r="AX244" s="5760"/>
    </row>
    <row r="245" spans="1:103" s="6" customFormat="1" ht="18" customHeight="1" x14ac:dyDescent="0.3">
      <c r="A245" s="6353" t="s">
        <v>908</v>
      </c>
      <c r="B245" s="6342"/>
      <c r="C245" s="645">
        <f>SUM(D245+E245)</f>
        <v>0</v>
      </c>
      <c r="D245" s="646">
        <f>SUM(F245+H245+J245+L245+N245+P245+R245+T245+V245+X245+Z245+AB245+AD245+AF245+AH245+AJ245+AL245)</f>
        <v>0</v>
      </c>
      <c r="E245" s="67">
        <f>SUM(G245+I245+K245+M245+O245+Q245+S245+U245+W245+Y245+AA245+AC245+AE245+AG245+AI245+AK245+AM245)</f>
        <v>0</v>
      </c>
      <c r="F245" s="505"/>
      <c r="G245" s="508"/>
      <c r="H245" s="505"/>
      <c r="I245" s="508"/>
      <c r="J245" s="505"/>
      <c r="K245" s="508"/>
      <c r="L245" s="505"/>
      <c r="M245" s="508"/>
      <c r="N245" s="505"/>
      <c r="O245" s="508"/>
      <c r="P245" s="505"/>
      <c r="Q245" s="508"/>
      <c r="R245" s="505"/>
      <c r="S245" s="508"/>
      <c r="T245" s="505"/>
      <c r="U245" s="508"/>
      <c r="V245" s="505"/>
      <c r="W245" s="508"/>
      <c r="X245" s="505"/>
      <c r="Y245" s="508"/>
      <c r="Z245" s="505"/>
      <c r="AA245" s="508"/>
      <c r="AB245" s="505"/>
      <c r="AC245" s="508"/>
      <c r="AD245" s="505"/>
      <c r="AE245" s="508"/>
      <c r="AF245" s="505"/>
      <c r="AG245" s="508"/>
      <c r="AH245" s="505"/>
      <c r="AI245" s="508"/>
      <c r="AJ245" s="505"/>
      <c r="AK245" s="508"/>
      <c r="AL245" s="505"/>
      <c r="AM245" s="647"/>
      <c r="AN245" s="266"/>
      <c r="AO245" s="547"/>
      <c r="AP245" s="392"/>
      <c r="AQ245" s="507"/>
      <c r="AR245" s="508"/>
      <c r="AS245" s="505"/>
      <c r="AT245" s="508"/>
      <c r="AU245" s="507"/>
      <c r="AV245" s="508"/>
      <c r="AW245" s="505"/>
      <c r="AX245" s="508"/>
      <c r="AY245" s="6" t="str">
        <f>CA245&amp;CB245&amp;CC245&amp;CD245&amp;CE245&amp;CF245&amp;CG245&amp;CH245&amp;CI245</f>
        <v/>
      </c>
      <c r="CA245" s="19"/>
      <c r="CB245" s="135" t="str">
        <f>IF(AND(E245&gt;0,AQ245=""), "* No olvide digitar la variable Gestantes. Digite Cero si no tiene.", IF(AQ245&gt;E245," * La variable Gestantes No puede ser mayor al Total Mujeres.",""))</f>
        <v/>
      </c>
      <c r="CC245" s="135" t="str">
        <f>IF(AND(E245&gt;0,AR245=""), "* No olvide digitar la variable Madre de hijo menor de 5 años. Digite Cero si no tiene.",IF(AR245&gt;E245,"  * La variable Madre de hijo menor de 5 años No puede ser mayor al Total Mujeres.",""))</f>
        <v/>
      </c>
      <c r="CD245" s="135" t="str">
        <f>IF(AND(D245&gt;0,OR(AS245="")), "* No olvide digitar la variable Pueblos originarios Hombres. Digite Cero si no tiene.",IF(AS245&gt;D245,"  * La variable Pueblos originarios Hombres No puede ser mayor al Total Hombres.",""))</f>
        <v/>
      </c>
      <c r="CE245" s="135" t="str">
        <f>IF(AND(E245&gt;0,OR(AT245="")), "* No olvide digitar la variable Pueblos originarios Mujeres. Digite Cero si no tiene.",IF(AT245&gt;E245,"  * La variable Pueblos originarios Mujeres No puede ser mayor al Total Mujeres.",""))</f>
        <v/>
      </c>
      <c r="CF245" s="135" t="str">
        <f>IF(AND(C245&gt;0,AU245=""), "* No olvide digitar la variable Niños, niñas, adolescentes y jóvenes SENAME. Digite Cero si no tiene.",IF(AU245&gt;C245,"  * La variable Niños, niñas, adolescentes y jóvenes SENAME No puede ser mayor al Total.",""))</f>
        <v/>
      </c>
      <c r="CG245" s="135" t="str">
        <f>IF(AND(C245&gt;0,AV245=""), "* No olvide digitar la variable Niños, niñas, adolescentes y jóvenes Mejor Niñez. Digite Cero si no tiene.",IF(AV245&gt;C245,"  * La variable Niños, niñas, adolescentes y jóvenes Mejor Niñez No puede ser mayor al Total.",""))</f>
        <v/>
      </c>
      <c r="CH245" s="135" t="str">
        <f>IF(AND(C245&gt;0,AW245=""), "* No olvide digitar la variable Migrantes. Digite Cero si no tiene.",IF(AW245&gt;C245,"  * La variable Migrantes No puede ser mayor al Total.",""))</f>
        <v/>
      </c>
      <c r="CI245" s="135" t="str">
        <f>IF(AND(C245&gt;0,AX245=""), "* No olvide digitar la variable Trans (Masculino/ Femenino). Digite Cero si no tiene.",IF(AX245&gt;C245,"  * La variable Trans (Masculino/Femenino) No puede ser mayor al Total Ambos Sexos.",""))</f>
        <v/>
      </c>
      <c r="CL245"/>
      <c r="CO245"/>
      <c r="CP245" s="180">
        <f>IF(AND(E245&gt;0,AQ245=""),1,IF(AQ245&gt;E245,1,0))</f>
        <v>0</v>
      </c>
      <c r="CQ245" s="180">
        <f>IF(AND(E245&gt;0,AR245=""),1,IF(AR245&gt;E245,1,0))</f>
        <v>0</v>
      </c>
      <c r="CR245" s="180">
        <f>IF(AND(D245&gt;0,OR(AS245="")),1,IF(AS245&gt;D245,1,0))</f>
        <v>0</v>
      </c>
      <c r="CS245" s="180">
        <f>IF(AND(E245&gt;0,OR(AT245="")),1,IF(AT245&gt;E245,1,0))</f>
        <v>0</v>
      </c>
      <c r="CT245" s="180">
        <f>IF(AND(C245&gt;0,AU245=""),1,IF(AU245&gt;C245,1,0))</f>
        <v>0</v>
      </c>
      <c r="CU245" s="180">
        <f>IF(AND(C245&gt;0,AV245=""),1,IF(AV245&gt;C245,1,0))</f>
        <v>0</v>
      </c>
      <c r="CV245" s="180">
        <f>IF(AND(C245&gt;0,AW245=""),1,IF(AW245&gt;C245,1,0))</f>
        <v>0</v>
      </c>
      <c r="CW245" s="180">
        <f>IF(AND(C245&gt;0,AX245=""),1,IF(AX245&gt;C245,1,0))</f>
        <v>0</v>
      </c>
    </row>
    <row r="246" spans="1:103" s="6" customFormat="1" ht="18" customHeight="1" x14ac:dyDescent="0.25">
      <c r="A246" s="6343" t="s">
        <v>849</v>
      </c>
      <c r="B246" s="6344"/>
      <c r="C246" s="694"/>
      <c r="D246" s="695"/>
      <c r="E246" s="695"/>
      <c r="F246" s="696"/>
      <c r="G246" s="696"/>
      <c r="H246" s="696"/>
      <c r="I246" s="696"/>
      <c r="J246" s="696"/>
      <c r="K246" s="696"/>
      <c r="L246" s="696"/>
      <c r="M246" s="696"/>
      <c r="N246" s="696"/>
      <c r="O246" s="696"/>
      <c r="P246" s="696"/>
      <c r="Q246" s="696"/>
      <c r="R246" s="696"/>
      <c r="S246" s="696"/>
      <c r="T246" s="696"/>
      <c r="U246" s="696"/>
      <c r="V246" s="696"/>
      <c r="W246" s="696"/>
      <c r="X246" s="696"/>
      <c r="Y246" s="696"/>
      <c r="Z246" s="696"/>
      <c r="AA246" s="696"/>
      <c r="AB246" s="696"/>
      <c r="AC246" s="696"/>
      <c r="AD246" s="696"/>
      <c r="AE246" s="696"/>
      <c r="AF246" s="696"/>
      <c r="AG246" s="696"/>
      <c r="AH246" s="696"/>
      <c r="AI246" s="696"/>
      <c r="AJ246" s="696"/>
      <c r="AK246" s="696"/>
      <c r="AL246" s="696"/>
      <c r="AM246" s="697"/>
      <c r="AN246" s="697"/>
      <c r="AO246" s="697"/>
      <c r="AP246" s="698"/>
      <c r="AQ246" s="697"/>
      <c r="AR246" s="697"/>
      <c r="AS246" s="697"/>
      <c r="AT246" s="697"/>
      <c r="AU246" s="697"/>
      <c r="AV246" s="697"/>
      <c r="AW246" s="697"/>
      <c r="AX246" s="699"/>
    </row>
    <row r="247" spans="1:103" s="6" customFormat="1" ht="15" customHeight="1" x14ac:dyDescent="0.3">
      <c r="A247" s="6185" t="s">
        <v>850</v>
      </c>
      <c r="B247" s="656" t="s">
        <v>851</v>
      </c>
      <c r="C247" s="654">
        <f t="shared" ref="C247:C250" si="203">SUM(D247+E247)</f>
        <v>0</v>
      </c>
      <c r="D247" s="655">
        <f t="shared" ref="D247:D250" si="204">SUM(F247+H247+J247+L247+N247+P247+R247+T247+V247+X247+Z247+AB247+AD247+AF247+AH247+AJ247+AL247)</f>
        <v>0</v>
      </c>
      <c r="E247" s="656">
        <f>SUM(G247+I247+K247+M247+O247+Q247+S247+U247+W247+Y247+AA247+AC247+AE247+AG247+AI247+AK247+AM247)</f>
        <v>0</v>
      </c>
      <c r="F247" s="474"/>
      <c r="G247" s="576"/>
      <c r="H247" s="505"/>
      <c r="I247" s="508"/>
      <c r="J247" s="505"/>
      <c r="K247" s="508"/>
      <c r="L247" s="505"/>
      <c r="M247" s="508"/>
      <c r="N247" s="505"/>
      <c r="O247" s="508"/>
      <c r="P247" s="505"/>
      <c r="Q247" s="508"/>
      <c r="R247" s="505"/>
      <c r="S247" s="508"/>
      <c r="T247" s="505"/>
      <c r="U247" s="508"/>
      <c r="V247" s="505"/>
      <c r="W247" s="508"/>
      <c r="X247" s="505"/>
      <c r="Y247" s="508"/>
      <c r="Z247" s="505"/>
      <c r="AA247" s="508"/>
      <c r="AB247" s="505"/>
      <c r="AC247" s="508"/>
      <c r="AD247" s="505"/>
      <c r="AE247" s="508"/>
      <c r="AF247" s="505"/>
      <c r="AG247" s="508"/>
      <c r="AH247" s="505"/>
      <c r="AI247" s="508"/>
      <c r="AJ247" s="505"/>
      <c r="AK247" s="508"/>
      <c r="AL247" s="505"/>
      <c r="AM247" s="647"/>
      <c r="AN247" s="266"/>
      <c r="AO247" s="547"/>
      <c r="AP247" s="392"/>
      <c r="AQ247" s="507"/>
      <c r="AR247" s="508"/>
      <c r="AS247" s="505"/>
      <c r="AT247" s="508"/>
      <c r="AU247" s="507"/>
      <c r="AV247" s="508"/>
      <c r="AW247" s="505"/>
      <c r="AX247" s="508"/>
      <c r="AY247" s="6" t="str">
        <f>CA247&amp;CB247&amp;CC247&amp;CD247&amp;CE247&amp;CF247&amp;CG247&amp;CH247&amp;CI247</f>
        <v/>
      </c>
      <c r="CA247" s="19"/>
      <c r="CB247" s="135" t="str">
        <f t="shared" ref="CB247:CB259" si="205">IF(AND(E247&gt;0,AQ247=""), "* No olvide digitar la variable Gestantes. Digite Cero si no tiene.",IF(AQ247&gt;E247,"  * La variable Gestantes No puede ser mayor al Total Mujeres.",""))</f>
        <v/>
      </c>
      <c r="CC247" s="135" t="str">
        <f t="shared" ref="CC247:CC293" si="206">IF(AND(E247&gt;0,AR247=""), "* No olvide digitar la variable Madre de hijo menor de 5 años. Digite Cero si no tiene.",IF(AR247&gt;E247,"  * La variable Madre de hijo menor de 5 años No puede ser mayor al Total Mujeres.",""))</f>
        <v/>
      </c>
      <c r="CD247" s="135" t="str">
        <f t="shared" ref="CD247:CD259" si="207">IF(AND(D247&gt;0,OR(AS247="")), "* No olvide digitar la variable Pueblos originarios Hombres. Digite Cero si no tiene.",IF(AS247&gt;D247,"  * La variable Pueblos originarios Hombres No puede ser mayor al Total Hombres.",""))</f>
        <v/>
      </c>
      <c r="CE247" s="135" t="str">
        <f t="shared" ref="CE247:CE259" si="208">IF(AND(E247&gt;0,OR(AT247="")), "* No olvide digitar la variable Pueblos originarios Mujeres. Digite Cero si no tiene.",IF(AT247&gt;E247,"  * La variable Pueblos originarios Mujeres No puede ser mayor al Total Mujeres.",""))</f>
        <v/>
      </c>
      <c r="CF247" s="135" t="str">
        <f t="shared" ref="CF247:CF259" si="209">IF(AND(C247&gt;0,AU247=""), "* No olvide digitar la variable Niños, niñas, adolescentes y jóvenes SENAME. Digite Cero si no tiene.",IF(AU247&gt;C247,"  * La variable Niños, niñas, adolescentes y jóvenes SENAME No puede ser mayor al Total.",""))</f>
        <v/>
      </c>
      <c r="CG247" s="135" t="str">
        <f t="shared" ref="CG247:CG259" si="210">IF(AND(C247&gt;0,AV247=""), "* No olvide digitar la variable Niños, niñas, adolescentes y jóvenes Mejor Niñez. Digite Cero si no tiene.",IF(AV247&gt;C247,"  * La variable Niños, niñas, adolescentes y jóvenes Mejor Niñez No puede ser mayor al Total.",""))</f>
        <v/>
      </c>
      <c r="CH247" s="135" t="str">
        <f t="shared" ref="CH247:CH259" si="211">IF(AND(C247&gt;0,AW247=""), "* No olvide digitar la variable Migrantes. Digite Cero si no tiene.",IF(AW247&gt;C247,"  * La variable Migrantes No puede ser mayor al Total.",""))</f>
        <v/>
      </c>
      <c r="CI247" s="135" t="str">
        <f t="shared" ref="CI247:CI259" si="212">IF(AND(C247&gt;0,AX247=""), "* No olvide digitar la variable Trans (Masculino/ Femenino). Digite Cero si no tiene.",IF(AX247&gt;C247,"  * La variable Trans (Masculino/Femenino) No puede ser mayor al Total Ambos Sexos.",""))</f>
        <v/>
      </c>
      <c r="CL247"/>
      <c r="CO247"/>
      <c r="CP247" s="180">
        <f t="shared" ref="CP247:CP259" si="213">IF(AND(E247&gt;0,AQ247=""),1,IF(AQ247&gt;E247,1,0))</f>
        <v>0</v>
      </c>
      <c r="CQ247" s="180">
        <f t="shared" ref="CQ247:CQ259" si="214">IF(AND(E247&gt;0,AR247=""),1,IF(AR247&gt;E247,1,0))</f>
        <v>0</v>
      </c>
      <c r="CR247" s="180">
        <f t="shared" ref="CR247:CR259" si="215">IF(AND(D247&gt;0,OR(AS247="")),1,IF(AS247&gt;D247,1,0))</f>
        <v>0</v>
      </c>
      <c r="CS247" s="180">
        <f t="shared" ref="CS247:CS259" si="216">IF(AND(E247&gt;0,OR(AT247="")),1,IF(AT247&gt;E247,1,0))</f>
        <v>0</v>
      </c>
      <c r="CT247" s="180">
        <f t="shared" ref="CT247:CT259" si="217">IF(AND(C247&gt;0,AU247=""),1,IF(AU247&gt;C247,1,0))</f>
        <v>0</v>
      </c>
      <c r="CU247" s="180">
        <f t="shared" ref="CU247:CU259" si="218">IF(AND(C247&gt;0,AV247=""),1,IF(AV247&gt;C247,1,0))</f>
        <v>0</v>
      </c>
      <c r="CV247" s="180">
        <f t="shared" ref="CV247:CV259" si="219">IF(AND(C247&gt;0,AW247=""),1,IF(AW247&gt;C247,1,0))</f>
        <v>0</v>
      </c>
      <c r="CW247" s="180">
        <f t="shared" ref="CW247:CW259" si="220">IF(AND(C247&gt;0,AX247=""),1,IF(AX247&gt;C247,1,0))</f>
        <v>0</v>
      </c>
    </row>
    <row r="248" spans="1:103" s="6" customFormat="1" ht="15" customHeight="1" x14ac:dyDescent="0.3">
      <c r="A248" s="5791"/>
      <c r="B248" s="387" t="s">
        <v>852</v>
      </c>
      <c r="C248" s="309">
        <f t="shared" si="203"/>
        <v>0</v>
      </c>
      <c r="D248" s="657">
        <f t="shared" si="204"/>
        <v>0</v>
      </c>
      <c r="E248" s="108">
        <f t="shared" ref="E248:E250" si="221">SUM(G248+I248+K248+M248+O248+Q248+S248+U248+W248+Y248+AA248+AC248+AE248+AG248+AI248+AK248+AM248)</f>
        <v>0</v>
      </c>
      <c r="F248" s="290"/>
      <c r="G248" s="107"/>
      <c r="H248" s="290"/>
      <c r="I248" s="107"/>
      <c r="J248" s="290"/>
      <c r="K248" s="107"/>
      <c r="L248" s="290"/>
      <c r="M248" s="107"/>
      <c r="N248" s="290"/>
      <c r="O248" s="107"/>
      <c r="P248" s="290"/>
      <c r="Q248" s="107"/>
      <c r="R248" s="290"/>
      <c r="S248" s="107"/>
      <c r="T248" s="290"/>
      <c r="U248" s="107"/>
      <c r="V248" s="290"/>
      <c r="W248" s="107"/>
      <c r="X248" s="290"/>
      <c r="Y248" s="107"/>
      <c r="Z248" s="290"/>
      <c r="AA248" s="107"/>
      <c r="AB248" s="290"/>
      <c r="AC248" s="107"/>
      <c r="AD248" s="290"/>
      <c r="AE248" s="107"/>
      <c r="AF248" s="290"/>
      <c r="AG248" s="107"/>
      <c r="AH248" s="290"/>
      <c r="AI248" s="107"/>
      <c r="AJ248" s="290"/>
      <c r="AK248" s="107"/>
      <c r="AL248" s="290"/>
      <c r="AM248" s="65"/>
      <c r="AN248" s="296"/>
      <c r="AO248" s="22"/>
      <c r="AP248" s="61"/>
      <c r="AQ248" s="547"/>
      <c r="AR248" s="530"/>
      <c r="AS248" s="373"/>
      <c r="AT248" s="530"/>
      <c r="AU248" s="547"/>
      <c r="AV248" s="530"/>
      <c r="AW248" s="547"/>
      <c r="AX248" s="530"/>
      <c r="AY248" s="6" t="str">
        <f t="shared" ref="AY248:AY293" si="222">CA248&amp;CB248&amp;CC248&amp;CD248&amp;CE248&amp;CF248&amp;CG248&amp;CH248&amp;CI248</f>
        <v/>
      </c>
      <c r="CA248" s="19"/>
      <c r="CB248" s="135" t="str">
        <f t="shared" si="205"/>
        <v/>
      </c>
      <c r="CC248" s="135" t="str">
        <f t="shared" si="206"/>
        <v/>
      </c>
      <c r="CD248" s="135" t="str">
        <f t="shared" si="207"/>
        <v/>
      </c>
      <c r="CE248" s="135" t="str">
        <f t="shared" si="208"/>
        <v/>
      </c>
      <c r="CF248" s="135" t="str">
        <f t="shared" si="209"/>
        <v/>
      </c>
      <c r="CG248" s="135" t="str">
        <f t="shared" si="210"/>
        <v/>
      </c>
      <c r="CH248" s="135" t="str">
        <f t="shared" si="211"/>
        <v/>
      </c>
      <c r="CI248" s="135" t="str">
        <f t="shared" si="212"/>
        <v/>
      </c>
      <c r="CL248"/>
      <c r="CO248"/>
      <c r="CP248" s="180">
        <f t="shared" si="213"/>
        <v>0</v>
      </c>
      <c r="CQ248" s="180">
        <f t="shared" si="214"/>
        <v>0</v>
      </c>
      <c r="CR248" s="180">
        <f t="shared" si="215"/>
        <v>0</v>
      </c>
      <c r="CS248" s="180">
        <f t="shared" si="216"/>
        <v>0</v>
      </c>
      <c r="CT248" s="180">
        <f t="shared" si="217"/>
        <v>0</v>
      </c>
      <c r="CU248" s="180">
        <f t="shared" si="218"/>
        <v>0</v>
      </c>
      <c r="CV248" s="180">
        <f t="shared" si="219"/>
        <v>0</v>
      </c>
      <c r="CW248" s="180">
        <f t="shared" si="220"/>
        <v>0</v>
      </c>
    </row>
    <row r="249" spans="1:103" s="6" customFormat="1" ht="15" customHeight="1" x14ac:dyDescent="0.3">
      <c r="A249" s="6185" t="s">
        <v>853</v>
      </c>
      <c r="B249" s="656" t="s">
        <v>851</v>
      </c>
      <c r="C249" s="654">
        <f t="shared" si="203"/>
        <v>0</v>
      </c>
      <c r="D249" s="655">
        <f t="shared" si="204"/>
        <v>0</v>
      </c>
      <c r="E249" s="656">
        <f t="shared" si="221"/>
        <v>0</v>
      </c>
      <c r="F249" s="474"/>
      <c r="G249" s="576"/>
      <c r="H249" s="474"/>
      <c r="I249" s="576"/>
      <c r="J249" s="474"/>
      <c r="K249" s="576"/>
      <c r="L249" s="474"/>
      <c r="M249" s="576"/>
      <c r="N249" s="474"/>
      <c r="O249" s="576"/>
      <c r="P249" s="474"/>
      <c r="Q249" s="576"/>
      <c r="R249" s="474"/>
      <c r="S249" s="576"/>
      <c r="T249" s="474"/>
      <c r="U249" s="576"/>
      <c r="V249" s="474"/>
      <c r="W249" s="576"/>
      <c r="X249" s="474"/>
      <c r="Y249" s="576"/>
      <c r="Z249" s="474"/>
      <c r="AA249" s="576"/>
      <c r="AB249" s="474"/>
      <c r="AC249" s="576"/>
      <c r="AD249" s="474"/>
      <c r="AE249" s="576"/>
      <c r="AF249" s="474"/>
      <c r="AG249" s="576"/>
      <c r="AH249" s="474"/>
      <c r="AI249" s="576"/>
      <c r="AJ249" s="474"/>
      <c r="AK249" s="576"/>
      <c r="AL249" s="474"/>
      <c r="AM249" s="559"/>
      <c r="AN249" s="497"/>
      <c r="AO249" s="477"/>
      <c r="AP249" s="476"/>
      <c r="AQ249" s="477"/>
      <c r="AR249" s="475"/>
      <c r="AS249" s="474"/>
      <c r="AT249" s="576"/>
      <c r="AU249" s="477"/>
      <c r="AV249" s="475"/>
      <c r="AW249" s="477"/>
      <c r="AX249" s="475"/>
      <c r="AY249" s="6" t="str">
        <f t="shared" si="222"/>
        <v/>
      </c>
      <c r="CA249" s="19"/>
      <c r="CB249" s="135" t="str">
        <f t="shared" si="205"/>
        <v/>
      </c>
      <c r="CC249" s="135" t="str">
        <f t="shared" si="206"/>
        <v/>
      </c>
      <c r="CD249" s="135" t="str">
        <f t="shared" si="207"/>
        <v/>
      </c>
      <c r="CE249" s="135" t="str">
        <f t="shared" si="208"/>
        <v/>
      </c>
      <c r="CF249" s="135" t="str">
        <f t="shared" si="209"/>
        <v/>
      </c>
      <c r="CG249" s="135" t="str">
        <f t="shared" si="210"/>
        <v/>
      </c>
      <c r="CH249" s="135" t="str">
        <f t="shared" si="211"/>
        <v/>
      </c>
      <c r="CI249" s="135" t="str">
        <f t="shared" si="212"/>
        <v/>
      </c>
      <c r="CL249"/>
      <c r="CO249"/>
      <c r="CP249" s="180">
        <f t="shared" si="213"/>
        <v>0</v>
      </c>
      <c r="CQ249" s="180">
        <f t="shared" si="214"/>
        <v>0</v>
      </c>
      <c r="CR249" s="180">
        <f t="shared" si="215"/>
        <v>0</v>
      </c>
      <c r="CS249" s="180">
        <f t="shared" si="216"/>
        <v>0</v>
      </c>
      <c r="CT249" s="180">
        <f t="shared" si="217"/>
        <v>0</v>
      </c>
      <c r="CU249" s="180">
        <f t="shared" si="218"/>
        <v>0</v>
      </c>
      <c r="CV249" s="180">
        <f t="shared" si="219"/>
        <v>0</v>
      </c>
      <c r="CW249" s="180">
        <f t="shared" si="220"/>
        <v>0</v>
      </c>
    </row>
    <row r="250" spans="1:103" s="6" customFormat="1" ht="15" customHeight="1" x14ac:dyDescent="0.3">
      <c r="A250" s="5791"/>
      <c r="B250" s="387" t="s">
        <v>852</v>
      </c>
      <c r="C250" s="309">
        <f t="shared" si="203"/>
        <v>0</v>
      </c>
      <c r="D250" s="657">
        <f t="shared" si="204"/>
        <v>0</v>
      </c>
      <c r="E250" s="108">
        <f t="shared" si="221"/>
        <v>0</v>
      </c>
      <c r="F250" s="290"/>
      <c r="G250" s="107"/>
      <c r="H250" s="290"/>
      <c r="I250" s="107"/>
      <c r="J250" s="290"/>
      <c r="K250" s="107"/>
      <c r="L250" s="290"/>
      <c r="M250" s="107"/>
      <c r="N250" s="290"/>
      <c r="O250" s="107"/>
      <c r="P250" s="290"/>
      <c r="Q250" s="107"/>
      <c r="R250" s="290"/>
      <c r="S250" s="107"/>
      <c r="T250" s="290"/>
      <c r="U250" s="107"/>
      <c r="V250" s="290"/>
      <c r="W250" s="107"/>
      <c r="X250" s="290"/>
      <c r="Y250" s="107"/>
      <c r="Z250" s="290"/>
      <c r="AA250" s="107"/>
      <c r="AB250" s="290"/>
      <c r="AC250" s="107"/>
      <c r="AD250" s="290"/>
      <c r="AE250" s="107"/>
      <c r="AF250" s="290"/>
      <c r="AG250" s="107"/>
      <c r="AH250" s="290"/>
      <c r="AI250" s="107"/>
      <c r="AJ250" s="290"/>
      <c r="AK250" s="107"/>
      <c r="AL250" s="290"/>
      <c r="AM250" s="65"/>
      <c r="AN250" s="296"/>
      <c r="AO250" s="22"/>
      <c r="AP250" s="61"/>
      <c r="AQ250" s="547"/>
      <c r="AR250" s="530"/>
      <c r="AS250" s="373"/>
      <c r="AT250" s="530"/>
      <c r="AU250" s="547"/>
      <c r="AV250" s="530"/>
      <c r="AW250" s="547"/>
      <c r="AX250" s="530"/>
      <c r="AY250" s="6" t="str">
        <f t="shared" si="222"/>
        <v/>
      </c>
      <c r="CA250" s="19"/>
      <c r="CB250" s="135" t="str">
        <f t="shared" si="205"/>
        <v/>
      </c>
      <c r="CC250" s="135" t="str">
        <f t="shared" si="206"/>
        <v/>
      </c>
      <c r="CD250" s="135" t="str">
        <f t="shared" si="207"/>
        <v/>
      </c>
      <c r="CE250" s="135" t="str">
        <f t="shared" si="208"/>
        <v/>
      </c>
      <c r="CF250" s="135" t="str">
        <f t="shared" si="209"/>
        <v/>
      </c>
      <c r="CG250" s="135" t="str">
        <f t="shared" si="210"/>
        <v/>
      </c>
      <c r="CH250" s="135" t="str">
        <f t="shared" si="211"/>
        <v/>
      </c>
      <c r="CI250" s="135" t="str">
        <f t="shared" si="212"/>
        <v/>
      </c>
      <c r="CL250"/>
      <c r="CO250"/>
      <c r="CP250" s="180">
        <f t="shared" si="213"/>
        <v>0</v>
      </c>
      <c r="CQ250" s="180">
        <f t="shared" si="214"/>
        <v>0</v>
      </c>
      <c r="CR250" s="180">
        <f t="shared" si="215"/>
        <v>0</v>
      </c>
      <c r="CS250" s="180">
        <f t="shared" si="216"/>
        <v>0</v>
      </c>
      <c r="CT250" s="180">
        <f t="shared" si="217"/>
        <v>0</v>
      </c>
      <c r="CU250" s="180">
        <f t="shared" si="218"/>
        <v>0</v>
      </c>
      <c r="CV250" s="180">
        <f t="shared" si="219"/>
        <v>0</v>
      </c>
      <c r="CW250" s="180">
        <f t="shared" si="220"/>
        <v>0</v>
      </c>
    </row>
    <row r="251" spans="1:103" ht="15" customHeight="1" x14ac:dyDescent="0.3">
      <c r="A251" s="6185" t="s">
        <v>854</v>
      </c>
      <c r="B251" s="656" t="s">
        <v>851</v>
      </c>
      <c r="C251" s="654">
        <f>SUM(D251+E251)</f>
        <v>0</v>
      </c>
      <c r="D251" s="655">
        <f t="shared" ref="D251:E259" si="223">SUM(F251+H251+J251+L251+N251+P251+R251+T251+V251+X251+Z251+AB251+AD251+AF251+AH251+AJ251+AL251)</f>
        <v>0</v>
      </c>
      <c r="E251" s="656">
        <f t="shared" si="223"/>
        <v>0</v>
      </c>
      <c r="F251" s="474"/>
      <c r="G251" s="576"/>
      <c r="H251" s="474"/>
      <c r="I251" s="576"/>
      <c r="J251" s="474"/>
      <c r="K251" s="576"/>
      <c r="L251" s="474"/>
      <c r="M251" s="576"/>
      <c r="N251" s="474"/>
      <c r="O251" s="576"/>
      <c r="P251" s="474"/>
      <c r="Q251" s="576"/>
      <c r="R251" s="474"/>
      <c r="S251" s="576"/>
      <c r="T251" s="474"/>
      <c r="U251" s="576"/>
      <c r="V251" s="474"/>
      <c r="W251" s="576"/>
      <c r="X251" s="474"/>
      <c r="Y251" s="576"/>
      <c r="Z251" s="474"/>
      <c r="AA251" s="576"/>
      <c r="AB251" s="474"/>
      <c r="AC251" s="576"/>
      <c r="AD251" s="474"/>
      <c r="AE251" s="576"/>
      <c r="AF251" s="474"/>
      <c r="AG251" s="576"/>
      <c r="AH251" s="474"/>
      <c r="AI251" s="576"/>
      <c r="AJ251" s="474"/>
      <c r="AK251" s="576"/>
      <c r="AL251" s="474"/>
      <c r="AM251" s="559"/>
      <c r="AN251" s="497"/>
      <c r="AO251" s="477"/>
      <c r="AP251" s="476"/>
      <c r="AQ251" s="477"/>
      <c r="AR251" s="475"/>
      <c r="AS251" s="474"/>
      <c r="AT251" s="475"/>
      <c r="AU251" s="477"/>
      <c r="AV251" s="475"/>
      <c r="AW251" s="477"/>
      <c r="AX251" s="475"/>
      <c r="AY251" s="6" t="str">
        <f t="shared" si="222"/>
        <v/>
      </c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CA251" s="19"/>
      <c r="CB251" s="135" t="str">
        <f t="shared" si="205"/>
        <v/>
      </c>
      <c r="CC251" s="135" t="str">
        <f t="shared" si="206"/>
        <v/>
      </c>
      <c r="CD251" s="135" t="str">
        <f t="shared" si="207"/>
        <v/>
      </c>
      <c r="CE251" s="135" t="str">
        <f t="shared" si="208"/>
        <v/>
      </c>
      <c r="CF251" s="135" t="str">
        <f t="shared" si="209"/>
        <v/>
      </c>
      <c r="CG251" s="135" t="str">
        <f t="shared" si="210"/>
        <v/>
      </c>
      <c r="CH251" s="135" t="str">
        <f t="shared" si="211"/>
        <v/>
      </c>
      <c r="CI251" s="135" t="str">
        <f t="shared" si="212"/>
        <v/>
      </c>
      <c r="CJ251" s="6"/>
      <c r="CK251" s="6"/>
      <c r="CM251" s="6"/>
      <c r="CN251" s="6"/>
      <c r="CP251" s="180">
        <f t="shared" si="213"/>
        <v>0</v>
      </c>
      <c r="CQ251" s="180">
        <f t="shared" si="214"/>
        <v>0</v>
      </c>
      <c r="CR251" s="180">
        <f t="shared" si="215"/>
        <v>0</v>
      </c>
      <c r="CS251" s="180">
        <f t="shared" si="216"/>
        <v>0</v>
      </c>
      <c r="CT251" s="180">
        <f t="shared" si="217"/>
        <v>0</v>
      </c>
      <c r="CU251" s="180">
        <f t="shared" si="218"/>
        <v>0</v>
      </c>
      <c r="CV251" s="180">
        <f t="shared" si="219"/>
        <v>0</v>
      </c>
      <c r="CW251" s="180">
        <f t="shared" si="220"/>
        <v>0</v>
      </c>
    </row>
    <row r="252" spans="1:103" ht="15" customHeight="1" x14ac:dyDescent="0.3">
      <c r="A252" s="5791"/>
      <c r="B252" s="387" t="s">
        <v>852</v>
      </c>
      <c r="C252" s="378">
        <f>SUM(D252+E252)</f>
        <v>0</v>
      </c>
      <c r="D252" s="672">
        <f t="shared" si="223"/>
        <v>0</v>
      </c>
      <c r="E252" s="387">
        <f t="shared" si="223"/>
        <v>0</v>
      </c>
      <c r="F252" s="380"/>
      <c r="G252" s="388"/>
      <c r="H252" s="380"/>
      <c r="I252" s="388"/>
      <c r="J252" s="380"/>
      <c r="K252" s="388"/>
      <c r="L252" s="380"/>
      <c r="M252" s="388"/>
      <c r="N252" s="380"/>
      <c r="O252" s="388"/>
      <c r="P252" s="380"/>
      <c r="Q252" s="388"/>
      <c r="R252" s="380"/>
      <c r="S252" s="388"/>
      <c r="T252" s="380"/>
      <c r="U252" s="388"/>
      <c r="V252" s="380"/>
      <c r="W252" s="388"/>
      <c r="X252" s="380"/>
      <c r="Y252" s="388"/>
      <c r="Z252" s="380"/>
      <c r="AA252" s="388"/>
      <c r="AB252" s="380"/>
      <c r="AC252" s="388"/>
      <c r="AD252" s="380"/>
      <c r="AE252" s="388"/>
      <c r="AF252" s="380"/>
      <c r="AG252" s="388"/>
      <c r="AH252" s="380"/>
      <c r="AI252" s="388"/>
      <c r="AJ252" s="192"/>
      <c r="AK252" s="2"/>
      <c r="AL252" s="290"/>
      <c r="AM252" s="65"/>
      <c r="AN252" s="296"/>
      <c r="AO252" s="22"/>
      <c r="AP252" s="61"/>
      <c r="AQ252" s="547"/>
      <c r="AR252" s="530"/>
      <c r="AS252" s="373"/>
      <c r="AT252" s="530"/>
      <c r="AU252" s="547"/>
      <c r="AV252" s="530"/>
      <c r="AW252" s="547"/>
      <c r="AX252" s="530"/>
      <c r="AY252" s="6" t="str">
        <f t="shared" si="222"/>
        <v/>
      </c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CA252" s="19"/>
      <c r="CB252" s="135" t="str">
        <f t="shared" si="205"/>
        <v/>
      </c>
      <c r="CC252" s="135" t="str">
        <f t="shared" si="206"/>
        <v/>
      </c>
      <c r="CD252" s="135" t="str">
        <f t="shared" si="207"/>
        <v/>
      </c>
      <c r="CE252" s="135" t="str">
        <f t="shared" si="208"/>
        <v/>
      </c>
      <c r="CF252" s="135" t="str">
        <f t="shared" si="209"/>
        <v/>
      </c>
      <c r="CG252" s="135" t="str">
        <f t="shared" si="210"/>
        <v/>
      </c>
      <c r="CH252" s="135" t="str">
        <f t="shared" si="211"/>
        <v/>
      </c>
      <c r="CI252" s="135" t="str">
        <f t="shared" si="212"/>
        <v/>
      </c>
      <c r="CJ252" s="6"/>
      <c r="CK252" s="6"/>
      <c r="CM252" s="6"/>
      <c r="CN252" s="6"/>
      <c r="CP252" s="180">
        <f t="shared" si="213"/>
        <v>0</v>
      </c>
      <c r="CQ252" s="180">
        <f t="shared" si="214"/>
        <v>0</v>
      </c>
      <c r="CR252" s="180">
        <f t="shared" si="215"/>
        <v>0</v>
      </c>
      <c r="CS252" s="180">
        <f t="shared" si="216"/>
        <v>0</v>
      </c>
      <c r="CT252" s="180">
        <f t="shared" si="217"/>
        <v>0</v>
      </c>
      <c r="CU252" s="180">
        <f t="shared" si="218"/>
        <v>0</v>
      </c>
      <c r="CV252" s="180">
        <f t="shared" si="219"/>
        <v>0</v>
      </c>
      <c r="CW252" s="180">
        <f t="shared" si="220"/>
        <v>0</v>
      </c>
    </row>
    <row r="253" spans="1:103" x14ac:dyDescent="0.3">
      <c r="A253" s="6333" t="s">
        <v>855</v>
      </c>
      <c r="B253" s="6334"/>
      <c r="C253" s="700">
        <f t="shared" ref="C253:C292" si="224">SUM(D253+E253)</f>
        <v>0</v>
      </c>
      <c r="D253" s="646">
        <f t="shared" si="223"/>
        <v>0</v>
      </c>
      <c r="E253" s="568">
        <f t="shared" si="223"/>
        <v>0</v>
      </c>
      <c r="F253" s="505"/>
      <c r="G253" s="508"/>
      <c r="H253" s="505"/>
      <c r="I253" s="508"/>
      <c r="J253" s="505"/>
      <c r="K253" s="508"/>
      <c r="L253" s="505"/>
      <c r="M253" s="508"/>
      <c r="N253" s="505"/>
      <c r="O253" s="508"/>
      <c r="P253" s="505"/>
      <c r="Q253" s="508"/>
      <c r="R253" s="505"/>
      <c r="S253" s="508"/>
      <c r="T253" s="505"/>
      <c r="U253" s="508"/>
      <c r="V253" s="505"/>
      <c r="W253" s="508"/>
      <c r="X253" s="505"/>
      <c r="Y253" s="508"/>
      <c r="Z253" s="505"/>
      <c r="AA253" s="508"/>
      <c r="AB253" s="505"/>
      <c r="AC253" s="508"/>
      <c r="AD253" s="505"/>
      <c r="AE253" s="508"/>
      <c r="AF253" s="505"/>
      <c r="AG253" s="508"/>
      <c r="AH253" s="505"/>
      <c r="AI253" s="508"/>
      <c r="AJ253" s="505"/>
      <c r="AK253" s="508"/>
      <c r="AL253" s="474"/>
      <c r="AM253" s="559"/>
      <c r="AN253" s="497"/>
      <c r="AO253" s="477"/>
      <c r="AP253" s="476"/>
      <c r="AQ253" s="507"/>
      <c r="AR253" s="508"/>
      <c r="AS253" s="505"/>
      <c r="AT253" s="508"/>
      <c r="AU253" s="507"/>
      <c r="AV253" s="508"/>
      <c r="AW253" s="507"/>
      <c r="AX253" s="508"/>
      <c r="AY253" s="6" t="str">
        <f t="shared" si="222"/>
        <v/>
      </c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CA253" s="19"/>
      <c r="CB253" s="135" t="str">
        <f t="shared" si="205"/>
        <v/>
      </c>
      <c r="CC253" s="135" t="str">
        <f t="shared" si="206"/>
        <v/>
      </c>
      <c r="CD253" s="135" t="str">
        <f t="shared" si="207"/>
        <v/>
      </c>
      <c r="CE253" s="135" t="str">
        <f t="shared" si="208"/>
        <v/>
      </c>
      <c r="CF253" s="135" t="str">
        <f t="shared" si="209"/>
        <v/>
      </c>
      <c r="CG253" s="135" t="str">
        <f t="shared" si="210"/>
        <v/>
      </c>
      <c r="CH253" s="135" t="str">
        <f t="shared" si="211"/>
        <v/>
      </c>
      <c r="CI253" s="135" t="str">
        <f t="shared" si="212"/>
        <v/>
      </c>
      <c r="CJ253" s="6"/>
      <c r="CK253" s="6"/>
      <c r="CM253" s="6"/>
      <c r="CN253" s="6"/>
      <c r="CP253" s="180">
        <f t="shared" si="213"/>
        <v>0</v>
      </c>
      <c r="CQ253" s="180">
        <f t="shared" si="214"/>
        <v>0</v>
      </c>
      <c r="CR253" s="180">
        <f t="shared" si="215"/>
        <v>0</v>
      </c>
      <c r="CS253" s="180">
        <f t="shared" si="216"/>
        <v>0</v>
      </c>
      <c r="CT253" s="180">
        <f t="shared" si="217"/>
        <v>0</v>
      </c>
      <c r="CU253" s="180">
        <f t="shared" si="218"/>
        <v>0</v>
      </c>
      <c r="CV253" s="180">
        <f t="shared" si="219"/>
        <v>0</v>
      </c>
      <c r="CW253" s="180">
        <f t="shared" si="220"/>
        <v>0</v>
      </c>
    </row>
    <row r="254" spans="1:103" x14ac:dyDescent="0.3">
      <c r="A254" s="6185" t="s">
        <v>856</v>
      </c>
      <c r="B254" s="656" t="s">
        <v>857</v>
      </c>
      <c r="C254" s="654">
        <f t="shared" si="224"/>
        <v>0</v>
      </c>
      <c r="D254" s="655">
        <f>SUM(H254+J254+L254+N254+P254+R254+T254+V254+X254+Z254+AB254+AD254+AF254+AH254+AJ254+AL254)</f>
        <v>0</v>
      </c>
      <c r="E254" s="656">
        <f>SUM(I254+K254+M254+O254+Q254+S254+U254+W254+Y254+AA254+AC254+AE254+AG254+AI254+AK254+AM254)</f>
        <v>0</v>
      </c>
      <c r="F254" s="660"/>
      <c r="G254" s="661"/>
      <c r="H254" s="474"/>
      <c r="I254" s="576"/>
      <c r="J254" s="474"/>
      <c r="K254" s="576"/>
      <c r="L254" s="474"/>
      <c r="M254" s="576"/>
      <c r="N254" s="474"/>
      <c r="O254" s="576"/>
      <c r="P254" s="474"/>
      <c r="Q254" s="576"/>
      <c r="R254" s="474"/>
      <c r="S254" s="576"/>
      <c r="T254" s="474"/>
      <c r="U254" s="576"/>
      <c r="V254" s="474"/>
      <c r="W254" s="576"/>
      <c r="X254" s="474"/>
      <c r="Y254" s="576"/>
      <c r="Z254" s="474"/>
      <c r="AA254" s="576"/>
      <c r="AB254" s="474"/>
      <c r="AC254" s="576"/>
      <c r="AD254" s="474"/>
      <c r="AE254" s="576"/>
      <c r="AF254" s="474"/>
      <c r="AG254" s="576"/>
      <c r="AH254" s="474"/>
      <c r="AI254" s="576"/>
      <c r="AJ254" s="474"/>
      <c r="AK254" s="576"/>
      <c r="AL254" s="474"/>
      <c r="AM254" s="559"/>
      <c r="AN254" s="497"/>
      <c r="AO254" s="477"/>
      <c r="AP254" s="476"/>
      <c r="AQ254" s="477"/>
      <c r="AR254" s="475"/>
      <c r="AS254" s="474"/>
      <c r="AT254" s="475"/>
      <c r="AU254" s="477"/>
      <c r="AV254" s="475"/>
      <c r="AW254" s="477"/>
      <c r="AX254" s="475"/>
      <c r="AY254" s="6" t="str">
        <f t="shared" si="222"/>
        <v/>
      </c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CA254" s="19"/>
      <c r="CB254" s="135" t="str">
        <f t="shared" si="205"/>
        <v/>
      </c>
      <c r="CC254" s="135" t="str">
        <f t="shared" si="206"/>
        <v/>
      </c>
      <c r="CD254" s="135" t="str">
        <f t="shared" si="207"/>
        <v/>
      </c>
      <c r="CE254" s="135" t="str">
        <f t="shared" si="208"/>
        <v/>
      </c>
      <c r="CF254" s="135" t="str">
        <f t="shared" si="209"/>
        <v/>
      </c>
      <c r="CG254" s="135" t="str">
        <f t="shared" si="210"/>
        <v/>
      </c>
      <c r="CH254" s="135" t="str">
        <f t="shared" si="211"/>
        <v/>
      </c>
      <c r="CI254" s="135" t="str">
        <f t="shared" si="212"/>
        <v/>
      </c>
      <c r="CJ254" s="6"/>
      <c r="CK254" s="6"/>
      <c r="CM254" s="6"/>
      <c r="CN254" s="6"/>
      <c r="CP254" s="180">
        <f t="shared" si="213"/>
        <v>0</v>
      </c>
      <c r="CQ254" s="180">
        <f t="shared" si="214"/>
        <v>0</v>
      </c>
      <c r="CR254" s="180">
        <f t="shared" si="215"/>
        <v>0</v>
      </c>
      <c r="CS254" s="180">
        <f t="shared" si="216"/>
        <v>0</v>
      </c>
      <c r="CT254" s="180">
        <f t="shared" si="217"/>
        <v>0</v>
      </c>
      <c r="CU254" s="180">
        <f t="shared" si="218"/>
        <v>0</v>
      </c>
      <c r="CV254" s="180">
        <f t="shared" si="219"/>
        <v>0</v>
      </c>
      <c r="CW254" s="180">
        <f t="shared" si="220"/>
        <v>0</v>
      </c>
    </row>
    <row r="255" spans="1:103" x14ac:dyDescent="0.3">
      <c r="A255" s="5791"/>
      <c r="B255" s="387" t="s">
        <v>858</v>
      </c>
      <c r="C255" s="73">
        <f t="shared" si="224"/>
        <v>0</v>
      </c>
      <c r="D255" s="246">
        <f>SUM(H255+J255+L255+N255+P255+R255+T255+V255+X255+Z255+AB255+AD255+AF255+AH255+AJ255+AL255)</f>
        <v>0</v>
      </c>
      <c r="E255" s="67">
        <f>SUM(I255+K255+M255+O255+Q255+S255+U255+W255+Y255+AA255+AC255+AE255+AG255+AI255+AK255+AM255)</f>
        <v>0</v>
      </c>
      <c r="F255" s="285"/>
      <c r="G255" s="286"/>
      <c r="H255" s="47"/>
      <c r="I255" s="42"/>
      <c r="J255" s="47"/>
      <c r="K255" s="42"/>
      <c r="L255" s="47"/>
      <c r="M255" s="42"/>
      <c r="N255" s="47"/>
      <c r="O255" s="42"/>
      <c r="P255" s="47"/>
      <c r="Q255" s="42"/>
      <c r="R255" s="47"/>
      <c r="S255" s="42"/>
      <c r="T255" s="47"/>
      <c r="U255" s="42"/>
      <c r="V255" s="47"/>
      <c r="W255" s="42"/>
      <c r="X255" s="47"/>
      <c r="Y255" s="42"/>
      <c r="Z255" s="47"/>
      <c r="AA255" s="42"/>
      <c r="AB255" s="47"/>
      <c r="AC255" s="42"/>
      <c r="AD255" s="47"/>
      <c r="AE255" s="42"/>
      <c r="AF255" s="47"/>
      <c r="AG255" s="42"/>
      <c r="AH255" s="47"/>
      <c r="AI255" s="42"/>
      <c r="AJ255" s="373"/>
      <c r="AK255" s="530"/>
      <c r="AL255" s="290"/>
      <c r="AM255" s="65"/>
      <c r="AN255" s="296"/>
      <c r="AO255" s="22"/>
      <c r="AP255" s="61"/>
      <c r="AQ255" s="547"/>
      <c r="AR255" s="530"/>
      <c r="AS255" s="373"/>
      <c r="AT255" s="530"/>
      <c r="AU255" s="547"/>
      <c r="AV255" s="530"/>
      <c r="AW255" s="547"/>
      <c r="AX255" s="530"/>
      <c r="AY255" s="6" t="str">
        <f t="shared" si="222"/>
        <v/>
      </c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CA255" s="19"/>
      <c r="CB255" s="135" t="str">
        <f t="shared" si="205"/>
        <v/>
      </c>
      <c r="CC255" s="135" t="str">
        <f t="shared" si="206"/>
        <v/>
      </c>
      <c r="CD255" s="135" t="str">
        <f t="shared" si="207"/>
        <v/>
      </c>
      <c r="CE255" s="135" t="str">
        <f t="shared" si="208"/>
        <v/>
      </c>
      <c r="CF255" s="135" t="str">
        <f t="shared" si="209"/>
        <v/>
      </c>
      <c r="CG255" s="135" t="str">
        <f t="shared" si="210"/>
        <v/>
      </c>
      <c r="CH255" s="135" t="str">
        <f t="shared" si="211"/>
        <v/>
      </c>
      <c r="CI255" s="135" t="str">
        <f t="shared" si="212"/>
        <v/>
      </c>
      <c r="CJ255" s="6"/>
      <c r="CK255" s="6"/>
      <c r="CM255" s="6"/>
      <c r="CN255" s="6"/>
      <c r="CP255" s="180">
        <f t="shared" si="213"/>
        <v>0</v>
      </c>
      <c r="CQ255" s="180">
        <f t="shared" si="214"/>
        <v>0</v>
      </c>
      <c r="CR255" s="180">
        <f t="shared" si="215"/>
        <v>0</v>
      </c>
      <c r="CS255" s="180">
        <f t="shared" si="216"/>
        <v>0</v>
      </c>
      <c r="CT255" s="180">
        <f t="shared" si="217"/>
        <v>0</v>
      </c>
      <c r="CU255" s="180">
        <f t="shared" si="218"/>
        <v>0</v>
      </c>
      <c r="CV255" s="180">
        <f t="shared" si="219"/>
        <v>0</v>
      </c>
      <c r="CW255" s="180">
        <f t="shared" si="220"/>
        <v>0</v>
      </c>
    </row>
    <row r="256" spans="1:103" s="6" customFormat="1" ht="18" customHeight="1" x14ac:dyDescent="0.3">
      <c r="A256" s="662" t="s">
        <v>859</v>
      </c>
      <c r="B256" s="644"/>
      <c r="C256" s="613">
        <f t="shared" si="224"/>
        <v>0</v>
      </c>
      <c r="D256" s="614">
        <f t="shared" si="223"/>
        <v>0</v>
      </c>
      <c r="E256" s="615">
        <f t="shared" si="223"/>
        <v>0</v>
      </c>
      <c r="F256" s="701"/>
      <c r="G256" s="702"/>
      <c r="H256" s="701"/>
      <c r="I256" s="702"/>
      <c r="J256" s="701"/>
      <c r="K256" s="702"/>
      <c r="L256" s="701"/>
      <c r="M256" s="702"/>
      <c r="N256" s="701"/>
      <c r="O256" s="702"/>
      <c r="P256" s="701"/>
      <c r="Q256" s="702"/>
      <c r="R256" s="701"/>
      <c r="S256" s="702"/>
      <c r="T256" s="701"/>
      <c r="U256" s="702"/>
      <c r="V256" s="701"/>
      <c r="W256" s="702"/>
      <c r="X256" s="701"/>
      <c r="Y256" s="702"/>
      <c r="Z256" s="701"/>
      <c r="AA256" s="702"/>
      <c r="AB256" s="701"/>
      <c r="AC256" s="702"/>
      <c r="AD256" s="701"/>
      <c r="AE256" s="702"/>
      <c r="AF256" s="701"/>
      <c r="AG256" s="702"/>
      <c r="AH256" s="701"/>
      <c r="AI256" s="702"/>
      <c r="AJ256" s="701"/>
      <c r="AK256" s="702"/>
      <c r="AL256" s="474"/>
      <c r="AM256" s="559"/>
      <c r="AN256" s="497"/>
      <c r="AO256" s="477"/>
      <c r="AP256" s="476"/>
      <c r="AQ256" s="507"/>
      <c r="AR256" s="508"/>
      <c r="AS256" s="505"/>
      <c r="AT256" s="508"/>
      <c r="AU256" s="507"/>
      <c r="AV256" s="508"/>
      <c r="AW256" s="507"/>
      <c r="AX256" s="508"/>
      <c r="AY256" s="6" t="str">
        <f t="shared" si="222"/>
        <v/>
      </c>
      <c r="CA256" s="19"/>
      <c r="CB256" s="135" t="str">
        <f t="shared" si="205"/>
        <v/>
      </c>
      <c r="CC256" s="135" t="str">
        <f t="shared" si="206"/>
        <v/>
      </c>
      <c r="CD256" s="135" t="str">
        <f t="shared" si="207"/>
        <v/>
      </c>
      <c r="CE256" s="135" t="str">
        <f t="shared" si="208"/>
        <v/>
      </c>
      <c r="CF256" s="135" t="str">
        <f t="shared" si="209"/>
        <v/>
      </c>
      <c r="CG256" s="135" t="str">
        <f t="shared" si="210"/>
        <v/>
      </c>
      <c r="CH256" s="135" t="str">
        <f t="shared" si="211"/>
        <v/>
      </c>
      <c r="CI256" s="135" t="str">
        <f t="shared" si="212"/>
        <v/>
      </c>
      <c r="CL256"/>
      <c r="CO256"/>
      <c r="CP256" s="180">
        <f t="shared" si="213"/>
        <v>0</v>
      </c>
      <c r="CQ256" s="180">
        <f t="shared" si="214"/>
        <v>0</v>
      </c>
      <c r="CR256" s="180">
        <f t="shared" si="215"/>
        <v>0</v>
      </c>
      <c r="CS256" s="180">
        <f t="shared" si="216"/>
        <v>0</v>
      </c>
      <c r="CT256" s="180">
        <f t="shared" si="217"/>
        <v>0</v>
      </c>
      <c r="CU256" s="180">
        <f t="shared" si="218"/>
        <v>0</v>
      </c>
      <c r="CV256" s="180">
        <f t="shared" si="219"/>
        <v>0</v>
      </c>
      <c r="CW256" s="180">
        <f t="shared" si="220"/>
        <v>0</v>
      </c>
    </row>
    <row r="257" spans="1:101" ht="15" customHeight="1" x14ac:dyDescent="0.3">
      <c r="A257" s="6185" t="s">
        <v>860</v>
      </c>
      <c r="B257" s="108" t="s">
        <v>861</v>
      </c>
      <c r="C257" s="309">
        <f t="shared" si="224"/>
        <v>0</v>
      </c>
      <c r="D257" s="657">
        <f t="shared" si="223"/>
        <v>0</v>
      </c>
      <c r="E257" s="108">
        <f t="shared" si="223"/>
        <v>0</v>
      </c>
      <c r="F257" s="290"/>
      <c r="G257" s="107"/>
      <c r="H257" s="290"/>
      <c r="I257" s="107"/>
      <c r="J257" s="290"/>
      <c r="K257" s="107"/>
      <c r="L257" s="290"/>
      <c r="M257" s="107"/>
      <c r="N257" s="290"/>
      <c r="O257" s="107"/>
      <c r="P257" s="290"/>
      <c r="Q257" s="107"/>
      <c r="R257" s="290"/>
      <c r="S257" s="107"/>
      <c r="T257" s="290"/>
      <c r="U257" s="107"/>
      <c r="V257" s="290"/>
      <c r="W257" s="107"/>
      <c r="X257" s="290"/>
      <c r="Y257" s="107"/>
      <c r="Z257" s="290"/>
      <c r="AA257" s="107"/>
      <c r="AB257" s="290"/>
      <c r="AC257" s="107"/>
      <c r="AD257" s="290"/>
      <c r="AE257" s="107"/>
      <c r="AF257" s="290"/>
      <c r="AG257" s="107"/>
      <c r="AH257" s="290"/>
      <c r="AI257" s="107"/>
      <c r="AJ257" s="290"/>
      <c r="AK257" s="107"/>
      <c r="AL257" s="474"/>
      <c r="AM257" s="559"/>
      <c r="AN257" s="497"/>
      <c r="AO257" s="477"/>
      <c r="AP257" s="476"/>
      <c r="AQ257" s="477"/>
      <c r="AR257" s="475"/>
      <c r="AS257" s="474"/>
      <c r="AT257" s="475"/>
      <c r="AU257" s="477"/>
      <c r="AV257" s="475"/>
      <c r="AW257" s="477"/>
      <c r="AX257" s="475"/>
      <c r="AY257" s="6" t="str">
        <f t="shared" si="222"/>
        <v/>
      </c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CA257" s="19"/>
      <c r="CB257" s="135" t="str">
        <f t="shared" si="205"/>
        <v/>
      </c>
      <c r="CC257" s="135" t="str">
        <f t="shared" si="206"/>
        <v/>
      </c>
      <c r="CD257" s="135" t="str">
        <f t="shared" si="207"/>
        <v/>
      </c>
      <c r="CE257" s="135" t="str">
        <f t="shared" si="208"/>
        <v/>
      </c>
      <c r="CF257" s="135" t="str">
        <f t="shared" si="209"/>
        <v/>
      </c>
      <c r="CG257" s="135" t="str">
        <f t="shared" si="210"/>
        <v/>
      </c>
      <c r="CH257" s="135" t="str">
        <f t="shared" si="211"/>
        <v/>
      </c>
      <c r="CI257" s="135" t="str">
        <f t="shared" si="212"/>
        <v/>
      </c>
      <c r="CJ257" s="6"/>
      <c r="CK257" s="6"/>
      <c r="CM257" s="6"/>
      <c r="CN257" s="6"/>
      <c r="CP257" s="180">
        <f t="shared" si="213"/>
        <v>0</v>
      </c>
      <c r="CQ257" s="180">
        <f t="shared" si="214"/>
        <v>0</v>
      </c>
      <c r="CR257" s="180">
        <f t="shared" si="215"/>
        <v>0</v>
      </c>
      <c r="CS257" s="180">
        <f t="shared" si="216"/>
        <v>0</v>
      </c>
      <c r="CT257" s="180">
        <f t="shared" si="217"/>
        <v>0</v>
      </c>
      <c r="CU257" s="180">
        <f t="shared" si="218"/>
        <v>0</v>
      </c>
      <c r="CV257" s="180">
        <f t="shared" si="219"/>
        <v>0</v>
      </c>
      <c r="CW257" s="180">
        <f t="shared" si="220"/>
        <v>0</v>
      </c>
    </row>
    <row r="258" spans="1:101" x14ac:dyDescent="0.3">
      <c r="A258" s="5844"/>
      <c r="B258" s="500" t="s">
        <v>862</v>
      </c>
      <c r="C258" s="663">
        <f t="shared" si="224"/>
        <v>0</v>
      </c>
      <c r="D258" s="664">
        <f t="shared" si="223"/>
        <v>0</v>
      </c>
      <c r="E258" s="500">
        <f t="shared" si="223"/>
        <v>0</v>
      </c>
      <c r="F258" s="346"/>
      <c r="G258" s="347"/>
      <c r="H258" s="346"/>
      <c r="I258" s="347"/>
      <c r="J258" s="346"/>
      <c r="K258" s="347"/>
      <c r="L258" s="346"/>
      <c r="M258" s="347"/>
      <c r="N258" s="346"/>
      <c r="O258" s="347"/>
      <c r="P258" s="346"/>
      <c r="Q258" s="347"/>
      <c r="R258" s="346"/>
      <c r="S258" s="347"/>
      <c r="T258" s="346"/>
      <c r="U258" s="347"/>
      <c r="V258" s="346"/>
      <c r="W258" s="347"/>
      <c r="X258" s="346"/>
      <c r="Y258" s="347"/>
      <c r="Z258" s="346"/>
      <c r="AA258" s="347"/>
      <c r="AB258" s="346"/>
      <c r="AC258" s="347"/>
      <c r="AD258" s="346"/>
      <c r="AE258" s="347"/>
      <c r="AF258" s="346"/>
      <c r="AG258" s="347"/>
      <c r="AH258" s="346"/>
      <c r="AI258" s="347"/>
      <c r="AJ258" s="346"/>
      <c r="AK258" s="347"/>
      <c r="AL258" s="346"/>
      <c r="AM258" s="561"/>
      <c r="AN258" s="430"/>
      <c r="AO258" s="348"/>
      <c r="AP258" s="481"/>
      <c r="AQ258" s="348"/>
      <c r="AR258" s="347"/>
      <c r="AS258" s="346"/>
      <c r="AT258" s="347"/>
      <c r="AU258" s="348"/>
      <c r="AV258" s="347"/>
      <c r="AW258" s="348"/>
      <c r="AX258" s="347"/>
      <c r="AY258" s="6" t="str">
        <f t="shared" si="222"/>
        <v/>
      </c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CA258" s="19"/>
      <c r="CB258" s="135" t="str">
        <f t="shared" si="205"/>
        <v/>
      </c>
      <c r="CC258" s="135" t="str">
        <f t="shared" si="206"/>
        <v/>
      </c>
      <c r="CD258" s="135" t="str">
        <f t="shared" si="207"/>
        <v/>
      </c>
      <c r="CE258" s="135" t="str">
        <f t="shared" si="208"/>
        <v/>
      </c>
      <c r="CF258" s="135" t="str">
        <f t="shared" si="209"/>
        <v/>
      </c>
      <c r="CG258" s="135" t="str">
        <f t="shared" si="210"/>
        <v/>
      </c>
      <c r="CH258" s="135" t="str">
        <f t="shared" si="211"/>
        <v/>
      </c>
      <c r="CI258" s="135" t="str">
        <f t="shared" si="212"/>
        <v/>
      </c>
      <c r="CJ258" s="6"/>
      <c r="CK258" s="6"/>
      <c r="CM258" s="6"/>
      <c r="CN258" s="6"/>
      <c r="CP258" s="180">
        <f t="shared" si="213"/>
        <v>0</v>
      </c>
      <c r="CQ258" s="180">
        <f t="shared" si="214"/>
        <v>0</v>
      </c>
      <c r="CR258" s="180">
        <f t="shared" si="215"/>
        <v>0</v>
      </c>
      <c r="CS258" s="180">
        <f t="shared" si="216"/>
        <v>0</v>
      </c>
      <c r="CT258" s="180">
        <f t="shared" si="217"/>
        <v>0</v>
      </c>
      <c r="CU258" s="180">
        <f t="shared" si="218"/>
        <v>0</v>
      </c>
      <c r="CV258" s="180">
        <f t="shared" si="219"/>
        <v>0</v>
      </c>
      <c r="CW258" s="180">
        <f t="shared" si="220"/>
        <v>0</v>
      </c>
    </row>
    <row r="259" spans="1:101" x14ac:dyDescent="0.3">
      <c r="A259" s="5844"/>
      <c r="B259" s="500" t="s">
        <v>863</v>
      </c>
      <c r="C259" s="663">
        <f t="shared" si="224"/>
        <v>0</v>
      </c>
      <c r="D259" s="664">
        <f t="shared" si="223"/>
        <v>0</v>
      </c>
      <c r="E259" s="500">
        <f>SUM(G259+I259+K259+M259+O259+Q259+S259+U259+W259+Y259+AA259+AC259+AE259+AG259+AI259+AK259+AM259)</f>
        <v>0</v>
      </c>
      <c r="F259" s="346"/>
      <c r="G259" s="347"/>
      <c r="H259" s="346"/>
      <c r="I259" s="347"/>
      <c r="J259" s="346"/>
      <c r="K259" s="347"/>
      <c r="L259" s="346"/>
      <c r="M259" s="347"/>
      <c r="N259" s="346"/>
      <c r="O259" s="347"/>
      <c r="P259" s="346"/>
      <c r="Q259" s="347"/>
      <c r="R259" s="346"/>
      <c r="S259" s="347"/>
      <c r="T259" s="346"/>
      <c r="U259" s="347"/>
      <c r="V259" s="346"/>
      <c r="W259" s="347"/>
      <c r="X259" s="346"/>
      <c r="Y259" s="347"/>
      <c r="Z259" s="346"/>
      <c r="AA259" s="347"/>
      <c r="AB259" s="346"/>
      <c r="AC259" s="347"/>
      <c r="AD259" s="346"/>
      <c r="AE259" s="347"/>
      <c r="AF259" s="346"/>
      <c r="AG259" s="347"/>
      <c r="AH259" s="346"/>
      <c r="AI259" s="347"/>
      <c r="AJ259" s="346"/>
      <c r="AK259" s="347"/>
      <c r="AL259" s="290"/>
      <c r="AM259" s="65"/>
      <c r="AN259" s="296"/>
      <c r="AO259" s="22"/>
      <c r="AP259" s="61"/>
      <c r="AQ259" s="430"/>
      <c r="AR259" s="347"/>
      <c r="AS259" s="346"/>
      <c r="AT259" s="347"/>
      <c r="AU259" s="348"/>
      <c r="AV259" s="347"/>
      <c r="AW259" s="348"/>
      <c r="AX259" s="347"/>
      <c r="AY259" s="6" t="str">
        <f t="shared" si="222"/>
        <v/>
      </c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CA259" s="19"/>
      <c r="CB259" s="135" t="str">
        <f t="shared" si="205"/>
        <v/>
      </c>
      <c r="CC259" s="135" t="str">
        <f t="shared" si="206"/>
        <v/>
      </c>
      <c r="CD259" s="135" t="str">
        <f t="shared" si="207"/>
        <v/>
      </c>
      <c r="CE259" s="135" t="str">
        <f t="shared" si="208"/>
        <v/>
      </c>
      <c r="CF259" s="135" t="str">
        <f t="shared" si="209"/>
        <v/>
      </c>
      <c r="CG259" s="135" t="str">
        <f t="shared" si="210"/>
        <v/>
      </c>
      <c r="CH259" s="135" t="str">
        <f t="shared" si="211"/>
        <v/>
      </c>
      <c r="CI259" s="135" t="str">
        <f t="shared" si="212"/>
        <v/>
      </c>
      <c r="CJ259" s="6"/>
      <c r="CK259" s="6"/>
      <c r="CM259" s="6"/>
      <c r="CN259" s="6"/>
      <c r="CP259" s="180">
        <f t="shared" si="213"/>
        <v>0</v>
      </c>
      <c r="CQ259" s="180">
        <f t="shared" si="214"/>
        <v>0</v>
      </c>
      <c r="CR259" s="180">
        <f t="shared" si="215"/>
        <v>0</v>
      </c>
      <c r="CS259" s="180">
        <f t="shared" si="216"/>
        <v>0</v>
      </c>
      <c r="CT259" s="180">
        <f t="shared" si="217"/>
        <v>0</v>
      </c>
      <c r="CU259" s="180">
        <f t="shared" si="218"/>
        <v>0</v>
      </c>
      <c r="CV259" s="180">
        <f t="shared" si="219"/>
        <v>0</v>
      </c>
      <c r="CW259" s="180">
        <f t="shared" si="220"/>
        <v>0</v>
      </c>
    </row>
    <row r="260" spans="1:101" x14ac:dyDescent="0.3">
      <c r="A260" s="5844"/>
      <c r="B260" s="665" t="s">
        <v>864</v>
      </c>
      <c r="C260" s="663">
        <f t="shared" si="224"/>
        <v>0</v>
      </c>
      <c r="D260" s="703"/>
      <c r="E260" s="500">
        <f>SUM(K260+M260+O260+Q260+S260+U260+W260+Y260+AA260+AC260+AE260+AG260+AI260+AK260+AM260)</f>
        <v>0</v>
      </c>
      <c r="F260" s="634"/>
      <c r="G260" s="368"/>
      <c r="H260" s="634"/>
      <c r="I260" s="368"/>
      <c r="J260" s="634"/>
      <c r="K260" s="347"/>
      <c r="L260" s="634"/>
      <c r="M260" s="347"/>
      <c r="N260" s="634"/>
      <c r="O260" s="347"/>
      <c r="P260" s="634"/>
      <c r="Q260" s="347"/>
      <c r="R260" s="634"/>
      <c r="S260" s="347"/>
      <c r="T260" s="634"/>
      <c r="U260" s="347"/>
      <c r="V260" s="634"/>
      <c r="W260" s="347"/>
      <c r="X260" s="634"/>
      <c r="Y260" s="347"/>
      <c r="Z260" s="634"/>
      <c r="AA260" s="347"/>
      <c r="AB260" s="634"/>
      <c r="AC260" s="347"/>
      <c r="AD260" s="634"/>
      <c r="AE260" s="347"/>
      <c r="AF260" s="634"/>
      <c r="AG260" s="347"/>
      <c r="AH260" s="634"/>
      <c r="AI260" s="347"/>
      <c r="AJ260" s="634"/>
      <c r="AK260" s="347"/>
      <c r="AL260" s="634"/>
      <c r="AM260" s="561"/>
      <c r="AN260" s="296"/>
      <c r="AO260" s="22"/>
      <c r="AP260" s="61"/>
      <c r="AQ260" s="22"/>
      <c r="AR260" s="107"/>
      <c r="AS260" s="686"/>
      <c r="AT260" s="107"/>
      <c r="AU260" s="22"/>
      <c r="AV260" s="107"/>
      <c r="AW260" s="22"/>
      <c r="AX260" s="107"/>
      <c r="AY260" s="6" t="str">
        <f t="shared" si="222"/>
        <v/>
      </c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CA260" s="19"/>
      <c r="CB260" s="135" t="str">
        <f t="shared" ref="CB260:CB268" si="225">IF(AND(E260&gt;0,AQ260=""), "* No olvide digitar la variable Gestantes. Digite Cero si no tiene.",IF(AQ260&gt;E260,"  * La variable Gestantes No puede ser mayor al Total Mujeres.",""))</f>
        <v/>
      </c>
      <c r="CC260" s="135" t="str">
        <f t="shared" si="206"/>
        <v/>
      </c>
      <c r="CD260" s="179"/>
      <c r="CE260" s="135" t="str">
        <f t="shared" ref="CE260:CE293" si="226">IF(AND(E260&gt;0,OR(AT260="")), "* No olvide digitar la variable Pueblos originarios Mujeres. Digite Cero si no tiene.",IF(AT260&gt;E260,"  * La variable Pueblos originarios Mujeres No puede ser mayor al Total Mujeres.",""))</f>
        <v/>
      </c>
      <c r="CF260" s="135" t="str">
        <f t="shared" ref="CF260:CF293" si="227">IF(AND(C260&gt;0,AU260=""), "* No olvide digitar la variable Niños, niñas, adolescentes y jóvenes SENAME. Digite Cero si no tiene.",IF(AU260&gt;C260,"  * La variable Niños, niñas, adolescentes y jóvenes SENAME No puede ser mayor al Total.",""))</f>
        <v/>
      </c>
      <c r="CG260" s="135" t="str">
        <f t="shared" ref="CG260:CG293" si="228">IF(AND(C260&gt;0,AV260=""), "* No olvide digitar la variable Niños, niñas, adolescentes y jóvenes Mejor Niñez. Digite Cero si no tiene.",IF(AV260&gt;C260,"  * La variable Niños, niñas, adolescentes y jóvenes Mejor Niñez No puede ser mayor al Total.",""))</f>
        <v/>
      </c>
      <c r="CH260" s="135" t="str">
        <f t="shared" ref="CH260:CH293" si="229">IF(AND(C260&gt;0,AW260=""), "* No olvide digitar la variable Migrantes. Digite Cero si no tiene.",IF(AW260&gt;C260,"  * La variable Migrantes No puede ser mayor al Total.",""))</f>
        <v/>
      </c>
      <c r="CI260" s="135" t="str">
        <f t="shared" ref="CI260:CI293" si="230">IF(AND(C260&gt;0,AX260=""), "* No olvide digitar la variable Trans (Masculino/ Femenino). Digite Cero si no tiene.",IF(AX260&gt;C260,"  * La variable Trans (Masculino/Femenino) No puede ser mayor al Total Ambos Sexos.",""))</f>
        <v/>
      </c>
      <c r="CP260" s="55">
        <f t="shared" ref="CP260:CP278" si="231">IF(AND(E260&gt;0,AQ260=""),1,IF(AQ260&gt;E260,1,0))</f>
        <v>0</v>
      </c>
      <c r="CQ260" s="55">
        <f t="shared" ref="CQ260:CQ269" si="232">IF(AND(E260&gt;0,AR260=""),1,IF(AR260&gt;E260,1,0))</f>
        <v>0</v>
      </c>
      <c r="CR260" s="55">
        <f t="shared" ref="CR260:CR293" si="233">IF(AND(D260&gt;0,OR(AS260="")),1,IF(AS260&gt;D260,1,0))</f>
        <v>0</v>
      </c>
      <c r="CS260" s="55">
        <f t="shared" ref="CS260:CS293" si="234">IF(AND(E260&gt;0,OR(AT260="")),1,IF(AT260&gt;E260,1,0))</f>
        <v>0</v>
      </c>
      <c r="CT260" s="55">
        <f t="shared" ref="CT260:CT293" si="235">IF(AND(C260&gt;0,AU260=""),1,IF(AU260&gt;C260,1,0))</f>
        <v>0</v>
      </c>
      <c r="CU260" s="55">
        <f t="shared" ref="CU260:CU293" si="236">IF(AND(C260&gt;0,AV260=""),1,IF(AV260&gt;C260,1,0))</f>
        <v>0</v>
      </c>
      <c r="CV260" s="55">
        <f t="shared" ref="CV260:CV293" si="237">IF(AND(C260&gt;0,AW260=""),1,IF(AW260&gt;C260,1,0))</f>
        <v>0</v>
      </c>
      <c r="CW260" s="55">
        <f t="shared" ref="CW260:CW293" si="238">IF(AND(C260&gt;0,AX260=""),1,IF(AX260&gt;C260,1,0))</f>
        <v>0</v>
      </c>
    </row>
    <row r="261" spans="1:101" x14ac:dyDescent="0.3">
      <c r="A261" s="5844"/>
      <c r="B261" s="500" t="s">
        <v>865</v>
      </c>
      <c r="C261" s="663">
        <f t="shared" si="224"/>
        <v>0</v>
      </c>
      <c r="D261" s="664">
        <f t="shared" ref="D261:E269" si="239">SUM(F261+H261+J261+L261+N261+P261+R261+T261+V261+X261+Z261+AB261+AD261+AF261+AH261+AJ261+AL261)</f>
        <v>0</v>
      </c>
      <c r="E261" s="500">
        <f t="shared" si="239"/>
        <v>0</v>
      </c>
      <c r="F261" s="346"/>
      <c r="G261" s="347"/>
      <c r="H261" s="346"/>
      <c r="I261" s="347"/>
      <c r="J261" s="346"/>
      <c r="K261" s="347"/>
      <c r="L261" s="346"/>
      <c r="M261" s="347"/>
      <c r="N261" s="346"/>
      <c r="O261" s="347"/>
      <c r="P261" s="346"/>
      <c r="Q261" s="347"/>
      <c r="R261" s="346"/>
      <c r="S261" s="347"/>
      <c r="T261" s="346"/>
      <c r="U261" s="347"/>
      <c r="V261" s="346"/>
      <c r="W261" s="347"/>
      <c r="X261" s="346"/>
      <c r="Y261" s="347"/>
      <c r="Z261" s="346"/>
      <c r="AA261" s="347"/>
      <c r="AB261" s="346"/>
      <c r="AC261" s="347"/>
      <c r="AD261" s="346"/>
      <c r="AE261" s="347"/>
      <c r="AF261" s="346"/>
      <c r="AG261" s="347"/>
      <c r="AH261" s="346"/>
      <c r="AI261" s="347"/>
      <c r="AJ261" s="346"/>
      <c r="AK261" s="347"/>
      <c r="AL261" s="346"/>
      <c r="AM261" s="561"/>
      <c r="AN261" s="296"/>
      <c r="AO261" s="22"/>
      <c r="AP261" s="61"/>
      <c r="AQ261" s="348"/>
      <c r="AR261" s="347"/>
      <c r="AS261" s="346"/>
      <c r="AT261" s="347"/>
      <c r="AU261" s="348"/>
      <c r="AV261" s="347"/>
      <c r="AW261" s="348"/>
      <c r="AX261" s="347"/>
      <c r="AY261" s="6" t="str">
        <f t="shared" si="222"/>
        <v/>
      </c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CA261" s="19"/>
      <c r="CB261" s="135" t="str">
        <f t="shared" si="225"/>
        <v/>
      </c>
      <c r="CC261" s="135" t="str">
        <f t="shared" si="206"/>
        <v/>
      </c>
      <c r="CD261" s="135" t="str">
        <f t="shared" ref="CD261:CD293" si="240">IF(AND(D261&gt;0,OR(AS261="")), "* No olvide digitar la variable Pueblos originarios Hombres. Digite Cero si no tiene.",IF(AS261&gt;D261,"  * La variable Pueblos originarios Hombres No puede ser mayor al Total Hombres.",""))</f>
        <v/>
      </c>
      <c r="CE261" s="135" t="str">
        <f t="shared" si="226"/>
        <v/>
      </c>
      <c r="CF261" s="135" t="str">
        <f t="shared" si="227"/>
        <v/>
      </c>
      <c r="CG261" s="135" t="str">
        <f t="shared" si="228"/>
        <v/>
      </c>
      <c r="CH261" s="135" t="str">
        <f t="shared" si="229"/>
        <v/>
      </c>
      <c r="CI261" s="135" t="str">
        <f t="shared" si="230"/>
        <v/>
      </c>
      <c r="CP261" s="55">
        <f t="shared" si="231"/>
        <v>0</v>
      </c>
      <c r="CQ261" s="55">
        <f t="shared" si="232"/>
        <v>0</v>
      </c>
      <c r="CR261" s="55">
        <f t="shared" si="233"/>
        <v>0</v>
      </c>
      <c r="CS261" s="55">
        <f t="shared" si="234"/>
        <v>0</v>
      </c>
      <c r="CT261" s="55">
        <f t="shared" si="235"/>
        <v>0</v>
      </c>
      <c r="CU261" s="55">
        <f t="shared" si="236"/>
        <v>0</v>
      </c>
      <c r="CV261" s="55">
        <f t="shared" si="237"/>
        <v>0</v>
      </c>
      <c r="CW261" s="55">
        <f t="shared" si="238"/>
        <v>0</v>
      </c>
    </row>
    <row r="262" spans="1:101" x14ac:dyDescent="0.3">
      <c r="A262" s="5844"/>
      <c r="B262" s="68" t="s">
        <v>866</v>
      </c>
      <c r="C262" s="663">
        <f t="shared" si="224"/>
        <v>0</v>
      </c>
      <c r="D262" s="664">
        <f t="shared" si="239"/>
        <v>0</v>
      </c>
      <c r="E262" s="500">
        <f t="shared" si="239"/>
        <v>0</v>
      </c>
      <c r="F262" s="346"/>
      <c r="G262" s="347"/>
      <c r="H262" s="346"/>
      <c r="I262" s="347"/>
      <c r="J262" s="346"/>
      <c r="K262" s="347"/>
      <c r="L262" s="346"/>
      <c r="M262" s="347"/>
      <c r="N262" s="346"/>
      <c r="O262" s="347"/>
      <c r="P262" s="346"/>
      <c r="Q262" s="347"/>
      <c r="R262" s="346"/>
      <c r="S262" s="347"/>
      <c r="T262" s="346"/>
      <c r="U262" s="347"/>
      <c r="V262" s="346"/>
      <c r="W262" s="347"/>
      <c r="X262" s="346"/>
      <c r="Y262" s="347"/>
      <c r="Z262" s="346"/>
      <c r="AA262" s="347"/>
      <c r="AB262" s="346"/>
      <c r="AC262" s="347"/>
      <c r="AD262" s="346"/>
      <c r="AE262" s="347"/>
      <c r="AF262" s="346"/>
      <c r="AG262" s="347"/>
      <c r="AH262" s="346"/>
      <c r="AI262" s="347"/>
      <c r="AJ262" s="346"/>
      <c r="AK262" s="347"/>
      <c r="AL262" s="346"/>
      <c r="AM262" s="561"/>
      <c r="AN262" s="296"/>
      <c r="AO262" s="22"/>
      <c r="AP262" s="61"/>
      <c r="AQ262" s="348"/>
      <c r="AR262" s="347"/>
      <c r="AS262" s="346"/>
      <c r="AT262" s="347"/>
      <c r="AU262" s="348"/>
      <c r="AV262" s="347"/>
      <c r="AW262" s="348"/>
      <c r="AX262" s="347"/>
      <c r="AY262" s="6" t="str">
        <f t="shared" si="222"/>
        <v/>
      </c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CA262" s="19"/>
      <c r="CB262" s="135" t="str">
        <f t="shared" si="225"/>
        <v/>
      </c>
      <c r="CC262" s="135" t="str">
        <f t="shared" si="206"/>
        <v/>
      </c>
      <c r="CD262" s="135" t="str">
        <f t="shared" si="240"/>
        <v/>
      </c>
      <c r="CE262" s="135" t="str">
        <f t="shared" si="226"/>
        <v/>
      </c>
      <c r="CF262" s="135" t="str">
        <f t="shared" si="227"/>
        <v/>
      </c>
      <c r="CG262" s="135" t="str">
        <f t="shared" si="228"/>
        <v/>
      </c>
      <c r="CH262" s="135" t="str">
        <f t="shared" si="229"/>
        <v/>
      </c>
      <c r="CI262" s="135" t="str">
        <f t="shared" si="230"/>
        <v/>
      </c>
      <c r="CP262" s="55">
        <f t="shared" si="231"/>
        <v>0</v>
      </c>
      <c r="CQ262" s="55">
        <f t="shared" si="232"/>
        <v>0</v>
      </c>
      <c r="CR262" s="55">
        <f t="shared" si="233"/>
        <v>0</v>
      </c>
      <c r="CS262" s="55">
        <f t="shared" si="234"/>
        <v>0</v>
      </c>
      <c r="CT262" s="55">
        <f t="shared" si="235"/>
        <v>0</v>
      </c>
      <c r="CU262" s="55">
        <f t="shared" si="236"/>
        <v>0</v>
      </c>
      <c r="CV262" s="55">
        <f t="shared" si="237"/>
        <v>0</v>
      </c>
      <c r="CW262" s="55">
        <f t="shared" si="238"/>
        <v>0</v>
      </c>
    </row>
    <row r="263" spans="1:101" x14ac:dyDescent="0.3">
      <c r="A263" s="5844"/>
      <c r="B263" s="666" t="s">
        <v>909</v>
      </c>
      <c r="C263" s="663">
        <f t="shared" si="224"/>
        <v>0</v>
      </c>
      <c r="D263" s="664">
        <f t="shared" si="239"/>
        <v>0</v>
      </c>
      <c r="E263" s="500">
        <f t="shared" si="239"/>
        <v>0</v>
      </c>
      <c r="F263" s="346"/>
      <c r="G263" s="347"/>
      <c r="H263" s="346"/>
      <c r="I263" s="347"/>
      <c r="J263" s="346"/>
      <c r="K263" s="347"/>
      <c r="L263" s="346"/>
      <c r="M263" s="347"/>
      <c r="N263" s="346"/>
      <c r="O263" s="347"/>
      <c r="P263" s="346"/>
      <c r="Q263" s="347"/>
      <c r="R263" s="346"/>
      <c r="S263" s="347"/>
      <c r="T263" s="346"/>
      <c r="U263" s="347"/>
      <c r="V263" s="346"/>
      <c r="W263" s="347"/>
      <c r="X263" s="346"/>
      <c r="Y263" s="347"/>
      <c r="Z263" s="346"/>
      <c r="AA263" s="347"/>
      <c r="AB263" s="346"/>
      <c r="AC263" s="347"/>
      <c r="AD263" s="346"/>
      <c r="AE263" s="347"/>
      <c r="AF263" s="346"/>
      <c r="AG263" s="347"/>
      <c r="AH263" s="346"/>
      <c r="AI263" s="347"/>
      <c r="AJ263" s="346"/>
      <c r="AK263" s="347"/>
      <c r="AL263" s="346"/>
      <c r="AM263" s="561"/>
      <c r="AN263" s="296"/>
      <c r="AO263" s="22"/>
      <c r="AP263" s="61"/>
      <c r="AQ263" s="348"/>
      <c r="AR263" s="347"/>
      <c r="AS263" s="346"/>
      <c r="AT263" s="347"/>
      <c r="AU263" s="348"/>
      <c r="AV263" s="347"/>
      <c r="AW263" s="348"/>
      <c r="AX263" s="347"/>
      <c r="AY263" s="6" t="str">
        <f t="shared" si="222"/>
        <v/>
      </c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CA263" s="19"/>
      <c r="CB263" s="135" t="str">
        <f t="shared" si="225"/>
        <v/>
      </c>
      <c r="CC263" s="135" t="str">
        <f t="shared" si="206"/>
        <v/>
      </c>
      <c r="CD263" s="135" t="str">
        <f t="shared" si="240"/>
        <v/>
      </c>
      <c r="CE263" s="135" t="str">
        <f t="shared" si="226"/>
        <v/>
      </c>
      <c r="CF263" s="135" t="str">
        <f t="shared" si="227"/>
        <v/>
      </c>
      <c r="CG263" s="135" t="str">
        <f t="shared" si="228"/>
        <v/>
      </c>
      <c r="CH263" s="135" t="str">
        <f t="shared" si="229"/>
        <v/>
      </c>
      <c r="CI263" s="135" t="str">
        <f t="shared" si="230"/>
        <v/>
      </c>
      <c r="CP263" s="55">
        <f t="shared" si="231"/>
        <v>0</v>
      </c>
      <c r="CQ263" s="55">
        <f t="shared" si="232"/>
        <v>0</v>
      </c>
      <c r="CR263" s="55">
        <f t="shared" si="233"/>
        <v>0</v>
      </c>
      <c r="CS263" s="55">
        <f t="shared" si="234"/>
        <v>0</v>
      </c>
      <c r="CT263" s="55">
        <f t="shared" si="235"/>
        <v>0</v>
      </c>
      <c r="CU263" s="55">
        <f t="shared" si="236"/>
        <v>0</v>
      </c>
      <c r="CV263" s="55">
        <f t="shared" si="237"/>
        <v>0</v>
      </c>
      <c r="CW263" s="55">
        <f t="shared" si="238"/>
        <v>0</v>
      </c>
    </row>
    <row r="264" spans="1:101" x14ac:dyDescent="0.3">
      <c r="A264" s="5791"/>
      <c r="B264" s="69" t="s">
        <v>868</v>
      </c>
      <c r="C264" s="200">
        <f t="shared" si="224"/>
        <v>0</v>
      </c>
      <c r="D264" s="375">
        <f>SUM(H264+J264+L264+N264+P264+R264+T264+V264+X264+Z264+AB264+AD264+AF264+AH264+AJ264+AL264)</f>
        <v>0</v>
      </c>
      <c r="E264" s="52">
        <f>SUM(I264+K264+M264+O264+Q264+S264+U264+W264+Y264+AA264+AC264+AE264+AG264+AI264+AK264+AM264)</f>
        <v>0</v>
      </c>
      <c r="F264" s="1743"/>
      <c r="G264" s="1744"/>
      <c r="H264" s="192"/>
      <c r="I264" s="2"/>
      <c r="J264" s="192"/>
      <c r="K264" s="2"/>
      <c r="L264" s="192"/>
      <c r="M264" s="2"/>
      <c r="N264" s="192"/>
      <c r="O264" s="2"/>
      <c r="P264" s="192"/>
      <c r="Q264" s="2"/>
      <c r="R264" s="192"/>
      <c r="S264" s="2"/>
      <c r="T264" s="192"/>
      <c r="U264" s="2"/>
      <c r="V264" s="192"/>
      <c r="W264" s="2"/>
      <c r="X264" s="192"/>
      <c r="Y264" s="2"/>
      <c r="Z264" s="192"/>
      <c r="AA264" s="2"/>
      <c r="AB264" s="192"/>
      <c r="AC264" s="2"/>
      <c r="AD264" s="192"/>
      <c r="AE264" s="2"/>
      <c r="AF264" s="192"/>
      <c r="AG264" s="2"/>
      <c r="AH264" s="192"/>
      <c r="AI264" s="2"/>
      <c r="AJ264" s="192"/>
      <c r="AK264" s="2"/>
      <c r="AL264" s="192"/>
      <c r="AM264" s="64"/>
      <c r="AN264" s="379"/>
      <c r="AO264" s="429"/>
      <c r="AP264" s="392"/>
      <c r="AQ264" s="482"/>
      <c r="AR264" s="2"/>
      <c r="AS264" s="192"/>
      <c r="AT264" s="2"/>
      <c r="AU264" s="482"/>
      <c r="AV264" s="2"/>
      <c r="AW264" s="482"/>
      <c r="AX264" s="2"/>
      <c r="AY264" s="6" t="str">
        <f t="shared" si="222"/>
        <v/>
      </c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CA264" s="19"/>
      <c r="CB264" s="135" t="str">
        <f t="shared" si="225"/>
        <v/>
      </c>
      <c r="CC264" s="135" t="str">
        <f t="shared" si="206"/>
        <v/>
      </c>
      <c r="CD264" s="135" t="str">
        <f t="shared" si="240"/>
        <v/>
      </c>
      <c r="CE264" s="135" t="str">
        <f t="shared" si="226"/>
        <v/>
      </c>
      <c r="CF264" s="135" t="str">
        <f t="shared" si="227"/>
        <v/>
      </c>
      <c r="CG264" s="135" t="str">
        <f t="shared" si="228"/>
        <v/>
      </c>
      <c r="CH264" s="135" t="str">
        <f t="shared" si="229"/>
        <v/>
      </c>
      <c r="CI264" s="135" t="str">
        <f t="shared" si="230"/>
        <v/>
      </c>
      <c r="CP264" s="55">
        <f t="shared" si="231"/>
        <v>0</v>
      </c>
      <c r="CQ264" s="55">
        <f t="shared" si="232"/>
        <v>0</v>
      </c>
      <c r="CR264" s="55">
        <f t="shared" si="233"/>
        <v>0</v>
      </c>
      <c r="CS264" s="55">
        <f t="shared" si="234"/>
        <v>0</v>
      </c>
      <c r="CT264" s="55">
        <f t="shared" si="235"/>
        <v>0</v>
      </c>
      <c r="CU264" s="55">
        <f t="shared" si="236"/>
        <v>0</v>
      </c>
      <c r="CV264" s="55">
        <f t="shared" si="237"/>
        <v>0</v>
      </c>
      <c r="CW264" s="55">
        <f t="shared" si="238"/>
        <v>0</v>
      </c>
    </row>
    <row r="265" spans="1:101" ht="15" customHeight="1" x14ac:dyDescent="0.3">
      <c r="A265" s="6185" t="s">
        <v>869</v>
      </c>
      <c r="B265" s="667" t="s">
        <v>870</v>
      </c>
      <c r="C265" s="654">
        <f t="shared" si="224"/>
        <v>0</v>
      </c>
      <c r="D265" s="655">
        <f t="shared" si="239"/>
        <v>0</v>
      </c>
      <c r="E265" s="656">
        <f t="shared" si="239"/>
        <v>0</v>
      </c>
      <c r="F265" s="474"/>
      <c r="G265" s="576"/>
      <c r="H265" s="474"/>
      <c r="I265" s="576"/>
      <c r="J265" s="474"/>
      <c r="K265" s="576"/>
      <c r="L265" s="474"/>
      <c r="M265" s="576"/>
      <c r="N265" s="474"/>
      <c r="O265" s="576"/>
      <c r="P265" s="474"/>
      <c r="Q265" s="576"/>
      <c r="R265" s="474"/>
      <c r="S265" s="576"/>
      <c r="T265" s="474"/>
      <c r="U265" s="576"/>
      <c r="V265" s="474"/>
      <c r="W265" s="576"/>
      <c r="X265" s="474"/>
      <c r="Y265" s="576"/>
      <c r="Z265" s="474"/>
      <c r="AA265" s="576"/>
      <c r="AB265" s="474"/>
      <c r="AC265" s="576"/>
      <c r="AD265" s="474"/>
      <c r="AE265" s="576"/>
      <c r="AF265" s="474"/>
      <c r="AG265" s="576"/>
      <c r="AH265" s="474"/>
      <c r="AI265" s="576"/>
      <c r="AJ265" s="669"/>
      <c r="AK265" s="668"/>
      <c r="AL265" s="474"/>
      <c r="AM265" s="559"/>
      <c r="AN265" s="296"/>
      <c r="AO265" s="22"/>
      <c r="AP265" s="61"/>
      <c r="AQ265" s="477"/>
      <c r="AR265" s="475"/>
      <c r="AS265" s="474"/>
      <c r="AT265" s="576"/>
      <c r="AU265" s="477"/>
      <c r="AV265" s="475"/>
      <c r="AW265" s="477"/>
      <c r="AX265" s="475"/>
      <c r="AY265" s="6" t="str">
        <f t="shared" si="222"/>
        <v/>
      </c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CA265" s="19"/>
      <c r="CB265" s="135" t="str">
        <f t="shared" si="225"/>
        <v/>
      </c>
      <c r="CC265" s="135" t="str">
        <f t="shared" si="206"/>
        <v/>
      </c>
      <c r="CD265" s="135" t="str">
        <f t="shared" si="240"/>
        <v/>
      </c>
      <c r="CE265" s="135" t="str">
        <f t="shared" si="226"/>
        <v/>
      </c>
      <c r="CF265" s="135" t="str">
        <f t="shared" si="227"/>
        <v/>
      </c>
      <c r="CG265" s="135" t="str">
        <f t="shared" si="228"/>
        <v/>
      </c>
      <c r="CH265" s="135" t="str">
        <f t="shared" si="229"/>
        <v/>
      </c>
      <c r="CI265" s="135" t="str">
        <f t="shared" si="230"/>
        <v/>
      </c>
      <c r="CP265" s="55">
        <f t="shared" si="231"/>
        <v>0</v>
      </c>
      <c r="CQ265" s="55">
        <f t="shared" si="232"/>
        <v>0</v>
      </c>
      <c r="CR265" s="55">
        <f t="shared" si="233"/>
        <v>0</v>
      </c>
      <c r="CS265" s="55">
        <f t="shared" si="234"/>
        <v>0</v>
      </c>
      <c r="CT265" s="55">
        <f t="shared" si="235"/>
        <v>0</v>
      </c>
      <c r="CU265" s="55">
        <f t="shared" si="236"/>
        <v>0</v>
      </c>
      <c r="CV265" s="55">
        <f t="shared" si="237"/>
        <v>0</v>
      </c>
      <c r="CW265" s="55">
        <f t="shared" si="238"/>
        <v>0</v>
      </c>
    </row>
    <row r="266" spans="1:101" x14ac:dyDescent="0.3">
      <c r="A266" s="5844"/>
      <c r="B266" s="500" t="s">
        <v>871</v>
      </c>
      <c r="C266" s="663">
        <f t="shared" si="224"/>
        <v>0</v>
      </c>
      <c r="D266" s="664">
        <f t="shared" si="239"/>
        <v>0</v>
      </c>
      <c r="E266" s="500">
        <f>SUM(G266+I266+K266+M266+O266+Q266+S266+U266+W266+Y266+AA266+AC266+AE266+AG266+AI266+AK266+AM266)</f>
        <v>0</v>
      </c>
      <c r="F266" s="346"/>
      <c r="G266" s="347"/>
      <c r="H266" s="346"/>
      <c r="I266" s="347"/>
      <c r="J266" s="346"/>
      <c r="K266" s="347"/>
      <c r="L266" s="346"/>
      <c r="M266" s="347"/>
      <c r="N266" s="346"/>
      <c r="O266" s="347"/>
      <c r="P266" s="346"/>
      <c r="Q266" s="347"/>
      <c r="R266" s="346"/>
      <c r="S266" s="347"/>
      <c r="T266" s="346"/>
      <c r="U266" s="347"/>
      <c r="V266" s="346"/>
      <c r="W266" s="347"/>
      <c r="X266" s="346"/>
      <c r="Y266" s="347"/>
      <c r="Z266" s="346"/>
      <c r="AA266" s="347"/>
      <c r="AB266" s="346"/>
      <c r="AC266" s="347"/>
      <c r="AD266" s="346"/>
      <c r="AE266" s="347"/>
      <c r="AF266" s="346"/>
      <c r="AG266" s="347"/>
      <c r="AH266" s="346"/>
      <c r="AI266" s="347"/>
      <c r="AJ266" s="192"/>
      <c r="AK266" s="2"/>
      <c r="AL266" s="346"/>
      <c r="AM266" s="561"/>
      <c r="AN266" s="296"/>
      <c r="AO266" s="22"/>
      <c r="AP266" s="61"/>
      <c r="AQ266" s="348"/>
      <c r="AR266" s="347"/>
      <c r="AS266" s="346"/>
      <c r="AT266" s="347"/>
      <c r="AU266" s="348"/>
      <c r="AV266" s="347"/>
      <c r="AW266" s="348"/>
      <c r="AX266" s="347"/>
      <c r="AY266" s="6" t="str">
        <f t="shared" si="222"/>
        <v/>
      </c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CA266" s="19"/>
      <c r="CB266" s="135" t="str">
        <f t="shared" si="225"/>
        <v/>
      </c>
      <c r="CC266" s="135" t="str">
        <f t="shared" si="206"/>
        <v/>
      </c>
      <c r="CD266" s="135" t="str">
        <f t="shared" si="240"/>
        <v/>
      </c>
      <c r="CE266" s="135" t="str">
        <f t="shared" si="226"/>
        <v/>
      </c>
      <c r="CF266" s="135" t="str">
        <f t="shared" si="227"/>
        <v/>
      </c>
      <c r="CG266" s="135" t="str">
        <f t="shared" si="228"/>
        <v/>
      </c>
      <c r="CH266" s="135" t="str">
        <f t="shared" si="229"/>
        <v/>
      </c>
      <c r="CI266" s="135" t="str">
        <f t="shared" si="230"/>
        <v/>
      </c>
      <c r="CP266" s="55">
        <f t="shared" si="231"/>
        <v>0</v>
      </c>
      <c r="CQ266" s="55">
        <f t="shared" si="232"/>
        <v>0</v>
      </c>
      <c r="CR266" s="55">
        <f t="shared" si="233"/>
        <v>0</v>
      </c>
      <c r="CS266" s="55">
        <f t="shared" si="234"/>
        <v>0</v>
      </c>
      <c r="CT266" s="55">
        <f t="shared" si="235"/>
        <v>0</v>
      </c>
      <c r="CU266" s="55">
        <f t="shared" si="236"/>
        <v>0</v>
      </c>
      <c r="CV266" s="55">
        <f t="shared" si="237"/>
        <v>0</v>
      </c>
      <c r="CW266" s="55">
        <f t="shared" si="238"/>
        <v>0</v>
      </c>
    </row>
    <row r="267" spans="1:101" x14ac:dyDescent="0.3">
      <c r="A267" s="5844"/>
      <c r="B267" s="52" t="s">
        <v>872</v>
      </c>
      <c r="C267" s="200">
        <f>SUM(D267+E267)</f>
        <v>0</v>
      </c>
      <c r="D267" s="375">
        <f>SUM(F267+H267+J267+L267+N267+P267+R267+T267+V267+X267+Z267+AB267+AD267+AF267+AH267+AJ267+AL267)</f>
        <v>0</v>
      </c>
      <c r="E267" s="52">
        <f>SUM(G267+I267+K267+M267+O267+Q267+S267+U267+W267+Y267+AA267+AC267+AE267+AG267+AI267+AK267+AM267)</f>
        <v>0</v>
      </c>
      <c r="F267" s="192"/>
      <c r="G267" s="2"/>
      <c r="H267" s="192"/>
      <c r="I267" s="2"/>
      <c r="J267" s="192"/>
      <c r="K267" s="2"/>
      <c r="L267" s="192"/>
      <c r="M267" s="2"/>
      <c r="N267" s="192"/>
      <c r="O267" s="2"/>
      <c r="P267" s="192"/>
      <c r="Q267" s="2"/>
      <c r="R267" s="192"/>
      <c r="S267" s="2"/>
      <c r="T267" s="192"/>
      <c r="U267" s="2"/>
      <c r="V267" s="192"/>
      <c r="W267" s="2"/>
      <c r="X267" s="192"/>
      <c r="Y267" s="2"/>
      <c r="Z267" s="192"/>
      <c r="AA267" s="2"/>
      <c r="AB267" s="192"/>
      <c r="AC267" s="2"/>
      <c r="AD267" s="192"/>
      <c r="AE267" s="2"/>
      <c r="AF267" s="192"/>
      <c r="AG267" s="2"/>
      <c r="AH267" s="192"/>
      <c r="AI267" s="2"/>
      <c r="AJ267" s="192"/>
      <c r="AK267" s="2"/>
      <c r="AL267" s="192"/>
      <c r="AM267" s="64"/>
      <c r="AN267" s="430"/>
      <c r="AO267" s="348"/>
      <c r="AP267" s="481"/>
      <c r="AQ267" s="482"/>
      <c r="AR267" s="2"/>
      <c r="AS267" s="192"/>
      <c r="AT267" s="2"/>
      <c r="AU267" s="482"/>
      <c r="AV267" s="2"/>
      <c r="AW267" s="482"/>
      <c r="AX267" s="2"/>
      <c r="AY267" s="6" t="str">
        <f t="shared" si="222"/>
        <v/>
      </c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CA267" s="19"/>
      <c r="CB267" s="135" t="str">
        <f t="shared" si="225"/>
        <v/>
      </c>
      <c r="CC267" s="135" t="str">
        <f t="shared" si="206"/>
        <v/>
      </c>
      <c r="CD267" s="135" t="str">
        <f t="shared" si="240"/>
        <v/>
      </c>
      <c r="CE267" s="135" t="str">
        <f t="shared" si="226"/>
        <v/>
      </c>
      <c r="CF267" s="135" t="str">
        <f t="shared" si="227"/>
        <v/>
      </c>
      <c r="CG267" s="135" t="str">
        <f t="shared" si="228"/>
        <v/>
      </c>
      <c r="CH267" s="135" t="str">
        <f t="shared" si="229"/>
        <v/>
      </c>
      <c r="CI267" s="135" t="str">
        <f t="shared" si="230"/>
        <v/>
      </c>
      <c r="CP267" s="55">
        <f t="shared" si="231"/>
        <v>0</v>
      </c>
      <c r="CQ267" s="55">
        <f t="shared" si="232"/>
        <v>0</v>
      </c>
      <c r="CR267" s="55">
        <f t="shared" si="233"/>
        <v>0</v>
      </c>
      <c r="CS267" s="55">
        <f t="shared" si="234"/>
        <v>0</v>
      </c>
      <c r="CT267" s="55">
        <f t="shared" si="235"/>
        <v>0</v>
      </c>
      <c r="CU267" s="55">
        <f t="shared" si="236"/>
        <v>0</v>
      </c>
      <c r="CV267" s="55">
        <f t="shared" si="237"/>
        <v>0</v>
      </c>
      <c r="CW267" s="55">
        <f t="shared" si="238"/>
        <v>0</v>
      </c>
    </row>
    <row r="268" spans="1:101" x14ac:dyDescent="0.3">
      <c r="A268" s="5844"/>
      <c r="B268" s="52" t="s">
        <v>873</v>
      </c>
      <c r="C268" s="200">
        <f>SUM(D268+E268)</f>
        <v>0</v>
      </c>
      <c r="D268" s="375">
        <f>SUM(F268+H268+J268+L268+N268+P268+R268+T268+V268+X268+Z268+AB268+AD268+AF268+AH268+AJ268+AL268)</f>
        <v>0</v>
      </c>
      <c r="E268" s="52">
        <f>SUM(G268+I268+K268+M268+O268+Q268+S268+U268+W268+Y268+AA268+AC268+AE268+AG268+AI268+AK268+AM268)</f>
        <v>0</v>
      </c>
      <c r="F268" s="192"/>
      <c r="G268" s="2"/>
      <c r="H268" s="192"/>
      <c r="I268" s="2"/>
      <c r="J268" s="192"/>
      <c r="K268" s="2"/>
      <c r="L268" s="192"/>
      <c r="M268" s="2"/>
      <c r="N268" s="192"/>
      <c r="O268" s="2"/>
      <c r="P268" s="192"/>
      <c r="Q268" s="2"/>
      <c r="R268" s="192"/>
      <c r="S268" s="2"/>
      <c r="T268" s="192"/>
      <c r="U268" s="2"/>
      <c r="V268" s="192"/>
      <c r="W268" s="2"/>
      <c r="X268" s="192"/>
      <c r="Y268" s="2"/>
      <c r="Z268" s="192"/>
      <c r="AA268" s="2"/>
      <c r="AB268" s="192"/>
      <c r="AC268" s="2"/>
      <c r="AD268" s="192"/>
      <c r="AE268" s="2"/>
      <c r="AF268" s="192"/>
      <c r="AG268" s="2"/>
      <c r="AH268" s="192"/>
      <c r="AI268" s="2"/>
      <c r="AJ268" s="192"/>
      <c r="AK268" s="2"/>
      <c r="AL268" s="192"/>
      <c r="AM268" s="64"/>
      <c r="AN268" s="74"/>
      <c r="AO268" s="704"/>
      <c r="AP268" s="75"/>
      <c r="AQ268" s="482"/>
      <c r="AR268" s="2"/>
      <c r="AS268" s="192"/>
      <c r="AT268" s="2"/>
      <c r="AU268" s="482"/>
      <c r="AV268" s="2"/>
      <c r="AW268" s="482"/>
      <c r="AX268" s="2"/>
      <c r="AY268" s="6" t="str">
        <f t="shared" si="222"/>
        <v/>
      </c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CA268" s="19"/>
      <c r="CB268" s="135" t="str">
        <f t="shared" si="225"/>
        <v/>
      </c>
      <c r="CC268" s="135" t="str">
        <f t="shared" si="206"/>
        <v/>
      </c>
      <c r="CD268" s="135" t="str">
        <f t="shared" si="240"/>
        <v/>
      </c>
      <c r="CE268" s="135" t="str">
        <f t="shared" si="226"/>
        <v/>
      </c>
      <c r="CF268" s="135" t="str">
        <f t="shared" si="227"/>
        <v/>
      </c>
      <c r="CG268" s="135" t="str">
        <f t="shared" si="228"/>
        <v/>
      </c>
      <c r="CH268" s="135" t="str">
        <f t="shared" si="229"/>
        <v/>
      </c>
      <c r="CI268" s="135" t="str">
        <f t="shared" si="230"/>
        <v/>
      </c>
      <c r="CP268" s="55">
        <f t="shared" si="231"/>
        <v>0</v>
      </c>
      <c r="CQ268" s="55">
        <f t="shared" si="232"/>
        <v>0</v>
      </c>
      <c r="CR268" s="55">
        <f t="shared" si="233"/>
        <v>0</v>
      </c>
      <c r="CS268" s="55">
        <f t="shared" si="234"/>
        <v>0</v>
      </c>
      <c r="CT268" s="55">
        <f t="shared" si="235"/>
        <v>0</v>
      </c>
      <c r="CU268" s="55">
        <f t="shared" si="236"/>
        <v>0</v>
      </c>
      <c r="CV268" s="55">
        <f t="shared" si="237"/>
        <v>0</v>
      </c>
      <c r="CW268" s="55">
        <f t="shared" si="238"/>
        <v>0</v>
      </c>
    </row>
    <row r="269" spans="1:101" x14ac:dyDescent="0.3">
      <c r="A269" s="5791"/>
      <c r="B269" s="387" t="s">
        <v>874</v>
      </c>
      <c r="C269" s="378">
        <f t="shared" si="224"/>
        <v>0</v>
      </c>
      <c r="D269" s="672">
        <f t="shared" si="239"/>
        <v>0</v>
      </c>
      <c r="E269" s="387">
        <f t="shared" si="239"/>
        <v>0</v>
      </c>
      <c r="F269" s="380"/>
      <c r="G269" s="388"/>
      <c r="H269" s="380"/>
      <c r="I269" s="388"/>
      <c r="J269" s="380"/>
      <c r="K269" s="388"/>
      <c r="L269" s="380"/>
      <c r="M269" s="388"/>
      <c r="N269" s="380"/>
      <c r="O269" s="388"/>
      <c r="P269" s="380"/>
      <c r="Q269" s="388"/>
      <c r="R269" s="380"/>
      <c r="S269" s="388"/>
      <c r="T269" s="380"/>
      <c r="U269" s="388"/>
      <c r="V269" s="380"/>
      <c r="W269" s="388"/>
      <c r="X269" s="380"/>
      <c r="Y269" s="388"/>
      <c r="Z269" s="380"/>
      <c r="AA269" s="388"/>
      <c r="AB269" s="380"/>
      <c r="AC269" s="388"/>
      <c r="AD269" s="380"/>
      <c r="AE269" s="388"/>
      <c r="AF269" s="380"/>
      <c r="AG269" s="388"/>
      <c r="AH269" s="380"/>
      <c r="AI269" s="388"/>
      <c r="AJ269" s="380"/>
      <c r="AK269" s="388"/>
      <c r="AL269" s="380"/>
      <c r="AM269" s="564"/>
      <c r="AN269" s="379"/>
      <c r="AO269" s="429"/>
      <c r="AP269" s="392"/>
      <c r="AQ269" s="429"/>
      <c r="AR269" s="388"/>
      <c r="AS269" s="380"/>
      <c r="AT269" s="388"/>
      <c r="AU269" s="429"/>
      <c r="AV269" s="388"/>
      <c r="AW269" s="429"/>
      <c r="AX269" s="388"/>
      <c r="AY269" s="6" t="str">
        <f t="shared" si="222"/>
        <v/>
      </c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CA269" s="19"/>
      <c r="CB269" s="135" t="str">
        <f>IF(AND(E269&gt;0,AQ269=""), "* No olvide digitar la variable Gestantes. Digite Cero si no tiene.",IF(AQ269&gt;E269,"  * La variable Gestantes No puede ser mayor al Total Mujeres.",""))</f>
        <v/>
      </c>
      <c r="CC269" s="135" t="str">
        <f t="shared" si="206"/>
        <v/>
      </c>
      <c r="CD269" s="135" t="str">
        <f t="shared" si="240"/>
        <v/>
      </c>
      <c r="CE269" s="135" t="str">
        <f t="shared" si="226"/>
        <v/>
      </c>
      <c r="CF269" s="135" t="str">
        <f t="shared" si="227"/>
        <v/>
      </c>
      <c r="CG269" s="135" t="str">
        <f t="shared" si="228"/>
        <v/>
      </c>
      <c r="CH269" s="135" t="str">
        <f t="shared" si="229"/>
        <v/>
      </c>
      <c r="CI269" s="135" t="str">
        <f t="shared" si="230"/>
        <v/>
      </c>
      <c r="CP269" s="55">
        <f t="shared" si="231"/>
        <v>0</v>
      </c>
      <c r="CQ269" s="55">
        <f t="shared" si="232"/>
        <v>0</v>
      </c>
      <c r="CR269" s="55">
        <f t="shared" si="233"/>
        <v>0</v>
      </c>
      <c r="CS269" s="55">
        <f t="shared" si="234"/>
        <v>0</v>
      </c>
      <c r="CT269" s="55">
        <f t="shared" si="235"/>
        <v>0</v>
      </c>
      <c r="CU269" s="55">
        <f t="shared" si="236"/>
        <v>0</v>
      </c>
      <c r="CV269" s="55">
        <f t="shared" si="237"/>
        <v>0</v>
      </c>
      <c r="CW269" s="55">
        <f t="shared" si="238"/>
        <v>0</v>
      </c>
    </row>
    <row r="270" spans="1:101" ht="15" customHeight="1" x14ac:dyDescent="0.3">
      <c r="A270" s="6185" t="s">
        <v>910</v>
      </c>
      <c r="B270" s="656" t="s">
        <v>876</v>
      </c>
      <c r="C270" s="654">
        <f t="shared" si="224"/>
        <v>0</v>
      </c>
      <c r="D270" s="655">
        <f>SUM(F270+H270+J270+L270+N270)</f>
        <v>0</v>
      </c>
      <c r="E270" s="656">
        <f>SUM(G270+I270+K270+M270+O270)</f>
        <v>0</v>
      </c>
      <c r="F270" s="474"/>
      <c r="G270" s="576"/>
      <c r="H270" s="474"/>
      <c r="I270" s="576"/>
      <c r="J270" s="474"/>
      <c r="K270" s="576"/>
      <c r="L270" s="474"/>
      <c r="M270" s="576"/>
      <c r="N270" s="474"/>
      <c r="O270" s="576"/>
      <c r="P270" s="673"/>
      <c r="Q270" s="674"/>
      <c r="R270" s="674"/>
      <c r="S270" s="674"/>
      <c r="T270" s="674"/>
      <c r="U270" s="674"/>
      <c r="V270" s="674"/>
      <c r="W270" s="674"/>
      <c r="X270" s="674"/>
      <c r="Y270" s="674"/>
      <c r="Z270" s="674"/>
      <c r="AA270" s="674"/>
      <c r="AB270" s="674"/>
      <c r="AC270" s="674"/>
      <c r="AD270" s="674"/>
      <c r="AE270" s="674"/>
      <c r="AF270" s="674"/>
      <c r="AG270" s="674"/>
      <c r="AH270" s="674"/>
      <c r="AI270" s="674"/>
      <c r="AJ270" s="674"/>
      <c r="AK270" s="674"/>
      <c r="AL270" s="674"/>
      <c r="AM270" s="675"/>
      <c r="AN270" s="497"/>
      <c r="AO270" s="477"/>
      <c r="AP270" s="476"/>
      <c r="AQ270" s="477"/>
      <c r="AR270" s="676"/>
      <c r="AS270" s="474"/>
      <c r="AT270" s="576"/>
      <c r="AU270" s="477"/>
      <c r="AV270" s="475"/>
      <c r="AW270" s="477"/>
      <c r="AX270" s="475"/>
      <c r="AY270" s="6" t="str">
        <f t="shared" si="222"/>
        <v/>
      </c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CA270" s="19"/>
      <c r="CB270" s="135" t="str">
        <f t="shared" ref="CB270:CB272" si="241">IF(AND(E270&gt;0,AQ270=""), "* No olvide digitar la variable Gestantes. Digite Cero si no tiene.",IF(AQ270&gt;E270,"  * La variable Gestantes No puede ser mayor al Total Mujeres.",""))</f>
        <v/>
      </c>
      <c r="CC270" s="1746"/>
      <c r="CD270" s="135" t="str">
        <f t="shared" si="240"/>
        <v/>
      </c>
      <c r="CE270" s="135" t="str">
        <f t="shared" si="226"/>
        <v/>
      </c>
      <c r="CF270" s="135" t="str">
        <f t="shared" si="227"/>
        <v/>
      </c>
      <c r="CG270" s="135" t="str">
        <f t="shared" si="228"/>
        <v/>
      </c>
      <c r="CH270" s="135" t="str">
        <f t="shared" si="229"/>
        <v/>
      </c>
      <c r="CI270" s="135" t="str">
        <f t="shared" si="230"/>
        <v/>
      </c>
      <c r="CP270" s="55">
        <f t="shared" si="231"/>
        <v>0</v>
      </c>
      <c r="CQ270" s="54"/>
      <c r="CR270" s="55">
        <f t="shared" si="233"/>
        <v>0</v>
      </c>
      <c r="CS270" s="55">
        <f t="shared" si="234"/>
        <v>0</v>
      </c>
      <c r="CT270" s="55">
        <f t="shared" si="235"/>
        <v>0</v>
      </c>
      <c r="CU270" s="55">
        <f t="shared" si="236"/>
        <v>0</v>
      </c>
      <c r="CV270" s="55">
        <f t="shared" si="237"/>
        <v>0</v>
      </c>
      <c r="CW270" s="55">
        <f t="shared" si="238"/>
        <v>0</v>
      </c>
    </row>
    <row r="271" spans="1:101" x14ac:dyDescent="0.3">
      <c r="A271" s="5844"/>
      <c r="B271" s="500" t="s">
        <v>877</v>
      </c>
      <c r="C271" s="663">
        <f t="shared" si="224"/>
        <v>0</v>
      </c>
      <c r="D271" s="664">
        <f t="shared" ref="D271:E273" si="242">SUM(F271+H271+J271+L271+N271)</f>
        <v>0</v>
      </c>
      <c r="E271" s="500">
        <f t="shared" si="242"/>
        <v>0</v>
      </c>
      <c r="F271" s="346"/>
      <c r="G271" s="347"/>
      <c r="H271" s="346"/>
      <c r="I271" s="347"/>
      <c r="J271" s="346"/>
      <c r="K271" s="347"/>
      <c r="L271" s="346"/>
      <c r="M271" s="347"/>
      <c r="N271" s="346"/>
      <c r="O271" s="347"/>
      <c r="P271" s="312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1"/>
      <c r="AN271" s="296"/>
      <c r="AO271" s="22"/>
      <c r="AP271" s="61"/>
      <c r="AQ271" s="348"/>
      <c r="AR271" s="72"/>
      <c r="AS271" s="346"/>
      <c r="AT271" s="347"/>
      <c r="AU271" s="348"/>
      <c r="AV271" s="347"/>
      <c r="AW271" s="348"/>
      <c r="AX271" s="347"/>
      <c r="AY271" s="6" t="str">
        <f t="shared" si="222"/>
        <v/>
      </c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CA271" s="19"/>
      <c r="CB271" s="135" t="str">
        <f t="shared" si="241"/>
        <v/>
      </c>
      <c r="CC271" s="1746"/>
      <c r="CD271" s="135" t="str">
        <f t="shared" si="240"/>
        <v/>
      </c>
      <c r="CE271" s="135" t="str">
        <f t="shared" si="226"/>
        <v/>
      </c>
      <c r="CF271" s="135" t="str">
        <f t="shared" si="227"/>
        <v/>
      </c>
      <c r="CG271" s="135" t="str">
        <f t="shared" si="228"/>
        <v/>
      </c>
      <c r="CH271" s="135" t="str">
        <f t="shared" si="229"/>
        <v/>
      </c>
      <c r="CI271" s="135" t="str">
        <f t="shared" si="230"/>
        <v/>
      </c>
      <c r="CP271" s="55">
        <f t="shared" si="231"/>
        <v>0</v>
      </c>
      <c r="CQ271" s="54"/>
      <c r="CR271" s="55">
        <f t="shared" si="233"/>
        <v>0</v>
      </c>
      <c r="CS271" s="55">
        <f t="shared" si="234"/>
        <v>0</v>
      </c>
      <c r="CT271" s="55">
        <f t="shared" si="235"/>
        <v>0</v>
      </c>
      <c r="CU271" s="55">
        <f t="shared" si="236"/>
        <v>0</v>
      </c>
      <c r="CV271" s="55">
        <f t="shared" si="237"/>
        <v>0</v>
      </c>
      <c r="CW271" s="55">
        <f t="shared" si="238"/>
        <v>0</v>
      </c>
    </row>
    <row r="272" spans="1:101" ht="21.6" x14ac:dyDescent="0.3">
      <c r="A272" s="5844"/>
      <c r="B272" s="500" t="s">
        <v>878</v>
      </c>
      <c r="C272" s="663">
        <f t="shared" si="224"/>
        <v>0</v>
      </c>
      <c r="D272" s="664">
        <f t="shared" si="242"/>
        <v>0</v>
      </c>
      <c r="E272" s="500">
        <f t="shared" si="242"/>
        <v>0</v>
      </c>
      <c r="F272" s="346"/>
      <c r="G272" s="347"/>
      <c r="H272" s="346"/>
      <c r="I272" s="347"/>
      <c r="J272" s="346"/>
      <c r="K272" s="347"/>
      <c r="L272" s="346"/>
      <c r="M272" s="347"/>
      <c r="N272" s="346"/>
      <c r="O272" s="347"/>
      <c r="P272" s="312"/>
      <c r="Q272" s="70"/>
      <c r="R272" s="70"/>
      <c r="S272" s="70"/>
      <c r="T272" s="70"/>
      <c r="U272" s="70"/>
      <c r="V272" s="70"/>
      <c r="W272" s="70"/>
      <c r="X272" s="70"/>
      <c r="Y272" s="70"/>
      <c r="Z272" s="70"/>
      <c r="AA272" s="70"/>
      <c r="AB272" s="70"/>
      <c r="AC272" s="70"/>
      <c r="AD272" s="70"/>
      <c r="AE272" s="70"/>
      <c r="AF272" s="70"/>
      <c r="AG272" s="70"/>
      <c r="AH272" s="70"/>
      <c r="AI272" s="70"/>
      <c r="AJ272" s="70"/>
      <c r="AK272" s="70"/>
      <c r="AL272" s="70"/>
      <c r="AM272" s="71"/>
      <c r="AN272" s="296"/>
      <c r="AO272" s="22"/>
      <c r="AP272" s="61"/>
      <c r="AQ272" s="348"/>
      <c r="AR272" s="72"/>
      <c r="AS272" s="346"/>
      <c r="AT272" s="347"/>
      <c r="AU272" s="348"/>
      <c r="AV272" s="347"/>
      <c r="AW272" s="348"/>
      <c r="AX272" s="347"/>
      <c r="AY272" s="6" t="str">
        <f>CA272&amp;CB272&amp;CC272&amp;CD272&amp;CE272&amp;CF272&amp;CG272&amp;CH272&amp;CI272</f>
        <v/>
      </c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CA272" s="19"/>
      <c r="CB272" s="135" t="str">
        <f t="shared" si="241"/>
        <v/>
      </c>
      <c r="CC272" s="1746"/>
      <c r="CD272" s="135" t="str">
        <f t="shared" si="240"/>
        <v/>
      </c>
      <c r="CE272" s="135" t="str">
        <f t="shared" si="226"/>
        <v/>
      </c>
      <c r="CF272" s="135" t="str">
        <f t="shared" si="227"/>
        <v/>
      </c>
      <c r="CG272" s="135" t="str">
        <f t="shared" si="228"/>
        <v/>
      </c>
      <c r="CH272" s="135" t="str">
        <f t="shared" si="229"/>
        <v/>
      </c>
      <c r="CI272" s="135" t="str">
        <f t="shared" si="230"/>
        <v/>
      </c>
      <c r="CP272" s="55">
        <f t="shared" si="231"/>
        <v>0</v>
      </c>
      <c r="CQ272" s="54"/>
      <c r="CR272" s="55">
        <f t="shared" si="233"/>
        <v>0</v>
      </c>
      <c r="CS272" s="55">
        <f t="shared" si="234"/>
        <v>0</v>
      </c>
      <c r="CT272" s="55">
        <f t="shared" si="235"/>
        <v>0</v>
      </c>
      <c r="CU272" s="55">
        <f t="shared" si="236"/>
        <v>0</v>
      </c>
      <c r="CV272" s="55">
        <f t="shared" si="237"/>
        <v>0</v>
      </c>
      <c r="CW272" s="55">
        <f t="shared" si="238"/>
        <v>0</v>
      </c>
    </row>
    <row r="273" spans="1:101" ht="31.8" x14ac:dyDescent="0.3">
      <c r="A273" s="5791"/>
      <c r="B273" s="387" t="s">
        <v>879</v>
      </c>
      <c r="C273" s="378">
        <f t="shared" si="224"/>
        <v>0</v>
      </c>
      <c r="D273" s="672">
        <f t="shared" si="242"/>
        <v>0</v>
      </c>
      <c r="E273" s="387">
        <f t="shared" si="242"/>
        <v>0</v>
      </c>
      <c r="F273" s="380"/>
      <c r="G273" s="388"/>
      <c r="H273" s="380"/>
      <c r="I273" s="388"/>
      <c r="J273" s="380"/>
      <c r="K273" s="388"/>
      <c r="L273" s="380"/>
      <c r="M273" s="388"/>
      <c r="N273" s="380"/>
      <c r="O273" s="388"/>
      <c r="P273" s="677"/>
      <c r="Q273" s="678"/>
      <c r="R273" s="678"/>
      <c r="S273" s="678"/>
      <c r="T273" s="678"/>
      <c r="U273" s="678"/>
      <c r="V273" s="678"/>
      <c r="W273" s="678"/>
      <c r="X273" s="678"/>
      <c r="Y273" s="678"/>
      <c r="Z273" s="678"/>
      <c r="AA273" s="678"/>
      <c r="AB273" s="678"/>
      <c r="AC273" s="678"/>
      <c r="AD273" s="678"/>
      <c r="AE273" s="678"/>
      <c r="AF273" s="678"/>
      <c r="AG273" s="678"/>
      <c r="AH273" s="678"/>
      <c r="AI273" s="678"/>
      <c r="AJ273" s="678"/>
      <c r="AK273" s="678"/>
      <c r="AL273" s="678"/>
      <c r="AM273" s="679"/>
      <c r="AN273" s="296"/>
      <c r="AO273" s="22"/>
      <c r="AP273" s="390"/>
      <c r="AQ273" s="429"/>
      <c r="AR273" s="566"/>
      <c r="AS273" s="380"/>
      <c r="AT273" s="388"/>
      <c r="AU273" s="429"/>
      <c r="AV273" s="388"/>
      <c r="AW273" s="429"/>
      <c r="AX273" s="388"/>
      <c r="AY273" s="6" t="str">
        <f t="shared" si="222"/>
        <v/>
      </c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CA273" s="19"/>
      <c r="CB273" s="135" t="str">
        <f>IF(AND(E273&gt;0,AQ273=""), "* No olvide digitar la variable Gestantes. Digite Cero si no tiene.",IF(AQ273&gt;E273,"  * La variable Gestantes No puede ser mayor al Total Mujeres.",""))</f>
        <v/>
      </c>
      <c r="CC273" s="1746"/>
      <c r="CD273" s="135" t="str">
        <f t="shared" si="240"/>
        <v/>
      </c>
      <c r="CE273" s="135" t="str">
        <f t="shared" si="226"/>
        <v/>
      </c>
      <c r="CF273" s="135" t="str">
        <f t="shared" si="227"/>
        <v/>
      </c>
      <c r="CG273" s="135" t="str">
        <f t="shared" si="228"/>
        <v/>
      </c>
      <c r="CH273" s="135" t="str">
        <f t="shared" si="229"/>
        <v/>
      </c>
      <c r="CI273" s="135" t="str">
        <f t="shared" si="230"/>
        <v/>
      </c>
      <c r="CP273" s="55">
        <f t="shared" si="231"/>
        <v>0</v>
      </c>
      <c r="CQ273" s="54"/>
      <c r="CR273" s="55">
        <f t="shared" si="233"/>
        <v>0</v>
      </c>
      <c r="CS273" s="55">
        <f t="shared" si="234"/>
        <v>0</v>
      </c>
      <c r="CT273" s="55">
        <f t="shared" si="235"/>
        <v>0</v>
      </c>
      <c r="CU273" s="55">
        <f t="shared" si="236"/>
        <v>0</v>
      </c>
      <c r="CV273" s="55">
        <f t="shared" si="237"/>
        <v>0</v>
      </c>
      <c r="CW273" s="55">
        <f t="shared" si="238"/>
        <v>0</v>
      </c>
    </row>
    <row r="274" spans="1:101" x14ac:dyDescent="0.3">
      <c r="A274" s="6185" t="s">
        <v>911</v>
      </c>
      <c r="B274" s="680" t="s">
        <v>881</v>
      </c>
      <c r="C274" s="309">
        <f t="shared" si="224"/>
        <v>0</v>
      </c>
      <c r="D274" s="657">
        <f t="shared" ref="D274:E292" si="243">SUM(F274+H274+J274+L274+N274+P274+R274+T274+V274+X274+Z274+AB274+AD274+AF274+AH274+AJ274+AL274)</f>
        <v>0</v>
      </c>
      <c r="E274" s="108">
        <f>SUM(G274+I274+K274+M274+O274+Q274+S274+U274+W274+Y274+AA274+AC274+AE274+AG274+AI274+AK274+AM274)</f>
        <v>0</v>
      </c>
      <c r="F274" s="290"/>
      <c r="G274" s="107"/>
      <c r="H274" s="290"/>
      <c r="I274" s="107"/>
      <c r="J274" s="290"/>
      <c r="K274" s="107"/>
      <c r="L274" s="290"/>
      <c r="M274" s="107"/>
      <c r="N274" s="290"/>
      <c r="O274" s="107"/>
      <c r="P274" s="290"/>
      <c r="Q274" s="107"/>
      <c r="R274" s="290"/>
      <c r="S274" s="107"/>
      <c r="T274" s="290"/>
      <c r="U274" s="107"/>
      <c r="V274" s="290"/>
      <c r="W274" s="107"/>
      <c r="X274" s="290"/>
      <c r="Y274" s="107"/>
      <c r="Z274" s="290"/>
      <c r="AA274" s="107"/>
      <c r="AB274" s="290"/>
      <c r="AC274" s="107"/>
      <c r="AD274" s="290"/>
      <c r="AE274" s="107"/>
      <c r="AF274" s="290"/>
      <c r="AG274" s="107"/>
      <c r="AH274" s="290"/>
      <c r="AI274" s="107"/>
      <c r="AJ274" s="290"/>
      <c r="AK274" s="107"/>
      <c r="AL274" s="290"/>
      <c r="AM274" s="496"/>
      <c r="AN274" s="477"/>
      <c r="AO274" s="494"/>
      <c r="AP274" s="496"/>
      <c r="AQ274" s="22"/>
      <c r="AR274" s="107"/>
      <c r="AS274" s="474"/>
      <c r="AT274" s="347"/>
      <c r="AU274" s="348"/>
      <c r="AV274" s="347"/>
      <c r="AW274" s="348"/>
      <c r="AX274" s="347"/>
      <c r="AY274" s="6" t="str">
        <f t="shared" si="222"/>
        <v/>
      </c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CA274" s="19"/>
      <c r="CB274" s="135" t="str">
        <f t="shared" ref="CB274:CB278" si="244">IF(AND(E274&gt;0,AQ274=""), "* No olvide digitar la variable Gestantes. Digite Cero si no tiene.",IF(AQ274&gt;E274,"  * La variable Gestantes No puede ser mayor al Total Mujeres.",""))</f>
        <v/>
      </c>
      <c r="CC274" s="135" t="str">
        <f t="shared" si="206"/>
        <v/>
      </c>
      <c r="CD274" s="135" t="str">
        <f t="shared" si="240"/>
        <v/>
      </c>
      <c r="CE274" s="135" t="str">
        <f t="shared" si="226"/>
        <v/>
      </c>
      <c r="CF274" s="135" t="str">
        <f t="shared" si="227"/>
        <v/>
      </c>
      <c r="CG274" s="135" t="str">
        <f t="shared" si="228"/>
        <v/>
      </c>
      <c r="CH274" s="135" t="str">
        <f t="shared" si="229"/>
        <v/>
      </c>
      <c r="CI274" s="135" t="str">
        <f t="shared" si="230"/>
        <v/>
      </c>
      <c r="CP274" s="55">
        <f t="shared" si="231"/>
        <v>0</v>
      </c>
      <c r="CQ274" s="55">
        <f>IF(AND(E274&gt;0,AR274=""),1,IF(AR274&gt;E274,1,0))</f>
        <v>0</v>
      </c>
      <c r="CR274" s="55">
        <f t="shared" si="233"/>
        <v>0</v>
      </c>
      <c r="CS274" s="55">
        <f t="shared" si="234"/>
        <v>0</v>
      </c>
      <c r="CT274" s="55">
        <f t="shared" si="235"/>
        <v>0</v>
      </c>
      <c r="CU274" s="55">
        <f t="shared" si="236"/>
        <v>0</v>
      </c>
      <c r="CV274" s="55">
        <f t="shared" si="237"/>
        <v>0</v>
      </c>
      <c r="CW274" s="55">
        <f t="shared" si="238"/>
        <v>0</v>
      </c>
    </row>
    <row r="275" spans="1:101" x14ac:dyDescent="0.3">
      <c r="A275" s="5844"/>
      <c r="B275" s="247" t="s">
        <v>882</v>
      </c>
      <c r="C275" s="663">
        <f t="shared" si="224"/>
        <v>0</v>
      </c>
      <c r="D275" s="664">
        <f t="shared" si="243"/>
        <v>0</v>
      </c>
      <c r="E275" s="500">
        <f t="shared" si="243"/>
        <v>0</v>
      </c>
      <c r="F275" s="346"/>
      <c r="G275" s="347"/>
      <c r="H275" s="346"/>
      <c r="I275" s="347"/>
      <c r="J275" s="346"/>
      <c r="K275" s="347"/>
      <c r="L275" s="346"/>
      <c r="M275" s="347"/>
      <c r="N275" s="346"/>
      <c r="O275" s="347"/>
      <c r="P275" s="346"/>
      <c r="Q275" s="347"/>
      <c r="R275" s="346"/>
      <c r="S275" s="347"/>
      <c r="T275" s="346"/>
      <c r="U275" s="347"/>
      <c r="V275" s="346"/>
      <c r="W275" s="347"/>
      <c r="X275" s="346"/>
      <c r="Y275" s="347"/>
      <c r="Z275" s="346"/>
      <c r="AA275" s="347"/>
      <c r="AB275" s="346"/>
      <c r="AC275" s="347"/>
      <c r="AD275" s="346"/>
      <c r="AE275" s="347"/>
      <c r="AF275" s="346"/>
      <c r="AG275" s="347"/>
      <c r="AH275" s="346"/>
      <c r="AI275" s="347"/>
      <c r="AJ275" s="346"/>
      <c r="AK275" s="347"/>
      <c r="AL275" s="346"/>
      <c r="AM275" s="352"/>
      <c r="AN275" s="348"/>
      <c r="AO275" s="369"/>
      <c r="AP275" s="352"/>
      <c r="AQ275" s="348"/>
      <c r="AR275" s="347"/>
      <c r="AS275" s="346"/>
      <c r="AT275" s="347"/>
      <c r="AU275" s="348"/>
      <c r="AV275" s="347"/>
      <c r="AW275" s="348"/>
      <c r="AX275" s="347"/>
      <c r="AY275" s="6" t="str">
        <f t="shared" si="222"/>
        <v/>
      </c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CA275" s="19"/>
      <c r="CB275" s="135" t="str">
        <f t="shared" si="244"/>
        <v/>
      </c>
      <c r="CC275" s="135" t="str">
        <f t="shared" si="206"/>
        <v/>
      </c>
      <c r="CD275" s="135" t="str">
        <f t="shared" si="240"/>
        <v/>
      </c>
      <c r="CE275" s="135" t="str">
        <f t="shared" si="226"/>
        <v/>
      </c>
      <c r="CF275" s="135" t="str">
        <f t="shared" si="227"/>
        <v/>
      </c>
      <c r="CG275" s="135" t="str">
        <f t="shared" si="228"/>
        <v/>
      </c>
      <c r="CH275" s="135" t="str">
        <f t="shared" si="229"/>
        <v/>
      </c>
      <c r="CI275" s="135" t="str">
        <f t="shared" si="230"/>
        <v/>
      </c>
      <c r="CP275" s="55">
        <f t="shared" si="231"/>
        <v>0</v>
      </c>
      <c r="CQ275" s="55">
        <f>IF(AND(E275&gt;0,AR275=""),1,IF(AR275&gt;E275,1,0))</f>
        <v>0</v>
      </c>
      <c r="CR275" s="55">
        <f t="shared" si="233"/>
        <v>0</v>
      </c>
      <c r="CS275" s="55">
        <f t="shared" si="234"/>
        <v>0</v>
      </c>
      <c r="CT275" s="55">
        <f t="shared" si="235"/>
        <v>0</v>
      </c>
      <c r="CU275" s="55">
        <f t="shared" si="236"/>
        <v>0</v>
      </c>
      <c r="CV275" s="55">
        <f t="shared" si="237"/>
        <v>0</v>
      </c>
      <c r="CW275" s="55">
        <f t="shared" si="238"/>
        <v>0</v>
      </c>
    </row>
    <row r="276" spans="1:101" x14ac:dyDescent="0.3">
      <c r="A276" s="5844"/>
      <c r="B276" s="665" t="s">
        <v>883</v>
      </c>
      <c r="C276" s="663">
        <f t="shared" si="224"/>
        <v>0</v>
      </c>
      <c r="D276" s="664">
        <f t="shared" si="243"/>
        <v>0</v>
      </c>
      <c r="E276" s="500">
        <f t="shared" si="243"/>
        <v>0</v>
      </c>
      <c r="F276" s="346"/>
      <c r="G276" s="347"/>
      <c r="H276" s="346"/>
      <c r="I276" s="347"/>
      <c r="J276" s="346"/>
      <c r="K276" s="347"/>
      <c r="L276" s="346"/>
      <c r="M276" s="347"/>
      <c r="N276" s="346"/>
      <c r="O276" s="347"/>
      <c r="P276" s="346"/>
      <c r="Q276" s="347"/>
      <c r="R276" s="346"/>
      <c r="S276" s="347"/>
      <c r="T276" s="346"/>
      <c r="U276" s="347"/>
      <c r="V276" s="346"/>
      <c r="W276" s="347"/>
      <c r="X276" s="346"/>
      <c r="Y276" s="347"/>
      <c r="Z276" s="346"/>
      <c r="AA276" s="347"/>
      <c r="AB276" s="346"/>
      <c r="AC276" s="347"/>
      <c r="AD276" s="346"/>
      <c r="AE276" s="347"/>
      <c r="AF276" s="346"/>
      <c r="AG276" s="347"/>
      <c r="AH276" s="346"/>
      <c r="AI276" s="347"/>
      <c r="AJ276" s="346"/>
      <c r="AK276" s="347"/>
      <c r="AL276" s="346"/>
      <c r="AM276" s="352"/>
      <c r="AN276" s="348"/>
      <c r="AO276" s="369"/>
      <c r="AP276" s="352"/>
      <c r="AQ276" s="348"/>
      <c r="AR276" s="347"/>
      <c r="AS276" s="346"/>
      <c r="AT276" s="347"/>
      <c r="AU276" s="348"/>
      <c r="AV276" s="347"/>
      <c r="AW276" s="348"/>
      <c r="AX276" s="347"/>
      <c r="AY276" s="6" t="str">
        <f t="shared" si="222"/>
        <v/>
      </c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CA276" s="19"/>
      <c r="CB276" s="135" t="str">
        <f t="shared" si="244"/>
        <v/>
      </c>
      <c r="CC276" s="135" t="str">
        <f t="shared" si="206"/>
        <v/>
      </c>
      <c r="CD276" s="135" t="str">
        <f t="shared" si="240"/>
        <v/>
      </c>
      <c r="CE276" s="135" t="str">
        <f t="shared" si="226"/>
        <v/>
      </c>
      <c r="CF276" s="135" t="str">
        <f t="shared" si="227"/>
        <v/>
      </c>
      <c r="CG276" s="135" t="str">
        <f t="shared" si="228"/>
        <v/>
      </c>
      <c r="CH276" s="135" t="str">
        <f t="shared" si="229"/>
        <v/>
      </c>
      <c r="CI276" s="135" t="str">
        <f t="shared" si="230"/>
        <v/>
      </c>
      <c r="CP276" s="55">
        <f t="shared" si="231"/>
        <v>0</v>
      </c>
      <c r="CQ276" s="55">
        <f>IF(AND(E276&gt;0,AR276=""),1,IF(AR276&gt;E276,1,0))</f>
        <v>0</v>
      </c>
      <c r="CR276" s="55">
        <f t="shared" si="233"/>
        <v>0</v>
      </c>
      <c r="CS276" s="55">
        <f t="shared" si="234"/>
        <v>0</v>
      </c>
      <c r="CT276" s="55">
        <f t="shared" si="235"/>
        <v>0</v>
      </c>
      <c r="CU276" s="55">
        <f t="shared" si="236"/>
        <v>0</v>
      </c>
      <c r="CV276" s="55">
        <f t="shared" si="237"/>
        <v>0</v>
      </c>
      <c r="CW276" s="55">
        <f t="shared" si="238"/>
        <v>0</v>
      </c>
    </row>
    <row r="277" spans="1:101" x14ac:dyDescent="0.3">
      <c r="A277" s="5844"/>
      <c r="B277" s="665" t="s">
        <v>884</v>
      </c>
      <c r="C277" s="309">
        <f t="shared" si="224"/>
        <v>0</v>
      </c>
      <c r="D277" s="657">
        <f t="shared" si="243"/>
        <v>0</v>
      </c>
      <c r="E277" s="108">
        <f t="shared" si="243"/>
        <v>0</v>
      </c>
      <c r="F277" s="346"/>
      <c r="G277" s="347"/>
      <c r="H277" s="346"/>
      <c r="I277" s="347"/>
      <c r="J277" s="346"/>
      <c r="K277" s="347"/>
      <c r="L277" s="346"/>
      <c r="M277" s="347"/>
      <c r="N277" s="346"/>
      <c r="O277" s="347"/>
      <c r="P277" s="346"/>
      <c r="Q277" s="347"/>
      <c r="R277" s="346"/>
      <c r="S277" s="347"/>
      <c r="T277" s="346"/>
      <c r="U277" s="347"/>
      <c r="V277" s="346"/>
      <c r="W277" s="347"/>
      <c r="X277" s="346"/>
      <c r="Y277" s="347"/>
      <c r="Z277" s="346"/>
      <c r="AA277" s="347"/>
      <c r="AB277" s="346"/>
      <c r="AC277" s="347"/>
      <c r="AD277" s="346"/>
      <c r="AE277" s="347"/>
      <c r="AF277" s="346"/>
      <c r="AG277" s="347"/>
      <c r="AH277" s="346"/>
      <c r="AI277" s="347"/>
      <c r="AJ277" s="346"/>
      <c r="AK277" s="347"/>
      <c r="AL277" s="346"/>
      <c r="AM277" s="352"/>
      <c r="AN277" s="348"/>
      <c r="AO277" s="369"/>
      <c r="AP277" s="352"/>
      <c r="AQ277" s="348"/>
      <c r="AR277" s="347"/>
      <c r="AS277" s="346"/>
      <c r="AT277" s="347"/>
      <c r="AU277" s="348"/>
      <c r="AV277" s="347"/>
      <c r="AW277" s="348"/>
      <c r="AX277" s="347"/>
      <c r="AY277" s="6" t="str">
        <f t="shared" si="222"/>
        <v/>
      </c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CA277" s="19"/>
      <c r="CB277" s="135" t="str">
        <f t="shared" si="244"/>
        <v/>
      </c>
      <c r="CC277" s="135" t="str">
        <f t="shared" si="206"/>
        <v/>
      </c>
      <c r="CD277" s="135" t="str">
        <f t="shared" si="240"/>
        <v/>
      </c>
      <c r="CE277" s="135" t="str">
        <f t="shared" si="226"/>
        <v/>
      </c>
      <c r="CF277" s="135" t="str">
        <f t="shared" si="227"/>
        <v/>
      </c>
      <c r="CG277" s="135" t="str">
        <f t="shared" si="228"/>
        <v/>
      </c>
      <c r="CH277" s="135" t="str">
        <f t="shared" si="229"/>
        <v/>
      </c>
      <c r="CI277" s="135" t="str">
        <f t="shared" si="230"/>
        <v/>
      </c>
      <c r="CP277" s="55">
        <f t="shared" si="231"/>
        <v>0</v>
      </c>
      <c r="CQ277" s="55">
        <f>IF(AND(E277&gt;0,AR277=""),1,IF(AR277&gt;E277,1,0))</f>
        <v>0</v>
      </c>
      <c r="CR277" s="55">
        <f t="shared" si="233"/>
        <v>0</v>
      </c>
      <c r="CS277" s="55">
        <f t="shared" si="234"/>
        <v>0</v>
      </c>
      <c r="CT277" s="55">
        <f t="shared" si="235"/>
        <v>0</v>
      </c>
      <c r="CU277" s="55">
        <f t="shared" si="236"/>
        <v>0</v>
      </c>
      <c r="CV277" s="55">
        <f t="shared" si="237"/>
        <v>0</v>
      </c>
      <c r="CW277" s="55">
        <f t="shared" si="238"/>
        <v>0</v>
      </c>
    </row>
    <row r="278" spans="1:101" x14ac:dyDescent="0.3">
      <c r="A278" s="5791"/>
      <c r="B278" s="681" t="s">
        <v>885</v>
      </c>
      <c r="C278" s="73">
        <f t="shared" si="224"/>
        <v>0</v>
      </c>
      <c r="D278" s="246">
        <f t="shared" si="243"/>
        <v>0</v>
      </c>
      <c r="E278" s="67">
        <f t="shared" si="243"/>
        <v>0</v>
      </c>
      <c r="F278" s="346"/>
      <c r="G278" s="347"/>
      <c r="H278" s="346"/>
      <c r="I278" s="347"/>
      <c r="J278" s="346"/>
      <c r="K278" s="347"/>
      <c r="L278" s="346"/>
      <c r="M278" s="347"/>
      <c r="N278" s="346"/>
      <c r="O278" s="347"/>
      <c r="P278" s="346"/>
      <c r="Q278" s="347"/>
      <c r="R278" s="346"/>
      <c r="S278" s="347"/>
      <c r="T278" s="346"/>
      <c r="U278" s="347"/>
      <c r="V278" s="346"/>
      <c r="W278" s="347"/>
      <c r="X278" s="346"/>
      <c r="Y278" s="347"/>
      <c r="Z278" s="346"/>
      <c r="AA278" s="347"/>
      <c r="AB278" s="346"/>
      <c r="AC278" s="347"/>
      <c r="AD278" s="346"/>
      <c r="AE278" s="347"/>
      <c r="AF278" s="346"/>
      <c r="AG278" s="347"/>
      <c r="AH278" s="346"/>
      <c r="AI278" s="347"/>
      <c r="AJ278" s="346"/>
      <c r="AK278" s="347"/>
      <c r="AL278" s="380"/>
      <c r="AM278" s="390"/>
      <c r="AN278" s="429"/>
      <c r="AO278" s="372"/>
      <c r="AP278" s="390"/>
      <c r="AQ278" s="429"/>
      <c r="AR278" s="388"/>
      <c r="AS278" s="346"/>
      <c r="AT278" s="347"/>
      <c r="AU278" s="348"/>
      <c r="AV278" s="347"/>
      <c r="AW278" s="348"/>
      <c r="AX278" s="347"/>
      <c r="AY278" s="6" t="str">
        <f t="shared" si="222"/>
        <v/>
      </c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CA278" s="19"/>
      <c r="CB278" s="135" t="str">
        <f t="shared" si="244"/>
        <v/>
      </c>
      <c r="CC278" s="135" t="str">
        <f t="shared" si="206"/>
        <v/>
      </c>
      <c r="CD278" s="135" t="str">
        <f t="shared" si="240"/>
        <v/>
      </c>
      <c r="CE278" s="135" t="str">
        <f t="shared" si="226"/>
        <v/>
      </c>
      <c r="CF278" s="135" t="str">
        <f t="shared" si="227"/>
        <v/>
      </c>
      <c r="CG278" s="135" t="str">
        <f t="shared" si="228"/>
        <v/>
      </c>
      <c r="CH278" s="135" t="str">
        <f t="shared" si="229"/>
        <v/>
      </c>
      <c r="CI278" s="135" t="str">
        <f t="shared" si="230"/>
        <v/>
      </c>
      <c r="CP278" s="55">
        <f t="shared" si="231"/>
        <v>0</v>
      </c>
      <c r="CQ278" s="55">
        <f>IF(AND(E278&gt;0,AR278=""),1,IF(AR278&gt;E278,1,0))</f>
        <v>0</v>
      </c>
      <c r="CR278" s="55">
        <f t="shared" si="233"/>
        <v>0</v>
      </c>
      <c r="CS278" s="55">
        <f t="shared" si="234"/>
        <v>0</v>
      </c>
      <c r="CT278" s="55">
        <f t="shared" si="235"/>
        <v>0</v>
      </c>
      <c r="CU278" s="55">
        <f t="shared" si="236"/>
        <v>0</v>
      </c>
      <c r="CV278" s="55">
        <f t="shared" si="237"/>
        <v>0</v>
      </c>
      <c r="CW278" s="55">
        <f t="shared" si="238"/>
        <v>0</v>
      </c>
    </row>
    <row r="279" spans="1:101" ht="15" customHeight="1" x14ac:dyDescent="0.3">
      <c r="A279" s="6185" t="s">
        <v>886</v>
      </c>
      <c r="B279" s="667" t="s">
        <v>887</v>
      </c>
      <c r="C279" s="654">
        <f t="shared" si="224"/>
        <v>0</v>
      </c>
      <c r="D279" s="655">
        <f t="shared" si="243"/>
        <v>0</v>
      </c>
      <c r="E279" s="656">
        <f t="shared" si="243"/>
        <v>0</v>
      </c>
      <c r="F279" s="660"/>
      <c r="G279" s="661"/>
      <c r="H279" s="660"/>
      <c r="I279" s="661"/>
      <c r="J279" s="660"/>
      <c r="K279" s="661"/>
      <c r="L279" s="660"/>
      <c r="M279" s="661"/>
      <c r="N279" s="660"/>
      <c r="O279" s="661"/>
      <c r="P279" s="660"/>
      <c r="Q279" s="661"/>
      <c r="R279" s="474"/>
      <c r="S279" s="576"/>
      <c r="T279" s="474"/>
      <c r="U279" s="576"/>
      <c r="V279" s="474"/>
      <c r="W279" s="576"/>
      <c r="X279" s="474"/>
      <c r="Y279" s="576"/>
      <c r="Z279" s="474"/>
      <c r="AA279" s="576"/>
      <c r="AB279" s="474"/>
      <c r="AC279" s="576"/>
      <c r="AD279" s="474"/>
      <c r="AE279" s="576"/>
      <c r="AF279" s="474"/>
      <c r="AG279" s="576"/>
      <c r="AH279" s="474"/>
      <c r="AI279" s="576"/>
      <c r="AJ279" s="474"/>
      <c r="AK279" s="576"/>
      <c r="AL279" s="474"/>
      <c r="AM279" s="559"/>
      <c r="AN279" s="296"/>
      <c r="AO279" s="22"/>
      <c r="AP279" s="61"/>
      <c r="AQ279" s="705"/>
      <c r="AR279" s="676"/>
      <c r="AS279" s="474"/>
      <c r="AT279" s="576"/>
      <c r="AU279" s="540"/>
      <c r="AV279" s="661"/>
      <c r="AW279" s="477"/>
      <c r="AX279" s="475"/>
      <c r="AY279" s="6" t="str">
        <f t="shared" si="222"/>
        <v/>
      </c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CA279" s="19"/>
      <c r="CB279" s="181"/>
      <c r="CC279" s="181"/>
      <c r="CD279" s="135" t="str">
        <f t="shared" si="240"/>
        <v/>
      </c>
      <c r="CE279" s="135" t="str">
        <f t="shared" si="226"/>
        <v/>
      </c>
      <c r="CF279" s="1746"/>
      <c r="CG279" s="1746"/>
      <c r="CH279" s="135" t="str">
        <f t="shared" si="229"/>
        <v/>
      </c>
      <c r="CI279" s="135" t="str">
        <f t="shared" si="230"/>
        <v/>
      </c>
      <c r="CP279" s="54"/>
      <c r="CQ279" s="54"/>
      <c r="CR279" s="55">
        <f t="shared" si="233"/>
        <v>0</v>
      </c>
      <c r="CS279" s="55">
        <f t="shared" si="234"/>
        <v>0</v>
      </c>
      <c r="CT279" s="1747"/>
      <c r="CU279" s="1747"/>
      <c r="CV279" s="55">
        <f t="shared" si="237"/>
        <v>0</v>
      </c>
      <c r="CW279" s="55">
        <f t="shared" si="238"/>
        <v>0</v>
      </c>
    </row>
    <row r="280" spans="1:101" x14ac:dyDescent="0.3">
      <c r="A280" s="5844"/>
      <c r="B280" s="665" t="s">
        <v>888</v>
      </c>
      <c r="C280" s="309">
        <f t="shared" si="224"/>
        <v>0</v>
      </c>
      <c r="D280" s="657">
        <f t="shared" si="243"/>
        <v>0</v>
      </c>
      <c r="E280" s="108">
        <f t="shared" si="243"/>
        <v>0</v>
      </c>
      <c r="F280" s="314"/>
      <c r="G280" s="130"/>
      <c r="H280" s="314"/>
      <c r="I280" s="130"/>
      <c r="J280" s="314"/>
      <c r="K280" s="130"/>
      <c r="L280" s="314"/>
      <c r="M280" s="130"/>
      <c r="N280" s="314"/>
      <c r="O280" s="130"/>
      <c r="P280" s="314"/>
      <c r="Q280" s="130"/>
      <c r="R280" s="290"/>
      <c r="S280" s="107"/>
      <c r="T280" s="290"/>
      <c r="U280" s="107"/>
      <c r="V280" s="290"/>
      <c r="W280" s="107"/>
      <c r="X280" s="290"/>
      <c r="Y280" s="107"/>
      <c r="Z280" s="290"/>
      <c r="AA280" s="107"/>
      <c r="AB280" s="290"/>
      <c r="AC280" s="107"/>
      <c r="AD280" s="290"/>
      <c r="AE280" s="107"/>
      <c r="AF280" s="290"/>
      <c r="AG280" s="107"/>
      <c r="AH280" s="290"/>
      <c r="AI280" s="107"/>
      <c r="AJ280" s="290"/>
      <c r="AK280" s="107"/>
      <c r="AL280" s="290"/>
      <c r="AM280" s="65"/>
      <c r="AN280" s="296"/>
      <c r="AO280" s="22"/>
      <c r="AP280" s="61"/>
      <c r="AQ280" s="706"/>
      <c r="AR280" s="72"/>
      <c r="AS280" s="290"/>
      <c r="AT280" s="107"/>
      <c r="AU280" s="63"/>
      <c r="AV280" s="130"/>
      <c r="AW280" s="22"/>
      <c r="AX280" s="107"/>
      <c r="AY280" s="6" t="str">
        <f t="shared" si="222"/>
        <v/>
      </c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CA280" s="19"/>
      <c r="CB280" s="179"/>
      <c r="CC280" s="181"/>
      <c r="CD280" s="135" t="str">
        <f t="shared" si="240"/>
        <v/>
      </c>
      <c r="CE280" s="135" t="str">
        <f t="shared" si="226"/>
        <v/>
      </c>
      <c r="CF280" s="1746"/>
      <c r="CG280" s="1746"/>
      <c r="CH280" s="135" t="str">
        <f t="shared" si="229"/>
        <v/>
      </c>
      <c r="CI280" s="135" t="str">
        <f t="shared" si="230"/>
        <v/>
      </c>
      <c r="CP280" s="54"/>
      <c r="CQ280" s="54"/>
      <c r="CR280" s="55">
        <f t="shared" si="233"/>
        <v>0</v>
      </c>
      <c r="CS280" s="55">
        <f t="shared" si="234"/>
        <v>0</v>
      </c>
      <c r="CT280" s="1747"/>
      <c r="CU280" s="1747"/>
      <c r="CV280" s="55">
        <f t="shared" si="237"/>
        <v>0</v>
      </c>
      <c r="CW280" s="55">
        <f t="shared" si="238"/>
        <v>0</v>
      </c>
    </row>
    <row r="281" spans="1:101" x14ac:dyDescent="0.3">
      <c r="A281" s="5791"/>
      <c r="B281" s="3025" t="s">
        <v>889</v>
      </c>
      <c r="C281" s="386">
        <f t="shared" si="224"/>
        <v>0</v>
      </c>
      <c r="D281" s="310">
        <f t="shared" si="243"/>
        <v>0</v>
      </c>
      <c r="E281" s="658">
        <f t="shared" si="243"/>
        <v>0</v>
      </c>
      <c r="F281" s="707"/>
      <c r="G281" s="708"/>
      <c r="H281" s="707"/>
      <c r="I281" s="708"/>
      <c r="J281" s="707"/>
      <c r="K281" s="708"/>
      <c r="L281" s="707"/>
      <c r="M281" s="708"/>
      <c r="N281" s="707"/>
      <c r="O281" s="708"/>
      <c r="P281" s="707"/>
      <c r="Q281" s="708"/>
      <c r="R281" s="373"/>
      <c r="S281" s="530"/>
      <c r="T281" s="373"/>
      <c r="U281" s="530"/>
      <c r="V281" s="373"/>
      <c r="W281" s="530"/>
      <c r="X281" s="373"/>
      <c r="Y281" s="530"/>
      <c r="Z281" s="373"/>
      <c r="AA281" s="530"/>
      <c r="AB281" s="373"/>
      <c r="AC281" s="530"/>
      <c r="AD281" s="373"/>
      <c r="AE281" s="530"/>
      <c r="AF281" s="373"/>
      <c r="AG281" s="530"/>
      <c r="AH281" s="373"/>
      <c r="AI281" s="530"/>
      <c r="AJ281" s="373"/>
      <c r="AK281" s="530"/>
      <c r="AL281" s="373"/>
      <c r="AM281" s="659"/>
      <c r="AN281" s="266"/>
      <c r="AO281" s="547"/>
      <c r="AP281" s="600"/>
      <c r="AQ281" s="709"/>
      <c r="AR281" s="566"/>
      <c r="AS281" s="373"/>
      <c r="AT281" s="530"/>
      <c r="AU281" s="546"/>
      <c r="AV281" s="708"/>
      <c r="AW281" s="547"/>
      <c r="AX281" s="530"/>
      <c r="AY281" s="6" t="str">
        <f t="shared" si="222"/>
        <v/>
      </c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CA281" s="19"/>
      <c r="CB281" s="179"/>
      <c r="CC281" s="181"/>
      <c r="CD281" s="135" t="str">
        <f t="shared" si="240"/>
        <v/>
      </c>
      <c r="CE281" s="135" t="str">
        <f t="shared" si="226"/>
        <v/>
      </c>
      <c r="CF281" s="1746"/>
      <c r="CG281" s="1746"/>
      <c r="CH281" s="135" t="str">
        <f t="shared" si="229"/>
        <v/>
      </c>
      <c r="CI281" s="135" t="str">
        <f t="shared" si="230"/>
        <v/>
      </c>
      <c r="CP281" s="54"/>
      <c r="CQ281" s="54"/>
      <c r="CR281" s="55">
        <f t="shared" si="233"/>
        <v>0</v>
      </c>
      <c r="CS281" s="55">
        <f t="shared" si="234"/>
        <v>0</v>
      </c>
      <c r="CT281" s="1747"/>
      <c r="CU281" s="1747"/>
      <c r="CV281" s="55">
        <f t="shared" si="237"/>
        <v>0</v>
      </c>
      <c r="CW281" s="55">
        <f t="shared" si="238"/>
        <v>0</v>
      </c>
    </row>
    <row r="282" spans="1:101" x14ac:dyDescent="0.3">
      <c r="A282" s="6297" t="s">
        <v>890</v>
      </c>
      <c r="B282" s="6335"/>
      <c r="C282" s="654">
        <f>SUM(D282+E282)</f>
        <v>0</v>
      </c>
      <c r="D282" s="655">
        <f>SUM(F282+H282+J282+L282+N282+P282+R282+T282+V282+X282+Z282+AB282+AD282+AF282+AH282+AJ282+AL282)</f>
        <v>0</v>
      </c>
      <c r="E282" s="656">
        <f>SUM(G282+I282+K282+M282+O282+Q282+S282+U282+W282+Y282+AA282+AC282+AE282+AG282+AI282+AK282+AM282)</f>
        <v>0</v>
      </c>
      <c r="F282" s="474"/>
      <c r="G282" s="576"/>
      <c r="H282" s="474"/>
      <c r="I282" s="576"/>
      <c r="J282" s="474"/>
      <c r="K282" s="576"/>
      <c r="L282" s="474"/>
      <c r="M282" s="576"/>
      <c r="N282" s="474"/>
      <c r="O282" s="576"/>
      <c r="P282" s="474"/>
      <c r="Q282" s="576"/>
      <c r="R282" s="474"/>
      <c r="S282" s="576"/>
      <c r="T282" s="474"/>
      <c r="U282" s="576"/>
      <c r="V282" s="474"/>
      <c r="W282" s="576"/>
      <c r="X282" s="474"/>
      <c r="Y282" s="576"/>
      <c r="Z282" s="474"/>
      <c r="AA282" s="576"/>
      <c r="AB282" s="474"/>
      <c r="AC282" s="576"/>
      <c r="AD282" s="474"/>
      <c r="AE282" s="576"/>
      <c r="AF282" s="474"/>
      <c r="AG282" s="576"/>
      <c r="AH282" s="474"/>
      <c r="AI282" s="576"/>
      <c r="AJ282" s="474"/>
      <c r="AK282" s="576"/>
      <c r="AL282" s="474"/>
      <c r="AM282" s="559"/>
      <c r="AN282" s="497"/>
      <c r="AO282" s="477"/>
      <c r="AP282" s="476"/>
      <c r="AQ282" s="477"/>
      <c r="AR282" s="475"/>
      <c r="AS282" s="474"/>
      <c r="AT282" s="576"/>
      <c r="AU282" s="477"/>
      <c r="AV282" s="475"/>
      <c r="AW282" s="477"/>
      <c r="AX282" s="475"/>
      <c r="AY282" s="6" t="str">
        <f t="shared" si="222"/>
        <v/>
      </c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CA282" s="19"/>
      <c r="CB282" s="135" t="str">
        <f t="shared" ref="CB282:CB293" si="245">IF(AND(E282&gt;0,AQ282=""), "* No olvide digitar la variable Gestantes. Digite Cero si no tiene.",IF(AQ282&gt;E282,"  * La variable Gestantes No puede ser mayor al Total Mujeres.",""))</f>
        <v/>
      </c>
      <c r="CC282" s="135" t="str">
        <f t="shared" si="206"/>
        <v/>
      </c>
      <c r="CD282" s="135" t="str">
        <f t="shared" si="240"/>
        <v/>
      </c>
      <c r="CE282" s="135" t="str">
        <f t="shared" si="226"/>
        <v/>
      </c>
      <c r="CF282" s="135" t="str">
        <f t="shared" si="227"/>
        <v/>
      </c>
      <c r="CG282" s="135" t="str">
        <f t="shared" si="228"/>
        <v/>
      </c>
      <c r="CH282" s="135" t="str">
        <f t="shared" si="229"/>
        <v/>
      </c>
      <c r="CI282" s="135" t="str">
        <f t="shared" si="230"/>
        <v/>
      </c>
      <c r="CP282" s="55">
        <f t="shared" ref="CP282:CP293" si="246">IF(AND(E282&gt;0,AQ282=""),1,IF(AQ282&gt;E282,1,0))</f>
        <v>0</v>
      </c>
      <c r="CQ282" s="55">
        <f t="shared" ref="CQ282:CQ293" si="247">IF(AND(E282&gt;0,AR282=""),1,IF(AR282&gt;E282,1,0))</f>
        <v>0</v>
      </c>
      <c r="CR282" s="55">
        <f t="shared" si="233"/>
        <v>0</v>
      </c>
      <c r="CS282" s="55">
        <f t="shared" si="234"/>
        <v>0</v>
      </c>
      <c r="CT282" s="55">
        <f t="shared" si="235"/>
        <v>0</v>
      </c>
      <c r="CU282" s="55">
        <f t="shared" si="236"/>
        <v>0</v>
      </c>
      <c r="CV282" s="55">
        <f t="shared" si="237"/>
        <v>0</v>
      </c>
      <c r="CW282" s="55">
        <f t="shared" si="238"/>
        <v>0</v>
      </c>
    </row>
    <row r="283" spans="1:101" x14ac:dyDescent="0.3">
      <c r="A283" s="6349" t="s">
        <v>891</v>
      </c>
      <c r="B283" s="6350"/>
      <c r="C283" s="663">
        <f>SUM(D283+E283)</f>
        <v>0</v>
      </c>
      <c r="D283" s="664">
        <f>SUM(F283+H283+J283+L283+N283+P283+R283+T283+V283+X283+Z283+AB283+AD283+AF283+AH283+AJ283+AL283)</f>
        <v>0</v>
      </c>
      <c r="E283" s="500">
        <f>SUM(G283+I283+K283+M283+O283+Q283+S283+U283+W283+Y283+AA283+AC283+AE283+AG283+AI283+AK283+AM283)</f>
        <v>0</v>
      </c>
      <c r="F283" s="290"/>
      <c r="G283" s="107"/>
      <c r="H283" s="290"/>
      <c r="I283" s="107"/>
      <c r="J283" s="290"/>
      <c r="K283" s="107"/>
      <c r="L283" s="290"/>
      <c r="M283" s="107"/>
      <c r="N283" s="290"/>
      <c r="O283" s="107"/>
      <c r="P283" s="290"/>
      <c r="Q283" s="107"/>
      <c r="R283" s="290"/>
      <c r="S283" s="107"/>
      <c r="T283" s="290"/>
      <c r="U283" s="107"/>
      <c r="V283" s="290"/>
      <c r="W283" s="107"/>
      <c r="X283" s="290"/>
      <c r="Y283" s="107"/>
      <c r="Z283" s="290"/>
      <c r="AA283" s="107"/>
      <c r="AB283" s="290"/>
      <c r="AC283" s="107"/>
      <c r="AD283" s="290"/>
      <c r="AE283" s="107"/>
      <c r="AF283" s="290"/>
      <c r="AG283" s="107"/>
      <c r="AH283" s="290"/>
      <c r="AI283" s="107"/>
      <c r="AJ283" s="290"/>
      <c r="AK283" s="107"/>
      <c r="AL283" s="290"/>
      <c r="AM283" s="65"/>
      <c r="AN283" s="296"/>
      <c r="AO283" s="22"/>
      <c r="AP283" s="61"/>
      <c r="AQ283" s="22"/>
      <c r="AR283" s="107"/>
      <c r="AS283" s="290"/>
      <c r="AT283" s="107"/>
      <c r="AU283" s="22"/>
      <c r="AV283" s="107"/>
      <c r="AW283" s="22"/>
      <c r="AX283" s="107"/>
      <c r="AY283" s="6" t="str">
        <f t="shared" si="222"/>
        <v/>
      </c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CA283" s="19"/>
      <c r="CB283" s="135" t="str">
        <f t="shared" si="245"/>
        <v/>
      </c>
      <c r="CC283" s="135" t="str">
        <f t="shared" si="206"/>
        <v/>
      </c>
      <c r="CD283" s="135" t="str">
        <f t="shared" si="240"/>
        <v/>
      </c>
      <c r="CE283" s="135" t="str">
        <f t="shared" si="226"/>
        <v/>
      </c>
      <c r="CF283" s="135" t="str">
        <f t="shared" si="227"/>
        <v/>
      </c>
      <c r="CG283" s="135" t="str">
        <f t="shared" si="228"/>
        <v/>
      </c>
      <c r="CH283" s="135" t="str">
        <f t="shared" si="229"/>
        <v/>
      </c>
      <c r="CI283" s="135" t="str">
        <f t="shared" si="230"/>
        <v/>
      </c>
      <c r="CP283" s="55">
        <f t="shared" si="246"/>
        <v>0</v>
      </c>
      <c r="CQ283" s="55">
        <f t="shared" si="247"/>
        <v>0</v>
      </c>
      <c r="CR283" s="55">
        <f t="shared" si="233"/>
        <v>0</v>
      </c>
      <c r="CS283" s="55">
        <f t="shared" si="234"/>
        <v>0</v>
      </c>
      <c r="CT283" s="55">
        <f t="shared" si="235"/>
        <v>0</v>
      </c>
      <c r="CU283" s="55">
        <f t="shared" si="236"/>
        <v>0</v>
      </c>
      <c r="CV283" s="55">
        <f t="shared" si="237"/>
        <v>0</v>
      </c>
      <c r="CW283" s="55">
        <f t="shared" si="238"/>
        <v>0</v>
      </c>
    </row>
    <row r="284" spans="1:101" ht="15" customHeight="1" x14ac:dyDescent="0.3">
      <c r="A284" s="5969" t="s">
        <v>892</v>
      </c>
      <c r="B284" s="5970"/>
      <c r="C284" s="663">
        <f t="shared" si="224"/>
        <v>0</v>
      </c>
      <c r="D284" s="664">
        <f t="shared" si="243"/>
        <v>0</v>
      </c>
      <c r="E284" s="500">
        <f t="shared" si="243"/>
        <v>0</v>
      </c>
      <c r="F284" s="346"/>
      <c r="G284" s="347"/>
      <c r="H284" s="346"/>
      <c r="I284" s="347"/>
      <c r="J284" s="346"/>
      <c r="K284" s="347"/>
      <c r="L284" s="346"/>
      <c r="M284" s="347"/>
      <c r="N284" s="346"/>
      <c r="O284" s="347"/>
      <c r="P284" s="346"/>
      <c r="Q284" s="347"/>
      <c r="R284" s="346"/>
      <c r="S284" s="347"/>
      <c r="T284" s="346"/>
      <c r="U284" s="347"/>
      <c r="V284" s="346"/>
      <c r="W284" s="347"/>
      <c r="X284" s="346"/>
      <c r="Y284" s="347"/>
      <c r="Z284" s="346"/>
      <c r="AA284" s="347"/>
      <c r="AB284" s="346"/>
      <c r="AC284" s="347"/>
      <c r="AD284" s="346"/>
      <c r="AE284" s="347"/>
      <c r="AF284" s="346"/>
      <c r="AG284" s="347"/>
      <c r="AH284" s="346"/>
      <c r="AI284" s="347"/>
      <c r="AJ284" s="346"/>
      <c r="AK284" s="347"/>
      <c r="AL284" s="346"/>
      <c r="AM284" s="561"/>
      <c r="AN284" s="296"/>
      <c r="AO284" s="22"/>
      <c r="AP284" s="61"/>
      <c r="AQ284" s="348"/>
      <c r="AR284" s="347"/>
      <c r="AS284" s="346"/>
      <c r="AT284" s="347"/>
      <c r="AU284" s="348"/>
      <c r="AV284" s="347"/>
      <c r="AW284" s="348"/>
      <c r="AX284" s="347"/>
      <c r="AY284" s="6" t="str">
        <f t="shared" si="222"/>
        <v/>
      </c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CA284" s="19"/>
      <c r="CB284" s="135" t="str">
        <f t="shared" si="245"/>
        <v/>
      </c>
      <c r="CC284" s="135" t="str">
        <f t="shared" si="206"/>
        <v/>
      </c>
      <c r="CD284" s="135" t="str">
        <f t="shared" si="240"/>
        <v/>
      </c>
      <c r="CE284" s="135" t="str">
        <f t="shared" si="226"/>
        <v/>
      </c>
      <c r="CF284" s="135" t="str">
        <f t="shared" si="227"/>
        <v/>
      </c>
      <c r="CG284" s="135" t="str">
        <f t="shared" si="228"/>
        <v/>
      </c>
      <c r="CH284" s="135" t="str">
        <f t="shared" si="229"/>
        <v/>
      </c>
      <c r="CI284" s="135" t="str">
        <f t="shared" si="230"/>
        <v/>
      </c>
      <c r="CP284" s="55">
        <f t="shared" si="246"/>
        <v>0</v>
      </c>
      <c r="CQ284" s="55">
        <f t="shared" si="247"/>
        <v>0</v>
      </c>
      <c r="CR284" s="55">
        <f t="shared" si="233"/>
        <v>0</v>
      </c>
      <c r="CS284" s="55">
        <f t="shared" si="234"/>
        <v>0</v>
      </c>
      <c r="CT284" s="55">
        <f t="shared" si="235"/>
        <v>0</v>
      </c>
      <c r="CU284" s="55">
        <f t="shared" si="236"/>
        <v>0</v>
      </c>
      <c r="CV284" s="55">
        <f t="shared" si="237"/>
        <v>0</v>
      </c>
      <c r="CW284" s="55">
        <f t="shared" si="238"/>
        <v>0</v>
      </c>
    </row>
    <row r="285" spans="1:101" x14ac:dyDescent="0.3">
      <c r="A285" s="5969" t="s">
        <v>893</v>
      </c>
      <c r="B285" s="5970"/>
      <c r="C285" s="663">
        <f t="shared" si="224"/>
        <v>0</v>
      </c>
      <c r="D285" s="664">
        <f t="shared" si="243"/>
        <v>0</v>
      </c>
      <c r="E285" s="500">
        <f t="shared" si="243"/>
        <v>0</v>
      </c>
      <c r="F285" s="346"/>
      <c r="G285" s="347"/>
      <c r="H285" s="346"/>
      <c r="I285" s="347"/>
      <c r="J285" s="346"/>
      <c r="K285" s="347"/>
      <c r="L285" s="346"/>
      <c r="M285" s="347"/>
      <c r="N285" s="346"/>
      <c r="O285" s="347"/>
      <c r="P285" s="346"/>
      <c r="Q285" s="347"/>
      <c r="R285" s="346"/>
      <c r="S285" s="347"/>
      <c r="T285" s="346"/>
      <c r="U285" s="347"/>
      <c r="V285" s="346"/>
      <c r="W285" s="347"/>
      <c r="X285" s="346"/>
      <c r="Y285" s="347"/>
      <c r="Z285" s="346"/>
      <c r="AA285" s="347"/>
      <c r="AB285" s="346"/>
      <c r="AC285" s="347"/>
      <c r="AD285" s="346"/>
      <c r="AE285" s="347"/>
      <c r="AF285" s="346"/>
      <c r="AG285" s="347"/>
      <c r="AH285" s="346"/>
      <c r="AI285" s="347"/>
      <c r="AJ285" s="346"/>
      <c r="AK285" s="347"/>
      <c r="AL285" s="346"/>
      <c r="AM285" s="561"/>
      <c r="AN285" s="296"/>
      <c r="AO285" s="22"/>
      <c r="AP285" s="61"/>
      <c r="AQ285" s="348"/>
      <c r="AR285" s="347"/>
      <c r="AS285" s="346"/>
      <c r="AT285" s="347"/>
      <c r="AU285" s="348"/>
      <c r="AV285" s="347"/>
      <c r="AW285" s="348"/>
      <c r="AX285" s="347"/>
      <c r="AY285" s="6" t="str">
        <f t="shared" si="222"/>
        <v/>
      </c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CA285" s="19"/>
      <c r="CB285" s="135" t="str">
        <f t="shared" si="245"/>
        <v/>
      </c>
      <c r="CC285" s="135" t="str">
        <f t="shared" si="206"/>
        <v/>
      </c>
      <c r="CD285" s="135" t="str">
        <f t="shared" si="240"/>
        <v/>
      </c>
      <c r="CE285" s="135" t="str">
        <f t="shared" si="226"/>
        <v/>
      </c>
      <c r="CF285" s="135" t="str">
        <f t="shared" si="227"/>
        <v/>
      </c>
      <c r="CG285" s="135" t="str">
        <f t="shared" si="228"/>
        <v/>
      </c>
      <c r="CH285" s="135" t="str">
        <f t="shared" si="229"/>
        <v/>
      </c>
      <c r="CI285" s="135" t="str">
        <f t="shared" si="230"/>
        <v/>
      </c>
      <c r="CP285" s="55">
        <f t="shared" si="246"/>
        <v>0</v>
      </c>
      <c r="CQ285" s="55">
        <f t="shared" si="247"/>
        <v>0</v>
      </c>
      <c r="CR285" s="55">
        <f t="shared" si="233"/>
        <v>0</v>
      </c>
      <c r="CS285" s="55">
        <f t="shared" si="234"/>
        <v>0</v>
      </c>
      <c r="CT285" s="55">
        <f t="shared" si="235"/>
        <v>0</v>
      </c>
      <c r="CU285" s="55">
        <f t="shared" si="236"/>
        <v>0</v>
      </c>
      <c r="CV285" s="55">
        <f t="shared" si="237"/>
        <v>0</v>
      </c>
      <c r="CW285" s="55">
        <f t="shared" si="238"/>
        <v>0</v>
      </c>
    </row>
    <row r="286" spans="1:101" x14ac:dyDescent="0.3">
      <c r="A286" s="6295" t="s">
        <v>894</v>
      </c>
      <c r="B286" s="6296"/>
      <c r="C286" s="378">
        <f t="shared" si="224"/>
        <v>0</v>
      </c>
      <c r="D286" s="672">
        <f t="shared" si="243"/>
        <v>0</v>
      </c>
      <c r="E286" s="387">
        <f t="shared" si="243"/>
        <v>0</v>
      </c>
      <c r="F286" s="346"/>
      <c r="G286" s="347"/>
      <c r="H286" s="346"/>
      <c r="I286" s="347"/>
      <c r="J286" s="346"/>
      <c r="K286" s="347"/>
      <c r="L286" s="346"/>
      <c r="M286" s="347"/>
      <c r="N286" s="346"/>
      <c r="O286" s="347"/>
      <c r="P286" s="346"/>
      <c r="Q286" s="347"/>
      <c r="R286" s="346"/>
      <c r="S286" s="347"/>
      <c r="T286" s="346"/>
      <c r="U286" s="347"/>
      <c r="V286" s="346"/>
      <c r="W286" s="347"/>
      <c r="X286" s="346"/>
      <c r="Y286" s="347"/>
      <c r="Z286" s="346"/>
      <c r="AA286" s="347"/>
      <c r="AB286" s="346"/>
      <c r="AC286" s="347"/>
      <c r="AD286" s="346"/>
      <c r="AE286" s="347"/>
      <c r="AF286" s="346"/>
      <c r="AG286" s="347"/>
      <c r="AH286" s="346"/>
      <c r="AI286" s="347"/>
      <c r="AJ286" s="346"/>
      <c r="AK286" s="347"/>
      <c r="AL286" s="346"/>
      <c r="AM286" s="561"/>
      <c r="AN286" s="296"/>
      <c r="AO286" s="22"/>
      <c r="AP286" s="61"/>
      <c r="AQ286" s="348"/>
      <c r="AR286" s="347"/>
      <c r="AS286" s="346"/>
      <c r="AT286" s="347"/>
      <c r="AU286" s="348"/>
      <c r="AV286" s="347"/>
      <c r="AW286" s="348"/>
      <c r="AX286" s="347"/>
      <c r="AY286" s="6" t="str">
        <f t="shared" si="222"/>
        <v/>
      </c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CA286" s="19"/>
      <c r="CB286" s="135" t="str">
        <f t="shared" si="245"/>
        <v/>
      </c>
      <c r="CC286" s="135" t="str">
        <f t="shared" si="206"/>
        <v/>
      </c>
      <c r="CD286" s="135" t="str">
        <f t="shared" si="240"/>
        <v/>
      </c>
      <c r="CE286" s="135" t="str">
        <f t="shared" si="226"/>
        <v/>
      </c>
      <c r="CF286" s="135" t="str">
        <f t="shared" si="227"/>
        <v/>
      </c>
      <c r="CG286" s="135" t="str">
        <f t="shared" si="228"/>
        <v/>
      </c>
      <c r="CH286" s="135" t="str">
        <f t="shared" si="229"/>
        <v/>
      </c>
      <c r="CI286" s="135" t="str">
        <f t="shared" si="230"/>
        <v/>
      </c>
      <c r="CP286" s="55">
        <f t="shared" si="246"/>
        <v>0</v>
      </c>
      <c r="CQ286" s="55">
        <f t="shared" si="247"/>
        <v>0</v>
      </c>
      <c r="CR286" s="55">
        <f t="shared" si="233"/>
        <v>0</v>
      </c>
      <c r="CS286" s="55">
        <f t="shared" si="234"/>
        <v>0</v>
      </c>
      <c r="CT286" s="55">
        <f t="shared" si="235"/>
        <v>0</v>
      </c>
      <c r="CU286" s="55">
        <f t="shared" si="236"/>
        <v>0</v>
      </c>
      <c r="CV286" s="55">
        <f t="shared" si="237"/>
        <v>0</v>
      </c>
      <c r="CW286" s="55">
        <f t="shared" si="238"/>
        <v>0</v>
      </c>
    </row>
    <row r="287" spans="1:101" ht="15" customHeight="1" x14ac:dyDescent="0.3">
      <c r="A287" s="6185" t="s">
        <v>895</v>
      </c>
      <c r="B287" s="680" t="s">
        <v>896</v>
      </c>
      <c r="C287" s="309">
        <f t="shared" si="224"/>
        <v>0</v>
      </c>
      <c r="D287" s="657">
        <f t="shared" si="243"/>
        <v>0</v>
      </c>
      <c r="E287" s="108">
        <f t="shared" si="243"/>
        <v>0</v>
      </c>
      <c r="F287" s="192"/>
      <c r="G287" s="2"/>
      <c r="H287" s="192"/>
      <c r="I287" s="2"/>
      <c r="J287" s="192"/>
      <c r="K287" s="2"/>
      <c r="L287" s="192"/>
      <c r="M287" s="2"/>
      <c r="N287" s="192"/>
      <c r="O287" s="2"/>
      <c r="P287" s="192"/>
      <c r="Q287" s="2"/>
      <c r="R287" s="192"/>
      <c r="S287" s="2"/>
      <c r="T287" s="192"/>
      <c r="U287" s="2"/>
      <c r="V287" s="192"/>
      <c r="W287" s="2"/>
      <c r="X287" s="192"/>
      <c r="Y287" s="2"/>
      <c r="Z287" s="192"/>
      <c r="AA287" s="2"/>
      <c r="AB287" s="192"/>
      <c r="AC287" s="2"/>
      <c r="AD287" s="192"/>
      <c r="AE287" s="2"/>
      <c r="AF287" s="192"/>
      <c r="AG287" s="2"/>
      <c r="AH287" s="192"/>
      <c r="AI287" s="2"/>
      <c r="AJ287" s="192"/>
      <c r="AK287" s="2"/>
      <c r="AL287" s="192"/>
      <c r="AM287" s="64"/>
      <c r="AN287" s="296"/>
      <c r="AO287" s="22"/>
      <c r="AP287" s="61"/>
      <c r="AQ287" s="482"/>
      <c r="AR287" s="2"/>
      <c r="AS287" s="192"/>
      <c r="AT287" s="2"/>
      <c r="AU287" s="482"/>
      <c r="AV287" s="2"/>
      <c r="AW287" s="482"/>
      <c r="AX287" s="2"/>
      <c r="AY287" s="6" t="str">
        <f t="shared" si="222"/>
        <v/>
      </c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CA287" s="19"/>
      <c r="CB287" s="135" t="str">
        <f t="shared" si="245"/>
        <v/>
      </c>
      <c r="CC287" s="135" t="str">
        <f t="shared" si="206"/>
        <v/>
      </c>
      <c r="CD287" s="135" t="str">
        <f t="shared" si="240"/>
        <v/>
      </c>
      <c r="CE287" s="135" t="str">
        <f t="shared" si="226"/>
        <v/>
      </c>
      <c r="CF287" s="135" t="str">
        <f t="shared" si="227"/>
        <v/>
      </c>
      <c r="CG287" s="135" t="str">
        <f t="shared" si="228"/>
        <v/>
      </c>
      <c r="CH287" s="135" t="str">
        <f t="shared" si="229"/>
        <v/>
      </c>
      <c r="CI287" s="135" t="str">
        <f t="shared" si="230"/>
        <v/>
      </c>
      <c r="CP287" s="55">
        <f t="shared" si="246"/>
        <v>0</v>
      </c>
      <c r="CQ287" s="55">
        <f t="shared" si="247"/>
        <v>0</v>
      </c>
      <c r="CR287" s="55">
        <f t="shared" si="233"/>
        <v>0</v>
      </c>
      <c r="CS287" s="55">
        <f t="shared" si="234"/>
        <v>0</v>
      </c>
      <c r="CT287" s="55">
        <f t="shared" si="235"/>
        <v>0</v>
      </c>
      <c r="CU287" s="55">
        <f t="shared" si="236"/>
        <v>0</v>
      </c>
      <c r="CV287" s="55">
        <f t="shared" si="237"/>
        <v>0</v>
      </c>
      <c r="CW287" s="55">
        <f t="shared" si="238"/>
        <v>0</v>
      </c>
    </row>
    <row r="288" spans="1:101" x14ac:dyDescent="0.3">
      <c r="A288" s="5844"/>
      <c r="B288" s="357" t="s">
        <v>897</v>
      </c>
      <c r="C288" s="663">
        <f t="shared" si="224"/>
        <v>0</v>
      </c>
      <c r="D288" s="664">
        <f t="shared" si="243"/>
        <v>0</v>
      </c>
      <c r="E288" s="500">
        <f t="shared" si="243"/>
        <v>0</v>
      </c>
      <c r="F288" s="192"/>
      <c r="G288" s="2"/>
      <c r="H288" s="192"/>
      <c r="I288" s="2"/>
      <c r="J288" s="192"/>
      <c r="K288" s="2"/>
      <c r="L288" s="192"/>
      <c r="M288" s="2"/>
      <c r="N288" s="192"/>
      <c r="O288" s="2"/>
      <c r="P288" s="192"/>
      <c r="Q288" s="2"/>
      <c r="R288" s="192"/>
      <c r="S288" s="2"/>
      <c r="T288" s="192"/>
      <c r="U288" s="2"/>
      <c r="V288" s="192"/>
      <c r="W288" s="2"/>
      <c r="X288" s="192"/>
      <c r="Y288" s="2"/>
      <c r="Z288" s="192"/>
      <c r="AA288" s="2"/>
      <c r="AB288" s="192"/>
      <c r="AC288" s="2"/>
      <c r="AD288" s="192"/>
      <c r="AE288" s="2"/>
      <c r="AF288" s="192"/>
      <c r="AG288" s="2"/>
      <c r="AH288" s="192"/>
      <c r="AI288" s="2"/>
      <c r="AJ288" s="192"/>
      <c r="AK288" s="2"/>
      <c r="AL288" s="192"/>
      <c r="AM288" s="64"/>
      <c r="AN288" s="296"/>
      <c r="AO288" s="22"/>
      <c r="AP288" s="61"/>
      <c r="AQ288" s="482"/>
      <c r="AR288" s="2"/>
      <c r="AS288" s="192"/>
      <c r="AT288" s="2"/>
      <c r="AU288" s="482"/>
      <c r="AV288" s="2"/>
      <c r="AW288" s="482"/>
      <c r="AX288" s="2"/>
      <c r="AY288" s="6" t="str">
        <f t="shared" si="222"/>
        <v/>
      </c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CA288" s="19"/>
      <c r="CB288" s="135" t="str">
        <f t="shared" si="245"/>
        <v/>
      </c>
      <c r="CC288" s="135" t="str">
        <f t="shared" si="206"/>
        <v/>
      </c>
      <c r="CD288" s="135" t="str">
        <f t="shared" si="240"/>
        <v/>
      </c>
      <c r="CE288" s="135" t="str">
        <f t="shared" si="226"/>
        <v/>
      </c>
      <c r="CF288" s="135" t="str">
        <f t="shared" si="227"/>
        <v/>
      </c>
      <c r="CG288" s="135" t="str">
        <f t="shared" si="228"/>
        <v/>
      </c>
      <c r="CH288" s="135" t="str">
        <f t="shared" si="229"/>
        <v/>
      </c>
      <c r="CI288" s="135" t="str">
        <f t="shared" si="230"/>
        <v/>
      </c>
      <c r="CP288" s="55">
        <f t="shared" si="246"/>
        <v>0</v>
      </c>
      <c r="CQ288" s="55">
        <f t="shared" si="247"/>
        <v>0</v>
      </c>
      <c r="CR288" s="55">
        <f t="shared" si="233"/>
        <v>0</v>
      </c>
      <c r="CS288" s="55">
        <f t="shared" si="234"/>
        <v>0</v>
      </c>
      <c r="CT288" s="55">
        <f t="shared" si="235"/>
        <v>0</v>
      </c>
      <c r="CU288" s="55">
        <f t="shared" si="236"/>
        <v>0</v>
      </c>
      <c r="CV288" s="55">
        <f t="shared" si="237"/>
        <v>0</v>
      </c>
      <c r="CW288" s="55">
        <f t="shared" si="238"/>
        <v>0</v>
      </c>
    </row>
    <row r="289" spans="1:101" x14ac:dyDescent="0.3">
      <c r="A289" s="5844"/>
      <c r="B289" s="357" t="s">
        <v>898</v>
      </c>
      <c r="C289" s="663">
        <f t="shared" si="224"/>
        <v>0</v>
      </c>
      <c r="D289" s="664">
        <f t="shared" si="243"/>
        <v>0</v>
      </c>
      <c r="E289" s="500">
        <f t="shared" si="243"/>
        <v>0</v>
      </c>
      <c r="F289" s="192"/>
      <c r="G289" s="2"/>
      <c r="H289" s="192"/>
      <c r="I289" s="2"/>
      <c r="J289" s="192"/>
      <c r="K289" s="2"/>
      <c r="L289" s="192"/>
      <c r="M289" s="2"/>
      <c r="N289" s="192"/>
      <c r="O289" s="2"/>
      <c r="P289" s="192"/>
      <c r="Q289" s="2"/>
      <c r="R289" s="192"/>
      <c r="S289" s="2"/>
      <c r="T289" s="192"/>
      <c r="U289" s="2"/>
      <c r="V289" s="192"/>
      <c r="W289" s="2"/>
      <c r="X289" s="192"/>
      <c r="Y289" s="2"/>
      <c r="Z289" s="192"/>
      <c r="AA289" s="2"/>
      <c r="AB289" s="192"/>
      <c r="AC289" s="2"/>
      <c r="AD289" s="192"/>
      <c r="AE289" s="2"/>
      <c r="AF289" s="192"/>
      <c r="AG289" s="2"/>
      <c r="AH289" s="192"/>
      <c r="AI289" s="2"/>
      <c r="AJ289" s="192"/>
      <c r="AK289" s="2"/>
      <c r="AL289" s="192"/>
      <c r="AM289" s="64"/>
      <c r="AN289" s="296"/>
      <c r="AO289" s="22"/>
      <c r="AP289" s="61"/>
      <c r="AQ289" s="482"/>
      <c r="AR289" s="2"/>
      <c r="AS289" s="192"/>
      <c r="AT289" s="2"/>
      <c r="AU289" s="482"/>
      <c r="AV289" s="2"/>
      <c r="AW289" s="482"/>
      <c r="AX289" s="2"/>
      <c r="AY289" s="6" t="str">
        <f t="shared" si="222"/>
        <v/>
      </c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CA289" s="19"/>
      <c r="CB289" s="135" t="str">
        <f t="shared" si="245"/>
        <v/>
      </c>
      <c r="CC289" s="135" t="str">
        <f t="shared" si="206"/>
        <v/>
      </c>
      <c r="CD289" s="135" t="str">
        <f t="shared" si="240"/>
        <v/>
      </c>
      <c r="CE289" s="135" t="str">
        <f t="shared" si="226"/>
        <v/>
      </c>
      <c r="CF289" s="135" t="str">
        <f t="shared" si="227"/>
        <v/>
      </c>
      <c r="CG289" s="135" t="str">
        <f t="shared" si="228"/>
        <v/>
      </c>
      <c r="CH289" s="135" t="str">
        <f t="shared" si="229"/>
        <v/>
      </c>
      <c r="CI289" s="135" t="str">
        <f t="shared" si="230"/>
        <v/>
      </c>
      <c r="CP289" s="55">
        <f t="shared" si="246"/>
        <v>0</v>
      </c>
      <c r="CQ289" s="55">
        <f t="shared" si="247"/>
        <v>0</v>
      </c>
      <c r="CR289" s="55">
        <f t="shared" si="233"/>
        <v>0</v>
      </c>
      <c r="CS289" s="55">
        <f t="shared" si="234"/>
        <v>0</v>
      </c>
      <c r="CT289" s="55">
        <f t="shared" si="235"/>
        <v>0</v>
      </c>
      <c r="CU289" s="55">
        <f t="shared" si="236"/>
        <v>0</v>
      </c>
      <c r="CV289" s="55">
        <f t="shared" si="237"/>
        <v>0</v>
      </c>
      <c r="CW289" s="55">
        <f t="shared" si="238"/>
        <v>0</v>
      </c>
    </row>
    <row r="290" spans="1:101" x14ac:dyDescent="0.3">
      <c r="A290" s="5844"/>
      <c r="B290" s="357" t="s">
        <v>899</v>
      </c>
      <c r="C290" s="663">
        <f t="shared" si="224"/>
        <v>0</v>
      </c>
      <c r="D290" s="664">
        <f t="shared" si="243"/>
        <v>0</v>
      </c>
      <c r="E290" s="500">
        <f t="shared" si="243"/>
        <v>0</v>
      </c>
      <c r="F290" s="192"/>
      <c r="G290" s="2"/>
      <c r="H290" s="192"/>
      <c r="I290" s="2"/>
      <c r="J290" s="192"/>
      <c r="K290" s="2"/>
      <c r="L290" s="192"/>
      <c r="M290" s="2"/>
      <c r="N290" s="192"/>
      <c r="O290" s="2"/>
      <c r="P290" s="192"/>
      <c r="Q290" s="2"/>
      <c r="R290" s="192"/>
      <c r="S290" s="2"/>
      <c r="T290" s="192"/>
      <c r="U290" s="2"/>
      <c r="V290" s="192"/>
      <c r="W290" s="2"/>
      <c r="X290" s="192"/>
      <c r="Y290" s="2"/>
      <c r="Z290" s="192"/>
      <c r="AA290" s="2"/>
      <c r="AB290" s="192"/>
      <c r="AC290" s="2"/>
      <c r="AD290" s="192"/>
      <c r="AE290" s="2"/>
      <c r="AF290" s="192"/>
      <c r="AG290" s="2"/>
      <c r="AH290" s="192"/>
      <c r="AI290" s="2"/>
      <c r="AJ290" s="192"/>
      <c r="AK290" s="2"/>
      <c r="AL290" s="192"/>
      <c r="AM290" s="64"/>
      <c r="AN290" s="296"/>
      <c r="AO290" s="22"/>
      <c r="AP290" s="61"/>
      <c r="AQ290" s="482"/>
      <c r="AR290" s="2"/>
      <c r="AS290" s="192"/>
      <c r="AT290" s="2"/>
      <c r="AU290" s="482"/>
      <c r="AV290" s="2"/>
      <c r="AW290" s="482"/>
      <c r="AX290" s="2"/>
      <c r="AY290" s="6" t="str">
        <f t="shared" si="222"/>
        <v/>
      </c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CA290" s="19"/>
      <c r="CB290" s="135" t="str">
        <f t="shared" si="245"/>
        <v/>
      </c>
      <c r="CC290" s="135" t="str">
        <f t="shared" si="206"/>
        <v/>
      </c>
      <c r="CD290" s="135" t="str">
        <f t="shared" si="240"/>
        <v/>
      </c>
      <c r="CE290" s="135" t="str">
        <f t="shared" si="226"/>
        <v/>
      </c>
      <c r="CF290" s="135" t="str">
        <f t="shared" si="227"/>
        <v/>
      </c>
      <c r="CG290" s="135" t="str">
        <f t="shared" si="228"/>
        <v/>
      </c>
      <c r="CH290" s="135" t="str">
        <f t="shared" si="229"/>
        <v/>
      </c>
      <c r="CI290" s="135" t="str">
        <f t="shared" si="230"/>
        <v/>
      </c>
      <c r="CP290" s="55">
        <f t="shared" si="246"/>
        <v>0</v>
      </c>
      <c r="CQ290" s="55">
        <f t="shared" si="247"/>
        <v>0</v>
      </c>
      <c r="CR290" s="55">
        <f t="shared" si="233"/>
        <v>0</v>
      </c>
      <c r="CS290" s="55">
        <f t="shared" si="234"/>
        <v>0</v>
      </c>
      <c r="CT290" s="55">
        <f t="shared" si="235"/>
        <v>0</v>
      </c>
      <c r="CU290" s="55">
        <f t="shared" si="236"/>
        <v>0</v>
      </c>
      <c r="CV290" s="55">
        <f t="shared" si="237"/>
        <v>0</v>
      </c>
      <c r="CW290" s="55">
        <f t="shared" si="238"/>
        <v>0</v>
      </c>
    </row>
    <row r="291" spans="1:101" ht="22.5" customHeight="1" x14ac:dyDescent="0.3">
      <c r="A291" s="5791"/>
      <c r="B291" s="690" t="s">
        <v>900</v>
      </c>
      <c r="C291" s="378">
        <f t="shared" si="224"/>
        <v>0</v>
      </c>
      <c r="D291" s="672">
        <f t="shared" si="243"/>
        <v>0</v>
      </c>
      <c r="E291" s="387">
        <f t="shared" si="243"/>
        <v>0</v>
      </c>
      <c r="F291" s="380"/>
      <c r="G291" s="388"/>
      <c r="H291" s="380"/>
      <c r="I291" s="388"/>
      <c r="J291" s="380"/>
      <c r="K291" s="388"/>
      <c r="L291" s="380"/>
      <c r="M291" s="388"/>
      <c r="N291" s="380"/>
      <c r="O291" s="388"/>
      <c r="P291" s="380"/>
      <c r="Q291" s="388"/>
      <c r="R291" s="380"/>
      <c r="S291" s="388"/>
      <c r="T291" s="380"/>
      <c r="U291" s="388"/>
      <c r="V291" s="380"/>
      <c r="W291" s="388"/>
      <c r="X291" s="380"/>
      <c r="Y291" s="388"/>
      <c r="Z291" s="380"/>
      <c r="AA291" s="388"/>
      <c r="AB291" s="380"/>
      <c r="AC291" s="388"/>
      <c r="AD291" s="380"/>
      <c r="AE291" s="388"/>
      <c r="AF291" s="380"/>
      <c r="AG291" s="388"/>
      <c r="AH291" s="380"/>
      <c r="AI291" s="388"/>
      <c r="AJ291" s="380"/>
      <c r="AK291" s="388"/>
      <c r="AL291" s="380"/>
      <c r="AM291" s="564"/>
      <c r="AN291" s="379"/>
      <c r="AO291" s="429"/>
      <c r="AP291" s="392"/>
      <c r="AQ291" s="429"/>
      <c r="AR291" s="388"/>
      <c r="AS291" s="380"/>
      <c r="AT291" s="388"/>
      <c r="AU291" s="429"/>
      <c r="AV291" s="388"/>
      <c r="AW291" s="429"/>
      <c r="AX291" s="388"/>
      <c r="AY291" s="6" t="str">
        <f t="shared" si="222"/>
        <v/>
      </c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CA291" s="19"/>
      <c r="CB291" s="135" t="str">
        <f t="shared" si="245"/>
        <v/>
      </c>
      <c r="CC291" s="135" t="str">
        <f t="shared" si="206"/>
        <v/>
      </c>
      <c r="CD291" s="135" t="str">
        <f t="shared" si="240"/>
        <v/>
      </c>
      <c r="CE291" s="135" t="str">
        <f t="shared" si="226"/>
        <v/>
      </c>
      <c r="CF291" s="135" t="str">
        <f t="shared" si="227"/>
        <v/>
      </c>
      <c r="CG291" s="135" t="str">
        <f t="shared" si="228"/>
        <v/>
      </c>
      <c r="CH291" s="135" t="str">
        <f t="shared" si="229"/>
        <v/>
      </c>
      <c r="CI291" s="135" t="str">
        <f t="shared" si="230"/>
        <v/>
      </c>
      <c r="CP291" s="55">
        <f t="shared" si="246"/>
        <v>0</v>
      </c>
      <c r="CQ291" s="55">
        <f t="shared" si="247"/>
        <v>0</v>
      </c>
      <c r="CR291" s="55">
        <f t="shared" si="233"/>
        <v>0</v>
      </c>
      <c r="CS291" s="55">
        <f t="shared" si="234"/>
        <v>0</v>
      </c>
      <c r="CT291" s="55">
        <f t="shared" si="235"/>
        <v>0</v>
      </c>
      <c r="CU291" s="55">
        <f t="shared" si="236"/>
        <v>0</v>
      </c>
      <c r="CV291" s="55">
        <f t="shared" si="237"/>
        <v>0</v>
      </c>
      <c r="CW291" s="55">
        <f t="shared" si="238"/>
        <v>0</v>
      </c>
    </row>
    <row r="292" spans="1:101" x14ac:dyDescent="0.3">
      <c r="A292" s="6351" t="s">
        <v>901</v>
      </c>
      <c r="B292" s="6352"/>
      <c r="C292" s="73">
        <f t="shared" si="224"/>
        <v>0</v>
      </c>
      <c r="D292" s="246">
        <f t="shared" si="243"/>
        <v>0</v>
      </c>
      <c r="E292" s="67">
        <f t="shared" si="243"/>
        <v>0</v>
      </c>
      <c r="F292" s="47"/>
      <c r="G292" s="42"/>
      <c r="H292" s="47"/>
      <c r="I292" s="42"/>
      <c r="J292" s="47"/>
      <c r="K292" s="42"/>
      <c r="L292" s="47"/>
      <c r="M292" s="42"/>
      <c r="N292" s="47"/>
      <c r="O292" s="42"/>
      <c r="P292" s="47"/>
      <c r="Q292" s="42"/>
      <c r="R292" s="47"/>
      <c r="S292" s="42"/>
      <c r="T292" s="47"/>
      <c r="U292" s="42"/>
      <c r="V292" s="47"/>
      <c r="W292" s="42"/>
      <c r="X292" s="47"/>
      <c r="Y292" s="42"/>
      <c r="Z292" s="47"/>
      <c r="AA292" s="42"/>
      <c r="AB292" s="47"/>
      <c r="AC292" s="42"/>
      <c r="AD292" s="47"/>
      <c r="AE292" s="42"/>
      <c r="AF292" s="47"/>
      <c r="AG292" s="42"/>
      <c r="AH292" s="47"/>
      <c r="AI292" s="42"/>
      <c r="AJ292" s="47"/>
      <c r="AK292" s="42"/>
      <c r="AL292" s="47"/>
      <c r="AM292" s="66"/>
      <c r="AN292" s="296"/>
      <c r="AO292" s="22"/>
      <c r="AP292" s="61"/>
      <c r="AQ292" s="704"/>
      <c r="AR292" s="42"/>
      <c r="AS292" s="47"/>
      <c r="AT292" s="42"/>
      <c r="AU292" s="704"/>
      <c r="AV292" s="42"/>
      <c r="AW292" s="704"/>
      <c r="AX292" s="42"/>
      <c r="AY292" s="6" t="str">
        <f t="shared" si="222"/>
        <v/>
      </c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CA292" s="19"/>
      <c r="CB292" s="135" t="str">
        <f t="shared" si="245"/>
        <v/>
      </c>
      <c r="CC292" s="135" t="str">
        <f t="shared" si="206"/>
        <v/>
      </c>
      <c r="CD292" s="135" t="str">
        <f t="shared" si="240"/>
        <v/>
      </c>
      <c r="CE292" s="135" t="str">
        <f t="shared" si="226"/>
        <v/>
      </c>
      <c r="CF292" s="135" t="str">
        <f t="shared" si="227"/>
        <v/>
      </c>
      <c r="CG292" s="135" t="str">
        <f t="shared" si="228"/>
        <v/>
      </c>
      <c r="CH292" s="135" t="str">
        <f t="shared" si="229"/>
        <v/>
      </c>
      <c r="CI292" s="135" t="str">
        <f t="shared" si="230"/>
        <v/>
      </c>
      <c r="CP292" s="55">
        <f t="shared" si="246"/>
        <v>0</v>
      </c>
      <c r="CQ292" s="55">
        <f t="shared" si="247"/>
        <v>0</v>
      </c>
      <c r="CR292" s="55">
        <f t="shared" si="233"/>
        <v>0</v>
      </c>
      <c r="CS292" s="55">
        <f t="shared" si="234"/>
        <v>0</v>
      </c>
      <c r="CT292" s="55">
        <f t="shared" si="235"/>
        <v>0</v>
      </c>
      <c r="CU292" s="55">
        <f t="shared" si="236"/>
        <v>0</v>
      </c>
      <c r="CV292" s="55">
        <f t="shared" si="237"/>
        <v>0</v>
      </c>
      <c r="CW292" s="55">
        <f t="shared" si="238"/>
        <v>0</v>
      </c>
    </row>
    <row r="293" spans="1:101" x14ac:dyDescent="0.3">
      <c r="A293" s="6291" t="s">
        <v>902</v>
      </c>
      <c r="B293" s="6292"/>
      <c r="C293" s="378">
        <f>SUM(D293+E293)</f>
        <v>0</v>
      </c>
      <c r="D293" s="672">
        <f>SUM(F293+H293+J293+L293+N293+P293+R293+T293+V293+X293+Z293+AB293+AD293+AF293+AH293+AJ293+AL293)</f>
        <v>0</v>
      </c>
      <c r="E293" s="387">
        <f t="shared" ref="E293" si="248">SUM(G293+I293+K293+M293+O293+Q293+S293+U293+W293+Y293+AA293+AC293+AE293+AG293+AI293+AK293+AM293)</f>
        <v>0</v>
      </c>
      <c r="F293" s="380"/>
      <c r="G293" s="388"/>
      <c r="H293" s="380"/>
      <c r="I293" s="388"/>
      <c r="J293" s="380"/>
      <c r="K293" s="388"/>
      <c r="L293" s="380"/>
      <c r="M293" s="388"/>
      <c r="N293" s="380"/>
      <c r="O293" s="388"/>
      <c r="P293" s="380"/>
      <c r="Q293" s="388"/>
      <c r="R293" s="380"/>
      <c r="S293" s="388"/>
      <c r="T293" s="380"/>
      <c r="U293" s="388"/>
      <c r="V293" s="380"/>
      <c r="W293" s="388"/>
      <c r="X293" s="380"/>
      <c r="Y293" s="388"/>
      <c r="Z293" s="380"/>
      <c r="AA293" s="388"/>
      <c r="AB293" s="380"/>
      <c r="AC293" s="388"/>
      <c r="AD293" s="380"/>
      <c r="AE293" s="388"/>
      <c r="AF293" s="380"/>
      <c r="AG293" s="388"/>
      <c r="AH293" s="380"/>
      <c r="AI293" s="388"/>
      <c r="AJ293" s="380"/>
      <c r="AK293" s="388"/>
      <c r="AL293" s="380"/>
      <c r="AM293" s="564"/>
      <c r="AN293" s="266"/>
      <c r="AO293" s="547"/>
      <c r="AP293" s="600"/>
      <c r="AQ293" s="710"/>
      <c r="AR293" s="693"/>
      <c r="AS293" s="380"/>
      <c r="AT293" s="388"/>
      <c r="AU293" s="429"/>
      <c r="AV293" s="388"/>
      <c r="AW293" s="429"/>
      <c r="AX293" s="388"/>
      <c r="AY293" s="6" t="str">
        <f t="shared" si="222"/>
        <v/>
      </c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CA293" s="19"/>
      <c r="CB293" s="135" t="str">
        <f t="shared" si="245"/>
        <v/>
      </c>
      <c r="CC293" s="135" t="str">
        <f t="shared" si="206"/>
        <v/>
      </c>
      <c r="CD293" s="135" t="str">
        <f t="shared" si="240"/>
        <v/>
      </c>
      <c r="CE293" s="135" t="str">
        <f t="shared" si="226"/>
        <v/>
      </c>
      <c r="CF293" s="135" t="str">
        <f t="shared" si="227"/>
        <v/>
      </c>
      <c r="CG293" s="135" t="str">
        <f t="shared" si="228"/>
        <v/>
      </c>
      <c r="CH293" s="135" t="str">
        <f t="shared" si="229"/>
        <v/>
      </c>
      <c r="CI293" s="135" t="str">
        <f t="shared" si="230"/>
        <v/>
      </c>
      <c r="CP293" s="55">
        <f t="shared" si="246"/>
        <v>0</v>
      </c>
      <c r="CQ293" s="55">
        <f t="shared" si="247"/>
        <v>0</v>
      </c>
      <c r="CR293" s="55">
        <f t="shared" si="233"/>
        <v>0</v>
      </c>
      <c r="CS293" s="55">
        <f t="shared" si="234"/>
        <v>0</v>
      </c>
      <c r="CT293" s="55">
        <f t="shared" si="235"/>
        <v>0</v>
      </c>
      <c r="CU293" s="55">
        <f t="shared" si="236"/>
        <v>0</v>
      </c>
      <c r="CV293" s="55">
        <f t="shared" si="237"/>
        <v>0</v>
      </c>
      <c r="CW293" s="55">
        <f t="shared" si="238"/>
        <v>0</v>
      </c>
    </row>
    <row r="294" spans="1:101" s="6" customFormat="1" ht="18" customHeight="1" x14ac:dyDescent="0.25">
      <c r="A294" s="3" t="s">
        <v>912</v>
      </c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101" x14ac:dyDescent="0.3">
      <c r="A295" s="6356" t="s">
        <v>913</v>
      </c>
      <c r="B295" s="6359" t="s">
        <v>914</v>
      </c>
      <c r="C295" s="5944" t="s">
        <v>28</v>
      </c>
      <c r="D295" s="6242"/>
      <c r="E295" s="6243"/>
      <c r="F295" s="6362" t="s">
        <v>101</v>
      </c>
      <c r="G295" s="6363"/>
      <c r="H295" s="6363"/>
      <c r="I295" s="6363"/>
      <c r="J295" s="6363"/>
      <c r="K295" s="6363"/>
      <c r="L295" s="6363"/>
      <c r="M295" s="6363"/>
      <c r="N295" s="6363"/>
      <c r="O295" s="6363"/>
      <c r="P295" s="6363"/>
      <c r="Q295" s="6363"/>
      <c r="R295" s="6363"/>
      <c r="S295" s="6363"/>
      <c r="T295" s="6363"/>
      <c r="U295" s="6363"/>
      <c r="V295" s="6363"/>
      <c r="W295" s="6363"/>
      <c r="X295" s="6363"/>
      <c r="Y295" s="6363"/>
      <c r="Z295" s="6363"/>
      <c r="AA295" s="6363"/>
      <c r="AB295" s="6363"/>
      <c r="AC295" s="6363"/>
      <c r="AD295" s="6363"/>
      <c r="AE295" s="6363"/>
      <c r="AF295" s="6363"/>
      <c r="AG295" s="6363"/>
      <c r="AH295" s="6363"/>
      <c r="AI295" s="6363"/>
      <c r="AJ295" s="6363"/>
      <c r="AK295" s="6364"/>
      <c r="AL295" s="6249" t="s">
        <v>36</v>
      </c>
      <c r="AM295" s="6213" t="s">
        <v>37</v>
      </c>
      <c r="AN295" s="6213" t="s">
        <v>455</v>
      </c>
      <c r="AO295" s="6243" t="s">
        <v>35</v>
      </c>
    </row>
    <row r="296" spans="1:101" x14ac:dyDescent="0.3">
      <c r="A296" s="6357"/>
      <c r="B296" s="6360"/>
      <c r="C296" s="5796"/>
      <c r="D296" s="5882"/>
      <c r="E296" s="5760"/>
      <c r="F296" s="6149" t="s">
        <v>326</v>
      </c>
      <c r="G296" s="6149"/>
      <c r="H296" s="6149" t="s">
        <v>94</v>
      </c>
      <c r="I296" s="6149"/>
      <c r="J296" s="6149" t="s">
        <v>44</v>
      </c>
      <c r="K296" s="6149"/>
      <c r="L296" s="6143" t="s">
        <v>45</v>
      </c>
      <c r="M296" s="6180"/>
      <c r="N296" s="6151" t="s">
        <v>46</v>
      </c>
      <c r="O296" s="6151"/>
      <c r="P296" s="6151" t="s">
        <v>47</v>
      </c>
      <c r="Q296" s="6151"/>
      <c r="R296" s="6151" t="s">
        <v>48</v>
      </c>
      <c r="S296" s="6151"/>
      <c r="T296" s="6151" t="s">
        <v>49</v>
      </c>
      <c r="U296" s="6151"/>
      <c r="V296" s="6151" t="s">
        <v>50</v>
      </c>
      <c r="W296" s="6151"/>
      <c r="X296" s="6151" t="s">
        <v>51</v>
      </c>
      <c r="Y296" s="6151"/>
      <c r="Z296" s="6151" t="s">
        <v>52</v>
      </c>
      <c r="AA296" s="6151"/>
      <c r="AB296" s="6151" t="s">
        <v>53</v>
      </c>
      <c r="AC296" s="6151"/>
      <c r="AD296" s="6151" t="s">
        <v>54</v>
      </c>
      <c r="AE296" s="6151"/>
      <c r="AF296" s="6151" t="s">
        <v>55</v>
      </c>
      <c r="AG296" s="6151"/>
      <c r="AH296" s="6151" t="s">
        <v>56</v>
      </c>
      <c r="AI296" s="6151"/>
      <c r="AJ296" s="6151" t="s">
        <v>57</v>
      </c>
      <c r="AK296" s="6152"/>
      <c r="AL296" s="5766"/>
      <c r="AM296" s="6118"/>
      <c r="AN296" s="6118"/>
      <c r="AO296" s="5759"/>
    </row>
    <row r="297" spans="1:101" ht="26.25" customHeight="1" x14ac:dyDescent="0.3">
      <c r="A297" s="6358"/>
      <c r="B297" s="6361"/>
      <c r="C297" s="713" t="s">
        <v>79</v>
      </c>
      <c r="D297" s="714" t="s">
        <v>58</v>
      </c>
      <c r="E297" s="90" t="s">
        <v>59</v>
      </c>
      <c r="F297" s="715" t="s">
        <v>58</v>
      </c>
      <c r="G297" s="716" t="s">
        <v>59</v>
      </c>
      <c r="H297" s="715" t="s">
        <v>58</v>
      </c>
      <c r="I297" s="716" t="s">
        <v>59</v>
      </c>
      <c r="J297" s="715" t="s">
        <v>58</v>
      </c>
      <c r="K297" s="716" t="s">
        <v>59</v>
      </c>
      <c r="L297" s="715" t="s">
        <v>58</v>
      </c>
      <c r="M297" s="716" t="s">
        <v>59</v>
      </c>
      <c r="N297" s="715" t="s">
        <v>58</v>
      </c>
      <c r="O297" s="716" t="s">
        <v>59</v>
      </c>
      <c r="P297" s="715" t="s">
        <v>58</v>
      </c>
      <c r="Q297" s="716" t="s">
        <v>59</v>
      </c>
      <c r="R297" s="715" t="s">
        <v>58</v>
      </c>
      <c r="S297" s="716" t="s">
        <v>59</v>
      </c>
      <c r="T297" s="711" t="s">
        <v>58</v>
      </c>
      <c r="U297" s="711" t="s">
        <v>59</v>
      </c>
      <c r="V297" s="717" t="s">
        <v>58</v>
      </c>
      <c r="W297" s="716" t="s">
        <v>59</v>
      </c>
      <c r="X297" s="715" t="s">
        <v>58</v>
      </c>
      <c r="Y297" s="716" t="s">
        <v>59</v>
      </c>
      <c r="Z297" s="715" t="s">
        <v>58</v>
      </c>
      <c r="AA297" s="716" t="s">
        <v>59</v>
      </c>
      <c r="AB297" s="715" t="s">
        <v>58</v>
      </c>
      <c r="AC297" s="716" t="s">
        <v>59</v>
      </c>
      <c r="AD297" s="715" t="s">
        <v>58</v>
      </c>
      <c r="AE297" s="716" t="s">
        <v>59</v>
      </c>
      <c r="AF297" s="715" t="s">
        <v>58</v>
      </c>
      <c r="AG297" s="716" t="s">
        <v>59</v>
      </c>
      <c r="AH297" s="715" t="s">
        <v>58</v>
      </c>
      <c r="AI297" s="716" t="s">
        <v>59</v>
      </c>
      <c r="AJ297" s="715" t="s">
        <v>58</v>
      </c>
      <c r="AK297" s="718" t="s">
        <v>59</v>
      </c>
      <c r="AL297" s="5767"/>
      <c r="AM297" s="5818"/>
      <c r="AN297" s="5818"/>
      <c r="AO297" s="5760"/>
    </row>
    <row r="298" spans="1:101" ht="15" customHeight="1" x14ac:dyDescent="0.3">
      <c r="A298" s="6365" t="s">
        <v>915</v>
      </c>
      <c r="B298" s="719" t="s">
        <v>761</v>
      </c>
      <c r="C298" s="720">
        <f>SUM(D298+E298)</f>
        <v>0</v>
      </c>
      <c r="D298" s="721">
        <f>SUM(F298+H298+J298+L298+N298+P298+R298+T298+V298+X298+Z298+AB298+AD298+AF298+AH298+AJ298)</f>
        <v>0</v>
      </c>
      <c r="E298" s="621">
        <f>SUM(G298+I298+K298+M298+O298+Q298+S298+U298+W298+Y298+AA298+AC298+AE298+AG298+AI298+AK298)</f>
        <v>0</v>
      </c>
      <c r="F298" s="474"/>
      <c r="G298" s="576"/>
      <c r="H298" s="474"/>
      <c r="I298" s="576"/>
      <c r="J298" s="474"/>
      <c r="K298" s="576"/>
      <c r="L298" s="474"/>
      <c r="M298" s="576"/>
      <c r="N298" s="474"/>
      <c r="O298" s="576"/>
      <c r="P298" s="474"/>
      <c r="Q298" s="576"/>
      <c r="R298" s="474"/>
      <c r="S298" s="576"/>
      <c r="T298" s="474"/>
      <c r="U298" s="576"/>
      <c r="V298" s="474"/>
      <c r="W298" s="576"/>
      <c r="X298" s="474"/>
      <c r="Y298" s="576"/>
      <c r="Z298" s="474"/>
      <c r="AA298" s="576"/>
      <c r="AB298" s="474"/>
      <c r="AC298" s="576"/>
      <c r="AD298" s="474"/>
      <c r="AE298" s="576"/>
      <c r="AF298" s="474"/>
      <c r="AG298" s="576"/>
      <c r="AH298" s="474"/>
      <c r="AI298" s="576"/>
      <c r="AJ298" s="474"/>
      <c r="AK298" s="476"/>
      <c r="AL298" s="497"/>
      <c r="AM298" s="494"/>
      <c r="AN298" s="494"/>
      <c r="AO298" s="576"/>
      <c r="AP298" t="str">
        <f>CA298&amp;CB298&amp;CC298&amp;CD298</f>
        <v/>
      </c>
      <c r="CA298" s="135" t="str">
        <f>IF(AND(C298&gt;0,AL298="")," * No olvide digitar la variable Pueblos Originarios. Digite Cero si no tiene.",IF(AL298&gt;C298," * La variable Pueblos originarios No puede ser mayor al Total.",""))</f>
        <v/>
      </c>
      <c r="CB298" s="135" t="str">
        <f>IF(AND(C298&gt;0,AM298="")," * No olvide digitar la variable Migrantes. Digite Cero si no tiene.",IF(AM298&gt;C298," * La variable Migrantes No puede ser mayor al Total.",""))</f>
        <v/>
      </c>
      <c r="CC298" s="135" t="str">
        <f>IF(AND(C298&gt;0,AN298="")," * No olvide digitar la variable Niños, Niñas, adolescentes y Jóvenes SENAME. Digite Cero si no tiene.",IF(AN298&gt;C298," * La variable Niños, Niñas, adolescentes y Jóvenes SENAME No puede ser mayor al Total.",""))</f>
        <v/>
      </c>
      <c r="CD298" s="135" t="str">
        <f>IF(AND(C298&gt;0,AO298="")," * No olvide digitar la variable Niños, Niñas, adolescentes y Jóvenes Mejor Niñez. Digite Cero si no tiene.",IF(AO298&gt;C298," * La variable Niños, Niñas, adolescentes y Jóvenes Mejor Niñez No puede ser mayor al Total.",""))</f>
        <v/>
      </c>
      <c r="CO298" s="1901">
        <f>IF(AND(C298&gt;0,AL298=""),1,IF(AL298&gt;C298,1,0))</f>
        <v>0</v>
      </c>
      <c r="CP298" s="1901">
        <f>IF(AND(C298&gt;0,AM298=""),1,IF(AM298&gt;C298,1,0))</f>
        <v>0</v>
      </c>
      <c r="CQ298" s="1901">
        <f>IF(AND(C298&gt;0,AN298=""),1,IF(AN298&gt;C298,1,0))</f>
        <v>0</v>
      </c>
      <c r="CR298" s="1901">
        <f>IF(AND(C298&gt;0,AO298=""),1,IF(AO298&gt;C298,1,0))</f>
        <v>0</v>
      </c>
    </row>
    <row r="299" spans="1:101" x14ac:dyDescent="0.3">
      <c r="A299" s="6366"/>
      <c r="B299" s="723" t="s">
        <v>770</v>
      </c>
      <c r="C299" s="724">
        <f>SUM(D299+E299)</f>
        <v>0</v>
      </c>
      <c r="D299" s="725">
        <f t="shared" ref="D299:E301" si="249">SUM(F299+H299+J299+L299+N299+P299+R299+T299+V299+X299+Z299+AB299+AD299+AF299+AH299+AJ299)</f>
        <v>0</v>
      </c>
      <c r="E299" s="640">
        <f>SUM(G299+I299+K299+M299+O299+Q299+S299+U299+W299+Y299+AA299+AC299+AE299+AG299+AI299+AK299)</f>
        <v>0</v>
      </c>
      <c r="F299" s="380"/>
      <c r="G299" s="388"/>
      <c r="H299" s="380"/>
      <c r="I299" s="388"/>
      <c r="J299" s="380"/>
      <c r="K299" s="388"/>
      <c r="L299" s="380"/>
      <c r="M299" s="388"/>
      <c r="N299" s="380"/>
      <c r="O299" s="388"/>
      <c r="P299" s="380"/>
      <c r="Q299" s="388"/>
      <c r="R299" s="380"/>
      <c r="S299" s="388"/>
      <c r="T299" s="380"/>
      <c r="U299" s="388"/>
      <c r="V299" s="380"/>
      <c r="W299" s="388"/>
      <c r="X299" s="380"/>
      <c r="Y299" s="388"/>
      <c r="Z299" s="380"/>
      <c r="AA299" s="388"/>
      <c r="AB299" s="380"/>
      <c r="AC299" s="388"/>
      <c r="AD299" s="380"/>
      <c r="AE299" s="388"/>
      <c r="AF299" s="380"/>
      <c r="AG299" s="388"/>
      <c r="AH299" s="380"/>
      <c r="AI299" s="388"/>
      <c r="AJ299" s="380"/>
      <c r="AK299" s="392"/>
      <c r="AL299" s="379"/>
      <c r="AM299" s="372"/>
      <c r="AN299" s="372"/>
      <c r="AO299" s="388"/>
      <c r="AP299" t="str">
        <f>CA299&amp;CB299&amp;CC299&amp;CD299</f>
        <v/>
      </c>
      <c r="CA299" s="135" t="str">
        <f t="shared" ref="CA299:CA301" si="250">IF(AND(C299&gt;0,AL299="")," * No olvide digitar la variable Pueblos Originarios. Digite Cero si no tiene.",IF(AL299&gt;C299," * La variable Pueblos originarios No puede ser mayor al Total.",""))</f>
        <v/>
      </c>
      <c r="CB299" s="135" t="str">
        <f>IF(AND(C299&gt;0,AM299=""),"  * No olvide digitar la variable Migrantes. Digite Cero si no tiene.",IF(AM299&gt;C299,"  * La variable Migrantes No puede ser mayor al Total.",""))</f>
        <v/>
      </c>
      <c r="CC299" s="135" t="str">
        <f>IF(AND(C299&gt;0,AN299=""),"  * No olvide digitar la variable Niños, Niñas, adolescentes y Jóvenes SENAME. Digite Cero si no tiene.",IF(AN299&gt;C299,"  * La variable Niños, Niñas, adolescentes y Jóvenes SENAME No puede ser mayor al Total.",""))</f>
        <v/>
      </c>
      <c r="CD299" s="135" t="str">
        <f t="shared" ref="CD299:CD301" si="251">IF(AND(C299&gt;0,AO299="")," * No olvide digitar la variable Niños, Niñas, adolescentes y Jóvenes Mejor Niñez. Digite Cero si no tiene.",IF(AO299&gt;C299," * La variable Niños, Niñas, adolescentes y Jóvenes Mejor Niñez No puede ser mayor al Total.",""))</f>
        <v/>
      </c>
      <c r="CO299" s="1901">
        <f>IF(AND(C299&gt;0,AL299=""),1,IF(AL299&gt;C299,1,0))</f>
        <v>0</v>
      </c>
      <c r="CP299" s="1901">
        <f>IF(AND(C299&gt;0,AM299=""),1,IF(AM299&gt;C299,1,0))</f>
        <v>0</v>
      </c>
      <c r="CQ299" s="1901">
        <f>IF(AND(C299&gt;0,AN299=""),1,IF(AN299&gt;C299,1,0))</f>
        <v>0</v>
      </c>
      <c r="CR299" s="1901">
        <f>IF(AND(C299&gt;0,AO299=""),1,IF(AO299&gt;C299,1,0))</f>
        <v>0</v>
      </c>
    </row>
    <row r="300" spans="1:101" x14ac:dyDescent="0.3">
      <c r="A300" s="6365" t="s">
        <v>916</v>
      </c>
      <c r="B300" s="719" t="s">
        <v>761</v>
      </c>
      <c r="C300" s="201">
        <f>SUM(D300+E300)</f>
        <v>0</v>
      </c>
      <c r="D300" s="248">
        <f t="shared" si="249"/>
        <v>0</v>
      </c>
      <c r="E300" s="141">
        <f t="shared" si="249"/>
        <v>0</v>
      </c>
      <c r="F300" s="290"/>
      <c r="G300" s="107"/>
      <c r="H300" s="290"/>
      <c r="I300" s="107"/>
      <c r="J300" s="290"/>
      <c r="K300" s="107"/>
      <c r="L300" s="290"/>
      <c r="M300" s="107"/>
      <c r="N300" s="290"/>
      <c r="O300" s="107"/>
      <c r="P300" s="290"/>
      <c r="Q300" s="107"/>
      <c r="R300" s="290"/>
      <c r="S300" s="107"/>
      <c r="T300" s="290"/>
      <c r="U300" s="107"/>
      <c r="V300" s="290"/>
      <c r="W300" s="107"/>
      <c r="X300" s="290"/>
      <c r="Y300" s="107"/>
      <c r="Z300" s="290"/>
      <c r="AA300" s="107"/>
      <c r="AB300" s="290"/>
      <c r="AC300" s="107"/>
      <c r="AD300" s="290"/>
      <c r="AE300" s="107"/>
      <c r="AF300" s="290"/>
      <c r="AG300" s="107"/>
      <c r="AH300" s="290"/>
      <c r="AI300" s="107"/>
      <c r="AJ300" s="290"/>
      <c r="AK300" s="61"/>
      <c r="AL300" s="296"/>
      <c r="AM300" s="535"/>
      <c r="AN300" s="535"/>
      <c r="AO300" s="107"/>
      <c r="AP300" t="str">
        <f>CA300&amp;CB300&amp;CC300&amp;CD300</f>
        <v/>
      </c>
      <c r="CA300" s="135" t="str">
        <f t="shared" si="250"/>
        <v/>
      </c>
      <c r="CB300" s="135" t="str">
        <f>IF(AND(C300&gt;0,AM300=""),"  * No olvide digitar la variable Migrantes. Digite Cero si no tiene.",IF(AM300&gt;C300,"  * La variable Migrantes No puede ser mayor al Total.",""))</f>
        <v/>
      </c>
      <c r="CC300" s="135" t="str">
        <f>IF(AND(C300&gt;0,AN300=""),"  * No olvide digitar la variable Niños, Niñas, adolescentes y Jóvenes SENAME. Digite Cero si no tiene.",IF(AN300&gt;C300,"  * La variable Niños, Niñas, adolescentes y Jóvenes SENAME No puede ser mayor al Total.",""))</f>
        <v/>
      </c>
      <c r="CD300" s="135" t="str">
        <f t="shared" si="251"/>
        <v/>
      </c>
      <c r="CO300" s="1901">
        <f>IF(AND(C300&gt;0,AL300=""),1,IF(AL300&gt;C300,1,0))</f>
        <v>0</v>
      </c>
      <c r="CP300" s="1901">
        <f>IF(AND(C300&gt;0,AM300=""),1,IF(AM300&gt;C300,1,0))</f>
        <v>0</v>
      </c>
      <c r="CQ300" s="1901">
        <f>IF(AND(C300&gt;0,AN300=""),1,IF(AN300&gt;C300,1,0))</f>
        <v>0</v>
      </c>
      <c r="CR300" s="1901">
        <f>IF(AND(C300&gt;0,AO300=""),1,IF(AO300&gt;C300,1,0))</f>
        <v>0</v>
      </c>
    </row>
    <row r="301" spans="1:101" x14ac:dyDescent="0.3">
      <c r="A301" s="6366"/>
      <c r="B301" s="723" t="s">
        <v>770</v>
      </c>
      <c r="C301" s="724">
        <f>SUM(D301+E301)</f>
        <v>0</v>
      </c>
      <c r="D301" s="725">
        <f t="shared" si="249"/>
        <v>0</v>
      </c>
      <c r="E301" s="640">
        <f t="shared" si="249"/>
        <v>0</v>
      </c>
      <c r="F301" s="380"/>
      <c r="G301" s="388"/>
      <c r="H301" s="380"/>
      <c r="I301" s="388"/>
      <c r="J301" s="380"/>
      <c r="K301" s="388"/>
      <c r="L301" s="380"/>
      <c r="M301" s="388"/>
      <c r="N301" s="380"/>
      <c r="O301" s="388"/>
      <c r="P301" s="380"/>
      <c r="Q301" s="388"/>
      <c r="R301" s="380"/>
      <c r="S301" s="388"/>
      <c r="T301" s="380"/>
      <c r="U301" s="388"/>
      <c r="V301" s="380"/>
      <c r="W301" s="388"/>
      <c r="X301" s="380"/>
      <c r="Y301" s="388"/>
      <c r="Z301" s="380"/>
      <c r="AA301" s="388"/>
      <c r="AB301" s="380"/>
      <c r="AC301" s="388"/>
      <c r="AD301" s="380"/>
      <c r="AE301" s="388"/>
      <c r="AF301" s="380"/>
      <c r="AG301" s="388"/>
      <c r="AH301" s="380"/>
      <c r="AI301" s="388"/>
      <c r="AJ301" s="380"/>
      <c r="AK301" s="392"/>
      <c r="AL301" s="379"/>
      <c r="AM301" s="372"/>
      <c r="AN301" s="372"/>
      <c r="AO301" s="388"/>
      <c r="AP301" t="str">
        <f>CA301&amp;CB301&amp;CC301&amp;CD301</f>
        <v/>
      </c>
      <c r="CA301" s="135" t="str">
        <f t="shared" si="250"/>
        <v/>
      </c>
      <c r="CB301" s="135" t="str">
        <f>IF(AND(C301&gt;0,AM301=""),"  * No olvide digitar la variable Migrantes. Digite Cero si no tiene.",IF(AM301&gt;C301,"  * La variable Migrantes No puede ser mayor al Total.",""))</f>
        <v/>
      </c>
      <c r="CC301" s="135" t="str">
        <f>IF(AND(C301&gt;0,AN301=""),"  * No olvide digitar la variable Niños, Niñas, adolescentes y Jóvenes SENAME. Digite Cero si no tiene.",IF(AN301&gt;C301,"  * La variable Niños, Niñas, adolescentes y Jóvenes SENAME No puede ser mayor al Total.",""))</f>
        <v/>
      </c>
      <c r="CD301" s="135" t="str">
        <f t="shared" si="251"/>
        <v/>
      </c>
      <c r="CO301" s="1901">
        <f>IF(AND(C301&gt;0,AL301=""),1,IF(AL301&gt;C301,1,0))</f>
        <v>0</v>
      </c>
      <c r="CP301" s="1901">
        <f>IF(AND(C301&gt;0,AM301=""),1,IF(AM301&gt;C301,1,0))</f>
        <v>0</v>
      </c>
      <c r="CQ301" s="1901">
        <f>IF(AND(C301&gt;0,AN301=""),1,IF(AN301&gt;C301,1,0))</f>
        <v>0</v>
      </c>
      <c r="CR301" s="1901">
        <f>IF(AND(C301&gt;0,AO301=""),1,IF(AO301&gt;C301,1,0))</f>
        <v>0</v>
      </c>
    </row>
    <row r="302" spans="1:101" s="6" customFormat="1" ht="18" customHeight="1" x14ac:dyDescent="0.25">
      <c r="A302" s="3" t="s">
        <v>917</v>
      </c>
      <c r="B302" s="298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602"/>
    </row>
    <row r="303" spans="1:101" x14ac:dyDescent="0.3">
      <c r="A303" s="5944" t="s">
        <v>918</v>
      </c>
      <c r="B303" s="6243"/>
      <c r="C303" s="6149" t="s">
        <v>192</v>
      </c>
      <c r="D303" s="6149"/>
      <c r="E303" s="6149"/>
      <c r="F303" s="6143" t="s">
        <v>101</v>
      </c>
      <c r="G303" s="6266"/>
      <c r="H303" s="6266"/>
      <c r="I303" s="6266"/>
      <c r="J303" s="6266"/>
      <c r="K303" s="6266"/>
      <c r="L303" s="6266"/>
      <c r="M303" s="6266"/>
      <c r="N303" s="6266"/>
      <c r="O303" s="6266"/>
      <c r="P303" s="6266"/>
      <c r="Q303" s="6266"/>
      <c r="R303" s="6266"/>
      <c r="S303" s="6266"/>
      <c r="T303" s="6266"/>
      <c r="U303" s="6266"/>
      <c r="V303" s="6266"/>
      <c r="W303" s="6266"/>
      <c r="X303" s="6266"/>
      <c r="Y303" s="6266"/>
      <c r="Z303" s="6266"/>
      <c r="AA303" s="6266"/>
      <c r="AB303" s="6266"/>
      <c r="AC303" s="6266"/>
      <c r="AD303" s="6266"/>
      <c r="AE303" s="6266"/>
      <c r="AF303" s="6266"/>
      <c r="AG303" s="6266"/>
      <c r="AH303" s="6266"/>
      <c r="AI303" s="6266"/>
      <c r="AJ303" s="6266"/>
      <c r="AK303" s="6266"/>
      <c r="AL303" s="6266"/>
      <c r="AM303" s="6179"/>
      <c r="AN303" s="6247" t="s">
        <v>905</v>
      </c>
      <c r="AO303" s="6247"/>
      <c r="AP303" s="6277"/>
      <c r="AQ303" s="5944" t="s">
        <v>457</v>
      </c>
      <c r="AR303" s="6243"/>
      <c r="AS303" s="6186" t="s">
        <v>36</v>
      </c>
      <c r="AT303" s="6213" t="s">
        <v>37</v>
      </c>
      <c r="AU303" s="6213" t="s">
        <v>34</v>
      </c>
      <c r="AV303" s="6243" t="s">
        <v>35</v>
      </c>
    </row>
    <row r="304" spans="1:101" x14ac:dyDescent="0.3">
      <c r="A304" s="5776"/>
      <c r="B304" s="5759"/>
      <c r="C304" s="6149"/>
      <c r="D304" s="6149"/>
      <c r="E304" s="6149"/>
      <c r="F304" s="6149" t="s">
        <v>343</v>
      </c>
      <c r="G304" s="6149"/>
      <c r="H304" s="6149" t="s">
        <v>326</v>
      </c>
      <c r="I304" s="6149"/>
      <c r="J304" s="6149" t="s">
        <v>94</v>
      </c>
      <c r="K304" s="6149"/>
      <c r="L304" s="6149" t="s">
        <v>44</v>
      </c>
      <c r="M304" s="6149"/>
      <c r="N304" s="6143" t="s">
        <v>45</v>
      </c>
      <c r="O304" s="6180"/>
      <c r="P304" s="6151" t="s">
        <v>46</v>
      </c>
      <c r="Q304" s="6151"/>
      <c r="R304" s="6151" t="s">
        <v>47</v>
      </c>
      <c r="S304" s="6151"/>
      <c r="T304" s="6151" t="s">
        <v>48</v>
      </c>
      <c r="U304" s="6151"/>
      <c r="V304" s="6151" t="s">
        <v>49</v>
      </c>
      <c r="W304" s="6151"/>
      <c r="X304" s="6151" t="s">
        <v>50</v>
      </c>
      <c r="Y304" s="6151"/>
      <c r="Z304" s="6151" t="s">
        <v>51</v>
      </c>
      <c r="AA304" s="6151"/>
      <c r="AB304" s="6151" t="s">
        <v>52</v>
      </c>
      <c r="AC304" s="6151"/>
      <c r="AD304" s="6151" t="s">
        <v>53</v>
      </c>
      <c r="AE304" s="6151"/>
      <c r="AF304" s="6151" t="s">
        <v>54</v>
      </c>
      <c r="AG304" s="6151"/>
      <c r="AH304" s="6151" t="s">
        <v>55</v>
      </c>
      <c r="AI304" s="6151"/>
      <c r="AJ304" s="6151" t="s">
        <v>56</v>
      </c>
      <c r="AK304" s="6151"/>
      <c r="AL304" s="6151" t="s">
        <v>57</v>
      </c>
      <c r="AM304" s="6152"/>
      <c r="AN304" s="6224" t="s">
        <v>919</v>
      </c>
      <c r="AO304" s="6224" t="s">
        <v>920</v>
      </c>
      <c r="AP304" s="6243" t="s">
        <v>921</v>
      </c>
      <c r="AQ304" s="5796"/>
      <c r="AR304" s="5760"/>
      <c r="AS304" s="5834"/>
      <c r="AT304" s="6118"/>
      <c r="AU304" s="6118"/>
      <c r="AV304" s="5759"/>
    </row>
    <row r="305" spans="1:99" ht="21.75" customHeight="1" x14ac:dyDescent="0.3">
      <c r="A305" s="5796"/>
      <c r="B305" s="5760"/>
      <c r="C305" s="607" t="s">
        <v>79</v>
      </c>
      <c r="D305" s="608" t="s">
        <v>58</v>
      </c>
      <c r="E305" s="584" t="s">
        <v>59</v>
      </c>
      <c r="F305" s="607" t="s">
        <v>461</v>
      </c>
      <c r="G305" s="469" t="s">
        <v>59</v>
      </c>
      <c r="H305" s="607" t="s">
        <v>461</v>
      </c>
      <c r="I305" s="469" t="s">
        <v>59</v>
      </c>
      <c r="J305" s="607" t="s">
        <v>461</v>
      </c>
      <c r="K305" s="469" t="s">
        <v>59</v>
      </c>
      <c r="L305" s="607" t="s">
        <v>461</v>
      </c>
      <c r="M305" s="469" t="s">
        <v>59</v>
      </c>
      <c r="N305" s="607" t="s">
        <v>461</v>
      </c>
      <c r="O305" s="469" t="s">
        <v>59</v>
      </c>
      <c r="P305" s="607" t="s">
        <v>461</v>
      </c>
      <c r="Q305" s="469" t="s">
        <v>59</v>
      </c>
      <c r="R305" s="607" t="s">
        <v>461</v>
      </c>
      <c r="S305" s="469" t="s">
        <v>59</v>
      </c>
      <c r="T305" s="607" t="s">
        <v>461</v>
      </c>
      <c r="U305" s="469" t="s">
        <v>59</v>
      </c>
      <c r="V305" s="607" t="s">
        <v>461</v>
      </c>
      <c r="W305" s="469" t="s">
        <v>59</v>
      </c>
      <c r="X305" s="607" t="s">
        <v>461</v>
      </c>
      <c r="Y305" s="469" t="s">
        <v>59</v>
      </c>
      <c r="Z305" s="607" t="s">
        <v>461</v>
      </c>
      <c r="AA305" s="469" t="s">
        <v>59</v>
      </c>
      <c r="AB305" s="607" t="s">
        <v>461</v>
      </c>
      <c r="AC305" s="469" t="s">
        <v>59</v>
      </c>
      <c r="AD305" s="607" t="s">
        <v>461</v>
      </c>
      <c r="AE305" s="469" t="s">
        <v>59</v>
      </c>
      <c r="AF305" s="607" t="s">
        <v>461</v>
      </c>
      <c r="AG305" s="469" t="s">
        <v>59</v>
      </c>
      <c r="AH305" s="607" t="s">
        <v>461</v>
      </c>
      <c r="AI305" s="469" t="s">
        <v>59</v>
      </c>
      <c r="AJ305" s="607" t="s">
        <v>461</v>
      </c>
      <c r="AK305" s="469" t="s">
        <v>59</v>
      </c>
      <c r="AL305" s="607" t="s">
        <v>461</v>
      </c>
      <c r="AM305" s="470" t="s">
        <v>59</v>
      </c>
      <c r="AN305" s="5838"/>
      <c r="AO305" s="5838"/>
      <c r="AP305" s="5760"/>
      <c r="AQ305" s="607" t="s">
        <v>462</v>
      </c>
      <c r="AR305" s="556" t="s">
        <v>463</v>
      </c>
      <c r="AS305" s="5835"/>
      <c r="AT305" s="5818"/>
      <c r="AU305" s="5818"/>
      <c r="AV305" s="5760"/>
    </row>
    <row r="306" spans="1:99" s="6" customFormat="1" ht="18" customHeight="1" x14ac:dyDescent="0.25">
      <c r="A306" s="6276" t="s">
        <v>922</v>
      </c>
      <c r="B306" s="6277"/>
      <c r="C306" s="645">
        <f>SUM(D306+E306)</f>
        <v>0</v>
      </c>
      <c r="D306" s="646">
        <f>SUM(F306+H306+J306+L306+N306+P306+R306+T306+V306+X306+Z306+AB306+AD306+AF306+AH306+AJ306+AL306)</f>
        <v>0</v>
      </c>
      <c r="E306" s="568">
        <f>SUM(G306+I306+K306+M306+O306+Q306+S306+U306+W306+Y306+AA306+AC306+AE306+AG306+AI306+AK306+AM306)</f>
        <v>0</v>
      </c>
      <c r="F306" s="645">
        <f>SUM(F316:F324)</f>
        <v>0</v>
      </c>
      <c r="G306" s="726">
        <f>SUM(G316:G324)</f>
        <v>0</v>
      </c>
      <c r="H306" s="645">
        <f>SUM(H316:H324)</f>
        <v>0</v>
      </c>
      <c r="I306" s="726">
        <f>SUM(I316:I324)</f>
        <v>0</v>
      </c>
      <c r="J306" s="645">
        <f>SUM(J316:J324)</f>
        <v>0</v>
      </c>
      <c r="K306" s="726">
        <f>SUM(K307:K324)</f>
        <v>0</v>
      </c>
      <c r="L306" s="645">
        <f>SUM(L316:L324)</f>
        <v>0</v>
      </c>
      <c r="M306" s="726">
        <f>SUM(M307:M324)</f>
        <v>0</v>
      </c>
      <c r="N306" s="645">
        <f>SUM(N316:N324)</f>
        <v>0</v>
      </c>
      <c r="O306" s="726">
        <f>SUM(O307:O324)</f>
        <v>0</v>
      </c>
      <c r="P306" s="645">
        <f>SUM(P316:P324)</f>
        <v>0</v>
      </c>
      <c r="Q306" s="726">
        <f>SUM(Q307:Q324)</f>
        <v>0</v>
      </c>
      <c r="R306" s="645">
        <f>SUM(R316:R324)</f>
        <v>0</v>
      </c>
      <c r="S306" s="726">
        <f>SUM(S307:S324)</f>
        <v>0</v>
      </c>
      <c r="T306" s="645">
        <f>SUM(T316:T324)</f>
        <v>0</v>
      </c>
      <c r="U306" s="726">
        <f>SUM(U307:U324)</f>
        <v>0</v>
      </c>
      <c r="V306" s="645">
        <f>SUM(V316:V324)</f>
        <v>0</v>
      </c>
      <c r="W306" s="726">
        <f>SUM(W307:W324)</f>
        <v>0</v>
      </c>
      <c r="X306" s="645">
        <f>SUM(X316:X324)</f>
        <v>0</v>
      </c>
      <c r="Y306" s="726">
        <f>SUM(Y307:Y324)</f>
        <v>0</v>
      </c>
      <c r="Z306" s="645">
        <f>SUM(Z316:Z324)</f>
        <v>0</v>
      </c>
      <c r="AA306" s="726">
        <f>SUM(AA307:AA324)</f>
        <v>0</v>
      </c>
      <c r="AB306" s="645">
        <f t="shared" ref="AB306:AM306" si="252">SUM(AB316:AB324)</f>
        <v>0</v>
      </c>
      <c r="AC306" s="726">
        <f>SUM(AC307:AC324)</f>
        <v>0</v>
      </c>
      <c r="AD306" s="645">
        <f t="shared" si="252"/>
        <v>0</v>
      </c>
      <c r="AE306" s="726">
        <f t="shared" si="252"/>
        <v>0</v>
      </c>
      <c r="AF306" s="645">
        <f t="shared" si="252"/>
        <v>0</v>
      </c>
      <c r="AG306" s="726">
        <f t="shared" si="252"/>
        <v>0</v>
      </c>
      <c r="AH306" s="645">
        <f t="shared" si="252"/>
        <v>0</v>
      </c>
      <c r="AI306" s="726">
        <f t="shared" si="252"/>
        <v>0</v>
      </c>
      <c r="AJ306" s="645">
        <f t="shared" si="252"/>
        <v>0</v>
      </c>
      <c r="AK306" s="726">
        <f t="shared" si="252"/>
        <v>0</v>
      </c>
      <c r="AL306" s="645">
        <f>SUM(AL316:AL324)</f>
        <v>0</v>
      </c>
      <c r="AM306" s="727">
        <f t="shared" si="252"/>
        <v>0</v>
      </c>
      <c r="AN306" s="700">
        <f t="shared" ref="AN306:AU306" si="253">SUM(AN307:AN324)</f>
        <v>0</v>
      </c>
      <c r="AO306" s="700">
        <f t="shared" si="253"/>
        <v>0</v>
      </c>
      <c r="AP306" s="728">
        <f t="shared" si="253"/>
        <v>0</v>
      </c>
      <c r="AQ306" s="645">
        <f t="shared" si="253"/>
        <v>0</v>
      </c>
      <c r="AR306" s="728">
        <f t="shared" si="253"/>
        <v>0</v>
      </c>
      <c r="AS306" s="645">
        <f t="shared" si="253"/>
        <v>0</v>
      </c>
      <c r="AT306" s="646">
        <f t="shared" si="253"/>
        <v>0</v>
      </c>
      <c r="AU306" s="646">
        <f t="shared" si="253"/>
        <v>0</v>
      </c>
      <c r="AV306" s="568">
        <f>SUM(AV307:AV324)</f>
        <v>0</v>
      </c>
    </row>
    <row r="307" spans="1:99" ht="15" customHeight="1" x14ac:dyDescent="0.3">
      <c r="A307" s="5962" t="s">
        <v>453</v>
      </c>
      <c r="B307" s="295" t="s">
        <v>923</v>
      </c>
      <c r="C307" s="300">
        <f>SUM(E307)</f>
        <v>0</v>
      </c>
      <c r="D307" s="249"/>
      <c r="E307" s="108">
        <f t="shared" ref="E307:E315" si="254">SUM(K307+M307+O307+Q307+S307+U307+W307+Y307+AA307+AC307)</f>
        <v>0</v>
      </c>
      <c r="F307" s="312"/>
      <c r="G307" s="70"/>
      <c r="H307" s="70"/>
      <c r="I307" s="70"/>
      <c r="J307" s="706"/>
      <c r="K307" s="107"/>
      <c r="L307" s="109"/>
      <c r="M307" s="107"/>
      <c r="N307" s="109"/>
      <c r="O307" s="107"/>
      <c r="P307" s="109"/>
      <c r="Q307" s="107"/>
      <c r="R307" s="109"/>
      <c r="S307" s="107"/>
      <c r="T307" s="109"/>
      <c r="U307" s="107"/>
      <c r="V307" s="109"/>
      <c r="W307" s="107"/>
      <c r="X307" s="109"/>
      <c r="Y307" s="107"/>
      <c r="Z307" s="109"/>
      <c r="AA307" s="107"/>
      <c r="AB307" s="109"/>
      <c r="AC307" s="107"/>
      <c r="AD307" s="312"/>
      <c r="AE307" s="70"/>
      <c r="AF307" s="70"/>
      <c r="AG307" s="70"/>
      <c r="AH307" s="70"/>
      <c r="AI307" s="70"/>
      <c r="AJ307" s="70"/>
      <c r="AK307" s="70"/>
      <c r="AL307" s="70"/>
      <c r="AM307" s="71"/>
      <c r="AN307" s="22"/>
      <c r="AO307" s="22"/>
      <c r="AP307" s="107"/>
      <c r="AQ307" s="290"/>
      <c r="AR307" s="70"/>
      <c r="AS307" s="290"/>
      <c r="AT307" s="535"/>
      <c r="AU307" s="535"/>
      <c r="AV307" s="107"/>
      <c r="AW307" t="str">
        <f t="shared" ref="AW307:AW324" si="255">CA307&amp;CB307&amp;CC307&amp;CD307&amp;CE307&amp;CF307&amp;CG307</f>
        <v/>
      </c>
      <c r="CA307" s="135" t="str">
        <f>IF((AO307+AP307)&gt;AN307," * Los Egresos Por Alta + Egresos Por Abandono no pueden ser mayor que el Total de Egresos.","")</f>
        <v/>
      </c>
      <c r="CB307" s="3024" t="str">
        <f>IF(AND(E307&gt;0,OR(AQ307=""))," * No olvide digitar la variable Trans (Masculino). Digite Cero si no tiene.",IF(AQ307&gt;E307,"  * La variable Trans (Masculino) No puede ser mayor al Total Mujeres.",""))</f>
        <v/>
      </c>
      <c r="CC307" s="1903"/>
      <c r="CD307" s="3024" t="str">
        <f>IF(AND(C307&gt;0,AS307=""), " * No olvide digitar la variable Pueblos originarios. Digite Cero si no tiene.",IF(AS307&gt;C307,"  * La variable Pueblos originarios No puede ser mayor al Total.",""))</f>
        <v/>
      </c>
      <c r="CE307" s="3024" t="str">
        <f>IF(AND(C307&gt;0,AT307=""), " * No olvide digitar la variable Migrantes. Digite Cero si no tiene.",IF(AT307&gt;C307,"  * La variable Migrantes No puede ser mayor al Total.",""))</f>
        <v/>
      </c>
      <c r="CF307" s="3024" t="str">
        <f>IF(AND(C307&gt;0,AU307=""), " * No olvide digitar la variable Niños, Niñas, adolescentes y jóvenes SENAME. Digite Cero si no tiene.",IF(AU307&gt;C307,"  * La variable Niños, Niñas, adolescentes y jóvenes SENAME No puede ser mayor al Total.",""))</f>
        <v/>
      </c>
      <c r="CG307" s="3024" t="str">
        <f>IF(AND(C307&gt;0,AV307=""), " * No olvide digitar la variable Niños, Niñas, adolescentes y jóvenes Mejor Niñez. Digite Cero si no tiene.",IF(AV307&gt;C307,"  * La variable Niños, Niñas, adolescentes y jóvenes Mejor Niñez No puede ser mayor al Total.",""))</f>
        <v/>
      </c>
      <c r="CO307" s="1901">
        <f t="shared" ref="CO307:CO324" si="256">IF((AO307+AP307)&gt;AN307,1,0)</f>
        <v>0</v>
      </c>
      <c r="CP307" s="1901">
        <f t="shared" ref="CP307:CP324" si="257">IF(AND(E307&gt;0,OR(AQ307="")),1,IF(AQ307&gt;E307,1,0))</f>
        <v>0</v>
      </c>
      <c r="CQ307" s="2707"/>
      <c r="CR307" s="1901">
        <f t="shared" ref="CR307:CR324" si="258">IF(AND(C307&gt;0,AS307=""),1,IF(AS307&gt;C307,1,0))</f>
        <v>0</v>
      </c>
      <c r="CS307" s="1901">
        <f t="shared" ref="CS307:CS324" si="259">IF(AND(C307&gt;0,AT307=""),1,IF(AT307&gt;C307,1,0))</f>
        <v>0</v>
      </c>
      <c r="CT307" s="1901">
        <f t="shared" ref="CT307:CT324" si="260">IF(AND(C307&gt;0,AU307=""),1,IF(AU307&gt;C307,1,0))</f>
        <v>0</v>
      </c>
      <c r="CU307" s="1901">
        <f t="shared" ref="CU307:CU324" si="261">IF(AND(C307&gt;0,AV307=""),1,IF(AV307&gt;C307,1,0))</f>
        <v>0</v>
      </c>
    </row>
    <row r="308" spans="1:99" ht="15" customHeight="1" x14ac:dyDescent="0.3">
      <c r="A308" s="5962"/>
      <c r="B308" s="250" t="s">
        <v>924</v>
      </c>
      <c r="C308" s="478">
        <f>SUM(E308)</f>
        <v>0</v>
      </c>
      <c r="D308" s="249"/>
      <c r="E308" s="500">
        <f t="shared" si="254"/>
        <v>0</v>
      </c>
      <c r="F308" s="312"/>
      <c r="G308" s="70"/>
      <c r="H308" s="70"/>
      <c r="I308" s="70"/>
      <c r="J308" s="706"/>
      <c r="K308" s="107"/>
      <c r="L308" s="109"/>
      <c r="M308" s="107"/>
      <c r="N308" s="109"/>
      <c r="O308" s="107"/>
      <c r="P308" s="109"/>
      <c r="Q308" s="107"/>
      <c r="R308" s="109"/>
      <c r="S308" s="107"/>
      <c r="T308" s="109"/>
      <c r="U308" s="107"/>
      <c r="V308" s="109"/>
      <c r="W308" s="107"/>
      <c r="X308" s="109"/>
      <c r="Y308" s="107"/>
      <c r="Z308" s="109"/>
      <c r="AA308" s="107"/>
      <c r="AB308" s="109"/>
      <c r="AC308" s="107"/>
      <c r="AD308" s="312"/>
      <c r="AE308" s="70"/>
      <c r="AF308" s="70"/>
      <c r="AG308" s="70"/>
      <c r="AH308" s="70"/>
      <c r="AI308" s="70"/>
      <c r="AJ308" s="70"/>
      <c r="AK308" s="70"/>
      <c r="AL308" s="70"/>
      <c r="AM308" s="71"/>
      <c r="AN308" s="22"/>
      <c r="AO308" s="22"/>
      <c r="AP308" s="107"/>
      <c r="AQ308" s="290"/>
      <c r="AR308" s="70"/>
      <c r="AS308" s="290"/>
      <c r="AT308" s="535"/>
      <c r="AU308" s="535"/>
      <c r="AV308" s="107"/>
      <c r="AW308" t="str">
        <f t="shared" si="255"/>
        <v/>
      </c>
      <c r="CA308" s="135" t="str">
        <f t="shared" ref="CA308:CA324" si="262">IF((AO308+AP308)&gt;AN308," * Los Egresos Por Alta + Egresos Por Abandono no pueden ser mayor que el Total de Egresos.","")</f>
        <v/>
      </c>
      <c r="CB308" s="3024" t="str">
        <f t="shared" ref="CB308:CB324" si="263">IF(AND(E308&gt;0,OR(AQ308=""))," * No olvide digitar la variable Trans (Masculino). Digite Cero si no tiene.",IF(AQ308&gt;E308,"  * La variable Trans (Masculino) No puede ser mayor al Total Mujeres.",""))</f>
        <v/>
      </c>
      <c r="CC308" s="1903"/>
      <c r="CD308" s="3024" t="str">
        <f t="shared" ref="CD308:CD324" si="264">IF(AND(C308&gt;0,AS308=""), " * No olvide digitar la variable Pueblos originarios. Digite Cero si no tiene.",IF(AS308&gt;C308,"  * La variable Pueblos originarios No puede ser mayor al Total.",""))</f>
        <v/>
      </c>
      <c r="CE308" s="3024" t="str">
        <f t="shared" ref="CE308:CE324" si="265">IF(AND(C308&gt;0,AT308=""), " * No olvide digitar la variable Migrantes. Digite Cero si no tiene.",IF(AT308&gt;C308,"  * La variable Migrantes No puede ser mayor al Total.",""))</f>
        <v/>
      </c>
      <c r="CF308" s="3024" t="str">
        <f t="shared" ref="CF308:CF324" si="266">IF(AND(C308&gt;0,AU308=""), " * No olvide digitar la variable Niños, Niñas, adolescentes y jóvenes SENAME. Digite Cero si no tiene.",IF(AU308&gt;C308,"  * La variable Niños, Niñas, adolescentes y jóvenes SENAME No puede ser mayor al Total.",""))</f>
        <v/>
      </c>
      <c r="CG308" s="3024" t="str">
        <f t="shared" ref="CG308:CG324" si="267">IF(AND(C308&gt;0,AV308=""), " * No olvide digitar la variable Niños, Niñas, adolescentes y jóvenes Mejor Niñez. Digite Cero si no tiene.",IF(AV308&gt;C308,"  * La variable Niños, Niñas, adolescentes y jóvenes Mejor Niñez No puede ser mayor al Total.",""))</f>
        <v/>
      </c>
      <c r="CO308" s="1901">
        <f t="shared" si="256"/>
        <v>0</v>
      </c>
      <c r="CP308" s="1901">
        <f t="shared" si="257"/>
        <v>0</v>
      </c>
      <c r="CQ308" s="2707"/>
      <c r="CR308" s="1901">
        <f t="shared" si="258"/>
        <v>0</v>
      </c>
      <c r="CS308" s="1901">
        <f t="shared" si="259"/>
        <v>0</v>
      </c>
      <c r="CT308" s="1901">
        <f t="shared" si="260"/>
        <v>0</v>
      </c>
      <c r="CU308" s="1901">
        <f t="shared" si="261"/>
        <v>0</v>
      </c>
    </row>
    <row r="309" spans="1:99" ht="15" customHeight="1" x14ac:dyDescent="0.3">
      <c r="A309" s="5962"/>
      <c r="B309" s="344" t="s">
        <v>925</v>
      </c>
      <c r="C309" s="478">
        <f t="shared" ref="C309:C324" si="268">SUM(D309+E309)</f>
        <v>0</v>
      </c>
      <c r="D309" s="249"/>
      <c r="E309" s="500">
        <f t="shared" si="254"/>
        <v>0</v>
      </c>
      <c r="F309" s="312"/>
      <c r="G309" s="70"/>
      <c r="H309" s="70"/>
      <c r="I309" s="70"/>
      <c r="J309" s="706"/>
      <c r="K309" s="347"/>
      <c r="L309" s="109"/>
      <c r="M309" s="347"/>
      <c r="N309" s="109"/>
      <c r="O309" s="347"/>
      <c r="P309" s="109"/>
      <c r="Q309" s="347"/>
      <c r="R309" s="109"/>
      <c r="S309" s="347"/>
      <c r="T309" s="109"/>
      <c r="U309" s="347"/>
      <c r="V309" s="109"/>
      <c r="W309" s="347"/>
      <c r="X309" s="109"/>
      <c r="Y309" s="347"/>
      <c r="Z309" s="109"/>
      <c r="AA309" s="347"/>
      <c r="AB309" s="109"/>
      <c r="AC309" s="347"/>
      <c r="AD309" s="312"/>
      <c r="AE309" s="70"/>
      <c r="AF309" s="70"/>
      <c r="AG309" s="70"/>
      <c r="AH309" s="70"/>
      <c r="AI309" s="70"/>
      <c r="AJ309" s="70"/>
      <c r="AK309" s="70"/>
      <c r="AL309" s="70"/>
      <c r="AM309" s="71"/>
      <c r="AN309" s="348"/>
      <c r="AO309" s="348"/>
      <c r="AP309" s="347"/>
      <c r="AQ309" s="346"/>
      <c r="AR309" s="70"/>
      <c r="AS309" s="346"/>
      <c r="AT309" s="369"/>
      <c r="AU309" s="369"/>
      <c r="AV309" s="347"/>
      <c r="AW309" t="str">
        <f t="shared" si="255"/>
        <v/>
      </c>
      <c r="CA309" s="135" t="str">
        <f t="shared" si="262"/>
        <v/>
      </c>
      <c r="CB309" s="3024" t="str">
        <f t="shared" si="263"/>
        <v/>
      </c>
      <c r="CC309" s="1903"/>
      <c r="CD309" s="3024" t="str">
        <f t="shared" si="264"/>
        <v/>
      </c>
      <c r="CE309" s="3024" t="str">
        <f t="shared" si="265"/>
        <v/>
      </c>
      <c r="CF309" s="3024" t="str">
        <f t="shared" si="266"/>
        <v/>
      </c>
      <c r="CG309" s="3024" t="str">
        <f t="shared" si="267"/>
        <v/>
      </c>
      <c r="CO309" s="1901">
        <f t="shared" si="256"/>
        <v>0</v>
      </c>
      <c r="CP309" s="1901">
        <f t="shared" si="257"/>
        <v>0</v>
      </c>
      <c r="CQ309" s="2707"/>
      <c r="CR309" s="1901">
        <f t="shared" si="258"/>
        <v>0</v>
      </c>
      <c r="CS309" s="1901">
        <f t="shared" si="259"/>
        <v>0</v>
      </c>
      <c r="CT309" s="1901">
        <f t="shared" si="260"/>
        <v>0</v>
      </c>
      <c r="CU309" s="1901">
        <f t="shared" si="261"/>
        <v>0</v>
      </c>
    </row>
    <row r="310" spans="1:99" ht="15" customHeight="1" x14ac:dyDescent="0.3">
      <c r="A310" s="5962"/>
      <c r="B310" s="344" t="s">
        <v>926</v>
      </c>
      <c r="C310" s="478">
        <f t="shared" ref="C310:C315" si="269">SUM(E310)</f>
        <v>0</v>
      </c>
      <c r="D310" s="249"/>
      <c r="E310" s="500">
        <f t="shared" si="254"/>
        <v>0</v>
      </c>
      <c r="F310" s="312"/>
      <c r="G310" s="70"/>
      <c r="H310" s="70"/>
      <c r="I310" s="70"/>
      <c r="J310" s="706"/>
      <c r="K310" s="347"/>
      <c r="L310" s="109"/>
      <c r="M310" s="347"/>
      <c r="N310" s="109"/>
      <c r="O310" s="347"/>
      <c r="P310" s="109"/>
      <c r="Q310" s="347"/>
      <c r="R310" s="109"/>
      <c r="S310" s="347"/>
      <c r="T310" s="109"/>
      <c r="U310" s="347"/>
      <c r="V310" s="109"/>
      <c r="W310" s="347"/>
      <c r="X310" s="109"/>
      <c r="Y310" s="347"/>
      <c r="Z310" s="109"/>
      <c r="AA310" s="347"/>
      <c r="AB310" s="109"/>
      <c r="AC310" s="347"/>
      <c r="AD310" s="312"/>
      <c r="AE310" s="70"/>
      <c r="AF310" s="70"/>
      <c r="AG310" s="70"/>
      <c r="AH310" s="70"/>
      <c r="AI310" s="70"/>
      <c r="AJ310" s="70"/>
      <c r="AK310" s="70"/>
      <c r="AL310" s="70"/>
      <c r="AM310" s="71"/>
      <c r="AN310" s="348"/>
      <c r="AO310" s="348"/>
      <c r="AP310" s="347"/>
      <c r="AQ310" s="346"/>
      <c r="AR310" s="70"/>
      <c r="AS310" s="346"/>
      <c r="AT310" s="369"/>
      <c r="AU310" s="369"/>
      <c r="AV310" s="347"/>
      <c r="AW310" t="str">
        <f t="shared" si="255"/>
        <v/>
      </c>
      <c r="CA310" s="135" t="str">
        <f t="shared" si="262"/>
        <v/>
      </c>
      <c r="CB310" s="3024" t="str">
        <f t="shared" si="263"/>
        <v/>
      </c>
      <c r="CC310" s="1903"/>
      <c r="CD310" s="3024" t="str">
        <f t="shared" si="264"/>
        <v/>
      </c>
      <c r="CE310" s="3024" t="str">
        <f t="shared" si="265"/>
        <v/>
      </c>
      <c r="CF310" s="3024" t="str">
        <f t="shared" si="266"/>
        <v/>
      </c>
      <c r="CG310" s="3024" t="str">
        <f t="shared" si="267"/>
        <v/>
      </c>
      <c r="CO310" s="1901">
        <f t="shared" si="256"/>
        <v>0</v>
      </c>
      <c r="CP310" s="1901">
        <f t="shared" si="257"/>
        <v>0</v>
      </c>
      <c r="CQ310" s="2707"/>
      <c r="CR310" s="1901">
        <f t="shared" si="258"/>
        <v>0</v>
      </c>
      <c r="CS310" s="1901">
        <f t="shared" si="259"/>
        <v>0</v>
      </c>
      <c r="CT310" s="1901">
        <f t="shared" si="260"/>
        <v>0</v>
      </c>
      <c r="CU310" s="1901">
        <f t="shared" si="261"/>
        <v>0</v>
      </c>
    </row>
    <row r="311" spans="1:99" ht="15" customHeight="1" x14ac:dyDescent="0.3">
      <c r="A311" s="5962"/>
      <c r="B311" s="344" t="s">
        <v>927</v>
      </c>
      <c r="C311" s="478">
        <f t="shared" si="269"/>
        <v>0</v>
      </c>
      <c r="D311" s="249"/>
      <c r="E311" s="500">
        <f t="shared" si="254"/>
        <v>0</v>
      </c>
      <c r="F311" s="312"/>
      <c r="G311" s="70"/>
      <c r="H311" s="70"/>
      <c r="I311" s="70"/>
      <c r="J311" s="706"/>
      <c r="K311" s="347"/>
      <c r="L311" s="109"/>
      <c r="M311" s="347"/>
      <c r="N311" s="109"/>
      <c r="O311" s="347"/>
      <c r="P311" s="109"/>
      <c r="Q311" s="347"/>
      <c r="R311" s="109"/>
      <c r="S311" s="347"/>
      <c r="T311" s="109"/>
      <c r="U311" s="347"/>
      <c r="V311" s="109"/>
      <c r="W311" s="347"/>
      <c r="X311" s="109"/>
      <c r="Y311" s="347"/>
      <c r="Z311" s="109"/>
      <c r="AA311" s="347"/>
      <c r="AB311" s="109"/>
      <c r="AC311" s="347"/>
      <c r="AD311" s="312"/>
      <c r="AE311" s="70"/>
      <c r="AF311" s="70"/>
      <c r="AG311" s="70"/>
      <c r="AH311" s="70"/>
      <c r="AI311" s="70"/>
      <c r="AJ311" s="70"/>
      <c r="AK311" s="70"/>
      <c r="AL311" s="70"/>
      <c r="AM311" s="71"/>
      <c r="AN311" s="348"/>
      <c r="AO311" s="348"/>
      <c r="AP311" s="347"/>
      <c r="AQ311" s="346"/>
      <c r="AR311" s="70"/>
      <c r="AS311" s="346"/>
      <c r="AT311" s="369"/>
      <c r="AU311" s="369"/>
      <c r="AV311" s="347"/>
      <c r="AW311" t="str">
        <f t="shared" si="255"/>
        <v/>
      </c>
      <c r="CA311" s="135" t="str">
        <f t="shared" si="262"/>
        <v/>
      </c>
      <c r="CB311" s="3024" t="str">
        <f t="shared" si="263"/>
        <v/>
      </c>
      <c r="CC311" s="1903"/>
      <c r="CD311" s="3024" t="str">
        <f t="shared" si="264"/>
        <v/>
      </c>
      <c r="CE311" s="3024" t="str">
        <f t="shared" si="265"/>
        <v/>
      </c>
      <c r="CF311" s="3024" t="str">
        <f t="shared" si="266"/>
        <v/>
      </c>
      <c r="CG311" s="3024" t="str">
        <f t="shared" si="267"/>
        <v/>
      </c>
      <c r="CO311" s="1901">
        <f t="shared" si="256"/>
        <v>0</v>
      </c>
      <c r="CP311" s="1901">
        <f t="shared" si="257"/>
        <v>0</v>
      </c>
      <c r="CQ311" s="2707"/>
      <c r="CR311" s="1901">
        <f t="shared" si="258"/>
        <v>0</v>
      </c>
      <c r="CS311" s="1901">
        <f t="shared" si="259"/>
        <v>0</v>
      </c>
      <c r="CT311" s="1901">
        <f t="shared" si="260"/>
        <v>0</v>
      </c>
      <c r="CU311" s="1901">
        <f t="shared" si="261"/>
        <v>0</v>
      </c>
    </row>
    <row r="312" spans="1:99" ht="15" customHeight="1" x14ac:dyDescent="0.3">
      <c r="A312" s="5962"/>
      <c r="B312" s="344" t="s">
        <v>928</v>
      </c>
      <c r="C312" s="478">
        <f t="shared" si="269"/>
        <v>0</v>
      </c>
      <c r="D312" s="249"/>
      <c r="E312" s="500">
        <f t="shared" si="254"/>
        <v>0</v>
      </c>
      <c r="F312" s="312"/>
      <c r="G312" s="70"/>
      <c r="H312" s="70"/>
      <c r="I312" s="70"/>
      <c r="J312" s="706"/>
      <c r="K312" s="347"/>
      <c r="L312" s="109"/>
      <c r="M312" s="347"/>
      <c r="N312" s="109"/>
      <c r="O312" s="347"/>
      <c r="P312" s="109"/>
      <c r="Q312" s="347"/>
      <c r="R312" s="109"/>
      <c r="S312" s="347"/>
      <c r="T312" s="109"/>
      <c r="U312" s="347"/>
      <c r="V312" s="109"/>
      <c r="W312" s="347"/>
      <c r="X312" s="109"/>
      <c r="Y312" s="347"/>
      <c r="Z312" s="109"/>
      <c r="AA312" s="347"/>
      <c r="AB312" s="109"/>
      <c r="AC312" s="347"/>
      <c r="AD312" s="312"/>
      <c r="AE312" s="70"/>
      <c r="AF312" s="70"/>
      <c r="AG312" s="70"/>
      <c r="AH312" s="70"/>
      <c r="AI312" s="70"/>
      <c r="AJ312" s="70"/>
      <c r="AK312" s="70"/>
      <c r="AL312" s="70"/>
      <c r="AM312" s="71"/>
      <c r="AN312" s="348"/>
      <c r="AO312" s="348"/>
      <c r="AP312" s="347"/>
      <c r="AQ312" s="346"/>
      <c r="AR312" s="70"/>
      <c r="AS312" s="346"/>
      <c r="AT312" s="369"/>
      <c r="AU312" s="369"/>
      <c r="AV312" s="347"/>
      <c r="AW312" t="str">
        <f t="shared" si="255"/>
        <v/>
      </c>
      <c r="CA312" s="135" t="str">
        <f t="shared" si="262"/>
        <v/>
      </c>
      <c r="CB312" s="3024" t="str">
        <f t="shared" si="263"/>
        <v/>
      </c>
      <c r="CC312" s="1903"/>
      <c r="CD312" s="3024" t="str">
        <f t="shared" si="264"/>
        <v/>
      </c>
      <c r="CE312" s="3024" t="str">
        <f t="shared" si="265"/>
        <v/>
      </c>
      <c r="CF312" s="3024" t="str">
        <f t="shared" si="266"/>
        <v/>
      </c>
      <c r="CG312" s="3024" t="str">
        <f t="shared" si="267"/>
        <v/>
      </c>
      <c r="CO312" s="1901">
        <f t="shared" si="256"/>
        <v>0</v>
      </c>
      <c r="CP312" s="1901">
        <f t="shared" si="257"/>
        <v>0</v>
      </c>
      <c r="CQ312" s="2707"/>
      <c r="CR312" s="1901">
        <f t="shared" si="258"/>
        <v>0</v>
      </c>
      <c r="CS312" s="1901">
        <f t="shared" si="259"/>
        <v>0</v>
      </c>
      <c r="CT312" s="1901">
        <f t="shared" si="260"/>
        <v>0</v>
      </c>
      <c r="CU312" s="1901">
        <f t="shared" si="261"/>
        <v>0</v>
      </c>
    </row>
    <row r="313" spans="1:99" ht="15" customHeight="1" x14ac:dyDescent="0.3">
      <c r="A313" s="5962"/>
      <c r="B313" s="344" t="s">
        <v>929</v>
      </c>
      <c r="C313" s="478">
        <f t="shared" si="269"/>
        <v>0</v>
      </c>
      <c r="D313" s="249"/>
      <c r="E313" s="500">
        <f t="shared" si="254"/>
        <v>0</v>
      </c>
      <c r="F313" s="312"/>
      <c r="G313" s="70"/>
      <c r="H313" s="70"/>
      <c r="I313" s="70"/>
      <c r="J313" s="706"/>
      <c r="K313" s="347"/>
      <c r="L313" s="109"/>
      <c r="M313" s="347"/>
      <c r="N313" s="109"/>
      <c r="O313" s="347"/>
      <c r="P313" s="109"/>
      <c r="Q313" s="347"/>
      <c r="R313" s="109"/>
      <c r="S313" s="347"/>
      <c r="T313" s="109"/>
      <c r="U313" s="347"/>
      <c r="V313" s="109"/>
      <c r="W313" s="347"/>
      <c r="X313" s="109"/>
      <c r="Y313" s="347"/>
      <c r="Z313" s="109"/>
      <c r="AA313" s="347"/>
      <c r="AB313" s="109"/>
      <c r="AC313" s="347"/>
      <c r="AD313" s="312"/>
      <c r="AE313" s="70"/>
      <c r="AF313" s="70"/>
      <c r="AG313" s="70"/>
      <c r="AH313" s="70"/>
      <c r="AI313" s="70"/>
      <c r="AJ313" s="70"/>
      <c r="AK313" s="70"/>
      <c r="AL313" s="70"/>
      <c r="AM313" s="71"/>
      <c r="AN313" s="348"/>
      <c r="AO313" s="348"/>
      <c r="AP313" s="347"/>
      <c r="AQ313" s="346"/>
      <c r="AR313" s="70"/>
      <c r="AS313" s="346"/>
      <c r="AT313" s="369"/>
      <c r="AU313" s="369"/>
      <c r="AV313" s="347"/>
      <c r="AW313" t="str">
        <f t="shared" si="255"/>
        <v/>
      </c>
      <c r="CA313" s="135" t="str">
        <f t="shared" si="262"/>
        <v/>
      </c>
      <c r="CB313" s="3024" t="str">
        <f t="shared" si="263"/>
        <v/>
      </c>
      <c r="CC313" s="1903"/>
      <c r="CD313" s="3024" t="str">
        <f t="shared" si="264"/>
        <v/>
      </c>
      <c r="CE313" s="3024" t="str">
        <f t="shared" si="265"/>
        <v/>
      </c>
      <c r="CF313" s="3024" t="str">
        <f t="shared" si="266"/>
        <v/>
      </c>
      <c r="CG313" s="3024" t="str">
        <f t="shared" si="267"/>
        <v/>
      </c>
      <c r="CO313" s="1901">
        <f t="shared" si="256"/>
        <v>0</v>
      </c>
      <c r="CP313" s="1901">
        <f t="shared" si="257"/>
        <v>0</v>
      </c>
      <c r="CQ313" s="2707"/>
      <c r="CR313" s="1901">
        <f t="shared" si="258"/>
        <v>0</v>
      </c>
      <c r="CS313" s="1901">
        <f t="shared" si="259"/>
        <v>0</v>
      </c>
      <c r="CT313" s="1901">
        <f t="shared" si="260"/>
        <v>0</v>
      </c>
      <c r="CU313" s="1901">
        <f t="shared" si="261"/>
        <v>0</v>
      </c>
    </row>
    <row r="314" spans="1:99" ht="15" customHeight="1" x14ac:dyDescent="0.3">
      <c r="A314" s="5962"/>
      <c r="B314" s="344" t="s">
        <v>930</v>
      </c>
      <c r="C314" s="478">
        <f t="shared" si="269"/>
        <v>0</v>
      </c>
      <c r="D314" s="249"/>
      <c r="E314" s="500">
        <f t="shared" si="254"/>
        <v>0</v>
      </c>
      <c r="F314" s="312"/>
      <c r="G314" s="70"/>
      <c r="H314" s="70"/>
      <c r="I314" s="70"/>
      <c r="J314" s="706"/>
      <c r="K314" s="347"/>
      <c r="L314" s="109"/>
      <c r="M314" s="347"/>
      <c r="N314" s="109"/>
      <c r="O314" s="347"/>
      <c r="P314" s="109"/>
      <c r="Q314" s="347"/>
      <c r="R314" s="109"/>
      <c r="S314" s="347"/>
      <c r="T314" s="109"/>
      <c r="U314" s="347"/>
      <c r="V314" s="109"/>
      <c r="W314" s="347"/>
      <c r="X314" s="109"/>
      <c r="Y314" s="347"/>
      <c r="Z314" s="109"/>
      <c r="AA314" s="347"/>
      <c r="AB314" s="109"/>
      <c r="AC314" s="347"/>
      <c r="AD314" s="312"/>
      <c r="AE314" s="70"/>
      <c r="AF314" s="70"/>
      <c r="AG314" s="70"/>
      <c r="AH314" s="70"/>
      <c r="AI314" s="70"/>
      <c r="AJ314" s="70"/>
      <c r="AK314" s="70"/>
      <c r="AL314" s="70"/>
      <c r="AM314" s="71"/>
      <c r="AN314" s="348"/>
      <c r="AO314" s="348"/>
      <c r="AP314" s="347"/>
      <c r="AQ314" s="346"/>
      <c r="AR314" s="70"/>
      <c r="AS314" s="346"/>
      <c r="AT314" s="369"/>
      <c r="AU314" s="369"/>
      <c r="AV314" s="347"/>
      <c r="AW314" t="str">
        <f t="shared" si="255"/>
        <v/>
      </c>
      <c r="CA314" s="135" t="str">
        <f t="shared" si="262"/>
        <v/>
      </c>
      <c r="CB314" s="3024" t="str">
        <f t="shared" si="263"/>
        <v/>
      </c>
      <c r="CC314" s="1903"/>
      <c r="CD314" s="3024" t="str">
        <f t="shared" si="264"/>
        <v/>
      </c>
      <c r="CE314" s="3024" t="str">
        <f t="shared" si="265"/>
        <v/>
      </c>
      <c r="CF314" s="3024" t="str">
        <f t="shared" si="266"/>
        <v/>
      </c>
      <c r="CG314" s="3024" t="str">
        <f t="shared" si="267"/>
        <v/>
      </c>
      <c r="CO314" s="1901">
        <f t="shared" si="256"/>
        <v>0</v>
      </c>
      <c r="CP314" s="1901">
        <f t="shared" si="257"/>
        <v>0</v>
      </c>
      <c r="CQ314" s="2707"/>
      <c r="CR314" s="1901">
        <f t="shared" si="258"/>
        <v>0</v>
      </c>
      <c r="CS314" s="1901">
        <f t="shared" si="259"/>
        <v>0</v>
      </c>
      <c r="CT314" s="1901">
        <f t="shared" si="260"/>
        <v>0</v>
      </c>
      <c r="CU314" s="1901">
        <f t="shared" si="261"/>
        <v>0</v>
      </c>
    </row>
    <row r="315" spans="1:99" ht="15" customHeight="1" x14ac:dyDescent="0.3">
      <c r="A315" s="6367"/>
      <c r="B315" s="518" t="s">
        <v>931</v>
      </c>
      <c r="C315" s="483">
        <f t="shared" si="269"/>
        <v>0</v>
      </c>
      <c r="D315" s="315"/>
      <c r="E315" s="387">
        <f t="shared" si="254"/>
        <v>0</v>
      </c>
      <c r="F315" s="677"/>
      <c r="G315" s="678"/>
      <c r="H315" s="678"/>
      <c r="I315" s="678"/>
      <c r="J315" s="709"/>
      <c r="K315" s="388"/>
      <c r="L315" s="565"/>
      <c r="M315" s="388"/>
      <c r="N315" s="565"/>
      <c r="O315" s="388"/>
      <c r="P315" s="565"/>
      <c r="Q315" s="388"/>
      <c r="R315" s="565"/>
      <c r="S315" s="388"/>
      <c r="T315" s="565"/>
      <c r="U315" s="388"/>
      <c r="V315" s="565"/>
      <c r="W315" s="388"/>
      <c r="X315" s="565"/>
      <c r="Y315" s="388"/>
      <c r="Z315" s="565"/>
      <c r="AA315" s="388"/>
      <c r="AB315" s="565"/>
      <c r="AC315" s="388"/>
      <c r="AD315" s="677"/>
      <c r="AE315" s="678"/>
      <c r="AF315" s="678"/>
      <c r="AG315" s="678"/>
      <c r="AH315" s="678"/>
      <c r="AI315" s="678"/>
      <c r="AJ315" s="678"/>
      <c r="AK315" s="678"/>
      <c r="AL315" s="678"/>
      <c r="AM315" s="679"/>
      <c r="AN315" s="429"/>
      <c r="AO315" s="429"/>
      <c r="AP315" s="388"/>
      <c r="AQ315" s="380"/>
      <c r="AR315" s="678"/>
      <c r="AS315" s="380"/>
      <c r="AT315" s="372"/>
      <c r="AU315" s="372"/>
      <c r="AV315" s="388"/>
      <c r="AW315" t="str">
        <f t="shared" si="255"/>
        <v/>
      </c>
      <c r="CA315" s="135" t="str">
        <f t="shared" si="262"/>
        <v/>
      </c>
      <c r="CB315" s="3024" t="str">
        <f t="shared" si="263"/>
        <v/>
      </c>
      <c r="CC315" s="1903"/>
      <c r="CD315" s="3024" t="str">
        <f t="shared" si="264"/>
        <v/>
      </c>
      <c r="CE315" s="3024" t="str">
        <f t="shared" si="265"/>
        <v/>
      </c>
      <c r="CF315" s="3024" t="str">
        <f t="shared" si="266"/>
        <v/>
      </c>
      <c r="CG315" s="3024" t="str">
        <f t="shared" si="267"/>
        <v/>
      </c>
      <c r="CO315" s="1901">
        <f t="shared" si="256"/>
        <v>0</v>
      </c>
      <c r="CP315" s="1901">
        <f t="shared" si="257"/>
        <v>0</v>
      </c>
      <c r="CQ315" s="2707"/>
      <c r="CR315" s="1901">
        <f t="shared" si="258"/>
        <v>0</v>
      </c>
      <c r="CS315" s="1901">
        <f t="shared" si="259"/>
        <v>0</v>
      </c>
      <c r="CT315" s="1901">
        <f t="shared" si="260"/>
        <v>0</v>
      </c>
      <c r="CU315" s="1901">
        <f t="shared" si="261"/>
        <v>0</v>
      </c>
    </row>
    <row r="316" spans="1:99" ht="15" customHeight="1" x14ac:dyDescent="0.3">
      <c r="A316" s="6368" t="s">
        <v>932</v>
      </c>
      <c r="B316" s="492" t="s">
        <v>923</v>
      </c>
      <c r="C316" s="309">
        <f t="shared" si="268"/>
        <v>0</v>
      </c>
      <c r="D316" s="657">
        <f>SUM(F316+H316+J316+L316+N316+P316+R316+T316+V316+X316+Z316+AB316+AD316+AF316+AH316+AJ316+AL316)</f>
        <v>0</v>
      </c>
      <c r="E316" s="108">
        <f>SUM(G316+I316+K316+M316+O316+Q316+S316+U316+W316+Y316+AA316+AC316+AE316+AG316+AI316+AK316+AM316)</f>
        <v>0</v>
      </c>
      <c r="F316" s="729"/>
      <c r="G316" s="730"/>
      <c r="H316" s="731"/>
      <c r="I316" s="730"/>
      <c r="J316" s="731"/>
      <c r="K316" s="637"/>
      <c r="L316" s="732"/>
      <c r="M316" s="730"/>
      <c r="N316" s="731"/>
      <c r="O316" s="733"/>
      <c r="P316" s="729"/>
      <c r="Q316" s="730"/>
      <c r="R316" s="731"/>
      <c r="S316" s="733"/>
      <c r="T316" s="729"/>
      <c r="U316" s="730"/>
      <c r="V316" s="731"/>
      <c r="W316" s="733"/>
      <c r="X316" s="729"/>
      <c r="Y316" s="730"/>
      <c r="Z316" s="731"/>
      <c r="AA316" s="733"/>
      <c r="AB316" s="729"/>
      <c r="AC316" s="730"/>
      <c r="AD316" s="731"/>
      <c r="AE316" s="733"/>
      <c r="AF316" s="729"/>
      <c r="AG316" s="730"/>
      <c r="AH316" s="731"/>
      <c r="AI316" s="733"/>
      <c r="AJ316" s="729"/>
      <c r="AK316" s="730"/>
      <c r="AL316" s="731"/>
      <c r="AM316" s="734"/>
      <c r="AN316" s="477"/>
      <c r="AO316" s="22"/>
      <c r="AP316" s="107"/>
      <c r="AQ316" s="290"/>
      <c r="AR316" s="107"/>
      <c r="AS316" s="290"/>
      <c r="AT316" s="535"/>
      <c r="AU316" s="535"/>
      <c r="AV316" s="107"/>
      <c r="AW316" t="str">
        <f t="shared" si="255"/>
        <v/>
      </c>
      <c r="CA316" s="135" t="str">
        <f>IF((AO316+AP316)&gt;AN316," * Los Egresos Por Alta + Egresos Por Abandono no pueden ser mayor que el Total de Egresos.","")</f>
        <v/>
      </c>
      <c r="CB316" s="3024" t="str">
        <f t="shared" si="263"/>
        <v/>
      </c>
      <c r="CC316" s="3024" t="str">
        <f t="shared" ref="CC316:CC324" si="270">IF(AND(D316&gt;0,OR(AR316=""))," * No olvide digitar la variable Trans (Femenino). Digite Cero si no tiene.",IF(AR316&gt;D316,"  * La variable Trans (Femenino) No puede ser mayor al Total Hombres.",""))</f>
        <v/>
      </c>
      <c r="CD316" s="3024" t="str">
        <f t="shared" si="264"/>
        <v/>
      </c>
      <c r="CE316" s="3024" t="str">
        <f t="shared" si="265"/>
        <v/>
      </c>
      <c r="CF316" s="3024" t="str">
        <f t="shared" si="266"/>
        <v/>
      </c>
      <c r="CG316" s="3024" t="str">
        <f t="shared" si="267"/>
        <v/>
      </c>
      <c r="CO316" s="1901">
        <f t="shared" si="256"/>
        <v>0</v>
      </c>
      <c r="CP316" s="1901">
        <f t="shared" si="257"/>
        <v>0</v>
      </c>
      <c r="CQ316" s="1901">
        <f t="shared" ref="CQ316:CQ324" si="271">IF(AND(D316&gt;0,OR(AR316="")),1,IF(AR316&gt;D316,1,0))</f>
        <v>0</v>
      </c>
      <c r="CR316" s="1901">
        <f t="shared" si="258"/>
        <v>0</v>
      </c>
      <c r="CS316" s="1901">
        <f t="shared" si="259"/>
        <v>0</v>
      </c>
      <c r="CT316" s="1901">
        <f t="shared" si="260"/>
        <v>0</v>
      </c>
      <c r="CU316" s="1901">
        <f t="shared" si="261"/>
        <v>0</v>
      </c>
    </row>
    <row r="317" spans="1:99" ht="15" customHeight="1" x14ac:dyDescent="0.3">
      <c r="A317" s="5962"/>
      <c r="B317" s="250" t="s">
        <v>924</v>
      </c>
      <c r="C317" s="300">
        <f t="shared" si="268"/>
        <v>0</v>
      </c>
      <c r="D317" s="587">
        <f t="shared" ref="D317:E324" si="272">SUM(F317+H317+J317+L317+N317+P317+R317+T317+V317+X317+Z317+AB317+AD317+AF317+AH317+AJ317+AL317)</f>
        <v>0</v>
      </c>
      <c r="E317" s="108">
        <f t="shared" si="272"/>
        <v>0</v>
      </c>
      <c r="F317" s="290"/>
      <c r="G317" s="637"/>
      <c r="H317" s="290"/>
      <c r="I317" s="637"/>
      <c r="J317" s="290"/>
      <c r="K317" s="637"/>
      <c r="L317" s="290"/>
      <c r="M317" s="637"/>
      <c r="N317" s="22"/>
      <c r="O317" s="735"/>
      <c r="P317" s="290"/>
      <c r="Q317" s="637"/>
      <c r="R317" s="22"/>
      <c r="S317" s="735"/>
      <c r="T317" s="290"/>
      <c r="U317" s="637"/>
      <c r="V317" s="22"/>
      <c r="W317" s="735"/>
      <c r="X317" s="290"/>
      <c r="Y317" s="637"/>
      <c r="Z317" s="22"/>
      <c r="AA317" s="735"/>
      <c r="AB317" s="290"/>
      <c r="AC317" s="637"/>
      <c r="AD317" s="22"/>
      <c r="AE317" s="735"/>
      <c r="AF317" s="290"/>
      <c r="AG317" s="637"/>
      <c r="AH317" s="22"/>
      <c r="AI317" s="735"/>
      <c r="AJ317" s="290"/>
      <c r="AK317" s="637"/>
      <c r="AL317" s="22"/>
      <c r="AM317" s="431"/>
      <c r="AN317" s="22"/>
      <c r="AO317" s="22"/>
      <c r="AP317" s="107"/>
      <c r="AQ317" s="290"/>
      <c r="AR317" s="107"/>
      <c r="AS317" s="290"/>
      <c r="AT317" s="535"/>
      <c r="AU317" s="535"/>
      <c r="AV317" s="107"/>
      <c r="AW317" t="str">
        <f t="shared" si="255"/>
        <v/>
      </c>
      <c r="CA317" s="135" t="str">
        <f t="shared" si="262"/>
        <v/>
      </c>
      <c r="CB317" s="3024" t="str">
        <f t="shared" si="263"/>
        <v/>
      </c>
      <c r="CC317" s="3024" t="str">
        <f t="shared" si="270"/>
        <v/>
      </c>
      <c r="CD317" s="3024" t="str">
        <f t="shared" si="264"/>
        <v/>
      </c>
      <c r="CE317" s="3024" t="str">
        <f t="shared" si="265"/>
        <v/>
      </c>
      <c r="CF317" s="3024" t="str">
        <f t="shared" si="266"/>
        <v/>
      </c>
      <c r="CG317" s="3024" t="str">
        <f t="shared" si="267"/>
        <v/>
      </c>
      <c r="CO317" s="1901">
        <f t="shared" si="256"/>
        <v>0</v>
      </c>
      <c r="CP317" s="1901">
        <f t="shared" si="257"/>
        <v>0</v>
      </c>
      <c r="CQ317" s="1901">
        <f t="shared" si="271"/>
        <v>0</v>
      </c>
      <c r="CR317" s="1901">
        <f t="shared" si="258"/>
        <v>0</v>
      </c>
      <c r="CS317" s="1901">
        <f t="shared" si="259"/>
        <v>0</v>
      </c>
      <c r="CT317" s="1901">
        <f t="shared" si="260"/>
        <v>0</v>
      </c>
      <c r="CU317" s="1901">
        <f t="shared" si="261"/>
        <v>0</v>
      </c>
    </row>
    <row r="318" spans="1:99" ht="15" customHeight="1" x14ac:dyDescent="0.3">
      <c r="A318" s="5962"/>
      <c r="B318" s="344" t="s">
        <v>925</v>
      </c>
      <c r="C318" s="478">
        <f t="shared" si="268"/>
        <v>0</v>
      </c>
      <c r="D318" s="589">
        <f t="shared" si="272"/>
        <v>0</v>
      </c>
      <c r="E318" s="500">
        <f t="shared" si="272"/>
        <v>0</v>
      </c>
      <c r="F318" s="346"/>
      <c r="G318" s="350"/>
      <c r="H318" s="346"/>
      <c r="I318" s="350"/>
      <c r="J318" s="346"/>
      <c r="K318" s="350"/>
      <c r="L318" s="346"/>
      <c r="M318" s="350"/>
      <c r="N318" s="346"/>
      <c r="O318" s="349"/>
      <c r="P318" s="346"/>
      <c r="Q318" s="350"/>
      <c r="R318" s="348"/>
      <c r="S318" s="349"/>
      <c r="T318" s="346"/>
      <c r="U318" s="350"/>
      <c r="V318" s="348"/>
      <c r="W318" s="349"/>
      <c r="X318" s="346"/>
      <c r="Y318" s="350"/>
      <c r="Z318" s="348"/>
      <c r="AA318" s="349"/>
      <c r="AB318" s="346"/>
      <c r="AC318" s="350"/>
      <c r="AD318" s="348"/>
      <c r="AE318" s="349"/>
      <c r="AF318" s="346"/>
      <c r="AG318" s="350"/>
      <c r="AH318" s="348"/>
      <c r="AI318" s="349"/>
      <c r="AJ318" s="346"/>
      <c r="AK318" s="350"/>
      <c r="AL318" s="348"/>
      <c r="AM318" s="352"/>
      <c r="AN318" s="348"/>
      <c r="AO318" s="348"/>
      <c r="AP318" s="347"/>
      <c r="AQ318" s="346"/>
      <c r="AR318" s="347"/>
      <c r="AS318" s="346"/>
      <c r="AT318" s="369"/>
      <c r="AU318" s="369"/>
      <c r="AV318" s="347"/>
      <c r="AW318" t="str">
        <f t="shared" si="255"/>
        <v/>
      </c>
      <c r="CA318" s="135" t="str">
        <f t="shared" si="262"/>
        <v/>
      </c>
      <c r="CB318" s="3024" t="str">
        <f t="shared" si="263"/>
        <v/>
      </c>
      <c r="CC318" s="3024" t="str">
        <f t="shared" si="270"/>
        <v/>
      </c>
      <c r="CD318" s="3024" t="str">
        <f t="shared" si="264"/>
        <v/>
      </c>
      <c r="CE318" s="3024" t="str">
        <f t="shared" si="265"/>
        <v/>
      </c>
      <c r="CF318" s="3024" t="str">
        <f t="shared" si="266"/>
        <v/>
      </c>
      <c r="CG318" s="3024" t="str">
        <f t="shared" si="267"/>
        <v/>
      </c>
      <c r="CO318" s="1901">
        <f t="shared" si="256"/>
        <v>0</v>
      </c>
      <c r="CP318" s="1901">
        <f t="shared" si="257"/>
        <v>0</v>
      </c>
      <c r="CQ318" s="1901">
        <f t="shared" si="271"/>
        <v>0</v>
      </c>
      <c r="CR318" s="1901">
        <f t="shared" si="258"/>
        <v>0</v>
      </c>
      <c r="CS318" s="1901">
        <f t="shared" si="259"/>
        <v>0</v>
      </c>
      <c r="CT318" s="1901">
        <f t="shared" si="260"/>
        <v>0</v>
      </c>
      <c r="CU318" s="1901">
        <f t="shared" si="261"/>
        <v>0</v>
      </c>
    </row>
    <row r="319" spans="1:99" ht="15" customHeight="1" x14ac:dyDescent="0.3">
      <c r="A319" s="5962"/>
      <c r="B319" s="344" t="s">
        <v>926</v>
      </c>
      <c r="C319" s="478">
        <f t="shared" si="268"/>
        <v>0</v>
      </c>
      <c r="D319" s="589">
        <f t="shared" si="272"/>
        <v>0</v>
      </c>
      <c r="E319" s="500">
        <f t="shared" si="272"/>
        <v>0</v>
      </c>
      <c r="F319" s="346"/>
      <c r="G319" s="350"/>
      <c r="H319" s="346"/>
      <c r="I319" s="350"/>
      <c r="J319" s="346"/>
      <c r="K319" s="350"/>
      <c r="L319" s="346"/>
      <c r="M319" s="350"/>
      <c r="N319" s="346"/>
      <c r="O319" s="349"/>
      <c r="P319" s="346"/>
      <c r="Q319" s="350"/>
      <c r="R319" s="348"/>
      <c r="S319" s="349"/>
      <c r="T319" s="346"/>
      <c r="U319" s="350"/>
      <c r="V319" s="348"/>
      <c r="W319" s="349"/>
      <c r="X319" s="346"/>
      <c r="Y319" s="350"/>
      <c r="Z319" s="348"/>
      <c r="AA319" s="349"/>
      <c r="AB319" s="346"/>
      <c r="AC319" s="350"/>
      <c r="AD319" s="348"/>
      <c r="AE319" s="349"/>
      <c r="AF319" s="346"/>
      <c r="AG319" s="350"/>
      <c r="AH319" s="348"/>
      <c r="AI319" s="349"/>
      <c r="AJ319" s="346"/>
      <c r="AK319" s="350"/>
      <c r="AL319" s="348"/>
      <c r="AM319" s="352"/>
      <c r="AN319" s="348"/>
      <c r="AO319" s="348"/>
      <c r="AP319" s="347"/>
      <c r="AQ319" s="346"/>
      <c r="AR319" s="347"/>
      <c r="AS319" s="346"/>
      <c r="AT319" s="369"/>
      <c r="AU319" s="369"/>
      <c r="AV319" s="347"/>
      <c r="AW319" t="str">
        <f t="shared" si="255"/>
        <v/>
      </c>
      <c r="CA319" s="135" t="str">
        <f t="shared" si="262"/>
        <v/>
      </c>
      <c r="CB319" s="3024" t="str">
        <f t="shared" si="263"/>
        <v/>
      </c>
      <c r="CC319" s="3024" t="str">
        <f t="shared" si="270"/>
        <v/>
      </c>
      <c r="CD319" s="3024" t="str">
        <f t="shared" si="264"/>
        <v/>
      </c>
      <c r="CE319" s="3024" t="str">
        <f t="shared" si="265"/>
        <v/>
      </c>
      <c r="CF319" s="3024" t="str">
        <f t="shared" si="266"/>
        <v/>
      </c>
      <c r="CG319" s="3024" t="str">
        <f t="shared" si="267"/>
        <v/>
      </c>
      <c r="CO319" s="1901">
        <f t="shared" si="256"/>
        <v>0</v>
      </c>
      <c r="CP319" s="1901">
        <f t="shared" si="257"/>
        <v>0</v>
      </c>
      <c r="CQ319" s="1901">
        <f t="shared" si="271"/>
        <v>0</v>
      </c>
      <c r="CR319" s="1901">
        <f t="shared" si="258"/>
        <v>0</v>
      </c>
      <c r="CS319" s="1901">
        <f t="shared" si="259"/>
        <v>0</v>
      </c>
      <c r="CT319" s="1901">
        <f t="shared" si="260"/>
        <v>0</v>
      </c>
      <c r="CU319" s="1901">
        <f t="shared" si="261"/>
        <v>0</v>
      </c>
    </row>
    <row r="320" spans="1:99" ht="15" customHeight="1" x14ac:dyDescent="0.3">
      <c r="A320" s="5962"/>
      <c r="B320" s="344" t="s">
        <v>927</v>
      </c>
      <c r="C320" s="478">
        <f t="shared" si="268"/>
        <v>0</v>
      </c>
      <c r="D320" s="589">
        <f t="shared" si="272"/>
        <v>0</v>
      </c>
      <c r="E320" s="500">
        <f t="shared" si="272"/>
        <v>0</v>
      </c>
      <c r="F320" s="346"/>
      <c r="G320" s="350"/>
      <c r="H320" s="346"/>
      <c r="I320" s="350"/>
      <c r="J320" s="346"/>
      <c r="K320" s="350"/>
      <c r="L320" s="346"/>
      <c r="M320" s="350"/>
      <c r="N320" s="346"/>
      <c r="O320" s="349"/>
      <c r="P320" s="346"/>
      <c r="Q320" s="350"/>
      <c r="R320" s="348"/>
      <c r="S320" s="349"/>
      <c r="T320" s="346"/>
      <c r="U320" s="350"/>
      <c r="V320" s="348"/>
      <c r="W320" s="349"/>
      <c r="X320" s="346"/>
      <c r="Y320" s="350"/>
      <c r="Z320" s="348"/>
      <c r="AA320" s="349"/>
      <c r="AB320" s="346"/>
      <c r="AC320" s="350"/>
      <c r="AD320" s="348"/>
      <c r="AE320" s="349"/>
      <c r="AF320" s="346"/>
      <c r="AG320" s="350"/>
      <c r="AH320" s="348"/>
      <c r="AI320" s="349"/>
      <c r="AJ320" s="346"/>
      <c r="AK320" s="350"/>
      <c r="AL320" s="348"/>
      <c r="AM320" s="352"/>
      <c r="AN320" s="348"/>
      <c r="AO320" s="348"/>
      <c r="AP320" s="347"/>
      <c r="AQ320" s="346"/>
      <c r="AR320" s="347"/>
      <c r="AS320" s="346"/>
      <c r="AT320" s="369"/>
      <c r="AU320" s="369"/>
      <c r="AV320" s="347"/>
      <c r="AW320" t="str">
        <f t="shared" si="255"/>
        <v/>
      </c>
      <c r="CA320" s="135" t="str">
        <f t="shared" si="262"/>
        <v/>
      </c>
      <c r="CB320" s="3024" t="str">
        <f t="shared" si="263"/>
        <v/>
      </c>
      <c r="CC320" s="3024" t="str">
        <f t="shared" si="270"/>
        <v/>
      </c>
      <c r="CD320" s="3024" t="str">
        <f t="shared" si="264"/>
        <v/>
      </c>
      <c r="CE320" s="3024" t="str">
        <f t="shared" si="265"/>
        <v/>
      </c>
      <c r="CF320" s="3024" t="str">
        <f t="shared" si="266"/>
        <v/>
      </c>
      <c r="CG320" s="3024" t="str">
        <f t="shared" si="267"/>
        <v/>
      </c>
      <c r="CO320" s="1901">
        <f t="shared" si="256"/>
        <v>0</v>
      </c>
      <c r="CP320" s="1901">
        <f t="shared" si="257"/>
        <v>0</v>
      </c>
      <c r="CQ320" s="1901">
        <f t="shared" si="271"/>
        <v>0</v>
      </c>
      <c r="CR320" s="1901">
        <f t="shared" si="258"/>
        <v>0</v>
      </c>
      <c r="CS320" s="1901">
        <f t="shared" si="259"/>
        <v>0</v>
      </c>
      <c r="CT320" s="1901">
        <f t="shared" si="260"/>
        <v>0</v>
      </c>
      <c r="CU320" s="1901">
        <f t="shared" si="261"/>
        <v>0</v>
      </c>
    </row>
    <row r="321" spans="1:99" ht="15" customHeight="1" x14ac:dyDescent="0.3">
      <c r="A321" s="5962"/>
      <c r="B321" s="344" t="s">
        <v>928</v>
      </c>
      <c r="C321" s="478">
        <f t="shared" si="268"/>
        <v>0</v>
      </c>
      <c r="D321" s="589">
        <f t="shared" si="272"/>
        <v>0</v>
      </c>
      <c r="E321" s="500">
        <f t="shared" si="272"/>
        <v>0</v>
      </c>
      <c r="F321" s="346"/>
      <c r="G321" s="350"/>
      <c r="H321" s="346"/>
      <c r="I321" s="350"/>
      <c r="J321" s="346"/>
      <c r="K321" s="350"/>
      <c r="L321" s="346"/>
      <c r="M321" s="350"/>
      <c r="N321" s="346"/>
      <c r="O321" s="349"/>
      <c r="P321" s="346"/>
      <c r="Q321" s="350"/>
      <c r="R321" s="348"/>
      <c r="S321" s="349"/>
      <c r="T321" s="346"/>
      <c r="U321" s="350"/>
      <c r="V321" s="348"/>
      <c r="W321" s="349"/>
      <c r="X321" s="346"/>
      <c r="Y321" s="350"/>
      <c r="Z321" s="348"/>
      <c r="AA321" s="349"/>
      <c r="AB321" s="346"/>
      <c r="AC321" s="350"/>
      <c r="AD321" s="348"/>
      <c r="AE321" s="349"/>
      <c r="AF321" s="346"/>
      <c r="AG321" s="350"/>
      <c r="AH321" s="348"/>
      <c r="AI321" s="349"/>
      <c r="AJ321" s="346"/>
      <c r="AK321" s="350"/>
      <c r="AL321" s="348"/>
      <c r="AM321" s="352"/>
      <c r="AN321" s="348"/>
      <c r="AO321" s="348"/>
      <c r="AP321" s="347"/>
      <c r="AQ321" s="346"/>
      <c r="AR321" s="347"/>
      <c r="AS321" s="346"/>
      <c r="AT321" s="369"/>
      <c r="AU321" s="369"/>
      <c r="AV321" s="347"/>
      <c r="AW321" t="str">
        <f t="shared" si="255"/>
        <v/>
      </c>
      <c r="CA321" s="135" t="str">
        <f t="shared" si="262"/>
        <v/>
      </c>
      <c r="CB321" s="3024" t="str">
        <f t="shared" si="263"/>
        <v/>
      </c>
      <c r="CC321" s="3024" t="str">
        <f t="shared" si="270"/>
        <v/>
      </c>
      <c r="CD321" s="3024" t="str">
        <f t="shared" si="264"/>
        <v/>
      </c>
      <c r="CE321" s="3024" t="str">
        <f t="shared" si="265"/>
        <v/>
      </c>
      <c r="CF321" s="3024" t="str">
        <f t="shared" si="266"/>
        <v/>
      </c>
      <c r="CG321" s="3024" t="str">
        <f t="shared" si="267"/>
        <v/>
      </c>
      <c r="CO321" s="1901">
        <f t="shared" si="256"/>
        <v>0</v>
      </c>
      <c r="CP321" s="1901">
        <f t="shared" si="257"/>
        <v>0</v>
      </c>
      <c r="CQ321" s="1901">
        <f t="shared" si="271"/>
        <v>0</v>
      </c>
      <c r="CR321" s="1901">
        <f t="shared" si="258"/>
        <v>0</v>
      </c>
      <c r="CS321" s="1901">
        <f t="shared" si="259"/>
        <v>0</v>
      </c>
      <c r="CT321" s="1901">
        <f t="shared" si="260"/>
        <v>0</v>
      </c>
      <c r="CU321" s="1901">
        <f t="shared" si="261"/>
        <v>0</v>
      </c>
    </row>
    <row r="322" spans="1:99" ht="15" customHeight="1" x14ac:dyDescent="0.3">
      <c r="A322" s="5962"/>
      <c r="B322" s="344" t="s">
        <v>929</v>
      </c>
      <c r="C322" s="478">
        <f t="shared" si="268"/>
        <v>0</v>
      </c>
      <c r="D322" s="589">
        <f t="shared" si="272"/>
        <v>0</v>
      </c>
      <c r="E322" s="500">
        <f t="shared" si="272"/>
        <v>0</v>
      </c>
      <c r="F322" s="346"/>
      <c r="G322" s="350"/>
      <c r="H322" s="346"/>
      <c r="I322" s="350"/>
      <c r="J322" s="346"/>
      <c r="K322" s="350"/>
      <c r="L322" s="346"/>
      <c r="M322" s="350"/>
      <c r="N322" s="346"/>
      <c r="O322" s="349"/>
      <c r="P322" s="346"/>
      <c r="Q322" s="350"/>
      <c r="R322" s="348"/>
      <c r="S322" s="349"/>
      <c r="T322" s="346"/>
      <c r="U322" s="350"/>
      <c r="V322" s="348"/>
      <c r="W322" s="349"/>
      <c r="X322" s="346"/>
      <c r="Y322" s="350"/>
      <c r="Z322" s="348"/>
      <c r="AA322" s="349"/>
      <c r="AB322" s="346"/>
      <c r="AC322" s="350"/>
      <c r="AD322" s="348"/>
      <c r="AE322" s="349"/>
      <c r="AF322" s="346"/>
      <c r="AG322" s="350"/>
      <c r="AH322" s="348"/>
      <c r="AI322" s="349"/>
      <c r="AJ322" s="346"/>
      <c r="AK322" s="350"/>
      <c r="AL322" s="348"/>
      <c r="AM322" s="352"/>
      <c r="AN322" s="348"/>
      <c r="AO322" s="348"/>
      <c r="AP322" s="347"/>
      <c r="AQ322" s="346"/>
      <c r="AR322" s="347"/>
      <c r="AS322" s="346"/>
      <c r="AT322" s="369"/>
      <c r="AU322" s="369"/>
      <c r="AV322" s="347"/>
      <c r="AW322" t="str">
        <f t="shared" si="255"/>
        <v/>
      </c>
      <c r="CA322" s="135" t="str">
        <f t="shared" si="262"/>
        <v/>
      </c>
      <c r="CB322" s="3024" t="str">
        <f t="shared" si="263"/>
        <v/>
      </c>
      <c r="CC322" s="3024" t="str">
        <f t="shared" si="270"/>
        <v/>
      </c>
      <c r="CD322" s="3024" t="str">
        <f t="shared" si="264"/>
        <v/>
      </c>
      <c r="CE322" s="3024" t="str">
        <f t="shared" si="265"/>
        <v/>
      </c>
      <c r="CF322" s="3024" t="str">
        <f t="shared" si="266"/>
        <v/>
      </c>
      <c r="CG322" s="3024" t="str">
        <f t="shared" si="267"/>
        <v/>
      </c>
      <c r="CO322" s="1901">
        <f t="shared" si="256"/>
        <v>0</v>
      </c>
      <c r="CP322" s="1901">
        <f t="shared" si="257"/>
        <v>0</v>
      </c>
      <c r="CQ322" s="1901">
        <f t="shared" si="271"/>
        <v>0</v>
      </c>
      <c r="CR322" s="1901">
        <f t="shared" si="258"/>
        <v>0</v>
      </c>
      <c r="CS322" s="1901">
        <f t="shared" si="259"/>
        <v>0</v>
      </c>
      <c r="CT322" s="1901">
        <f t="shared" si="260"/>
        <v>0</v>
      </c>
      <c r="CU322" s="1901">
        <f t="shared" si="261"/>
        <v>0</v>
      </c>
    </row>
    <row r="323" spans="1:99" ht="15" customHeight="1" x14ac:dyDescent="0.3">
      <c r="A323" s="5962"/>
      <c r="B323" s="344" t="s">
        <v>930</v>
      </c>
      <c r="C323" s="478">
        <f t="shared" si="268"/>
        <v>0</v>
      </c>
      <c r="D323" s="589">
        <f t="shared" si="272"/>
        <v>0</v>
      </c>
      <c r="E323" s="500">
        <f t="shared" si="272"/>
        <v>0</v>
      </c>
      <c r="F323" s="346"/>
      <c r="G323" s="350"/>
      <c r="H323" s="346"/>
      <c r="I323" s="350"/>
      <c r="J323" s="346"/>
      <c r="K323" s="350"/>
      <c r="L323" s="346"/>
      <c r="M323" s="350"/>
      <c r="N323" s="346"/>
      <c r="O323" s="349"/>
      <c r="P323" s="346"/>
      <c r="Q323" s="350"/>
      <c r="R323" s="348"/>
      <c r="S323" s="349"/>
      <c r="T323" s="346"/>
      <c r="U323" s="350"/>
      <c r="V323" s="348"/>
      <c r="W323" s="349"/>
      <c r="X323" s="346"/>
      <c r="Y323" s="350"/>
      <c r="Z323" s="348"/>
      <c r="AA323" s="349"/>
      <c r="AB323" s="346"/>
      <c r="AC323" s="350"/>
      <c r="AD323" s="348"/>
      <c r="AE323" s="349"/>
      <c r="AF323" s="346"/>
      <c r="AG323" s="350"/>
      <c r="AH323" s="348"/>
      <c r="AI323" s="349"/>
      <c r="AJ323" s="346"/>
      <c r="AK323" s="350"/>
      <c r="AL323" s="348"/>
      <c r="AM323" s="352"/>
      <c r="AN323" s="348"/>
      <c r="AO323" s="348"/>
      <c r="AP323" s="347"/>
      <c r="AQ323" s="346"/>
      <c r="AR323" s="347"/>
      <c r="AS323" s="346"/>
      <c r="AT323" s="369"/>
      <c r="AU323" s="369"/>
      <c r="AV323" s="347"/>
      <c r="AW323" t="str">
        <f t="shared" si="255"/>
        <v/>
      </c>
      <c r="CA323" s="135" t="str">
        <f t="shared" si="262"/>
        <v/>
      </c>
      <c r="CB323" s="3024" t="str">
        <f t="shared" si="263"/>
        <v/>
      </c>
      <c r="CC323" s="3024" t="str">
        <f t="shared" si="270"/>
        <v/>
      </c>
      <c r="CD323" s="3024" t="str">
        <f t="shared" si="264"/>
        <v/>
      </c>
      <c r="CE323" s="3024" t="str">
        <f t="shared" si="265"/>
        <v/>
      </c>
      <c r="CF323" s="3024" t="str">
        <f t="shared" si="266"/>
        <v/>
      </c>
      <c r="CG323" s="3024" t="str">
        <f t="shared" si="267"/>
        <v/>
      </c>
      <c r="CO323" s="1901">
        <f t="shared" si="256"/>
        <v>0</v>
      </c>
      <c r="CP323" s="1901">
        <f t="shared" si="257"/>
        <v>0</v>
      </c>
      <c r="CQ323" s="1901">
        <f t="shared" si="271"/>
        <v>0</v>
      </c>
      <c r="CR323" s="1901">
        <f t="shared" si="258"/>
        <v>0</v>
      </c>
      <c r="CS323" s="1901">
        <f t="shared" si="259"/>
        <v>0</v>
      </c>
      <c r="CT323" s="1901">
        <f t="shared" si="260"/>
        <v>0</v>
      </c>
      <c r="CU323" s="1901">
        <f t="shared" si="261"/>
        <v>0</v>
      </c>
    </row>
    <row r="324" spans="1:99" ht="15" customHeight="1" x14ac:dyDescent="0.3">
      <c r="A324" s="6367"/>
      <c r="B324" s="518" t="s">
        <v>931</v>
      </c>
      <c r="C324" s="483">
        <f t="shared" si="268"/>
        <v>0</v>
      </c>
      <c r="D324" s="595">
        <f t="shared" si="272"/>
        <v>0</v>
      </c>
      <c r="E324" s="387">
        <f t="shared" si="272"/>
        <v>0</v>
      </c>
      <c r="F324" s="380"/>
      <c r="G324" s="389"/>
      <c r="H324" s="380"/>
      <c r="I324" s="389"/>
      <c r="J324" s="380"/>
      <c r="K324" s="389"/>
      <c r="L324" s="380"/>
      <c r="M324" s="389"/>
      <c r="N324" s="380"/>
      <c r="O324" s="502"/>
      <c r="P324" s="380"/>
      <c r="Q324" s="389"/>
      <c r="R324" s="429"/>
      <c r="S324" s="502"/>
      <c r="T324" s="380"/>
      <c r="U324" s="389"/>
      <c r="V324" s="429"/>
      <c r="W324" s="502"/>
      <c r="X324" s="380"/>
      <c r="Y324" s="389"/>
      <c r="Z324" s="429"/>
      <c r="AA324" s="502"/>
      <c r="AB324" s="380"/>
      <c r="AC324" s="389"/>
      <c r="AD324" s="429"/>
      <c r="AE324" s="502"/>
      <c r="AF324" s="380"/>
      <c r="AG324" s="389"/>
      <c r="AH324" s="429"/>
      <c r="AI324" s="502"/>
      <c r="AJ324" s="380"/>
      <c r="AK324" s="389"/>
      <c r="AL324" s="429"/>
      <c r="AM324" s="390"/>
      <c r="AN324" s="429"/>
      <c r="AO324" s="429"/>
      <c r="AP324" s="388"/>
      <c r="AQ324" s="380"/>
      <c r="AR324" s="388"/>
      <c r="AS324" s="380"/>
      <c r="AT324" s="372"/>
      <c r="AU324" s="372"/>
      <c r="AV324" s="388"/>
      <c r="AW324" t="str">
        <f t="shared" si="255"/>
        <v/>
      </c>
      <c r="CA324" s="135" t="str">
        <f t="shared" si="262"/>
        <v/>
      </c>
      <c r="CB324" s="3024" t="str">
        <f t="shared" si="263"/>
        <v/>
      </c>
      <c r="CC324" s="3024" t="str">
        <f t="shared" si="270"/>
        <v/>
      </c>
      <c r="CD324" s="3024" t="str">
        <f t="shared" si="264"/>
        <v/>
      </c>
      <c r="CE324" s="3024" t="str">
        <f t="shared" si="265"/>
        <v/>
      </c>
      <c r="CF324" s="3024" t="str">
        <f t="shared" si="266"/>
        <v/>
      </c>
      <c r="CG324" s="3024" t="str">
        <f t="shared" si="267"/>
        <v/>
      </c>
      <c r="CO324" s="1901">
        <f t="shared" si="256"/>
        <v>0</v>
      </c>
      <c r="CP324" s="1901">
        <f t="shared" si="257"/>
        <v>0</v>
      </c>
      <c r="CQ324" s="1901">
        <f t="shared" si="271"/>
        <v>0</v>
      </c>
      <c r="CR324" s="1901">
        <f t="shared" si="258"/>
        <v>0</v>
      </c>
      <c r="CS324" s="1901">
        <f t="shared" si="259"/>
        <v>0</v>
      </c>
      <c r="CT324" s="1901">
        <f t="shared" si="260"/>
        <v>0</v>
      </c>
      <c r="CU324" s="1901">
        <f t="shared" si="261"/>
        <v>0</v>
      </c>
    </row>
    <row r="325" spans="1:99" s="6" customFormat="1" ht="18" customHeight="1" x14ac:dyDescent="0.25">
      <c r="A325" s="3" t="s">
        <v>933</v>
      </c>
      <c r="B325" s="93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736"/>
    </row>
    <row r="326" spans="1:99" x14ac:dyDescent="0.3">
      <c r="A326" s="5944" t="s">
        <v>285</v>
      </c>
      <c r="B326" s="6243"/>
      <c r="C326" s="6307" t="s">
        <v>192</v>
      </c>
      <c r="D326" s="6223"/>
      <c r="E326" s="6308"/>
      <c r="F326" s="6143" t="s">
        <v>101</v>
      </c>
      <c r="G326" s="6266"/>
      <c r="H326" s="6266"/>
      <c r="I326" s="6266"/>
      <c r="J326" s="6266"/>
      <c r="K326" s="6266"/>
      <c r="L326" s="6266"/>
      <c r="M326" s="6266"/>
      <c r="N326" s="6266"/>
      <c r="O326" s="6266"/>
      <c r="P326" s="6266"/>
      <c r="Q326" s="6266"/>
      <c r="R326" s="6266"/>
      <c r="S326" s="6266"/>
      <c r="T326" s="6266"/>
      <c r="U326" s="6266"/>
      <c r="V326" s="6266"/>
      <c r="W326" s="6266"/>
      <c r="X326" s="6266"/>
      <c r="Y326" s="6266"/>
      <c r="Z326" s="6266"/>
      <c r="AA326" s="6266"/>
      <c r="AB326" s="6266"/>
      <c r="AC326" s="6266"/>
      <c r="AD326" s="6266"/>
      <c r="AE326" s="6266"/>
      <c r="AF326" s="6266"/>
      <c r="AG326" s="6266"/>
      <c r="AH326" s="6266"/>
      <c r="AI326" s="6266"/>
      <c r="AJ326" s="6266"/>
      <c r="AK326" s="6266"/>
      <c r="AL326" s="6266"/>
      <c r="AM326" s="6266"/>
      <c r="AN326" s="6266"/>
      <c r="AO326" s="6266"/>
      <c r="AP326" s="6266"/>
      <c r="AQ326" s="6179"/>
      <c r="AR326" s="6242" t="s">
        <v>457</v>
      </c>
      <c r="AS326" s="6243"/>
      <c r="AT326" s="6186" t="s">
        <v>36</v>
      </c>
      <c r="AU326" s="6213" t="s">
        <v>37</v>
      </c>
      <c r="AV326" s="6213" t="s">
        <v>34</v>
      </c>
      <c r="AW326" s="6243" t="s">
        <v>35</v>
      </c>
    </row>
    <row r="327" spans="1:99" x14ac:dyDescent="0.3">
      <c r="A327" s="5776"/>
      <c r="B327" s="5759"/>
      <c r="C327" s="6309"/>
      <c r="D327" s="5841"/>
      <c r="E327" s="6310"/>
      <c r="F327" s="6276" t="s">
        <v>934</v>
      </c>
      <c r="G327" s="6247"/>
      <c r="H327" s="6276" t="s">
        <v>935</v>
      </c>
      <c r="I327" s="6247"/>
      <c r="J327" s="6276" t="s">
        <v>936</v>
      </c>
      <c r="K327" s="6247"/>
      <c r="L327" s="6276" t="s">
        <v>937</v>
      </c>
      <c r="M327" s="6247"/>
      <c r="N327" s="6276" t="s">
        <v>326</v>
      </c>
      <c r="O327" s="6247"/>
      <c r="P327" s="6276" t="s">
        <v>94</v>
      </c>
      <c r="Q327" s="6247"/>
      <c r="R327" s="6276" t="s">
        <v>44</v>
      </c>
      <c r="S327" s="6247"/>
      <c r="T327" s="6276" t="s">
        <v>45</v>
      </c>
      <c r="U327" s="6247"/>
      <c r="V327" s="6276" t="s">
        <v>46</v>
      </c>
      <c r="W327" s="6277"/>
      <c r="X327" s="6276" t="s">
        <v>47</v>
      </c>
      <c r="Y327" s="6277"/>
      <c r="Z327" s="6276" t="s">
        <v>48</v>
      </c>
      <c r="AA327" s="6277"/>
      <c r="AB327" s="6276" t="s">
        <v>49</v>
      </c>
      <c r="AC327" s="6277"/>
      <c r="AD327" s="6276" t="s">
        <v>50</v>
      </c>
      <c r="AE327" s="6277"/>
      <c r="AF327" s="6276" t="s">
        <v>51</v>
      </c>
      <c r="AG327" s="6277"/>
      <c r="AH327" s="6276" t="s">
        <v>52</v>
      </c>
      <c r="AI327" s="6277"/>
      <c r="AJ327" s="6276" t="s">
        <v>53</v>
      </c>
      <c r="AK327" s="6277"/>
      <c r="AL327" s="6276" t="s">
        <v>54</v>
      </c>
      <c r="AM327" s="6277"/>
      <c r="AN327" s="6276" t="s">
        <v>55</v>
      </c>
      <c r="AO327" s="6277"/>
      <c r="AP327" s="6276" t="s">
        <v>938</v>
      </c>
      <c r="AQ327" s="6278"/>
      <c r="AR327" s="5882"/>
      <c r="AS327" s="5760"/>
      <c r="AT327" s="5834"/>
      <c r="AU327" s="6118"/>
      <c r="AV327" s="6118"/>
      <c r="AW327" s="5759"/>
    </row>
    <row r="328" spans="1:99" ht="25.5" customHeight="1" x14ac:dyDescent="0.3">
      <c r="A328" s="5796"/>
      <c r="B328" s="5760"/>
      <c r="C328" s="607" t="s">
        <v>79</v>
      </c>
      <c r="D328" s="739" t="s">
        <v>58</v>
      </c>
      <c r="E328" s="738" t="s">
        <v>59</v>
      </c>
      <c r="F328" s="607" t="s">
        <v>461</v>
      </c>
      <c r="G328" s="469" t="s">
        <v>59</v>
      </c>
      <c r="H328" s="607" t="s">
        <v>461</v>
      </c>
      <c r="I328" s="469" t="s">
        <v>59</v>
      </c>
      <c r="J328" s="607" t="s">
        <v>461</v>
      </c>
      <c r="K328" s="469" t="s">
        <v>59</v>
      </c>
      <c r="L328" s="607" t="s">
        <v>461</v>
      </c>
      <c r="M328" s="469" t="s">
        <v>59</v>
      </c>
      <c r="N328" s="607" t="s">
        <v>461</v>
      </c>
      <c r="O328" s="469" t="s">
        <v>59</v>
      </c>
      <c r="P328" s="607" t="s">
        <v>461</v>
      </c>
      <c r="Q328" s="469" t="s">
        <v>59</v>
      </c>
      <c r="R328" s="607" t="s">
        <v>461</v>
      </c>
      <c r="S328" s="469" t="s">
        <v>59</v>
      </c>
      <c r="T328" s="607" t="s">
        <v>461</v>
      </c>
      <c r="U328" s="469" t="s">
        <v>59</v>
      </c>
      <c r="V328" s="607" t="s">
        <v>461</v>
      </c>
      <c r="W328" s="469" t="s">
        <v>59</v>
      </c>
      <c r="X328" s="607" t="s">
        <v>461</v>
      </c>
      <c r="Y328" s="469" t="s">
        <v>59</v>
      </c>
      <c r="Z328" s="607" t="s">
        <v>461</v>
      </c>
      <c r="AA328" s="469" t="s">
        <v>59</v>
      </c>
      <c r="AB328" s="607" t="s">
        <v>461</v>
      </c>
      <c r="AC328" s="469" t="s">
        <v>59</v>
      </c>
      <c r="AD328" s="607" t="s">
        <v>461</v>
      </c>
      <c r="AE328" s="469" t="s">
        <v>59</v>
      </c>
      <c r="AF328" s="607" t="s">
        <v>461</v>
      </c>
      <c r="AG328" s="469" t="s">
        <v>59</v>
      </c>
      <c r="AH328" s="607" t="s">
        <v>461</v>
      </c>
      <c r="AI328" s="469" t="s">
        <v>59</v>
      </c>
      <c r="AJ328" s="607" t="s">
        <v>461</v>
      </c>
      <c r="AK328" s="469" t="s">
        <v>59</v>
      </c>
      <c r="AL328" s="607" t="s">
        <v>461</v>
      </c>
      <c r="AM328" s="469" t="s">
        <v>59</v>
      </c>
      <c r="AN328" s="607" t="s">
        <v>461</v>
      </c>
      <c r="AO328" s="469" t="s">
        <v>59</v>
      </c>
      <c r="AP328" s="607" t="s">
        <v>461</v>
      </c>
      <c r="AQ328" s="470" t="s">
        <v>59</v>
      </c>
      <c r="AR328" s="618" t="s">
        <v>462</v>
      </c>
      <c r="AS328" s="469" t="s">
        <v>463</v>
      </c>
      <c r="AT328" s="5835"/>
      <c r="AU328" s="5818"/>
      <c r="AV328" s="5818"/>
      <c r="AW328" s="5760"/>
    </row>
    <row r="329" spans="1:99" x14ac:dyDescent="0.3">
      <c r="A329" s="6185" t="s">
        <v>939</v>
      </c>
      <c r="B329" s="656" t="s">
        <v>453</v>
      </c>
      <c r="C329" s="300">
        <f>SUM(E329)</f>
        <v>0</v>
      </c>
      <c r="D329" s="516"/>
      <c r="E329" s="612">
        <f>+Q329+S329+U329+W329+Y329+AA329+AC329+AE329+AG329+AI329</f>
        <v>0</v>
      </c>
      <c r="F329" s="740"/>
      <c r="G329" s="741"/>
      <c r="H329" s="741"/>
      <c r="I329" s="741"/>
      <c r="J329" s="741"/>
      <c r="K329" s="741"/>
      <c r="L329" s="741"/>
      <c r="M329" s="741"/>
      <c r="N329" s="741"/>
      <c r="O329" s="741"/>
      <c r="P329" s="540"/>
      <c r="Q329" s="477"/>
      <c r="R329" s="660"/>
      <c r="S329" s="477"/>
      <c r="T329" s="660"/>
      <c r="U329" s="477"/>
      <c r="V329" s="660"/>
      <c r="W329" s="477"/>
      <c r="X329" s="660"/>
      <c r="Y329" s="477"/>
      <c r="Z329" s="660"/>
      <c r="AA329" s="477"/>
      <c r="AB329" s="660"/>
      <c r="AC329" s="477"/>
      <c r="AD329" s="660"/>
      <c r="AE329" s="477"/>
      <c r="AF329" s="660"/>
      <c r="AG329" s="477"/>
      <c r="AH329" s="660"/>
      <c r="AI329" s="477"/>
      <c r="AJ329" s="660"/>
      <c r="AK329" s="540"/>
      <c r="AL329" s="660"/>
      <c r="AM329" s="540"/>
      <c r="AN329" s="660"/>
      <c r="AO329" s="540"/>
      <c r="AP329" s="660"/>
      <c r="AQ329" s="742"/>
      <c r="AR329" s="477"/>
      <c r="AS329" s="741"/>
      <c r="AT329" s="474"/>
      <c r="AU329" s="494"/>
      <c r="AV329" s="494"/>
      <c r="AW329" s="475"/>
      <c r="AX329" t="str">
        <f t="shared" ref="AX329:AX339" si="273">CA329&amp;CB329&amp;CC329&amp;CD329&amp;CE329&amp;CF329</f>
        <v/>
      </c>
      <c r="CA329" s="135" t="str">
        <f>IF(AND(E329&gt;0,OR(AR329="")),"* No olvide digitar la variable Trans (masculino). Digite Cero si no tiene.",IF(AR329&gt;E329," * La variable Trans (masculino) No puede ser mayor al Total Mujeres.",""))</f>
        <v/>
      </c>
      <c r="CB329" s="181"/>
      <c r="CC329" s="135" t="str">
        <f>IF(AND(C329&gt;0,AT329="")," * No olvide digitar la variable Pueblos originarios. Digite Cero si no tiene.",IF(AT329&gt;C329," * La variable Pueblos originarios No puede ser mayor al Total Ambos Sexos.",""))</f>
        <v/>
      </c>
      <c r="CD329" s="135" t="str">
        <f>IF(AND(C329&gt;0,AU329="")," * No olvide digitar la variable Migrantes. Digite Cero si no tiene.",IF(AU329&gt;C329," * La variable Migrantes No puede ser mayor al Total Ambos Sexos.",""))</f>
        <v/>
      </c>
      <c r="CE329" s="135" t="str">
        <f>IF(AND(C329&gt;0,AV329="")," * No olvide digitar la variable Niños, niñas adolescentes y Jóvenes SENAME. Digite Cero si no tiene.",IF(AV329&gt;C329," * La variable Niños, niñas adolescentes y Jóvenes SENAME No puede ser mayor al Total Ambos Sexos.",""))</f>
        <v/>
      </c>
      <c r="CF329" s="135" t="str">
        <f>IF(AND(C329&gt;0,AW329="")," * No olvide digitar la variable Niños, niñas adolescentes y Jóvenes Mejor Niñez. Digite Cero si no tiene.",IF(AW329&gt;C329," * La variable Niños, niñas adolescentes y Jóvenes Mejor Niñez No puede ser mayor al Total Ambos Sexos.",""))</f>
        <v/>
      </c>
      <c r="CO329" s="1901">
        <f>IF(AND(E329&gt;0,OR(AR329="")),1,IF(AR329&gt;E329,1,0))</f>
        <v>0</v>
      </c>
      <c r="CP329" s="2707"/>
      <c r="CQ329" s="1901">
        <f t="shared" ref="CQ329:CQ339" si="274">IF(AND(C329&gt;0,AT329=""),1,IF(AT329&gt;C329,1,0))</f>
        <v>0</v>
      </c>
      <c r="CR329" s="1901">
        <f t="shared" ref="CR329:CR339" si="275">IF(AND(C329&gt;0,AU329=""),1,IF(AU329&gt;C329,1,0))</f>
        <v>0</v>
      </c>
      <c r="CS329" s="1901">
        <f t="shared" ref="CS329:CS339" si="276">IF(AND(C329&gt;0,AV329=""),1,IF(AV329&gt;C329,1,0))</f>
        <v>0</v>
      </c>
      <c r="CT329" s="1901">
        <f t="shared" ref="CT329:CT339" si="277">IF(AND(C329&gt;0,AW329=""),1,IF(AW329&gt;C329,1,0))</f>
        <v>0</v>
      </c>
    </row>
    <row r="330" spans="1:99" x14ac:dyDescent="0.3">
      <c r="A330" s="5791"/>
      <c r="B330" s="658" t="s">
        <v>932</v>
      </c>
      <c r="C330" s="197">
        <f t="shared" ref="C330:C339" si="278">SUM(D330+E330)</f>
        <v>0</v>
      </c>
      <c r="D330" s="590">
        <f t="shared" ref="D330:E333" si="279">SUM(F330+H330+J330+L330+N330+P330+R330+T330+V330+X330+Z330+AB330+AD330+AF330+AH330+AJ330+AL330+AN330+AP330)</f>
        <v>0</v>
      </c>
      <c r="E330" s="62">
        <f t="shared" si="279"/>
        <v>0</v>
      </c>
      <c r="F330" s="47"/>
      <c r="G330" s="704"/>
      <c r="H330" s="47"/>
      <c r="I330" s="704"/>
      <c r="J330" s="47"/>
      <c r="K330" s="42"/>
      <c r="L330" s="47"/>
      <c r="M330" s="66"/>
      <c r="N330" s="47"/>
      <c r="O330" s="42"/>
      <c r="P330" s="47"/>
      <c r="Q330" s="704"/>
      <c r="R330" s="47"/>
      <c r="S330" s="704"/>
      <c r="T330" s="47"/>
      <c r="U330" s="704"/>
      <c r="V330" s="47"/>
      <c r="W330" s="704"/>
      <c r="X330" s="47"/>
      <c r="Y330" s="704"/>
      <c r="Z330" s="47"/>
      <c r="AA330" s="704"/>
      <c r="AB330" s="47"/>
      <c r="AC330" s="704"/>
      <c r="AD330" s="47"/>
      <c r="AE330" s="704"/>
      <c r="AF330" s="47"/>
      <c r="AG330" s="704"/>
      <c r="AH330" s="47"/>
      <c r="AI330" s="704"/>
      <c r="AJ330" s="47"/>
      <c r="AK330" s="704"/>
      <c r="AL330" s="47"/>
      <c r="AM330" s="704"/>
      <c r="AN330" s="47"/>
      <c r="AO330" s="704"/>
      <c r="AP330" s="47"/>
      <c r="AQ330" s="75"/>
      <c r="AR330" s="704"/>
      <c r="AS330" s="42"/>
      <c r="AT330" s="47"/>
      <c r="AU330" s="242"/>
      <c r="AV330" s="242"/>
      <c r="AW330" s="42"/>
      <c r="AX330" t="str">
        <f t="shared" si="273"/>
        <v/>
      </c>
      <c r="CA330" s="135" t="str">
        <f t="shared" ref="CA330:CA339" si="280">IF(AND(E330&gt;0,OR(AR330="")),"* No olvide digitar la variable Trans (masculino). Digite Cero si no tiene.",IF(AR330&gt;E330," * La variable Trans (masculino) No puede ser mayor al Total Mujeres.",""))</f>
        <v/>
      </c>
      <c r="CB330" s="135" t="str">
        <f>IF(AND(D330&gt;0,OR(AS330="")),"* No olvide digitar la variable Trans (Femenino). Digite Cero si no tiene.",IF(AS330&gt;D330," * La variable Trans (Femenino) No puede ser mayor al Total Hombres.",""))</f>
        <v/>
      </c>
      <c r="CC330" s="135" t="str">
        <f t="shared" ref="CC330:CC339" si="281">IF(AND(C330&gt;0,AT330="")," * No olvide digitar la variable Pueblos originarios. Digite Cero si no tiene.",IF(AT330&gt;C330," * La variable Pueblos originarios No puede ser mayor al Total Ambos Sexos.",""))</f>
        <v/>
      </c>
      <c r="CD330" s="135" t="str">
        <f t="shared" ref="CD330:CD339" si="282">IF(AND(C330&gt;0,AU330="")," * No olvide digitar la variable Migrantes. Digite Cero si no tiene.",IF(AU330&gt;C330," * La variable Migrantes No puede ser mayor al Total Ambos Sexos.",""))</f>
        <v/>
      </c>
      <c r="CE330" s="135" t="str">
        <f t="shared" ref="CE330:CE339" si="283">IF(AND(C330&gt;0,AV330="")," * No olvide digitar la variable Niños, niñas adolescentes y Jóvenes SENAME. Digite Cero si no tiene.",IF(AV330&gt;C330," * La variable Niños, niñas adolescentes y Jóvenes SENAME No puede ser mayor al Total Ambos Sexos.",""))</f>
        <v/>
      </c>
      <c r="CF330" s="135" t="str">
        <f t="shared" ref="CF330:CF339" si="284">IF(AND(C330&gt;0,AW330="")," * No olvide digitar la variable Niños, niñas adolescentes y Jóvenes Mejor Niñez. Digite Cero si no tiene.",IF(AW330&gt;C330," * La variable Niños, niñas adolescentes y Jóvenes Mejor Niñez No puede ser mayor al Total Ambos Sexos.",""))</f>
        <v/>
      </c>
      <c r="CO330" s="1901">
        <f>IF(AND(E330&gt;0,OR(AR330="")),1,IF(AR330&gt;E330,1,0))</f>
        <v>0</v>
      </c>
      <c r="CP330" s="1901">
        <f>IF(AND(D330&gt;0,OR(AS330="")),1,IF(AS330&gt;D330,1,0))</f>
        <v>0</v>
      </c>
      <c r="CQ330" s="1901">
        <f t="shared" si="274"/>
        <v>0</v>
      </c>
      <c r="CR330" s="1901">
        <f t="shared" si="275"/>
        <v>0</v>
      </c>
      <c r="CS330" s="1901">
        <f t="shared" si="276"/>
        <v>0</v>
      </c>
      <c r="CT330" s="1901">
        <f t="shared" si="277"/>
        <v>0</v>
      </c>
    </row>
    <row r="331" spans="1:99" x14ac:dyDescent="0.3">
      <c r="A331" s="6369" t="s">
        <v>940</v>
      </c>
      <c r="B331" s="6370"/>
      <c r="C331" s="613">
        <f t="shared" si="278"/>
        <v>0</v>
      </c>
      <c r="D331" s="614">
        <f t="shared" si="279"/>
        <v>0</v>
      </c>
      <c r="E331" s="615">
        <f t="shared" si="279"/>
        <v>0</v>
      </c>
      <c r="F331" s="505"/>
      <c r="G331" s="507"/>
      <c r="H331" s="505"/>
      <c r="I331" s="507"/>
      <c r="J331" s="505"/>
      <c r="K331" s="508"/>
      <c r="L331" s="505"/>
      <c r="M331" s="647"/>
      <c r="N331" s="505"/>
      <c r="O331" s="508"/>
      <c r="P331" s="505"/>
      <c r="Q331" s="507"/>
      <c r="R331" s="505"/>
      <c r="S331" s="507"/>
      <c r="T331" s="505"/>
      <c r="U331" s="507"/>
      <c r="V331" s="505"/>
      <c r="W331" s="507"/>
      <c r="X331" s="505"/>
      <c r="Y331" s="507"/>
      <c r="Z331" s="505"/>
      <c r="AA331" s="507"/>
      <c r="AB331" s="505"/>
      <c r="AC331" s="507"/>
      <c r="AD331" s="505"/>
      <c r="AE331" s="507"/>
      <c r="AF331" s="505"/>
      <c r="AG331" s="507"/>
      <c r="AH331" s="505"/>
      <c r="AI331" s="507"/>
      <c r="AJ331" s="505"/>
      <c r="AK331" s="507"/>
      <c r="AL331" s="505"/>
      <c r="AM331" s="507"/>
      <c r="AN331" s="505"/>
      <c r="AO331" s="507"/>
      <c r="AP331" s="505"/>
      <c r="AQ331" s="743"/>
      <c r="AR331" s="507"/>
      <c r="AS331" s="508"/>
      <c r="AT331" s="505"/>
      <c r="AU331" s="531"/>
      <c r="AV331" s="531"/>
      <c r="AW331" s="508"/>
      <c r="AX331" t="str">
        <f t="shared" si="273"/>
        <v/>
      </c>
      <c r="CA331" s="135" t="str">
        <f t="shared" si="280"/>
        <v/>
      </c>
      <c r="CB331" s="135" t="str">
        <f>IF(AND(D331&gt;0,OR(AS331="")),"* No olvide digitar la variable Trans (Femenino). Digite Cero si no tiene.",IF(AS331&gt;D331," * La variable Trans (Femenino) No puede ser mayor al Total Hombres.",""))</f>
        <v/>
      </c>
      <c r="CC331" s="135" t="str">
        <f t="shared" si="281"/>
        <v/>
      </c>
      <c r="CD331" s="135" t="str">
        <f t="shared" si="282"/>
        <v/>
      </c>
      <c r="CE331" s="135" t="str">
        <f t="shared" si="283"/>
        <v/>
      </c>
      <c r="CF331" s="135" t="str">
        <f t="shared" si="284"/>
        <v/>
      </c>
      <c r="CO331" s="1901">
        <f>IF(AND(E331&gt;0,OR(AR331="")),1,IF(AR331&gt;E331,1,0))</f>
        <v>0</v>
      </c>
      <c r="CP331" s="1901">
        <f>IF(AND(D331&gt;0,OR(AS331="")),1,IF(AS331&gt;D331,1,0))</f>
        <v>0</v>
      </c>
      <c r="CQ331" s="1901">
        <f t="shared" si="274"/>
        <v>0</v>
      </c>
      <c r="CR331" s="1901">
        <f t="shared" si="275"/>
        <v>0</v>
      </c>
      <c r="CS331" s="1901">
        <f t="shared" si="276"/>
        <v>0</v>
      </c>
      <c r="CT331" s="1901">
        <f t="shared" si="277"/>
        <v>0</v>
      </c>
    </row>
    <row r="332" spans="1:99" x14ac:dyDescent="0.3">
      <c r="A332" s="6371" t="s">
        <v>941</v>
      </c>
      <c r="B332" s="6371"/>
      <c r="C332" s="613">
        <f t="shared" si="278"/>
        <v>0</v>
      </c>
      <c r="D332" s="614">
        <f t="shared" si="279"/>
        <v>0</v>
      </c>
      <c r="E332" s="615">
        <f t="shared" si="279"/>
        <v>0</v>
      </c>
      <c r="F332" s="505"/>
      <c r="G332" s="507"/>
      <c r="H332" s="505"/>
      <c r="I332" s="507"/>
      <c r="J332" s="505"/>
      <c r="K332" s="508"/>
      <c r="L332" s="505"/>
      <c r="M332" s="647"/>
      <c r="N332" s="505"/>
      <c r="O332" s="508"/>
      <c r="P332" s="505"/>
      <c r="Q332" s="507"/>
      <c r="R332" s="505"/>
      <c r="S332" s="507"/>
      <c r="T332" s="505"/>
      <c r="U332" s="507"/>
      <c r="V332" s="505"/>
      <c r="W332" s="507"/>
      <c r="X332" s="505"/>
      <c r="Y332" s="507"/>
      <c r="Z332" s="505"/>
      <c r="AA332" s="507"/>
      <c r="AB332" s="505"/>
      <c r="AC332" s="507"/>
      <c r="AD332" s="505"/>
      <c r="AE332" s="507"/>
      <c r="AF332" s="505"/>
      <c r="AG332" s="507"/>
      <c r="AH332" s="505"/>
      <c r="AI332" s="507"/>
      <c r="AJ332" s="505"/>
      <c r="AK332" s="507"/>
      <c r="AL332" s="505"/>
      <c r="AM332" s="507"/>
      <c r="AN332" s="505"/>
      <c r="AO332" s="507"/>
      <c r="AP332" s="505"/>
      <c r="AQ332" s="743"/>
      <c r="AR332" s="507"/>
      <c r="AS332" s="508"/>
      <c r="AT332" s="505"/>
      <c r="AU332" s="531"/>
      <c r="AV332" s="531"/>
      <c r="AW332" s="508"/>
      <c r="AX332" t="str">
        <f t="shared" si="273"/>
        <v/>
      </c>
      <c r="CA332" s="135" t="str">
        <f t="shared" si="280"/>
        <v/>
      </c>
      <c r="CB332" s="135" t="str">
        <f>IF(AND(D332&gt;0,OR(AS332="")),"* No olvide digitar la variable Trans (Femenino). Digite Cero si no tiene.",IF(AS332&gt;D332," * La variable Trans (Femenino) No puede ser mayor al Total Hombres.",""))</f>
        <v/>
      </c>
      <c r="CC332" s="135" t="str">
        <f t="shared" si="281"/>
        <v/>
      </c>
      <c r="CD332" s="135" t="str">
        <f t="shared" si="282"/>
        <v/>
      </c>
      <c r="CE332" s="135" t="str">
        <f t="shared" si="283"/>
        <v/>
      </c>
      <c r="CF332" s="135" t="str">
        <f t="shared" si="284"/>
        <v/>
      </c>
      <c r="CO332" s="1901">
        <f>IF(AND(E332&gt;0,OR(AR332="")),1,IF(AR332&gt;E332,1,0))</f>
        <v>0</v>
      </c>
      <c r="CP332" s="1901">
        <f>IF(AND(D332&gt;0,OR(AS332="")),1,IF(AS332&gt;D332,1,0))</f>
        <v>0</v>
      </c>
      <c r="CQ332" s="1901">
        <f t="shared" si="274"/>
        <v>0</v>
      </c>
      <c r="CR332" s="1901">
        <f t="shared" si="275"/>
        <v>0</v>
      </c>
      <c r="CS332" s="1901">
        <f t="shared" si="276"/>
        <v>0</v>
      </c>
      <c r="CT332" s="1901">
        <f t="shared" si="277"/>
        <v>0</v>
      </c>
    </row>
    <row r="333" spans="1:99" x14ac:dyDescent="0.3">
      <c r="A333" s="6351" t="s">
        <v>942</v>
      </c>
      <c r="B333" s="6352"/>
      <c r="C333" s="300">
        <f t="shared" si="278"/>
        <v>0</v>
      </c>
      <c r="D333" s="587">
        <f t="shared" si="279"/>
        <v>0</v>
      </c>
      <c r="E333" s="146">
        <f t="shared" si="279"/>
        <v>0</v>
      </c>
      <c r="F333" s="290"/>
      <c r="G333" s="22"/>
      <c r="H333" s="290"/>
      <c r="I333" s="22"/>
      <c r="J333" s="290"/>
      <c r="K333" s="107"/>
      <c r="L333" s="290"/>
      <c r="M333" s="65"/>
      <c r="N333" s="290"/>
      <c r="O333" s="107"/>
      <c r="P333" s="290"/>
      <c r="Q333" s="22"/>
      <c r="R333" s="290"/>
      <c r="S333" s="22"/>
      <c r="T333" s="290"/>
      <c r="U333" s="22"/>
      <c r="V333" s="290"/>
      <c r="W333" s="22"/>
      <c r="X333" s="290"/>
      <c r="Y333" s="22"/>
      <c r="Z333" s="290"/>
      <c r="AA333" s="22"/>
      <c r="AB333" s="290"/>
      <c r="AC333" s="22"/>
      <c r="AD333" s="290"/>
      <c r="AE333" s="22"/>
      <c r="AF333" s="290"/>
      <c r="AG333" s="22"/>
      <c r="AH333" s="290"/>
      <c r="AI333" s="22"/>
      <c r="AJ333" s="290"/>
      <c r="AK333" s="22"/>
      <c r="AL333" s="290"/>
      <c r="AM333" s="22"/>
      <c r="AN333" s="290"/>
      <c r="AO333" s="22"/>
      <c r="AP333" s="290"/>
      <c r="AQ333" s="61"/>
      <c r="AR333" s="22"/>
      <c r="AS333" s="107"/>
      <c r="AT333" s="290"/>
      <c r="AU333" s="535"/>
      <c r="AV333" s="535"/>
      <c r="AW333" s="107"/>
      <c r="AX333" t="str">
        <f t="shared" si="273"/>
        <v/>
      </c>
      <c r="CA333" s="135" t="str">
        <f t="shared" si="280"/>
        <v/>
      </c>
      <c r="CB333" s="135" t="str">
        <f>IF(AND(D333&gt;0,OR(AS333="")),"* No olvide digitar la variable Trans (Femenino). Digite Cero si no tiene.",IF(AS333&gt;D333," * La variable Trans (Femenino) No puede ser mayor al Total Hombres.",""))</f>
        <v/>
      </c>
      <c r="CC333" s="135" t="str">
        <f t="shared" si="281"/>
        <v/>
      </c>
      <c r="CD333" s="135" t="str">
        <f t="shared" si="282"/>
        <v/>
      </c>
      <c r="CE333" s="135" t="str">
        <f t="shared" si="283"/>
        <v/>
      </c>
      <c r="CF333" s="135" t="str">
        <f t="shared" si="284"/>
        <v/>
      </c>
      <c r="CO333" s="1901">
        <f>IF(AND(E333&gt;0,OR(AR333="")),1,IF(AR333&gt;E333,1,0))</f>
        <v>0</v>
      </c>
      <c r="CP333" s="1901">
        <f>IF(AND(D333&gt;0,OR(AS333="")),1,IF(AS333&gt;D333,1,0))</f>
        <v>0</v>
      </c>
      <c r="CQ333" s="1901">
        <f t="shared" si="274"/>
        <v>0</v>
      </c>
      <c r="CR333" s="1901">
        <f t="shared" si="275"/>
        <v>0</v>
      </c>
      <c r="CS333" s="1901">
        <f t="shared" si="276"/>
        <v>0</v>
      </c>
      <c r="CT333" s="1901">
        <f t="shared" si="277"/>
        <v>0</v>
      </c>
    </row>
    <row r="334" spans="1:99" x14ac:dyDescent="0.3">
      <c r="A334" s="6372" t="s">
        <v>943</v>
      </c>
      <c r="B334" s="6373"/>
      <c r="C334" s="483">
        <f t="shared" si="278"/>
        <v>0</v>
      </c>
      <c r="D334" s="595">
        <f>SUM(F334+H334+J334+L334)</f>
        <v>0</v>
      </c>
      <c r="E334" s="485">
        <f>SUM(G334+I334+K334+M334)</f>
        <v>0</v>
      </c>
      <c r="F334" s="380"/>
      <c r="G334" s="429"/>
      <c r="H334" s="380"/>
      <c r="I334" s="429"/>
      <c r="J334" s="380"/>
      <c r="K334" s="388"/>
      <c r="L334" s="380"/>
      <c r="M334" s="564"/>
      <c r="N334" s="744"/>
      <c r="O334" s="745"/>
      <c r="P334" s="745"/>
      <c r="Q334" s="745"/>
      <c r="R334" s="745"/>
      <c r="S334" s="745"/>
      <c r="T334" s="745"/>
      <c r="U334" s="745"/>
      <c r="V334" s="745"/>
      <c r="W334" s="745"/>
      <c r="X334" s="745"/>
      <c r="Y334" s="745"/>
      <c r="Z334" s="745"/>
      <c r="AA334" s="745"/>
      <c r="AB334" s="745"/>
      <c r="AC334" s="745"/>
      <c r="AD334" s="745"/>
      <c r="AE334" s="745"/>
      <c r="AF334" s="745"/>
      <c r="AG334" s="745"/>
      <c r="AH334" s="745"/>
      <c r="AI334" s="745"/>
      <c r="AJ334" s="745"/>
      <c r="AK334" s="745"/>
      <c r="AL334" s="745"/>
      <c r="AM334" s="745"/>
      <c r="AN334" s="745"/>
      <c r="AO334" s="745"/>
      <c r="AP334" s="745"/>
      <c r="AQ334" s="745"/>
      <c r="AR334" s="746"/>
      <c r="AS334" s="636"/>
      <c r="AT334" s="380"/>
      <c r="AU334" s="372"/>
      <c r="AV334" s="372"/>
      <c r="AW334" s="388"/>
      <c r="AX334" t="str">
        <f t="shared" si="273"/>
        <v/>
      </c>
      <c r="CA334" s="181"/>
      <c r="CB334" s="181"/>
      <c r="CC334" s="135" t="str">
        <f t="shared" si="281"/>
        <v/>
      </c>
      <c r="CD334" s="135" t="str">
        <f t="shared" si="282"/>
        <v/>
      </c>
      <c r="CE334" s="135" t="str">
        <f t="shared" si="283"/>
        <v/>
      </c>
      <c r="CF334" s="135" t="str">
        <f t="shared" si="284"/>
        <v/>
      </c>
      <c r="CO334" s="3027"/>
      <c r="CP334" s="2707"/>
      <c r="CQ334" s="1901">
        <f t="shared" si="274"/>
        <v>0</v>
      </c>
      <c r="CR334" s="1901">
        <f t="shared" si="275"/>
        <v>0</v>
      </c>
      <c r="CS334" s="1901">
        <f t="shared" si="276"/>
        <v>0</v>
      </c>
      <c r="CT334" s="1901">
        <f t="shared" si="277"/>
        <v>0</v>
      </c>
    </row>
    <row r="335" spans="1:99" x14ac:dyDescent="0.3">
      <c r="A335" s="5844" t="s">
        <v>944</v>
      </c>
      <c r="B335" s="247" t="s">
        <v>945</v>
      </c>
      <c r="C335" s="300">
        <f t="shared" si="278"/>
        <v>0</v>
      </c>
      <c r="D335" s="587">
        <f t="shared" ref="D335:E339" si="285">SUM(F335+H335+J335+L335+N335+P335+R335+T335+V335+X335+Z335+AB335+AD335+AF335+AH335+AJ335+AL335+AN335+AP335)</f>
        <v>0</v>
      </c>
      <c r="E335" s="146">
        <f t="shared" si="285"/>
        <v>0</v>
      </c>
      <c r="F335" s="290"/>
      <c r="G335" s="22"/>
      <c r="H335" s="290"/>
      <c r="I335" s="22"/>
      <c r="J335" s="290"/>
      <c r="K335" s="107"/>
      <c r="L335" s="290"/>
      <c r="M335" s="65"/>
      <c r="N335" s="290"/>
      <c r="O335" s="107"/>
      <c r="P335" s="290"/>
      <c r="Q335" s="22"/>
      <c r="R335" s="290"/>
      <c r="S335" s="22"/>
      <c r="T335" s="290"/>
      <c r="U335" s="22"/>
      <c r="V335" s="290"/>
      <c r="W335" s="22"/>
      <c r="X335" s="290"/>
      <c r="Y335" s="22"/>
      <c r="Z335" s="290"/>
      <c r="AA335" s="22"/>
      <c r="AB335" s="290"/>
      <c r="AC335" s="22"/>
      <c r="AD335" s="290"/>
      <c r="AE335" s="22"/>
      <c r="AF335" s="290"/>
      <c r="AG335" s="22"/>
      <c r="AH335" s="290"/>
      <c r="AI335" s="22"/>
      <c r="AJ335" s="290"/>
      <c r="AK335" s="22"/>
      <c r="AL335" s="290"/>
      <c r="AM335" s="22"/>
      <c r="AN335" s="290"/>
      <c r="AO335" s="22"/>
      <c r="AP335" s="290"/>
      <c r="AQ335" s="61"/>
      <c r="AR335" s="22"/>
      <c r="AS335" s="107"/>
      <c r="AT335" s="290"/>
      <c r="AU335" s="535"/>
      <c r="AV335" s="535"/>
      <c r="AW335" s="107"/>
      <c r="AX335" t="str">
        <f t="shared" si="273"/>
        <v/>
      </c>
      <c r="CA335" s="135" t="str">
        <f t="shared" si="280"/>
        <v/>
      </c>
      <c r="CB335" s="135" t="str">
        <f>IF(AND(D335&gt;0,OR(AS335="")),"* No olvide digitar la variable Trans (Femenino). Digite Cero si no tiene.",IF(AS335&gt;D335," * La variable Trans (Femenino) No puede ser mayor al Total Hombres.",""))</f>
        <v/>
      </c>
      <c r="CC335" s="135" t="str">
        <f t="shared" si="281"/>
        <v/>
      </c>
      <c r="CD335" s="135" t="str">
        <f t="shared" si="282"/>
        <v/>
      </c>
      <c r="CE335" s="135" t="str">
        <f t="shared" si="283"/>
        <v/>
      </c>
      <c r="CF335" s="135" t="str">
        <f t="shared" si="284"/>
        <v/>
      </c>
      <c r="CO335" s="1901">
        <f>IF(AND(E335&gt;0,OR(AR335="")),1,IF(AR335&gt;E335,1,0))</f>
        <v>0</v>
      </c>
      <c r="CP335" s="1901">
        <f>IF(AND(D335&gt;0,OR(AS335="")),1,IF(AS335&gt;D335,1,0))</f>
        <v>0</v>
      </c>
      <c r="CQ335" s="1901">
        <f t="shared" si="274"/>
        <v>0</v>
      </c>
      <c r="CR335" s="1901">
        <f t="shared" si="275"/>
        <v>0</v>
      </c>
      <c r="CS335" s="1901">
        <f t="shared" si="276"/>
        <v>0</v>
      </c>
      <c r="CT335" s="1901">
        <f t="shared" si="277"/>
        <v>0</v>
      </c>
    </row>
    <row r="336" spans="1:99" x14ac:dyDescent="0.3">
      <c r="A336" s="5844"/>
      <c r="B336" s="499" t="s">
        <v>946</v>
      </c>
      <c r="C336" s="300">
        <f t="shared" si="278"/>
        <v>0</v>
      </c>
      <c r="D336" s="587">
        <f t="shared" si="285"/>
        <v>0</v>
      </c>
      <c r="E336" s="146">
        <f t="shared" si="285"/>
        <v>0</v>
      </c>
      <c r="F336" s="346"/>
      <c r="G336" s="348"/>
      <c r="H336" s="346"/>
      <c r="I336" s="348"/>
      <c r="J336" s="346"/>
      <c r="K336" s="347"/>
      <c r="L336" s="346"/>
      <c r="M336" s="561"/>
      <c r="N336" s="346"/>
      <c r="O336" s="347"/>
      <c r="P336" s="346"/>
      <c r="Q336" s="348"/>
      <c r="R336" s="346"/>
      <c r="S336" s="348"/>
      <c r="T336" s="346"/>
      <c r="U336" s="348"/>
      <c r="V336" s="346"/>
      <c r="W336" s="348"/>
      <c r="X336" s="346"/>
      <c r="Y336" s="348"/>
      <c r="Z336" s="346"/>
      <c r="AA336" s="348"/>
      <c r="AB336" s="346"/>
      <c r="AC336" s="348"/>
      <c r="AD336" s="346"/>
      <c r="AE336" s="348"/>
      <c r="AF336" s="346"/>
      <c r="AG336" s="348"/>
      <c r="AH336" s="346"/>
      <c r="AI336" s="348"/>
      <c r="AJ336" s="346"/>
      <c r="AK336" s="348"/>
      <c r="AL336" s="346"/>
      <c r="AM336" s="348"/>
      <c r="AN336" s="346"/>
      <c r="AO336" s="348"/>
      <c r="AP336" s="346"/>
      <c r="AQ336" s="481"/>
      <c r="AR336" s="348"/>
      <c r="AS336" s="347"/>
      <c r="AT336" s="346"/>
      <c r="AU336" s="369"/>
      <c r="AV336" s="369"/>
      <c r="AW336" s="347"/>
      <c r="AX336" t="str">
        <f t="shared" si="273"/>
        <v/>
      </c>
      <c r="CA336" s="135" t="str">
        <f t="shared" si="280"/>
        <v/>
      </c>
      <c r="CB336" s="135" t="str">
        <f>IF(AND(D336&gt;0,OR(AS336="")),"* No olvide digitar la variable Trans (Femenino). Digite Cero si no tiene.",IF(AS336&gt;D336," * La variable Trans (Femenino) No puede ser mayor al Total Hombres.",""))</f>
        <v/>
      </c>
      <c r="CC336" s="135" t="str">
        <f t="shared" si="281"/>
        <v/>
      </c>
      <c r="CD336" s="135" t="str">
        <f t="shared" si="282"/>
        <v/>
      </c>
      <c r="CE336" s="135" t="str">
        <f t="shared" si="283"/>
        <v/>
      </c>
      <c r="CF336" s="135" t="str">
        <f t="shared" si="284"/>
        <v/>
      </c>
      <c r="CO336" s="1901">
        <f>IF(AND(E336&gt;0,OR(AR336="")),1,IF(AR336&gt;E336,1,0))</f>
        <v>0</v>
      </c>
      <c r="CP336" s="1901">
        <f>IF(AND(D336&gt;0,OR(AS336="")),1,IF(AS336&gt;D336,1,0))</f>
        <v>0</v>
      </c>
      <c r="CQ336" s="1901">
        <f t="shared" si="274"/>
        <v>0</v>
      </c>
      <c r="CR336" s="1901">
        <f t="shared" si="275"/>
        <v>0</v>
      </c>
      <c r="CS336" s="1901">
        <f t="shared" si="276"/>
        <v>0</v>
      </c>
      <c r="CT336" s="1901">
        <f t="shared" si="277"/>
        <v>0</v>
      </c>
    </row>
    <row r="337" spans="1:99" x14ac:dyDescent="0.3">
      <c r="A337" s="5844"/>
      <c r="B337" s="499" t="s">
        <v>947</v>
      </c>
      <c r="C337" s="300">
        <f t="shared" si="278"/>
        <v>0</v>
      </c>
      <c r="D337" s="587">
        <f t="shared" si="285"/>
        <v>0</v>
      </c>
      <c r="E337" s="146">
        <f t="shared" si="285"/>
        <v>0</v>
      </c>
      <c r="F337" s="346"/>
      <c r="G337" s="348"/>
      <c r="H337" s="346"/>
      <c r="I337" s="348"/>
      <c r="J337" s="346"/>
      <c r="K337" s="347"/>
      <c r="L337" s="346"/>
      <c r="M337" s="561"/>
      <c r="N337" s="346"/>
      <c r="O337" s="347"/>
      <c r="P337" s="346"/>
      <c r="Q337" s="348"/>
      <c r="R337" s="346"/>
      <c r="S337" s="348"/>
      <c r="T337" s="346"/>
      <c r="U337" s="348"/>
      <c r="V337" s="346"/>
      <c r="W337" s="348"/>
      <c r="X337" s="346"/>
      <c r="Y337" s="348"/>
      <c r="Z337" s="346"/>
      <c r="AA337" s="348"/>
      <c r="AB337" s="346"/>
      <c r="AC337" s="348"/>
      <c r="AD337" s="346"/>
      <c r="AE337" s="348"/>
      <c r="AF337" s="346"/>
      <c r="AG337" s="348"/>
      <c r="AH337" s="346"/>
      <c r="AI337" s="348"/>
      <c r="AJ337" s="346"/>
      <c r="AK337" s="348"/>
      <c r="AL337" s="346"/>
      <c r="AM337" s="348"/>
      <c r="AN337" s="346"/>
      <c r="AO337" s="348"/>
      <c r="AP337" s="346"/>
      <c r="AQ337" s="481"/>
      <c r="AR337" s="348"/>
      <c r="AS337" s="347"/>
      <c r="AT337" s="346"/>
      <c r="AU337" s="369"/>
      <c r="AV337" s="369"/>
      <c r="AW337" s="347"/>
      <c r="AX337" t="str">
        <f t="shared" si="273"/>
        <v/>
      </c>
      <c r="CA337" s="135" t="str">
        <f t="shared" si="280"/>
        <v/>
      </c>
      <c r="CB337" s="135" t="str">
        <f>IF(AND(D337&gt;0,OR(AS337="")),"* No olvide digitar la variable Trans (Femenino). Digite Cero si no tiene.",IF(AS337&gt;D337," * La variable Trans (Femenino) No puede ser mayor al Total Hombres.",""))</f>
        <v/>
      </c>
      <c r="CC337" s="135" t="str">
        <f t="shared" si="281"/>
        <v/>
      </c>
      <c r="CD337" s="135" t="str">
        <f t="shared" si="282"/>
        <v/>
      </c>
      <c r="CE337" s="135" t="str">
        <f t="shared" si="283"/>
        <v/>
      </c>
      <c r="CF337" s="135" t="str">
        <f t="shared" si="284"/>
        <v/>
      </c>
      <c r="CO337" s="1901">
        <f>IF(AND(E337&gt;0,OR(AR337="")),1,IF(AR337&gt;E337,1,0))</f>
        <v>0</v>
      </c>
      <c r="CP337" s="1901">
        <f>IF(AND(D337&gt;0,OR(AS337="")),1,IF(AS337&gt;D337,1,0))</f>
        <v>0</v>
      </c>
      <c r="CQ337" s="1901">
        <f t="shared" si="274"/>
        <v>0</v>
      </c>
      <c r="CR337" s="1901">
        <f t="shared" si="275"/>
        <v>0</v>
      </c>
      <c r="CS337" s="1901">
        <f t="shared" si="276"/>
        <v>0</v>
      </c>
      <c r="CT337" s="1901">
        <f t="shared" si="277"/>
        <v>0</v>
      </c>
    </row>
    <row r="338" spans="1:99" x14ac:dyDescent="0.3">
      <c r="A338" s="5844"/>
      <c r="B338" s="357" t="s">
        <v>699</v>
      </c>
      <c r="C338" s="300">
        <f t="shared" si="278"/>
        <v>0</v>
      </c>
      <c r="D338" s="587">
        <f t="shared" si="285"/>
        <v>0</v>
      </c>
      <c r="E338" s="146">
        <f t="shared" si="285"/>
        <v>0</v>
      </c>
      <c r="F338" s="346"/>
      <c r="G338" s="348"/>
      <c r="H338" s="346"/>
      <c r="I338" s="348"/>
      <c r="J338" s="346"/>
      <c r="K338" s="347"/>
      <c r="L338" s="346"/>
      <c r="M338" s="561"/>
      <c r="N338" s="346"/>
      <c r="O338" s="347"/>
      <c r="P338" s="346"/>
      <c r="Q338" s="348"/>
      <c r="R338" s="346"/>
      <c r="S338" s="348"/>
      <c r="T338" s="346"/>
      <c r="U338" s="348"/>
      <c r="V338" s="346"/>
      <c r="W338" s="348"/>
      <c r="X338" s="346"/>
      <c r="Y338" s="348"/>
      <c r="Z338" s="346"/>
      <c r="AA338" s="348"/>
      <c r="AB338" s="346"/>
      <c r="AC338" s="348"/>
      <c r="AD338" s="346"/>
      <c r="AE338" s="348"/>
      <c r="AF338" s="346"/>
      <c r="AG338" s="348"/>
      <c r="AH338" s="346"/>
      <c r="AI338" s="348"/>
      <c r="AJ338" s="346"/>
      <c r="AK338" s="348"/>
      <c r="AL338" s="346"/>
      <c r="AM338" s="348"/>
      <c r="AN338" s="346"/>
      <c r="AO338" s="348"/>
      <c r="AP338" s="346"/>
      <c r="AQ338" s="481"/>
      <c r="AR338" s="348"/>
      <c r="AS338" s="347"/>
      <c r="AT338" s="346"/>
      <c r="AU338" s="369"/>
      <c r="AV338" s="369"/>
      <c r="AW338" s="347"/>
      <c r="AX338" t="str">
        <f t="shared" si="273"/>
        <v/>
      </c>
      <c r="CA338" s="135" t="str">
        <f t="shared" si="280"/>
        <v/>
      </c>
      <c r="CB338" s="135" t="str">
        <f>IF(AND(D338&gt;0,OR(AS338="")),"* No olvide digitar la variable Trans (Femenino). Digite Cero si no tiene.",IF(AS338&gt;D338," * La variable Trans (Femenino) No puede ser mayor al Total Hombres.",""))</f>
        <v/>
      </c>
      <c r="CC338" s="135" t="str">
        <f t="shared" si="281"/>
        <v/>
      </c>
      <c r="CD338" s="135" t="str">
        <f t="shared" si="282"/>
        <v/>
      </c>
      <c r="CE338" s="135" t="str">
        <f t="shared" si="283"/>
        <v/>
      </c>
      <c r="CF338" s="135" t="str">
        <f t="shared" si="284"/>
        <v/>
      </c>
      <c r="CO338" s="1901">
        <f>IF(AND(E338&gt;0,OR(AR338="")),1,IF(AR338&gt;E338,1,0))</f>
        <v>0</v>
      </c>
      <c r="CP338" s="1901">
        <f>IF(AND(D338&gt;0,OR(AS338="")),1,IF(AS338&gt;D338,1,0))</f>
        <v>0</v>
      </c>
      <c r="CQ338" s="1901">
        <f t="shared" si="274"/>
        <v>0</v>
      </c>
      <c r="CR338" s="1901">
        <f t="shared" si="275"/>
        <v>0</v>
      </c>
      <c r="CS338" s="1901">
        <f t="shared" si="276"/>
        <v>0</v>
      </c>
      <c r="CT338" s="1901">
        <f t="shared" si="277"/>
        <v>0</v>
      </c>
    </row>
    <row r="339" spans="1:99" x14ac:dyDescent="0.3">
      <c r="A339" s="5791"/>
      <c r="B339" s="399" t="s">
        <v>948</v>
      </c>
      <c r="C339" s="483">
        <f t="shared" si="278"/>
        <v>0</v>
      </c>
      <c r="D339" s="595">
        <f t="shared" si="285"/>
        <v>0</v>
      </c>
      <c r="E339" s="485">
        <f t="shared" si="285"/>
        <v>0</v>
      </c>
      <c r="F339" s="373"/>
      <c r="G339" s="547"/>
      <c r="H339" s="373"/>
      <c r="I339" s="547"/>
      <c r="J339" s="373"/>
      <c r="K339" s="747"/>
      <c r="L339" s="373"/>
      <c r="M339" s="659"/>
      <c r="N339" s="373"/>
      <c r="O339" s="747"/>
      <c r="P339" s="373"/>
      <c r="Q339" s="547"/>
      <c r="R339" s="373"/>
      <c r="S339" s="547"/>
      <c r="T339" s="373"/>
      <c r="U339" s="547"/>
      <c r="V339" s="373"/>
      <c r="W339" s="547"/>
      <c r="X339" s="373"/>
      <c r="Y339" s="547"/>
      <c r="Z339" s="373"/>
      <c r="AA339" s="547"/>
      <c r="AB339" s="373"/>
      <c r="AC339" s="547"/>
      <c r="AD339" s="373"/>
      <c r="AE339" s="547"/>
      <c r="AF339" s="373"/>
      <c r="AG339" s="547"/>
      <c r="AH339" s="373"/>
      <c r="AI339" s="547"/>
      <c r="AJ339" s="373"/>
      <c r="AK339" s="547"/>
      <c r="AL339" s="373"/>
      <c r="AM339" s="547"/>
      <c r="AN339" s="373"/>
      <c r="AO339" s="547"/>
      <c r="AP339" s="373"/>
      <c r="AQ339" s="600"/>
      <c r="AR339" s="547"/>
      <c r="AS339" s="747"/>
      <c r="AT339" s="373"/>
      <c r="AU339" s="262"/>
      <c r="AV339" s="262"/>
      <c r="AW339" s="530"/>
      <c r="AX339" t="str">
        <f t="shared" si="273"/>
        <v/>
      </c>
      <c r="CA339" s="135" t="str">
        <f t="shared" si="280"/>
        <v/>
      </c>
      <c r="CB339" s="135" t="str">
        <f>IF(AND(D339&gt;0,OR(AS339="")),"* No olvide digitar la variable Trans (Femenino). Digite Cero si no tiene.",IF(AS339&gt;D339," * La variable Trans (Femenino) No puede ser mayor al Total Hombres.",""))</f>
        <v/>
      </c>
      <c r="CC339" s="135" t="str">
        <f t="shared" si="281"/>
        <v/>
      </c>
      <c r="CD339" s="135" t="str">
        <f t="shared" si="282"/>
        <v/>
      </c>
      <c r="CE339" s="135" t="str">
        <f t="shared" si="283"/>
        <v/>
      </c>
      <c r="CF339" s="135" t="str">
        <f t="shared" si="284"/>
        <v/>
      </c>
      <c r="CO339" s="1901">
        <f>IF(AND(E339&gt;0,OR(AR339="")),1,IF(AR339&gt;E339,1,0))</f>
        <v>0</v>
      </c>
      <c r="CP339" s="1901">
        <f>IF(AND(D339&gt;0,OR(AS339="")),1,IF(AS339&gt;D339,1,0))</f>
        <v>0</v>
      </c>
      <c r="CQ339" s="1901">
        <f t="shared" si="274"/>
        <v>0</v>
      </c>
      <c r="CR339" s="1901">
        <f t="shared" si="275"/>
        <v>0</v>
      </c>
      <c r="CS339" s="1901">
        <f t="shared" si="276"/>
        <v>0</v>
      </c>
      <c r="CT339" s="1901">
        <f t="shared" si="277"/>
        <v>0</v>
      </c>
    </row>
    <row r="340" spans="1:99" s="6" customFormat="1" ht="18" customHeight="1" x14ac:dyDescent="0.25">
      <c r="A340" s="3" t="s">
        <v>949</v>
      </c>
      <c r="B340" s="93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</row>
    <row r="341" spans="1:99" x14ac:dyDescent="0.3">
      <c r="A341" s="5944" t="s">
        <v>285</v>
      </c>
      <c r="B341" s="6243"/>
      <c r="C341" s="6149" t="s">
        <v>192</v>
      </c>
      <c r="D341" s="6149"/>
      <c r="E341" s="6149"/>
      <c r="F341" s="6143" t="s">
        <v>101</v>
      </c>
      <c r="G341" s="6266"/>
      <c r="H341" s="6266"/>
      <c r="I341" s="6266"/>
      <c r="J341" s="6266"/>
      <c r="K341" s="6266"/>
      <c r="L341" s="6266"/>
      <c r="M341" s="6266"/>
      <c r="N341" s="6266"/>
      <c r="O341" s="6266"/>
      <c r="P341" s="6266"/>
      <c r="Q341" s="6266"/>
      <c r="R341" s="6266"/>
      <c r="S341" s="6266"/>
      <c r="T341" s="6266"/>
      <c r="U341" s="6266"/>
      <c r="V341" s="6266"/>
      <c r="W341" s="6266"/>
      <c r="X341" s="6266"/>
      <c r="Y341" s="6266"/>
      <c r="Z341" s="6266"/>
      <c r="AA341" s="6266"/>
      <c r="AB341" s="6266"/>
      <c r="AC341" s="6266"/>
      <c r="AD341" s="6266"/>
      <c r="AE341" s="6266"/>
      <c r="AF341" s="6266"/>
      <c r="AG341" s="6179"/>
      <c r="AH341" s="6242" t="s">
        <v>457</v>
      </c>
      <c r="AI341" s="6243"/>
      <c r="AJ341" s="6186" t="s">
        <v>36</v>
      </c>
      <c r="AK341" s="6243" t="s">
        <v>37</v>
      </c>
    </row>
    <row r="342" spans="1:99" x14ac:dyDescent="0.3">
      <c r="A342" s="5776"/>
      <c r="B342" s="5759"/>
      <c r="C342" s="6149"/>
      <c r="D342" s="6149"/>
      <c r="E342" s="6149"/>
      <c r="F342" s="6149" t="s">
        <v>44</v>
      </c>
      <c r="G342" s="6149"/>
      <c r="H342" s="6143" t="s">
        <v>45</v>
      </c>
      <c r="I342" s="6180"/>
      <c r="J342" s="6151" t="s">
        <v>46</v>
      </c>
      <c r="K342" s="6151"/>
      <c r="L342" s="6151" t="s">
        <v>47</v>
      </c>
      <c r="M342" s="6151"/>
      <c r="N342" s="6151" t="s">
        <v>48</v>
      </c>
      <c r="O342" s="6151"/>
      <c r="P342" s="6151" t="s">
        <v>49</v>
      </c>
      <c r="Q342" s="6151"/>
      <c r="R342" s="6151" t="s">
        <v>50</v>
      </c>
      <c r="S342" s="6151"/>
      <c r="T342" s="6151" t="s">
        <v>51</v>
      </c>
      <c r="U342" s="6151"/>
      <c r="V342" s="6151" t="s">
        <v>52</v>
      </c>
      <c r="W342" s="6151"/>
      <c r="X342" s="6151" t="s">
        <v>53</v>
      </c>
      <c r="Y342" s="6151"/>
      <c r="Z342" s="6151" t="s">
        <v>54</v>
      </c>
      <c r="AA342" s="6151"/>
      <c r="AB342" s="6151" t="s">
        <v>55</v>
      </c>
      <c r="AC342" s="6151"/>
      <c r="AD342" s="6151" t="s">
        <v>56</v>
      </c>
      <c r="AE342" s="6151"/>
      <c r="AF342" s="6151" t="s">
        <v>57</v>
      </c>
      <c r="AG342" s="6152"/>
      <c r="AH342" s="5882"/>
      <c r="AI342" s="5760"/>
      <c r="AJ342" s="5834"/>
      <c r="AK342" s="5759"/>
    </row>
    <row r="343" spans="1:99" x14ac:dyDescent="0.3">
      <c r="A343" s="5796"/>
      <c r="B343" s="5760"/>
      <c r="C343" s="607" t="s">
        <v>79</v>
      </c>
      <c r="D343" s="608" t="s">
        <v>58</v>
      </c>
      <c r="E343" s="584" t="s">
        <v>59</v>
      </c>
      <c r="F343" s="607" t="s">
        <v>461</v>
      </c>
      <c r="G343" s="469" t="s">
        <v>59</v>
      </c>
      <c r="H343" s="607" t="s">
        <v>461</v>
      </c>
      <c r="I343" s="469" t="s">
        <v>59</v>
      </c>
      <c r="J343" s="607" t="s">
        <v>461</v>
      </c>
      <c r="K343" s="469" t="s">
        <v>59</v>
      </c>
      <c r="L343" s="607" t="s">
        <v>461</v>
      </c>
      <c r="M343" s="469" t="s">
        <v>59</v>
      </c>
      <c r="N343" s="607" t="s">
        <v>461</v>
      </c>
      <c r="O343" s="469" t="s">
        <v>59</v>
      </c>
      <c r="P343" s="607" t="s">
        <v>461</v>
      </c>
      <c r="Q343" s="469" t="s">
        <v>59</v>
      </c>
      <c r="R343" s="607" t="s">
        <v>461</v>
      </c>
      <c r="S343" s="469" t="s">
        <v>59</v>
      </c>
      <c r="T343" s="607" t="s">
        <v>461</v>
      </c>
      <c r="U343" s="469" t="s">
        <v>59</v>
      </c>
      <c r="V343" s="607" t="s">
        <v>461</v>
      </c>
      <c r="W343" s="469" t="s">
        <v>59</v>
      </c>
      <c r="X343" s="607" t="s">
        <v>461</v>
      </c>
      <c r="Y343" s="469" t="s">
        <v>59</v>
      </c>
      <c r="Z343" s="607" t="s">
        <v>461</v>
      </c>
      <c r="AA343" s="469" t="s">
        <v>59</v>
      </c>
      <c r="AB343" s="607" t="s">
        <v>461</v>
      </c>
      <c r="AC343" s="469" t="s">
        <v>59</v>
      </c>
      <c r="AD343" s="607" t="s">
        <v>461</v>
      </c>
      <c r="AE343" s="469" t="s">
        <v>59</v>
      </c>
      <c r="AF343" s="607" t="s">
        <v>461</v>
      </c>
      <c r="AG343" s="470" t="s">
        <v>59</v>
      </c>
      <c r="AH343" s="554" t="s">
        <v>462</v>
      </c>
      <c r="AI343" s="556" t="s">
        <v>463</v>
      </c>
      <c r="AJ343" s="5835"/>
      <c r="AK343" s="5760"/>
    </row>
    <row r="344" spans="1:99" x14ac:dyDescent="0.3">
      <c r="A344" s="6272" t="s">
        <v>939</v>
      </c>
      <c r="B344" s="6272"/>
      <c r="C344" s="613">
        <f>SUM(D344+E344)</f>
        <v>0</v>
      </c>
      <c r="D344" s="614">
        <f t="shared" ref="D344:E346" si="286">SUM(F344+H344+J344+L344+N344+P344+R344+T344+V344+X344+Z344+AB344+AD344+AF344)</f>
        <v>0</v>
      </c>
      <c r="E344" s="568">
        <f t="shared" si="286"/>
        <v>0</v>
      </c>
      <c r="F344" s="505"/>
      <c r="G344" s="507"/>
      <c r="H344" s="505"/>
      <c r="I344" s="507"/>
      <c r="J344" s="505"/>
      <c r="K344" s="507"/>
      <c r="L344" s="505"/>
      <c r="M344" s="507"/>
      <c r="N344" s="505"/>
      <c r="O344" s="507"/>
      <c r="P344" s="505"/>
      <c r="Q344" s="507"/>
      <c r="R344" s="505"/>
      <c r="S344" s="507"/>
      <c r="T344" s="505"/>
      <c r="U344" s="507"/>
      <c r="V344" s="505"/>
      <c r="W344" s="507"/>
      <c r="X344" s="505"/>
      <c r="Y344" s="507"/>
      <c r="Z344" s="505"/>
      <c r="AA344" s="507"/>
      <c r="AB344" s="505"/>
      <c r="AC344" s="507"/>
      <c r="AD344" s="505"/>
      <c r="AE344" s="507"/>
      <c r="AF344" s="505"/>
      <c r="AG344" s="743"/>
      <c r="AH344" s="507"/>
      <c r="AI344" s="508"/>
      <c r="AJ344" s="505"/>
      <c r="AK344" s="508"/>
      <c r="AL344" t="str">
        <f>CA344&amp;CB344&amp;CC344&amp;CD344</f>
        <v/>
      </c>
      <c r="CA344" s="135" t="str">
        <f>IF(AND(E344&gt;0,OR(AH344=""))," * No olvide digitar la variable Trans (Masculino). Digite Cero si no tiene.",IF((AH344)&gt;E344,"*  La variable Trans (Masculino) No puede ser mayor al Total Mujeres.",""))</f>
        <v/>
      </c>
      <c r="CB344" s="135" t="str">
        <f>IF(AND(D344&gt;0,OR(AI344=""))," * No olvide digitar la variable Trans (Femenino). Digite Cero si no tiene.",IF((AI344)&gt;D344,"*  La variable Trans (Femenino) No puede ser mayor al Total Hombres.",""))</f>
        <v/>
      </c>
      <c r="CC344" s="135" t="str">
        <f>IF(AND(C344&gt;0,AJ344="")," * No olvide digitar la variable Pueblos originarios. Digite Cero si no tiene.",IF(AJ344&gt;C344," * La variable Pueblos originarios No puede ser mayor al Total.",""))</f>
        <v/>
      </c>
      <c r="CD344" s="135" t="str">
        <f>IF(AND(C344&gt;0,AK344="")," * No olvide digitar la variable Migrantes. Digite Cero si no tiene.",IF(AK344&gt;C344," * La variable Migrantes No puede ser mayor al Total.",""))</f>
        <v/>
      </c>
      <c r="CO344" s="1901">
        <f>IF(AND(E344&gt;0,OR(AH344="")),1,IF((AH344)&gt;E344,1,0))</f>
        <v>0</v>
      </c>
      <c r="CP344" s="1901">
        <f>IF(AND(D344&gt;0,OR(AI344="")),1,IF((AI344)&gt;D344,1,0))</f>
        <v>0</v>
      </c>
      <c r="CQ344" s="1901">
        <f>IF(AND(C344&gt;0,AJ344=""),1,IF(AJ344&gt;C344,1,0))</f>
        <v>0</v>
      </c>
      <c r="CR344" s="1901">
        <f>IF(AND(C344&gt;0,AK344=""),1,IF(AK344&gt;C344,1,0))</f>
        <v>0</v>
      </c>
    </row>
    <row r="345" spans="1:99" x14ac:dyDescent="0.3">
      <c r="A345" s="6272" t="s">
        <v>941</v>
      </c>
      <c r="B345" s="6272"/>
      <c r="C345" s="613">
        <f>SUM(D345+E345)</f>
        <v>0</v>
      </c>
      <c r="D345" s="614">
        <f t="shared" si="286"/>
        <v>0</v>
      </c>
      <c r="E345" s="568">
        <f t="shared" si="286"/>
        <v>0</v>
      </c>
      <c r="F345" s="505"/>
      <c r="G345" s="507"/>
      <c r="H345" s="505"/>
      <c r="I345" s="507"/>
      <c r="J345" s="505"/>
      <c r="K345" s="507"/>
      <c r="L345" s="505"/>
      <c r="M345" s="507"/>
      <c r="N345" s="505"/>
      <c r="O345" s="507"/>
      <c r="P345" s="505"/>
      <c r="Q345" s="507"/>
      <c r="R345" s="505"/>
      <c r="S345" s="507"/>
      <c r="T345" s="505"/>
      <c r="U345" s="507"/>
      <c r="V345" s="505"/>
      <c r="W345" s="507"/>
      <c r="X345" s="505"/>
      <c r="Y345" s="507"/>
      <c r="Z345" s="505"/>
      <c r="AA345" s="507"/>
      <c r="AB345" s="505"/>
      <c r="AC345" s="507"/>
      <c r="AD345" s="505"/>
      <c r="AE345" s="507"/>
      <c r="AF345" s="505"/>
      <c r="AG345" s="743"/>
      <c r="AH345" s="507"/>
      <c r="AI345" s="508"/>
      <c r="AJ345" s="505"/>
      <c r="AK345" s="508"/>
      <c r="AL345" t="str">
        <f>CA345&amp;CB345&amp;CC345&amp;CD345</f>
        <v/>
      </c>
      <c r="CA345" s="135" t="str">
        <f>IF(AND(E345&gt;0,OR(AH345=""))," * No olvide digitar la variable Trans (Masculino). Digite Cero si no tiene.",IF((AH345)&gt;E345,"*  La variable Trans (Masculino) No puede ser mayor al Total Mujeres.",""))</f>
        <v/>
      </c>
      <c r="CB345" s="135" t="str">
        <f>IF(AND(D345&gt;0,OR(AI345=""))," * No olvide digitar la variable Trans (Femenino). Digite Cero si no tiene.",IF((AI345)&gt;D345,"*  La variable Trans (Femenino) No puede ser mayor al Total Hombres.",""))</f>
        <v/>
      </c>
      <c r="CC345" s="135" t="str">
        <f>IF(AND(C345&gt;0,AJ345="")," * No olvide digitar la variable Pueblos originarios. Digite Cero si no tiene.",IF(AJ345&gt;C345," * La variable Pueblos originarios No puede ser mayor al Total.",""))</f>
        <v/>
      </c>
      <c r="CD345" s="135" t="str">
        <f>IF(AND(C345&gt;0,AK345="")," * No olvide digitar la variable Migrantes. Digite Cero si no tiene.",IF(AK345&gt;C345," * La variable Migrantes No puede ser mayor al Total.",""))</f>
        <v/>
      </c>
      <c r="CO345" s="1901">
        <f>IF(AND(E345&gt;0,OR(AH345="")),1,IF((AH345)&gt;E345,1,0))</f>
        <v>0</v>
      </c>
      <c r="CP345" s="1901">
        <f>IF(AND(D345&gt;0,OR(AI345="")),1,IF((AI345)&gt;D345,1,0))</f>
        <v>0</v>
      </c>
      <c r="CQ345" s="1901">
        <f>IF(AND(C345&gt;0,AJ345=""),1,IF(AJ345&gt;C345,1,0))</f>
        <v>0</v>
      </c>
      <c r="CR345" s="1901">
        <f>IF(AND(C345&gt;0,AK345=""),1,IF(AK345&gt;C345,1,0))</f>
        <v>0</v>
      </c>
    </row>
    <row r="346" spans="1:99" x14ac:dyDescent="0.3">
      <c r="A346" s="6272" t="s">
        <v>950</v>
      </c>
      <c r="B346" s="6272"/>
      <c r="C346" s="613">
        <f>SUM(D346+E346)</f>
        <v>0</v>
      </c>
      <c r="D346" s="614">
        <f t="shared" si="286"/>
        <v>0</v>
      </c>
      <c r="E346" s="568">
        <f t="shared" si="286"/>
        <v>0</v>
      </c>
      <c r="F346" s="505"/>
      <c r="G346" s="507"/>
      <c r="H346" s="505"/>
      <c r="I346" s="507"/>
      <c r="J346" s="505"/>
      <c r="K346" s="507"/>
      <c r="L346" s="505"/>
      <c r="M346" s="507"/>
      <c r="N346" s="505"/>
      <c r="O346" s="507"/>
      <c r="P346" s="505"/>
      <c r="Q346" s="507"/>
      <c r="R346" s="505"/>
      <c r="S346" s="507"/>
      <c r="T346" s="505"/>
      <c r="U346" s="507"/>
      <c r="V346" s="505"/>
      <c r="W346" s="507"/>
      <c r="X346" s="505"/>
      <c r="Y346" s="507"/>
      <c r="Z346" s="505"/>
      <c r="AA346" s="507"/>
      <c r="AB346" s="505"/>
      <c r="AC346" s="507"/>
      <c r="AD346" s="505"/>
      <c r="AE346" s="507"/>
      <c r="AF346" s="505"/>
      <c r="AG346" s="743"/>
      <c r="AH346" s="507"/>
      <c r="AI346" s="508"/>
      <c r="AJ346" s="505"/>
      <c r="AK346" s="508"/>
      <c r="AL346" t="str">
        <f>CA346&amp;CB346&amp;CC346&amp;CD346</f>
        <v/>
      </c>
      <c r="CA346" s="135" t="str">
        <f>IF(AND(E346&gt;0,OR(AH346=""))," * No olvide digitar la variable Trans (Masculino). Digite Cero si no tiene.",IF((AH346)&gt;E346,"*  La variable Trans (Masculino) No puede ser mayor al Total Mujeres.",""))</f>
        <v/>
      </c>
      <c r="CB346" s="135" t="str">
        <f>IF(AND(D346&gt;0,OR(AI346=""))," * No olvide digitar la variable Trans (Femenino). Digite Cero si no tiene.",IF((AI346)&gt;D346,"*  La variable Trans (Femenino) No puede ser mayor al Total Hombres.",""))</f>
        <v/>
      </c>
      <c r="CC346" s="135" t="str">
        <f>IF(AND(C346&gt;0,AJ346="")," * No olvide digitar la variable Pueblos originarios. Digite Cero si no tiene.",IF(AJ346&gt;C346," * La variable Pueblos originarios No puede ser mayor al Total.",""))</f>
        <v/>
      </c>
      <c r="CD346" s="135" t="str">
        <f>IF(AND(C346&gt;0,AK346="")," * No olvide digitar la variable Migrantes. Digite Cero si no tiene.",IF(AK346&gt;C346," * La variable Migrantes No puede ser mayor al Total.",""))</f>
        <v/>
      </c>
      <c r="CO346" s="1901">
        <f>IF(AND(E346&gt;0,OR(AH346="")),1,IF((AH346)&gt;E346,1,0))</f>
        <v>0</v>
      </c>
      <c r="CP346" s="1901">
        <f>IF(AND(D346&gt;0,OR(AI346="")),1,IF((AI346)&gt;D346,1,0))</f>
        <v>0</v>
      </c>
      <c r="CQ346" s="1901">
        <f>IF(AND(C346&gt;0,AJ346=""),1,IF(AJ346&gt;C346,1,0))</f>
        <v>0</v>
      </c>
      <c r="CR346" s="1901">
        <f>IF(AND(C346&gt;0,AK346=""),1,IF(AK346&gt;C346,1,0))</f>
        <v>0</v>
      </c>
    </row>
    <row r="347" spans="1:99" s="6" customFormat="1" ht="18" customHeight="1" x14ac:dyDescent="0.25">
      <c r="A347" s="748" t="s">
        <v>951</v>
      </c>
      <c r="B347" s="749"/>
      <c r="C347" s="749"/>
      <c r="D347" s="749"/>
      <c r="E347" s="749"/>
      <c r="F347" s="749"/>
      <c r="G347" s="749"/>
      <c r="H347" s="749"/>
      <c r="I347" s="749"/>
      <c r="J347" s="749"/>
      <c r="K347" s="749"/>
      <c r="L347" s="749"/>
      <c r="M347" s="749"/>
      <c r="N347" s="749"/>
      <c r="O347" s="4"/>
      <c r="P347" s="4"/>
      <c r="Q347" s="4"/>
      <c r="R347" s="4"/>
    </row>
    <row r="348" spans="1:99" ht="15" customHeight="1" x14ac:dyDescent="0.3">
      <c r="A348" s="6190" t="s">
        <v>219</v>
      </c>
      <c r="B348" s="6380" t="s">
        <v>452</v>
      </c>
      <c r="C348" s="6381"/>
      <c r="D348" s="6382"/>
      <c r="E348" s="6383" t="s">
        <v>101</v>
      </c>
      <c r="F348" s="6384"/>
      <c r="G348" s="6384"/>
      <c r="H348" s="6384"/>
      <c r="I348" s="6384"/>
      <c r="J348" s="6384"/>
      <c r="K348" s="6384"/>
      <c r="L348" s="6384"/>
      <c r="M348" s="6384"/>
      <c r="N348" s="158"/>
      <c r="O348" s="6387" t="s">
        <v>952</v>
      </c>
      <c r="P348" s="6378" t="s">
        <v>953</v>
      </c>
      <c r="Q348" s="6385" t="s">
        <v>954</v>
      </c>
      <c r="R348" s="6387" t="s">
        <v>36</v>
      </c>
      <c r="S348" s="6243" t="s">
        <v>37</v>
      </c>
      <c r="T348" s="6307" t="s">
        <v>457</v>
      </c>
      <c r="U348" s="6308"/>
    </row>
    <row r="349" spans="1:99" x14ac:dyDescent="0.3">
      <c r="A349" s="5851"/>
      <c r="B349" s="5796"/>
      <c r="C349" s="5882"/>
      <c r="D349" s="5760"/>
      <c r="E349" s="6276" t="s">
        <v>343</v>
      </c>
      <c r="F349" s="6277"/>
      <c r="G349" s="6276" t="s">
        <v>326</v>
      </c>
      <c r="H349" s="6277"/>
      <c r="I349" s="6276" t="s">
        <v>94</v>
      </c>
      <c r="J349" s="6277"/>
      <c r="K349" s="6276" t="s">
        <v>44</v>
      </c>
      <c r="L349" s="6277"/>
      <c r="M349" s="6276" t="s">
        <v>45</v>
      </c>
      <c r="N349" s="6247"/>
      <c r="O349" s="6388"/>
      <c r="P349" s="6379"/>
      <c r="Q349" s="5989"/>
      <c r="R349" s="6388"/>
      <c r="S349" s="5759"/>
      <c r="T349" s="6309"/>
      <c r="U349" s="6310"/>
    </row>
    <row r="350" spans="1:99" ht="28.5" customHeight="1" x14ac:dyDescent="0.3">
      <c r="A350" s="5756"/>
      <c r="B350" s="567" t="s">
        <v>79</v>
      </c>
      <c r="C350" s="750" t="s">
        <v>58</v>
      </c>
      <c r="D350" s="556" t="s">
        <v>59</v>
      </c>
      <c r="E350" s="607" t="s">
        <v>58</v>
      </c>
      <c r="F350" s="605" t="s">
        <v>59</v>
      </c>
      <c r="G350" s="607" t="s">
        <v>58</v>
      </c>
      <c r="H350" s="605" t="s">
        <v>59</v>
      </c>
      <c r="I350" s="607" t="s">
        <v>58</v>
      </c>
      <c r="J350" s="605" t="s">
        <v>59</v>
      </c>
      <c r="K350" s="607" t="s">
        <v>58</v>
      </c>
      <c r="L350" s="605" t="s">
        <v>59</v>
      </c>
      <c r="M350" s="607" t="s">
        <v>58</v>
      </c>
      <c r="N350" s="604" t="s">
        <v>59</v>
      </c>
      <c r="O350" s="6389"/>
      <c r="P350" s="5924"/>
      <c r="Q350" s="6386"/>
      <c r="R350" s="6389"/>
      <c r="S350" s="5760"/>
      <c r="T350" s="641" t="s">
        <v>462</v>
      </c>
      <c r="U350" s="584" t="s">
        <v>463</v>
      </c>
    </row>
    <row r="351" spans="1:99" x14ac:dyDescent="0.3">
      <c r="A351" s="680" t="s">
        <v>761</v>
      </c>
      <c r="B351" s="654">
        <f>SUM(C351+D351)</f>
        <v>0</v>
      </c>
      <c r="C351" s="751">
        <f>SUM(E351+G351+I351+K351+M351)</f>
        <v>0</v>
      </c>
      <c r="D351" s="621">
        <f>SUM(F351+H351+J351+L351+N351)</f>
        <v>0</v>
      </c>
      <c r="E351" s="474"/>
      <c r="F351" s="576"/>
      <c r="G351" s="474"/>
      <c r="H351" s="576"/>
      <c r="I351" s="474"/>
      <c r="J351" s="577"/>
      <c r="K351" s="474"/>
      <c r="L351" s="577"/>
      <c r="M351" s="752"/>
      <c r="N351" s="494"/>
      <c r="O351" s="3028"/>
      <c r="P351" s="753"/>
      <c r="Q351" s="754"/>
      <c r="R351" s="3029"/>
      <c r="S351" s="475"/>
      <c r="T351" s="477"/>
      <c r="U351" s="475"/>
      <c r="V351" t="str">
        <f>CD351&amp;CE351&amp;CF351&amp;CG351</f>
        <v/>
      </c>
      <c r="CA351" s="181"/>
      <c r="CB351" s="1903"/>
      <c r="CC351" s="1903"/>
      <c r="CD351" s="135" t="str">
        <f>IF(AND(B351&gt;0,R351="")," * No olvide digitar la variable Pueblos originarios. Digite Cero si no tiene.",IF(R351&gt;B351," * La variable Pueblos originarios No puede ser mayor al Total.",""))</f>
        <v/>
      </c>
      <c r="CE351" s="135" t="str">
        <f>IF(AND(B351&gt;0,S351="")," * No olvide digitar la variable Migrantes. Digite Cero si no tiene.",IF(S351&gt;B351," * La variable Migrantes No puede ser mayor al Total.",""))</f>
        <v/>
      </c>
      <c r="CF351" s="3024" t="str">
        <f>IF(AND(D351&gt;0,OR(T351=""))," * No olvide digitar la variable Trans (Masculino). Digite Cero si no tiene.",IF((T351)&gt;D351," * La variable Trans Masculino No puede ser mayor al Total Mujeres.",""))</f>
        <v/>
      </c>
      <c r="CG351" s="3024" t="str">
        <f>IF(AND(C351&gt;0,OR(U351=""))," * No olvide digitar la variable Trans (Femenino). Digite Cero si no tiene.",IF((U351)&gt;C351," * La variable Trans Femenino No puede ser mayor al Total Hombres.",""))</f>
        <v/>
      </c>
      <c r="CO351" s="3027"/>
      <c r="CP351" s="3027"/>
      <c r="CQ351" s="3027"/>
      <c r="CR351" s="1901">
        <f>IF(AND(B351&gt;0,R351=""),1,IF(R351&gt;B351,1,0))</f>
        <v>0</v>
      </c>
      <c r="CS351" s="1901">
        <f>IF(AND(B351&gt;0,S351=""),1,IF(S351&gt;B351,1,0))</f>
        <v>0</v>
      </c>
      <c r="CT351" s="1901">
        <f>IF(AND(D351&gt;0,OR(T351="")),1,IF((T351)&gt;D351,1,0))</f>
        <v>0</v>
      </c>
      <c r="CU351" s="1901">
        <f>IF(AND(C351&gt;0,OR(U351="")),1,IF((U351)&gt;C351,1,0))</f>
        <v>0</v>
      </c>
    </row>
    <row r="352" spans="1:99" x14ac:dyDescent="0.3">
      <c r="A352" s="399" t="s">
        <v>770</v>
      </c>
      <c r="B352" s="386">
        <f>SUM(C352+D352)</f>
        <v>0</v>
      </c>
      <c r="C352" s="755">
        <f>SUM(E352+G352+I352+K352+M352)</f>
        <v>0</v>
      </c>
      <c r="D352" s="631">
        <f>SUM(F352+H352+J352+L352+N352)</f>
        <v>0</v>
      </c>
      <c r="E352" s="373"/>
      <c r="F352" s="747"/>
      <c r="G352" s="373"/>
      <c r="H352" s="311"/>
      <c r="I352" s="373"/>
      <c r="J352" s="747"/>
      <c r="K352" s="373"/>
      <c r="L352" s="747"/>
      <c r="M352" s="659"/>
      <c r="N352" s="316"/>
      <c r="O352" s="3030"/>
      <c r="P352" s="262"/>
      <c r="Q352" s="530"/>
      <c r="R352" s="3030"/>
      <c r="S352" s="530"/>
      <c r="T352" s="547"/>
      <c r="U352" s="530"/>
      <c r="V352" t="str">
        <f>CA352&amp;CB352&amp;CC352&amp;CD352&amp;CE352&amp;CF352&amp;CG352</f>
        <v/>
      </c>
      <c r="CA352" s="135" t="str">
        <f>IF(AND(B352&gt;0,O352="")," * No olvide digitar la variable Aumento de funcionalidad familiar (4 puntos o más). Digite Cero si no tiene.",IF(O352&gt;B352," * La variable Aumento de funcionalidad familiar (4 puntos o más) No puede ser mayor al Total.",""))</f>
        <v/>
      </c>
      <c r="CB352" s="135" t="str">
        <f>IF(AND(B352&gt;0,P352="")," * No olvide digitar la variable Cumple con el 70% de los objetivos del plan de acompañamiento. Digite Cero si no tiene.",IF(P352&gt;B352," * La variable Cumple con el 70% de los objetivos del plan de acompañamiento No puede ser mayor al Total.",""))</f>
        <v/>
      </c>
      <c r="CC352" s="135" t="str">
        <f>IF(AND(B352&gt;0,Q352="")," * No olvide digitar la variable Egreso por alta clínica del Prog de Salud Mental. Digite Cero si no tiene.",IF(Q352&gt;B352," * La variable Egreso por alta clínica del Prog de Salud Mental No puede ser mayor al Total.",""))</f>
        <v/>
      </c>
      <c r="CD352" s="135" t="str">
        <f>IF(AND(B352&gt;0,R352="")," * No olvide digitar la variable Pueblos originarios. Digite Cero si no tiene.",IF(R352&gt;B352," * La variable Pueblos originarios No puede ser mayor al Total.",""))</f>
        <v/>
      </c>
      <c r="CE352" s="135" t="str">
        <f>IF(AND(B352&gt;0,S352="")," * No olvide digitar la variable Migrantes. Digite Cero si no tiene.",IF(S352&gt;B352," * La variable Migrantes No puede ser mayor al Total.",""))</f>
        <v/>
      </c>
      <c r="CF352" s="3024" t="str">
        <f>IF(AND(D352&gt;0,OR(T352=""))," * No olvide digitar la variable Trans (Masculino). Digite Cero si no tiene.",IF((T352)&gt;D352," * La variable Trans Masculino No puede ser mayor al Total Mujeres.",""))</f>
        <v/>
      </c>
      <c r="CG352" s="3024" t="str">
        <f>IF(AND(C352&gt;0,OR(U352=""))," * No olvide digitar la variable Trans (Femenino). Digite Cero si no tiene.",IF((U352)&gt;C352," * La variable Trans Femenino No puede ser mayor al Total Hombres.",""))</f>
        <v/>
      </c>
      <c r="CO352" s="182">
        <f>IF(AND($B352&gt;0,O352=""),1,IF(O352&gt;$B352,1,0))</f>
        <v>0</v>
      </c>
      <c r="CP352" s="182">
        <f>IF(AND($B352&gt;0,P352=""),1,IF(P352&gt;$B352,1,0))</f>
        <v>0</v>
      </c>
      <c r="CQ352" s="182">
        <f>IF(AND($B352&gt;0,Q352=""),1,IF(Q352&gt;$B352,1,0))</f>
        <v>0</v>
      </c>
      <c r="CR352" s="1901">
        <f>IF(AND(B352&gt;0,R352=""),1,IF(R352&gt;B352,1,0))</f>
        <v>0</v>
      </c>
      <c r="CS352" s="1901">
        <f>IF(AND(B352&gt;0,S352=""),1,IF(S352&gt;B352,1,0))</f>
        <v>0</v>
      </c>
      <c r="CT352" s="1901">
        <f>IF(AND(D352&gt;0,OR(T352="")),1,IF((T352)&gt;D352,1,0))</f>
        <v>0</v>
      </c>
      <c r="CU352" s="1901">
        <f>IF(AND(C352&gt;0,OR(U352="")),1,IF((U352)&gt;C352,1,0))</f>
        <v>0</v>
      </c>
    </row>
    <row r="353" spans="1:94" s="6" customFormat="1" ht="18" customHeight="1" x14ac:dyDescent="0.25">
      <c r="A353" s="3" t="s">
        <v>955</v>
      </c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</row>
    <row r="354" spans="1:94" x14ac:dyDescent="0.3">
      <c r="A354" s="6190" t="s">
        <v>219</v>
      </c>
      <c r="B354" s="6190" t="s">
        <v>451</v>
      </c>
      <c r="C354" s="6151" t="s">
        <v>452</v>
      </c>
      <c r="D354" s="6151"/>
      <c r="E354" s="6151"/>
      <c r="F354" s="6276" t="s">
        <v>101</v>
      </c>
      <c r="G354" s="6188"/>
      <c r="H354" s="6188"/>
      <c r="I354" s="6188"/>
      <c r="J354" s="6188"/>
      <c r="K354" s="6188"/>
      <c r="L354" s="6188"/>
      <c r="M354" s="6188"/>
      <c r="N354" s="6188"/>
      <c r="O354" s="6188"/>
      <c r="P354" s="6188"/>
      <c r="Q354" s="6188"/>
      <c r="R354" s="6188"/>
      <c r="S354" s="6188"/>
      <c r="T354" s="6188"/>
      <c r="U354" s="6188"/>
      <c r="V354" s="6188"/>
      <c r="W354" s="6188"/>
      <c r="X354" s="6188"/>
      <c r="Y354" s="6188"/>
      <c r="Z354" s="6188"/>
      <c r="AA354" s="6188"/>
      <c r="AB354" s="6188"/>
      <c r="AC354" s="6188"/>
      <c r="AD354" s="6188"/>
      <c r="AE354" s="6188"/>
      <c r="AF354" s="6188"/>
      <c r="AG354" s="6278"/>
      <c r="AH354" s="6249" t="s">
        <v>36</v>
      </c>
      <c r="AI354" s="6250" t="s">
        <v>37</v>
      </c>
      <c r="AJ354" s="6247" t="s">
        <v>956</v>
      </c>
      <c r="AK354" s="6247"/>
      <c r="AL354" s="6277"/>
      <c r="AM354" s="6190" t="s">
        <v>957</v>
      </c>
    </row>
    <row r="355" spans="1:94" x14ac:dyDescent="0.3">
      <c r="A355" s="5851"/>
      <c r="B355" s="5851"/>
      <c r="C355" s="6151"/>
      <c r="D355" s="6151"/>
      <c r="E355" s="6151"/>
      <c r="F355" s="6276" t="s">
        <v>44</v>
      </c>
      <c r="G355" s="6277"/>
      <c r="H355" s="6276" t="s">
        <v>45</v>
      </c>
      <c r="I355" s="6277"/>
      <c r="J355" s="6276" t="s">
        <v>46</v>
      </c>
      <c r="K355" s="6277"/>
      <c r="L355" s="6276" t="s">
        <v>47</v>
      </c>
      <c r="M355" s="6277"/>
      <c r="N355" s="6276" t="s">
        <v>48</v>
      </c>
      <c r="O355" s="6277"/>
      <c r="P355" s="6276" t="s">
        <v>49</v>
      </c>
      <c r="Q355" s="6277"/>
      <c r="R355" s="6276" t="s">
        <v>50</v>
      </c>
      <c r="S355" s="6277"/>
      <c r="T355" s="6276" t="s">
        <v>51</v>
      </c>
      <c r="U355" s="6277"/>
      <c r="V355" s="6276" t="s">
        <v>52</v>
      </c>
      <c r="W355" s="6277"/>
      <c r="X355" s="6276" t="s">
        <v>53</v>
      </c>
      <c r="Y355" s="6277"/>
      <c r="Z355" s="6276" t="s">
        <v>54</v>
      </c>
      <c r="AA355" s="6277"/>
      <c r="AB355" s="6276" t="s">
        <v>55</v>
      </c>
      <c r="AC355" s="6277"/>
      <c r="AD355" s="6276" t="s">
        <v>56</v>
      </c>
      <c r="AE355" s="6277"/>
      <c r="AF355" s="6276" t="s">
        <v>57</v>
      </c>
      <c r="AG355" s="6278"/>
      <c r="AH355" s="5766"/>
      <c r="AI355" s="6284"/>
      <c r="AJ355" s="6224" t="s">
        <v>958</v>
      </c>
      <c r="AK355" s="6377" t="s">
        <v>959</v>
      </c>
      <c r="AL355" s="6265" t="s">
        <v>960</v>
      </c>
      <c r="AM355" s="5851"/>
    </row>
    <row r="356" spans="1:94" ht="27" customHeight="1" x14ac:dyDescent="0.3">
      <c r="A356" s="5756"/>
      <c r="B356" s="5756"/>
      <c r="C356" s="641" t="s">
        <v>79</v>
      </c>
      <c r="D356" s="509" t="s">
        <v>58</v>
      </c>
      <c r="E356" s="605" t="s">
        <v>59</v>
      </c>
      <c r="F356" s="607" t="s">
        <v>58</v>
      </c>
      <c r="G356" s="605" t="s">
        <v>59</v>
      </c>
      <c r="H356" s="607" t="s">
        <v>58</v>
      </c>
      <c r="I356" s="605" t="s">
        <v>59</v>
      </c>
      <c r="J356" s="607" t="s">
        <v>461</v>
      </c>
      <c r="K356" s="605" t="s">
        <v>59</v>
      </c>
      <c r="L356" s="607" t="s">
        <v>461</v>
      </c>
      <c r="M356" s="605" t="s">
        <v>59</v>
      </c>
      <c r="N356" s="607" t="s">
        <v>461</v>
      </c>
      <c r="O356" s="605" t="s">
        <v>59</v>
      </c>
      <c r="P356" s="607" t="s">
        <v>461</v>
      </c>
      <c r="Q356" s="605" t="s">
        <v>59</v>
      </c>
      <c r="R356" s="607" t="s">
        <v>461</v>
      </c>
      <c r="S356" s="605" t="s">
        <v>59</v>
      </c>
      <c r="T356" s="607" t="s">
        <v>461</v>
      </c>
      <c r="U356" s="605" t="s">
        <v>59</v>
      </c>
      <c r="V356" s="607" t="s">
        <v>461</v>
      </c>
      <c r="W356" s="605" t="s">
        <v>59</v>
      </c>
      <c r="X356" s="607" t="s">
        <v>461</v>
      </c>
      <c r="Y356" s="605" t="s">
        <v>59</v>
      </c>
      <c r="Z356" s="607" t="s">
        <v>461</v>
      </c>
      <c r="AA356" s="605" t="s">
        <v>59</v>
      </c>
      <c r="AB356" s="607" t="s">
        <v>461</v>
      </c>
      <c r="AC356" s="605" t="s">
        <v>59</v>
      </c>
      <c r="AD356" s="607" t="s">
        <v>461</v>
      </c>
      <c r="AE356" s="605" t="s">
        <v>59</v>
      </c>
      <c r="AF356" s="607" t="s">
        <v>461</v>
      </c>
      <c r="AG356" s="606" t="s">
        <v>59</v>
      </c>
      <c r="AH356" s="5767"/>
      <c r="AI356" s="6251"/>
      <c r="AJ356" s="5838"/>
      <c r="AK356" s="5818"/>
      <c r="AL356" s="5799"/>
      <c r="AM356" s="5756"/>
    </row>
    <row r="357" spans="1:94" x14ac:dyDescent="0.3">
      <c r="A357" s="6185" t="s">
        <v>961</v>
      </c>
      <c r="B357" s="492" t="s">
        <v>962</v>
      </c>
      <c r="C357" s="756">
        <f>SUM(D357+E357)</f>
        <v>0</v>
      </c>
      <c r="D357" s="751">
        <f>SUM(F357+H357+J357+L357+N357+P357+R357+T357+V357+X357+Z357+AB357+AD357+AF357)</f>
        <v>0</v>
      </c>
      <c r="E357" s="757">
        <f>SUM(G357+I357+K357+M357+O357+Q357+S357+U357+W357+Y357+AA357+AC357+AE357+AG357)</f>
        <v>0</v>
      </c>
      <c r="F357" s="474"/>
      <c r="G357" s="576"/>
      <c r="H357" s="474"/>
      <c r="I357" s="576"/>
      <c r="J357" s="474"/>
      <c r="K357" s="576"/>
      <c r="L357" s="474"/>
      <c r="M357" s="576"/>
      <c r="N357" s="474"/>
      <c r="O357" s="576"/>
      <c r="P357" s="474"/>
      <c r="Q357" s="576"/>
      <c r="R357" s="474"/>
      <c r="S357" s="576"/>
      <c r="T357" s="474"/>
      <c r="U357" s="576"/>
      <c r="V357" s="474"/>
      <c r="W357" s="576"/>
      <c r="X357" s="474"/>
      <c r="Y357" s="576"/>
      <c r="Z357" s="474"/>
      <c r="AA357" s="576"/>
      <c r="AB357" s="474"/>
      <c r="AC357" s="576"/>
      <c r="AD357" s="474"/>
      <c r="AE357" s="576"/>
      <c r="AF357" s="474"/>
      <c r="AG357" s="476"/>
      <c r="AH357" s="758"/>
      <c r="AI357" s="759"/>
      <c r="AJ357" s="477"/>
      <c r="AK357" s="494"/>
      <c r="AL357" s="577"/>
      <c r="AM357" s="577"/>
      <c r="AN357" t="str">
        <f t="shared" ref="AN357:AN366" si="287">CA357&amp;CB357</f>
        <v/>
      </c>
      <c r="CA357" s="135" t="str">
        <f>IF(AND(C357&gt;0,AH357="")," * No olvide digitar la variable Pueblos originarios. Digite Cero si no tiene.",IF(AH357&gt;C357," * La variable Pueblos originarios No puede ser mayor al Total.",""))</f>
        <v/>
      </c>
      <c r="CB357" s="135" t="str">
        <f t="shared" ref="CB357:CB366" si="288">IF(AND(C357&gt;0,AI357="")," * No olvide digitar la variable Migrantes. Digite Cero si no tiene.",IF(AI357&gt;C357," * La variable Migrantes No puede ser mayor al Total.",""))</f>
        <v/>
      </c>
      <c r="CO357" s="1901">
        <f t="shared" ref="CO357:CO366" si="289">IF(AND(C357&gt;0,AH357=""),1,IF(AH357&gt;C357,1,0))</f>
        <v>0</v>
      </c>
      <c r="CP357" s="1901">
        <f t="shared" ref="CP357:CP366" si="290">IF(AND(C357&gt;0,AI357=""),1,IF(AI357&gt;C357,1,0))</f>
        <v>0</v>
      </c>
    </row>
    <row r="358" spans="1:94" x14ac:dyDescent="0.3">
      <c r="A358" s="5844"/>
      <c r="B358" s="295" t="s">
        <v>963</v>
      </c>
      <c r="C358" s="760">
        <f t="shared" ref="C358:C366" si="291">SUM(D358+E358)</f>
        <v>0</v>
      </c>
      <c r="D358" s="761">
        <f t="shared" ref="D358:E366" si="292">SUM(F358+H358+J358+L358+N358+P358+R358+T358+V358+X358+Z358+AB358+AD358+AF358)</f>
        <v>0</v>
      </c>
      <c r="E358" s="762">
        <f t="shared" si="292"/>
        <v>0</v>
      </c>
      <c r="F358" s="346"/>
      <c r="G358" s="347"/>
      <c r="H358" s="346"/>
      <c r="I358" s="347"/>
      <c r="J358" s="346"/>
      <c r="K358" s="347"/>
      <c r="L358" s="346"/>
      <c r="M358" s="347"/>
      <c r="N358" s="346"/>
      <c r="O358" s="347"/>
      <c r="P358" s="346"/>
      <c r="Q358" s="347"/>
      <c r="R358" s="346"/>
      <c r="S358" s="347"/>
      <c r="T358" s="346"/>
      <c r="U358" s="347"/>
      <c r="V358" s="346"/>
      <c r="W358" s="347"/>
      <c r="X358" s="346"/>
      <c r="Y358" s="347"/>
      <c r="Z358" s="346"/>
      <c r="AA358" s="347"/>
      <c r="AB358" s="346"/>
      <c r="AC358" s="347"/>
      <c r="AD358" s="346"/>
      <c r="AE358" s="347"/>
      <c r="AF358" s="346"/>
      <c r="AG358" s="481"/>
      <c r="AH358" s="430"/>
      <c r="AI358" s="352"/>
      <c r="AJ358" s="348"/>
      <c r="AK358" s="369"/>
      <c r="AL358" s="350"/>
      <c r="AM358" s="350"/>
      <c r="AN358" t="str">
        <f t="shared" si="287"/>
        <v/>
      </c>
      <c r="CA358" s="135" t="str">
        <f t="shared" ref="CA358:CA365" si="293">IF(AND(C358&gt;0,AH358="")," * No olvide digitar la variable Pueblos originarios. Digite Cero si no tiene.",IF(AH358&gt;C358," * La variable Pueblos originarios No puede ser mayor al Total.",""))</f>
        <v/>
      </c>
      <c r="CB358" s="135" t="str">
        <f t="shared" si="288"/>
        <v/>
      </c>
      <c r="CO358" s="1901">
        <f t="shared" si="289"/>
        <v>0</v>
      </c>
      <c r="CP358" s="1901">
        <f t="shared" si="290"/>
        <v>0</v>
      </c>
    </row>
    <row r="359" spans="1:94" x14ac:dyDescent="0.3">
      <c r="A359" s="5791"/>
      <c r="B359" s="529" t="s">
        <v>964</v>
      </c>
      <c r="C359" s="202">
        <f t="shared" si="291"/>
        <v>0</v>
      </c>
      <c r="D359" s="763">
        <f t="shared" si="292"/>
        <v>0</v>
      </c>
      <c r="E359" s="223">
        <f t="shared" si="292"/>
        <v>0</v>
      </c>
      <c r="F359" s="380"/>
      <c r="G359" s="388"/>
      <c r="H359" s="380"/>
      <c r="I359" s="388"/>
      <c r="J359" s="380"/>
      <c r="K359" s="388"/>
      <c r="L359" s="380"/>
      <c r="M359" s="388"/>
      <c r="N359" s="380"/>
      <c r="O359" s="388"/>
      <c r="P359" s="380"/>
      <c r="Q359" s="388"/>
      <c r="R359" s="380"/>
      <c r="S359" s="388"/>
      <c r="T359" s="380"/>
      <c r="U359" s="388"/>
      <c r="V359" s="380"/>
      <c r="W359" s="388"/>
      <c r="X359" s="380"/>
      <c r="Y359" s="388"/>
      <c r="Z359" s="380"/>
      <c r="AA359" s="388"/>
      <c r="AB359" s="380"/>
      <c r="AC359" s="388"/>
      <c r="AD359" s="380"/>
      <c r="AE359" s="388"/>
      <c r="AF359" s="380"/>
      <c r="AG359" s="392"/>
      <c r="AH359" s="379"/>
      <c r="AI359" s="390"/>
      <c r="AJ359" s="429"/>
      <c r="AK359" s="372"/>
      <c r="AL359" s="389"/>
      <c r="AM359" s="389"/>
      <c r="AN359" t="str">
        <f t="shared" si="287"/>
        <v/>
      </c>
      <c r="CA359" s="135" t="str">
        <f t="shared" si="293"/>
        <v/>
      </c>
      <c r="CB359" s="135" t="str">
        <f t="shared" si="288"/>
        <v/>
      </c>
      <c r="CO359" s="1901">
        <f t="shared" si="289"/>
        <v>0</v>
      </c>
      <c r="CP359" s="1901">
        <f t="shared" si="290"/>
        <v>0</v>
      </c>
    </row>
    <row r="360" spans="1:94" x14ac:dyDescent="0.3">
      <c r="A360" s="6185" t="s">
        <v>965</v>
      </c>
      <c r="B360" s="492" t="s">
        <v>962</v>
      </c>
      <c r="C360" s="756">
        <f t="shared" si="291"/>
        <v>0</v>
      </c>
      <c r="D360" s="751">
        <f t="shared" si="292"/>
        <v>0</v>
      </c>
      <c r="E360" s="757">
        <f t="shared" si="292"/>
        <v>0</v>
      </c>
      <c r="F360" s="290"/>
      <c r="G360" s="107"/>
      <c r="H360" s="290"/>
      <c r="I360" s="107"/>
      <c r="J360" s="290"/>
      <c r="K360" s="107"/>
      <c r="L360" s="290"/>
      <c r="M360" s="107"/>
      <c r="N360" s="290"/>
      <c r="O360" s="107"/>
      <c r="P360" s="290"/>
      <c r="Q360" s="107"/>
      <c r="R360" s="290"/>
      <c r="S360" s="107"/>
      <c r="T360" s="290"/>
      <c r="U360" s="107"/>
      <c r="V360" s="290"/>
      <c r="W360" s="107"/>
      <c r="X360" s="290"/>
      <c r="Y360" s="107"/>
      <c r="Z360" s="290"/>
      <c r="AA360" s="107"/>
      <c r="AB360" s="290"/>
      <c r="AC360" s="107"/>
      <c r="AD360" s="290"/>
      <c r="AE360" s="107"/>
      <c r="AF360" s="290"/>
      <c r="AG360" s="61"/>
      <c r="AH360" s="296"/>
      <c r="AI360" s="431"/>
      <c r="AJ360" s="22"/>
      <c r="AK360" s="535"/>
      <c r="AL360" s="637"/>
      <c r="AM360" s="637"/>
      <c r="AN360" t="str">
        <f t="shared" si="287"/>
        <v/>
      </c>
      <c r="CA360" s="135" t="str">
        <f t="shared" si="293"/>
        <v/>
      </c>
      <c r="CB360" s="135" t="str">
        <f t="shared" si="288"/>
        <v/>
      </c>
      <c r="CO360" s="1901">
        <f t="shared" si="289"/>
        <v>0</v>
      </c>
      <c r="CP360" s="1901">
        <f t="shared" si="290"/>
        <v>0</v>
      </c>
    </row>
    <row r="361" spans="1:94" x14ac:dyDescent="0.3">
      <c r="A361" s="5844"/>
      <c r="B361" s="295" t="s">
        <v>963</v>
      </c>
      <c r="C361" s="760">
        <f t="shared" si="291"/>
        <v>0</v>
      </c>
      <c r="D361" s="761">
        <f t="shared" si="292"/>
        <v>0</v>
      </c>
      <c r="E361" s="762">
        <f t="shared" si="292"/>
        <v>0</v>
      </c>
      <c r="F361" s="346"/>
      <c r="G361" s="347"/>
      <c r="H361" s="346"/>
      <c r="I361" s="347"/>
      <c r="J361" s="346"/>
      <c r="K361" s="347"/>
      <c r="L361" s="346"/>
      <c r="M361" s="347"/>
      <c r="N361" s="346"/>
      <c r="O361" s="347"/>
      <c r="P361" s="346"/>
      <c r="Q361" s="347"/>
      <c r="R361" s="346"/>
      <c r="S361" s="347"/>
      <c r="T361" s="346"/>
      <c r="U361" s="347"/>
      <c r="V361" s="346"/>
      <c r="W361" s="347"/>
      <c r="X361" s="346"/>
      <c r="Y361" s="347"/>
      <c r="Z361" s="346"/>
      <c r="AA361" s="347"/>
      <c r="AB361" s="346"/>
      <c r="AC361" s="347"/>
      <c r="AD361" s="346"/>
      <c r="AE361" s="347"/>
      <c r="AF361" s="346"/>
      <c r="AG361" s="481"/>
      <c r="AH361" s="430"/>
      <c r="AI361" s="352"/>
      <c r="AJ361" s="348"/>
      <c r="AK361" s="369"/>
      <c r="AL361" s="350"/>
      <c r="AM361" s="350"/>
      <c r="AN361" t="str">
        <f t="shared" si="287"/>
        <v/>
      </c>
      <c r="CA361" s="135" t="str">
        <f t="shared" si="293"/>
        <v/>
      </c>
      <c r="CB361" s="135" t="str">
        <f t="shared" si="288"/>
        <v/>
      </c>
      <c r="CO361" s="1901">
        <f t="shared" si="289"/>
        <v>0</v>
      </c>
      <c r="CP361" s="1901">
        <f t="shared" si="290"/>
        <v>0</v>
      </c>
    </row>
    <row r="362" spans="1:94" x14ac:dyDescent="0.3">
      <c r="A362" s="5791"/>
      <c r="B362" s="529" t="s">
        <v>964</v>
      </c>
      <c r="C362" s="724">
        <f t="shared" si="291"/>
        <v>0</v>
      </c>
      <c r="D362" s="764">
        <f t="shared" si="292"/>
        <v>0</v>
      </c>
      <c r="E362" s="765">
        <f t="shared" si="292"/>
        <v>0</v>
      </c>
      <c r="F362" s="373"/>
      <c r="G362" s="747"/>
      <c r="H362" s="373"/>
      <c r="I362" s="747"/>
      <c r="J362" s="373"/>
      <c r="K362" s="747"/>
      <c r="L362" s="373"/>
      <c r="M362" s="747"/>
      <c r="N362" s="373"/>
      <c r="O362" s="747"/>
      <c r="P362" s="373"/>
      <c r="Q362" s="747"/>
      <c r="R362" s="373"/>
      <c r="S362" s="747"/>
      <c r="T362" s="373"/>
      <c r="U362" s="747"/>
      <c r="V362" s="373"/>
      <c r="W362" s="747"/>
      <c r="X362" s="373"/>
      <c r="Y362" s="747"/>
      <c r="Z362" s="373"/>
      <c r="AA362" s="747"/>
      <c r="AB362" s="373"/>
      <c r="AC362" s="747"/>
      <c r="AD362" s="373"/>
      <c r="AE362" s="747"/>
      <c r="AF362" s="373"/>
      <c r="AG362" s="600"/>
      <c r="AH362" s="379"/>
      <c r="AI362" s="390"/>
      <c r="AJ362" s="429"/>
      <c r="AK362" s="372"/>
      <c r="AL362" s="389"/>
      <c r="AM362" s="389"/>
      <c r="AN362" t="str">
        <f t="shared" si="287"/>
        <v/>
      </c>
      <c r="CA362" s="135" t="str">
        <f t="shared" si="293"/>
        <v/>
      </c>
      <c r="CB362" s="135" t="str">
        <f t="shared" si="288"/>
        <v/>
      </c>
      <c r="CO362" s="1901">
        <f t="shared" si="289"/>
        <v>0</v>
      </c>
      <c r="CP362" s="1901">
        <f t="shared" si="290"/>
        <v>0</v>
      </c>
    </row>
    <row r="363" spans="1:94" x14ac:dyDescent="0.3">
      <c r="A363" s="6374" t="s">
        <v>966</v>
      </c>
      <c r="B363" s="492" t="s">
        <v>967</v>
      </c>
      <c r="C363" s="317">
        <f t="shared" si="291"/>
        <v>0</v>
      </c>
      <c r="D363" s="140">
        <f t="shared" si="292"/>
        <v>0</v>
      </c>
      <c r="E363" s="224">
        <f t="shared" si="292"/>
        <v>0</v>
      </c>
      <c r="F363" s="290"/>
      <c r="G363" s="107"/>
      <c r="H363" s="290"/>
      <c r="I363" s="107"/>
      <c r="J363" s="290"/>
      <c r="K363" s="107"/>
      <c r="L363" s="290"/>
      <c r="M363" s="107"/>
      <c r="N363" s="290"/>
      <c r="O363" s="107"/>
      <c r="P363" s="290"/>
      <c r="Q363" s="107"/>
      <c r="R363" s="290"/>
      <c r="S363" s="107"/>
      <c r="T363" s="290"/>
      <c r="U363" s="107"/>
      <c r="V363" s="290"/>
      <c r="W363" s="107"/>
      <c r="X363" s="290"/>
      <c r="Y363" s="107"/>
      <c r="Z363" s="290"/>
      <c r="AA363" s="107"/>
      <c r="AB363" s="290"/>
      <c r="AC363" s="107"/>
      <c r="AD363" s="290"/>
      <c r="AE363" s="107"/>
      <c r="AF363" s="290"/>
      <c r="AG363" s="61"/>
      <c r="AH363" s="296"/>
      <c r="AI363" s="431"/>
      <c r="AJ363" s="22"/>
      <c r="AK363" s="535"/>
      <c r="AL363" s="637"/>
      <c r="AM363" s="637"/>
      <c r="AN363" t="str">
        <f t="shared" si="287"/>
        <v/>
      </c>
      <c r="CA363" s="135" t="str">
        <f t="shared" si="293"/>
        <v/>
      </c>
      <c r="CB363" s="135" t="str">
        <f t="shared" si="288"/>
        <v/>
      </c>
      <c r="CO363" s="1901">
        <f t="shared" si="289"/>
        <v>0</v>
      </c>
      <c r="CP363" s="1901">
        <f t="shared" si="290"/>
        <v>0</v>
      </c>
    </row>
    <row r="364" spans="1:94" x14ac:dyDescent="0.3">
      <c r="A364" s="6375"/>
      <c r="B364" s="358" t="s">
        <v>968</v>
      </c>
      <c r="C364" s="760">
        <f t="shared" si="291"/>
        <v>0</v>
      </c>
      <c r="D364" s="761">
        <f t="shared" si="292"/>
        <v>0</v>
      </c>
      <c r="E364" s="762">
        <f t="shared" si="292"/>
        <v>0</v>
      </c>
      <c r="F364" s="346"/>
      <c r="G364" s="347"/>
      <c r="H364" s="346"/>
      <c r="I364" s="347"/>
      <c r="J364" s="346"/>
      <c r="K364" s="347"/>
      <c r="L364" s="346"/>
      <c r="M364" s="347"/>
      <c r="N364" s="346"/>
      <c r="O364" s="347"/>
      <c r="P364" s="346"/>
      <c r="Q364" s="347"/>
      <c r="R364" s="346"/>
      <c r="S364" s="347"/>
      <c r="T364" s="346"/>
      <c r="U364" s="347"/>
      <c r="V364" s="346"/>
      <c r="W364" s="347"/>
      <c r="X364" s="346"/>
      <c r="Y364" s="347"/>
      <c r="Z364" s="346"/>
      <c r="AA364" s="347"/>
      <c r="AB364" s="346"/>
      <c r="AC364" s="347"/>
      <c r="AD364" s="346"/>
      <c r="AE364" s="347"/>
      <c r="AF364" s="346"/>
      <c r="AG364" s="481"/>
      <c r="AH364" s="430"/>
      <c r="AI364" s="352"/>
      <c r="AJ364" s="348"/>
      <c r="AK364" s="369"/>
      <c r="AL364" s="350"/>
      <c r="AM364" s="350"/>
      <c r="AN364" t="str">
        <f t="shared" si="287"/>
        <v/>
      </c>
      <c r="CA364" s="135" t="str">
        <f t="shared" si="293"/>
        <v/>
      </c>
      <c r="CB364" s="135" t="str">
        <f t="shared" si="288"/>
        <v/>
      </c>
      <c r="CO364" s="1901">
        <f t="shared" si="289"/>
        <v>0</v>
      </c>
      <c r="CP364" s="1901">
        <f t="shared" si="290"/>
        <v>0</v>
      </c>
    </row>
    <row r="365" spans="1:94" x14ac:dyDescent="0.3">
      <c r="A365" s="6375"/>
      <c r="B365" s="358" t="s">
        <v>969</v>
      </c>
      <c r="C365" s="760">
        <f t="shared" si="291"/>
        <v>0</v>
      </c>
      <c r="D365" s="761">
        <f t="shared" si="292"/>
        <v>0</v>
      </c>
      <c r="E365" s="762">
        <f t="shared" si="292"/>
        <v>0</v>
      </c>
      <c r="F365" s="346"/>
      <c r="G365" s="347"/>
      <c r="H365" s="346"/>
      <c r="I365" s="347"/>
      <c r="J365" s="346"/>
      <c r="K365" s="347"/>
      <c r="L365" s="346"/>
      <c r="M365" s="347"/>
      <c r="N365" s="346"/>
      <c r="O365" s="347"/>
      <c r="P365" s="346"/>
      <c r="Q365" s="347"/>
      <c r="R365" s="346"/>
      <c r="S365" s="347"/>
      <c r="T365" s="346"/>
      <c r="U365" s="347"/>
      <c r="V365" s="346"/>
      <c r="W365" s="347"/>
      <c r="X365" s="346"/>
      <c r="Y365" s="347"/>
      <c r="Z365" s="346"/>
      <c r="AA365" s="347"/>
      <c r="AB365" s="346"/>
      <c r="AC365" s="347"/>
      <c r="AD365" s="346"/>
      <c r="AE365" s="347"/>
      <c r="AF365" s="346"/>
      <c r="AG365" s="481"/>
      <c r="AH365" s="430"/>
      <c r="AI365" s="352"/>
      <c r="AJ365" s="348"/>
      <c r="AK365" s="369"/>
      <c r="AL365" s="350"/>
      <c r="AM365" s="350"/>
      <c r="AN365" t="str">
        <f t="shared" si="287"/>
        <v/>
      </c>
      <c r="CA365" s="135" t="str">
        <f t="shared" si="293"/>
        <v/>
      </c>
      <c r="CB365" s="135" t="str">
        <f t="shared" si="288"/>
        <v/>
      </c>
      <c r="CO365" s="1901">
        <f t="shared" si="289"/>
        <v>0</v>
      </c>
      <c r="CP365" s="1901">
        <f t="shared" si="290"/>
        <v>0</v>
      </c>
    </row>
    <row r="366" spans="1:94" x14ac:dyDescent="0.3">
      <c r="A366" s="6376"/>
      <c r="B366" s="529" t="s">
        <v>970</v>
      </c>
      <c r="C366" s="724">
        <f t="shared" si="291"/>
        <v>0</v>
      </c>
      <c r="D366" s="764">
        <f t="shared" si="292"/>
        <v>0</v>
      </c>
      <c r="E366" s="765">
        <f t="shared" si="292"/>
        <v>0</v>
      </c>
      <c r="F366" s="373"/>
      <c r="G366" s="747"/>
      <c r="H366" s="373"/>
      <c r="I366" s="747"/>
      <c r="J366" s="373"/>
      <c r="K366" s="747"/>
      <c r="L366" s="373"/>
      <c r="M366" s="747"/>
      <c r="N366" s="373"/>
      <c r="O366" s="747"/>
      <c r="P366" s="373"/>
      <c r="Q366" s="747"/>
      <c r="R366" s="373"/>
      <c r="S366" s="747"/>
      <c r="T366" s="373"/>
      <c r="U366" s="747"/>
      <c r="V366" s="373"/>
      <c r="W366" s="747"/>
      <c r="X366" s="373"/>
      <c r="Y366" s="747"/>
      <c r="Z366" s="373"/>
      <c r="AA366" s="747"/>
      <c r="AB366" s="373"/>
      <c r="AC366" s="747"/>
      <c r="AD366" s="373"/>
      <c r="AE366" s="747"/>
      <c r="AF366" s="373"/>
      <c r="AG366" s="600"/>
      <c r="AH366" s="266"/>
      <c r="AI366" s="297"/>
      <c r="AJ366" s="547"/>
      <c r="AK366" s="262"/>
      <c r="AL366" s="311"/>
      <c r="AM366" s="311"/>
      <c r="AN366" t="str">
        <f t="shared" si="287"/>
        <v/>
      </c>
      <c r="CA366" s="135" t="str">
        <f>IF(AND(C366&gt;0,AH366="")," * No olvide digitar la variable Pueblos originarios. Digite Cero si no tiene.",IF(AH366&gt;C366," * La variable Pueblos originarios No puede ser mayor al Total.",""))</f>
        <v/>
      </c>
      <c r="CB366" s="135" t="str">
        <f t="shared" si="288"/>
        <v/>
      </c>
      <c r="CO366" s="1901">
        <f t="shared" si="289"/>
        <v>0</v>
      </c>
      <c r="CP366" s="1901">
        <f t="shared" si="290"/>
        <v>0</v>
      </c>
    </row>
    <row r="367" spans="1:94" ht="18" customHeight="1" x14ac:dyDescent="0.3">
      <c r="A367" s="3031" t="s">
        <v>4336</v>
      </c>
      <c r="B367" s="298"/>
      <c r="C367" s="8"/>
      <c r="D367" s="6"/>
      <c r="E367" s="8"/>
      <c r="F367" s="8"/>
      <c r="G367" s="8"/>
      <c r="H367" s="8"/>
      <c r="I367" s="8"/>
      <c r="J367" s="8"/>
      <c r="K367" s="3032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</row>
    <row r="368" spans="1:94" x14ac:dyDescent="0.3">
      <c r="A368" s="6244" t="s">
        <v>971</v>
      </c>
      <c r="B368" s="5944" t="s">
        <v>77</v>
      </c>
      <c r="C368" s="6242"/>
      <c r="D368" s="6243"/>
      <c r="E368" s="6143" t="s">
        <v>101</v>
      </c>
      <c r="F368" s="6266"/>
      <c r="G368" s="6266"/>
      <c r="H368" s="6266"/>
      <c r="I368" s="6266"/>
      <c r="J368" s="6266"/>
      <c r="K368" s="6266"/>
      <c r="L368" s="6266"/>
      <c r="M368" s="6266"/>
      <c r="N368" s="6266"/>
      <c r="O368" s="6266"/>
      <c r="P368" s="6266"/>
      <c r="Q368" s="6266"/>
      <c r="R368" s="6266"/>
      <c r="S368" s="6266"/>
      <c r="T368" s="6266"/>
      <c r="U368" s="6266"/>
      <c r="V368" s="6266"/>
      <c r="W368" s="6266"/>
      <c r="X368" s="6266"/>
      <c r="Y368" s="6266"/>
      <c r="Z368" s="6266"/>
      <c r="AA368" s="6266"/>
      <c r="AB368" s="6266"/>
      <c r="AC368" s="6266"/>
      <c r="AD368" s="6266"/>
      <c r="AE368" s="6266"/>
      <c r="AF368" s="6266"/>
      <c r="AG368" s="6266"/>
      <c r="AH368" s="6266"/>
      <c r="AI368" s="6266"/>
      <c r="AJ368" s="6266"/>
      <c r="AK368" s="6266"/>
      <c r="AL368" s="6179"/>
      <c r="AM368" s="6252" t="s">
        <v>972</v>
      </c>
      <c r="AN368" s="6252"/>
      <c r="AO368" s="6252"/>
      <c r="AP368" s="6253"/>
      <c r="AQ368" s="6254" t="s">
        <v>973</v>
      </c>
      <c r="AR368" s="6249" t="s">
        <v>36</v>
      </c>
      <c r="AS368" s="6243" t="s">
        <v>37</v>
      </c>
    </row>
    <row r="369" spans="1:94" x14ac:dyDescent="0.3">
      <c r="A369" s="6245"/>
      <c r="B369" s="5776"/>
      <c r="C369" s="5777"/>
      <c r="D369" s="5759"/>
      <c r="E369" s="6137" t="s">
        <v>343</v>
      </c>
      <c r="F369" s="6183"/>
      <c r="G369" s="6137" t="s">
        <v>326</v>
      </c>
      <c r="H369" s="6183"/>
      <c r="I369" s="6137" t="s">
        <v>94</v>
      </c>
      <c r="J369" s="6183"/>
      <c r="K369" s="6137" t="s">
        <v>44</v>
      </c>
      <c r="L369" s="6183"/>
      <c r="M369" s="6137" t="s">
        <v>45</v>
      </c>
      <c r="N369" s="6183"/>
      <c r="O369" s="6137" t="s">
        <v>974</v>
      </c>
      <c r="P369" s="6183"/>
      <c r="Q369" s="6137" t="s">
        <v>629</v>
      </c>
      <c r="R369" s="6183"/>
      <c r="S369" s="6137" t="s">
        <v>48</v>
      </c>
      <c r="T369" s="6183"/>
      <c r="U369" s="6137" t="s">
        <v>49</v>
      </c>
      <c r="V369" s="6183"/>
      <c r="W369" s="6137" t="s">
        <v>975</v>
      </c>
      <c r="X369" s="6183"/>
      <c r="Y369" s="6137" t="s">
        <v>51</v>
      </c>
      <c r="Z369" s="6183"/>
      <c r="AA369" s="6137" t="s">
        <v>52</v>
      </c>
      <c r="AB369" s="6183"/>
      <c r="AC369" s="6137" t="s">
        <v>53</v>
      </c>
      <c r="AD369" s="6183"/>
      <c r="AE369" s="6137" t="s">
        <v>54</v>
      </c>
      <c r="AF369" s="6183"/>
      <c r="AG369" s="6137" t="s">
        <v>55</v>
      </c>
      <c r="AH369" s="6183"/>
      <c r="AI369" s="6137" t="s">
        <v>56</v>
      </c>
      <c r="AJ369" s="6183"/>
      <c r="AK369" s="6143" t="s">
        <v>476</v>
      </c>
      <c r="AL369" s="6179"/>
      <c r="AM369" s="6257" t="s">
        <v>976</v>
      </c>
      <c r="AN369" s="6259" t="s">
        <v>977</v>
      </c>
      <c r="AO369" s="6261" t="s">
        <v>978</v>
      </c>
      <c r="AP369" s="6262" t="s">
        <v>979</v>
      </c>
      <c r="AQ369" s="6255"/>
      <c r="AR369" s="5766"/>
      <c r="AS369" s="5759"/>
    </row>
    <row r="370" spans="1:94" x14ac:dyDescent="0.3">
      <c r="A370" s="6246"/>
      <c r="B370" s="468" t="s">
        <v>79</v>
      </c>
      <c r="C370" s="554" t="s">
        <v>58</v>
      </c>
      <c r="D370" s="469" t="s">
        <v>59</v>
      </c>
      <c r="E370" s="468" t="s">
        <v>58</v>
      </c>
      <c r="F370" s="465" t="s">
        <v>59</v>
      </c>
      <c r="G370" s="468" t="s">
        <v>58</v>
      </c>
      <c r="H370" s="465" t="s">
        <v>59</v>
      </c>
      <c r="I370" s="468" t="s">
        <v>58</v>
      </c>
      <c r="J370" s="465" t="s">
        <v>59</v>
      </c>
      <c r="K370" s="468" t="s">
        <v>58</v>
      </c>
      <c r="L370" s="465" t="s">
        <v>59</v>
      </c>
      <c r="M370" s="468" t="s">
        <v>58</v>
      </c>
      <c r="N370" s="465" t="s">
        <v>59</v>
      </c>
      <c r="O370" s="468" t="s">
        <v>58</v>
      </c>
      <c r="P370" s="465" t="s">
        <v>59</v>
      </c>
      <c r="Q370" s="468" t="s">
        <v>58</v>
      </c>
      <c r="R370" s="465" t="s">
        <v>59</v>
      </c>
      <c r="S370" s="468" t="s">
        <v>58</v>
      </c>
      <c r="T370" s="465" t="s">
        <v>59</v>
      </c>
      <c r="U370" s="468" t="s">
        <v>58</v>
      </c>
      <c r="V370" s="465" t="s">
        <v>59</v>
      </c>
      <c r="W370" s="468" t="s">
        <v>58</v>
      </c>
      <c r="X370" s="465" t="s">
        <v>59</v>
      </c>
      <c r="Y370" s="468" t="s">
        <v>58</v>
      </c>
      <c r="Z370" s="465" t="s">
        <v>59</v>
      </c>
      <c r="AA370" s="468" t="s">
        <v>58</v>
      </c>
      <c r="AB370" s="465" t="s">
        <v>59</v>
      </c>
      <c r="AC370" s="468" t="s">
        <v>58</v>
      </c>
      <c r="AD370" s="465" t="s">
        <v>59</v>
      </c>
      <c r="AE370" s="468" t="s">
        <v>58</v>
      </c>
      <c r="AF370" s="465" t="s">
        <v>59</v>
      </c>
      <c r="AG370" s="468" t="s">
        <v>58</v>
      </c>
      <c r="AH370" s="465" t="s">
        <v>59</v>
      </c>
      <c r="AI370" s="468" t="s">
        <v>58</v>
      </c>
      <c r="AJ370" s="465" t="s">
        <v>59</v>
      </c>
      <c r="AK370" s="468" t="s">
        <v>58</v>
      </c>
      <c r="AL370" s="466" t="s">
        <v>59</v>
      </c>
      <c r="AM370" s="6258"/>
      <c r="AN370" s="6260"/>
      <c r="AO370" s="6260"/>
      <c r="AP370" s="6263"/>
      <c r="AQ370" s="6256"/>
      <c r="AR370" s="5767"/>
      <c r="AS370" s="5760"/>
    </row>
    <row r="371" spans="1:94" ht="15" customHeight="1" x14ac:dyDescent="0.3">
      <c r="A371" s="3034" t="s">
        <v>980</v>
      </c>
      <c r="B371" s="3035"/>
      <c r="C371" s="3036"/>
      <c r="D371" s="3037"/>
      <c r="E371" s="3035"/>
      <c r="F371" s="3038"/>
      <c r="G371" s="3035"/>
      <c r="H371" s="3038"/>
      <c r="I371" s="3035"/>
      <c r="J371" s="3038"/>
      <c r="K371" s="3035"/>
      <c r="L371" s="3038"/>
      <c r="M371" s="3035"/>
      <c r="N371" s="3038"/>
      <c r="O371" s="3035"/>
      <c r="P371" s="3038"/>
      <c r="Q371" s="3035"/>
      <c r="R371" s="3038"/>
      <c r="S371" s="3035"/>
      <c r="T371" s="3038"/>
      <c r="U371" s="3035"/>
      <c r="V371" s="3038"/>
      <c r="W371" s="3035"/>
      <c r="X371" s="3038"/>
      <c r="Y371" s="3035"/>
      <c r="Z371" s="3038"/>
      <c r="AA371" s="3035"/>
      <c r="AB371" s="3038"/>
      <c r="AC371" s="3035"/>
      <c r="AD371" s="3038"/>
      <c r="AE371" s="3035"/>
      <c r="AF371" s="3038"/>
      <c r="AG371" s="3035"/>
      <c r="AH371" s="3038"/>
      <c r="AI371" s="3035"/>
      <c r="AJ371" s="3038"/>
      <c r="AK371" s="3035"/>
      <c r="AL371" s="3039"/>
      <c r="AM371" s="3040"/>
      <c r="AN371" s="532"/>
      <c r="AO371" s="532"/>
      <c r="AP371" s="3038"/>
      <c r="AQ371" s="3041"/>
      <c r="AR371" s="3040"/>
      <c r="AS371" s="3038"/>
    </row>
    <row r="372" spans="1:94" ht="20.399999999999999" x14ac:dyDescent="0.3">
      <c r="A372" s="3042" t="s">
        <v>981</v>
      </c>
      <c r="B372" s="3043">
        <f t="shared" ref="B372:B382" si="294">SUM(C372:D372)</f>
        <v>0</v>
      </c>
      <c r="C372" s="2746">
        <f t="shared" ref="C372:D382" si="295">SUM(E372,G372,I372,K372,M372,O372,Q372,S372,U372,W372,Y372,AA372,AC372,AE372,AG372,AI372,AK372)</f>
        <v>0</v>
      </c>
      <c r="D372" s="3044">
        <f>SUM(F372,H372,J372,L372,N372,P372,R372,T372,V372,X372,Z372,AB372,AD372,AF372,AH372,AJ372,AL372)</f>
        <v>0</v>
      </c>
      <c r="E372" s="474"/>
      <c r="F372" s="576"/>
      <c r="G372" s="474"/>
      <c r="H372" s="576"/>
      <c r="I372" s="474"/>
      <c r="J372" s="576"/>
      <c r="K372" s="474"/>
      <c r="L372" s="576"/>
      <c r="M372" s="474"/>
      <c r="N372" s="576"/>
      <c r="O372" s="474"/>
      <c r="P372" s="576"/>
      <c r="Q372" s="474"/>
      <c r="R372" s="576"/>
      <c r="S372" s="474"/>
      <c r="T372" s="576"/>
      <c r="U372" s="474"/>
      <c r="V372" s="576"/>
      <c r="W372" s="474"/>
      <c r="X372" s="576"/>
      <c r="Y372" s="474"/>
      <c r="Z372" s="576"/>
      <c r="AA372" s="474"/>
      <c r="AB372" s="576"/>
      <c r="AC372" s="474"/>
      <c r="AD372" s="576"/>
      <c r="AE372" s="474"/>
      <c r="AF372" s="576"/>
      <c r="AG372" s="474"/>
      <c r="AH372" s="576"/>
      <c r="AI372" s="474"/>
      <c r="AJ372" s="576"/>
      <c r="AK372" s="474"/>
      <c r="AL372" s="476"/>
      <c r="AM372" s="5607"/>
      <c r="AN372" s="516"/>
      <c r="AO372" s="516"/>
      <c r="AP372" s="661"/>
      <c r="AQ372" s="3045"/>
      <c r="AR372" s="497"/>
      <c r="AS372" s="576"/>
      <c r="AT372" t="str">
        <f>CA372&amp;CB372</f>
        <v/>
      </c>
      <c r="CA372" s="135" t="str">
        <f>IF(AND(B372&gt;0,AR372="")," A:AU* No olvide digitar la variable Pueblos originarios. Digite Cero si no tiene.",IF(AR372&gt;B372," * La variable Pueblos originarios No puede ser mayor al Total.",""))</f>
        <v/>
      </c>
      <c r="CB372" s="135" t="str">
        <f>IF(AND(B372&gt;0,AS372="")," * No olvide digitar la variable Migrantes. Digite Cero si no tiene.",IF(AS372&gt;B372," * La variable Migrantes No puede ser mayor al Total.",""))</f>
        <v/>
      </c>
      <c r="CO372" s="1901">
        <f>IF(AND(B372&gt;0,AR372=""),1,IF(AR372&gt;B372,1,0))</f>
        <v>0</v>
      </c>
      <c r="CP372" s="1901">
        <f>IF(AND(B372&gt;0,AS372=""),1,IF(AS372&gt;B372,1,0))</f>
        <v>0</v>
      </c>
    </row>
    <row r="373" spans="1:94" ht="20.399999999999999" x14ac:dyDescent="0.3">
      <c r="A373" s="3046" t="s">
        <v>982</v>
      </c>
      <c r="B373" s="3043">
        <f>SUM(C373:D373)</f>
        <v>0</v>
      </c>
      <c r="C373" s="2746">
        <f>SUM(E373,G373,I373,K373,M373,O373,Q373,S373,U373,W373,Y373,AA373,AC373,AE373,AG373,AI373,AK373)</f>
        <v>0</v>
      </c>
      <c r="D373" s="3044">
        <f>SUM(F373,H373,J373,L373,N373,P373,R373,T373,V373,X373,Z373,AB373,AD373,AF373,AH373,AJ373,AL373)</f>
        <v>0</v>
      </c>
      <c r="E373" s="380"/>
      <c r="F373" s="388"/>
      <c r="G373" s="380"/>
      <c r="H373" s="388"/>
      <c r="I373" s="380"/>
      <c r="J373" s="388"/>
      <c r="K373" s="380"/>
      <c r="L373" s="388"/>
      <c r="M373" s="380"/>
      <c r="N373" s="388"/>
      <c r="O373" s="380"/>
      <c r="P373" s="388"/>
      <c r="Q373" s="380"/>
      <c r="R373" s="388"/>
      <c r="S373" s="380"/>
      <c r="T373" s="388"/>
      <c r="U373" s="380"/>
      <c r="V373" s="388"/>
      <c r="W373" s="380"/>
      <c r="X373" s="388"/>
      <c r="Y373" s="380"/>
      <c r="Z373" s="388"/>
      <c r="AA373" s="380"/>
      <c r="AB373" s="388"/>
      <c r="AC373" s="380"/>
      <c r="AD373" s="388"/>
      <c r="AE373" s="380"/>
      <c r="AF373" s="388"/>
      <c r="AG373" s="380"/>
      <c r="AH373" s="388"/>
      <c r="AI373" s="380"/>
      <c r="AJ373" s="388"/>
      <c r="AK373" s="380"/>
      <c r="AL373" s="392"/>
      <c r="AM373" s="3823"/>
      <c r="AN373" s="520"/>
      <c r="AO373" s="520"/>
      <c r="AP373" s="391"/>
      <c r="AQ373" s="2733"/>
      <c r="AR373" s="379"/>
      <c r="AS373" s="388"/>
      <c r="AT373" t="str">
        <f>CA373&amp;CB373</f>
        <v/>
      </c>
      <c r="CA373" s="135" t="str">
        <f>IF(AND(B373&gt;0,AR373="")," * No olvide digitar la variable Pueblos originarios. Digite Cero si no tiene.",IF(AR373&gt;B373," * La variable Pueblos originarios No puede ser mayor al Total.",""))</f>
        <v/>
      </c>
      <c r="CB373" s="135" t="str">
        <f>IF(AND(B373&gt;0,AS373="")," * No olvide digitar la variable Migrantes. Digite Cero si no tiene.",IF(AS373&gt;B373," * La variable Migrantes No puede ser mayor al Total.",""))</f>
        <v/>
      </c>
      <c r="CO373" s="1901">
        <f>IF(AND(B373&gt;0,AR373=""),1,IF(AR373&gt;B373,1,0))</f>
        <v>0</v>
      </c>
      <c r="CP373" s="1901">
        <f>IF(AND(B373&gt;0,AS373=""),1,IF(AS373&gt;B373,1,0))</f>
        <v>0</v>
      </c>
    </row>
    <row r="374" spans="1:94" x14ac:dyDescent="0.3">
      <c r="A374" s="3047" t="s">
        <v>983</v>
      </c>
      <c r="B374" s="3048"/>
      <c r="C374" s="3049"/>
      <c r="D374" s="3037"/>
      <c r="E374" s="3035"/>
      <c r="F374" s="3038"/>
      <c r="G374" s="3035"/>
      <c r="H374" s="3038"/>
      <c r="I374" s="3035"/>
      <c r="J374" s="3038"/>
      <c r="K374" s="3035"/>
      <c r="L374" s="3038"/>
      <c r="M374" s="3035"/>
      <c r="N374" s="3038"/>
      <c r="O374" s="3035"/>
      <c r="P374" s="3038"/>
      <c r="Q374" s="3035"/>
      <c r="R374" s="3038"/>
      <c r="S374" s="3035"/>
      <c r="T374" s="3038"/>
      <c r="U374" s="3035"/>
      <c r="V374" s="3038"/>
      <c r="W374" s="3035"/>
      <c r="X374" s="3038"/>
      <c r="Y374" s="3035"/>
      <c r="Z374" s="3038"/>
      <c r="AA374" s="3035"/>
      <c r="AB374" s="3038"/>
      <c r="AC374" s="3035"/>
      <c r="AD374" s="3038"/>
      <c r="AE374" s="3035"/>
      <c r="AF374" s="3038"/>
      <c r="AG374" s="3035"/>
      <c r="AH374" s="3038"/>
      <c r="AI374" s="3035"/>
      <c r="AJ374" s="3038"/>
      <c r="AK374" s="3035"/>
      <c r="AL374" s="3039"/>
      <c r="AM374" s="3040"/>
      <c r="AN374" s="532"/>
      <c r="AO374" s="532"/>
      <c r="AP374" s="3038"/>
      <c r="AQ374" s="3041"/>
      <c r="AR374" s="3040"/>
      <c r="AS374" s="3038"/>
      <c r="CA374" s="181"/>
      <c r="CB374" s="181"/>
      <c r="CO374" s="3050"/>
      <c r="CP374" s="3050"/>
    </row>
    <row r="375" spans="1:94" ht="20.399999999999999" x14ac:dyDescent="0.3">
      <c r="A375" s="3042" t="s">
        <v>984</v>
      </c>
      <c r="B375" s="364">
        <f t="shared" si="294"/>
        <v>0</v>
      </c>
      <c r="C375" s="3051">
        <f t="shared" si="295"/>
        <v>0</v>
      </c>
      <c r="D375" s="588">
        <f t="shared" si="295"/>
        <v>0</v>
      </c>
      <c r="E375" s="290"/>
      <c r="F375" s="107"/>
      <c r="G375" s="290"/>
      <c r="H375" s="107"/>
      <c r="I375" s="290"/>
      <c r="J375" s="107"/>
      <c r="K375" s="290"/>
      <c r="L375" s="107"/>
      <c r="M375" s="290"/>
      <c r="N375" s="107"/>
      <c r="O375" s="290"/>
      <c r="P375" s="107"/>
      <c r="Q375" s="290"/>
      <c r="R375" s="107"/>
      <c r="S375" s="290"/>
      <c r="T375" s="107"/>
      <c r="U375" s="290"/>
      <c r="V375" s="107"/>
      <c r="W375" s="290"/>
      <c r="X375" s="107"/>
      <c r="Y375" s="290"/>
      <c r="Z375" s="107"/>
      <c r="AA375" s="290"/>
      <c r="AB375" s="107"/>
      <c r="AC375" s="290"/>
      <c r="AD375" s="107"/>
      <c r="AE375" s="290"/>
      <c r="AF375" s="107"/>
      <c r="AG375" s="290"/>
      <c r="AH375" s="107"/>
      <c r="AI375" s="290"/>
      <c r="AJ375" s="107"/>
      <c r="AK375" s="290"/>
      <c r="AL375" s="61"/>
      <c r="AM375" s="5608"/>
      <c r="AN375" s="536"/>
      <c r="AO375" s="536"/>
      <c r="AP375" s="130"/>
      <c r="AQ375" s="371"/>
      <c r="AR375" s="296"/>
      <c r="AS375" s="107"/>
      <c r="AT375" t="str">
        <f t="shared" ref="AT375:AT376" si="296">CA375&amp;CB375</f>
        <v/>
      </c>
      <c r="CA375" s="135" t="str">
        <f t="shared" ref="CA375:CA389" si="297">IF(AND(B375&gt;0,AR375="")," * No olvide digitar la variable Pueblos originarios. Digite Cero si no tiene.",IF(AR375&gt;B375," * La variable Pueblos originarios No puede ser mayor al Total.",""))</f>
        <v/>
      </c>
      <c r="CB375" s="135" t="str">
        <f t="shared" ref="CB375:CB389" si="298">IF(AND(B375&gt;0,AS375="")," * No olvide digitar la variable Migrantes. Digite Cero si no tiene.",IF(AS375&gt;B375," * La variable Migrantes No puede ser mayor al Total.",""))</f>
        <v/>
      </c>
      <c r="CO375" s="1901">
        <f>IF(AND(B375&gt;0,AR375=""),1,IF(AR375&gt;B375,1,0))</f>
        <v>0</v>
      </c>
      <c r="CP375" s="1901">
        <f t="shared" ref="CP375:CP389" si="299">IF(AND(B375&gt;0,AS375=""),1,IF(AS375&gt;B375,1,0))</f>
        <v>0</v>
      </c>
    </row>
    <row r="376" spans="1:94" ht="20.399999999999999" x14ac:dyDescent="0.3">
      <c r="A376" s="3052" t="s">
        <v>985</v>
      </c>
      <c r="B376" s="3053">
        <f t="shared" si="294"/>
        <v>0</v>
      </c>
      <c r="C376" s="3054">
        <f t="shared" si="295"/>
        <v>0</v>
      </c>
      <c r="D376" s="591">
        <f t="shared" si="295"/>
        <v>0</v>
      </c>
      <c r="E376" s="47"/>
      <c r="F376" s="2"/>
      <c r="G376" s="192"/>
      <c r="H376" s="2"/>
      <c r="I376" s="192"/>
      <c r="J376" s="2"/>
      <c r="K376" s="192"/>
      <c r="L376" s="2"/>
      <c r="M376" s="192"/>
      <c r="N376" s="2"/>
      <c r="O376" s="192"/>
      <c r="P376" s="2"/>
      <c r="Q376" s="192"/>
      <c r="R376" s="2"/>
      <c r="S376" s="192"/>
      <c r="T376" s="2"/>
      <c r="U376" s="192"/>
      <c r="V376" s="2"/>
      <c r="W376" s="192"/>
      <c r="X376" s="2"/>
      <c r="Y376" s="192"/>
      <c r="Z376" s="2"/>
      <c r="AA376" s="192"/>
      <c r="AB376" s="2"/>
      <c r="AC376" s="192"/>
      <c r="AD376" s="2"/>
      <c r="AE376" s="192"/>
      <c r="AF376" s="2"/>
      <c r="AG376" s="192"/>
      <c r="AH376" s="2"/>
      <c r="AI376" s="192"/>
      <c r="AJ376" s="2"/>
      <c r="AK376" s="192"/>
      <c r="AL376" s="376"/>
      <c r="AM376" s="3817"/>
      <c r="AN376" s="3798"/>
      <c r="AO376" s="3798"/>
      <c r="AP376" s="131"/>
      <c r="AQ376" s="3055"/>
      <c r="AR376" s="377"/>
      <c r="AS376" s="2"/>
      <c r="AT376" t="str">
        <f t="shared" si="296"/>
        <v/>
      </c>
      <c r="CA376" s="135" t="str">
        <f t="shared" si="297"/>
        <v/>
      </c>
      <c r="CB376" s="135" t="str">
        <f t="shared" si="298"/>
        <v/>
      </c>
      <c r="CO376" s="1901">
        <f t="shared" ref="CO376:CO389" si="300">IF(AND(B376&gt;0,AR376=""),1,IF(AR376&gt;B376,1,0))</f>
        <v>0</v>
      </c>
      <c r="CP376" s="1901">
        <f t="shared" si="299"/>
        <v>0</v>
      </c>
    </row>
    <row r="377" spans="1:94" x14ac:dyDescent="0.3">
      <c r="A377" s="3034" t="s">
        <v>986</v>
      </c>
      <c r="B377" s="3048"/>
      <c r="C377" s="3049"/>
      <c r="D377" s="3037"/>
      <c r="E377" s="3035"/>
      <c r="F377" s="3038"/>
      <c r="G377" s="3035"/>
      <c r="H377" s="3038"/>
      <c r="I377" s="3035"/>
      <c r="J377" s="3038"/>
      <c r="K377" s="3035"/>
      <c r="L377" s="3038"/>
      <c r="M377" s="3035"/>
      <c r="N377" s="3038"/>
      <c r="O377" s="3035"/>
      <c r="P377" s="3038"/>
      <c r="Q377" s="3035"/>
      <c r="R377" s="3038"/>
      <c r="S377" s="3035"/>
      <c r="T377" s="3038"/>
      <c r="U377" s="3035"/>
      <c r="V377" s="3038"/>
      <c r="W377" s="3035"/>
      <c r="X377" s="3038"/>
      <c r="Y377" s="3035"/>
      <c r="Z377" s="3038"/>
      <c r="AA377" s="3035"/>
      <c r="AB377" s="3038"/>
      <c r="AC377" s="3035"/>
      <c r="AD377" s="3038"/>
      <c r="AE377" s="3035"/>
      <c r="AF377" s="3038"/>
      <c r="AG377" s="3035"/>
      <c r="AH377" s="3038"/>
      <c r="AI377" s="3035"/>
      <c r="AJ377" s="3038"/>
      <c r="AK377" s="3035"/>
      <c r="AL377" s="3039"/>
      <c r="AM377" s="3040"/>
      <c r="AN377" s="532"/>
      <c r="AO377" s="532"/>
      <c r="AP377" s="3038"/>
      <c r="AQ377" s="3041"/>
      <c r="AR377" s="3040"/>
      <c r="AS377" s="3038"/>
      <c r="CA377" s="181"/>
      <c r="CB377" s="181"/>
      <c r="CO377" s="3050"/>
      <c r="CP377" s="3050"/>
    </row>
    <row r="378" spans="1:94" x14ac:dyDescent="0.3">
      <c r="A378" s="3042" t="s">
        <v>987</v>
      </c>
      <c r="B378" s="3056">
        <f t="shared" si="294"/>
        <v>0</v>
      </c>
      <c r="C378" s="3051">
        <f t="shared" si="295"/>
        <v>0</v>
      </c>
      <c r="D378" s="2414">
        <f t="shared" si="295"/>
        <v>0</v>
      </c>
      <c r="E378" s="47"/>
      <c r="F378" s="42"/>
      <c r="G378" s="47"/>
      <c r="H378" s="42"/>
      <c r="I378" s="47"/>
      <c r="J378" s="42"/>
      <c r="K378" s="47"/>
      <c r="L378" s="42"/>
      <c r="M378" s="47"/>
      <c r="N378" s="42"/>
      <c r="O378" s="47"/>
      <c r="P378" s="42"/>
      <c r="Q378" s="47"/>
      <c r="R378" s="42"/>
      <c r="S378" s="47"/>
      <c r="T378" s="42"/>
      <c r="U378" s="47"/>
      <c r="V378" s="42"/>
      <c r="W378" s="47"/>
      <c r="X378" s="42"/>
      <c r="Y378" s="47"/>
      <c r="Z378" s="42"/>
      <c r="AA378" s="47"/>
      <c r="AB378" s="42"/>
      <c r="AC378" s="47"/>
      <c r="AD378" s="42"/>
      <c r="AE378" s="47"/>
      <c r="AF378" s="42"/>
      <c r="AG378" s="47"/>
      <c r="AH378" s="42"/>
      <c r="AI378" s="47"/>
      <c r="AJ378" s="42"/>
      <c r="AK378" s="47"/>
      <c r="AL378" s="75"/>
      <c r="AM378" s="5609"/>
      <c r="AN378" s="244"/>
      <c r="AO378" s="244"/>
      <c r="AP378" s="286"/>
      <c r="AQ378" s="3057"/>
      <c r="AR378" s="74"/>
      <c r="AS378" s="42"/>
      <c r="AT378" t="str">
        <f t="shared" ref="AT378:AT382" si="301">CA378&amp;CB378</f>
        <v/>
      </c>
      <c r="CA378" s="135" t="str">
        <f t="shared" si="297"/>
        <v/>
      </c>
      <c r="CB378" s="135" t="str">
        <f t="shared" si="298"/>
        <v/>
      </c>
      <c r="CO378" s="1901">
        <f t="shared" si="300"/>
        <v>0</v>
      </c>
      <c r="CP378" s="1901">
        <f t="shared" si="299"/>
        <v>0</v>
      </c>
    </row>
    <row r="379" spans="1:94" x14ac:dyDescent="0.3">
      <c r="A379" s="3052" t="s">
        <v>988</v>
      </c>
      <c r="B379" s="3053">
        <f t="shared" si="294"/>
        <v>0</v>
      </c>
      <c r="C379" s="3054">
        <f t="shared" si="295"/>
        <v>0</v>
      </c>
      <c r="D379" s="591">
        <f t="shared" si="295"/>
        <v>0</v>
      </c>
      <c r="E379" s="192"/>
      <c r="F379" s="2"/>
      <c r="G379" s="192"/>
      <c r="H379" s="2"/>
      <c r="I379" s="192"/>
      <c r="J379" s="2"/>
      <c r="K379" s="192"/>
      <c r="L379" s="2"/>
      <c r="M379" s="192"/>
      <c r="N379" s="2"/>
      <c r="O379" s="192"/>
      <c r="P379" s="2"/>
      <c r="Q379" s="192"/>
      <c r="R379" s="2"/>
      <c r="S379" s="192"/>
      <c r="T379" s="2"/>
      <c r="U379" s="192"/>
      <c r="V379" s="2"/>
      <c r="W379" s="192"/>
      <c r="X379" s="2"/>
      <c r="Y379" s="192"/>
      <c r="Z379" s="2"/>
      <c r="AA379" s="192"/>
      <c r="AB379" s="2"/>
      <c r="AC379" s="192"/>
      <c r="AD379" s="2"/>
      <c r="AE379" s="192"/>
      <c r="AF379" s="2"/>
      <c r="AG379" s="192"/>
      <c r="AH379" s="2"/>
      <c r="AI379" s="192"/>
      <c r="AJ379" s="2"/>
      <c r="AK379" s="192"/>
      <c r="AL379" s="376"/>
      <c r="AM379" s="3817"/>
      <c r="AN379" s="3798"/>
      <c r="AO379" s="3798"/>
      <c r="AP379" s="131"/>
      <c r="AQ379" s="3055"/>
      <c r="AR379" s="377"/>
      <c r="AS379" s="2"/>
      <c r="AT379" t="str">
        <f t="shared" si="301"/>
        <v/>
      </c>
      <c r="CA379" s="135" t="str">
        <f t="shared" si="297"/>
        <v/>
      </c>
      <c r="CB379" s="135" t="str">
        <f t="shared" si="298"/>
        <v/>
      </c>
      <c r="CO379" s="1901">
        <f t="shared" si="300"/>
        <v>0</v>
      </c>
      <c r="CP379" s="1901">
        <f t="shared" si="299"/>
        <v>0</v>
      </c>
    </row>
    <row r="380" spans="1:94" x14ac:dyDescent="0.3">
      <c r="A380" s="3058" t="s">
        <v>989</v>
      </c>
      <c r="B380" s="3059">
        <f>SUM(C380:D380)</f>
        <v>0</v>
      </c>
      <c r="C380" s="3060">
        <f>SUM(E380,G380,I380,K380,M380,O380,Q380,S380,U380,W380,Y380,AA380,AC380,AE380,AG380,AI380,AK380)</f>
        <v>0</v>
      </c>
      <c r="D380" s="560">
        <f>SUM(F380,H380,J380,L380,N380,P380,R380,T380,V380,X380,Z380,AB380,AD380,AF380,AH380,AJ380,AL380)</f>
        <v>0</v>
      </c>
      <c r="E380" s="346"/>
      <c r="F380" s="347"/>
      <c r="G380" s="346"/>
      <c r="H380" s="347"/>
      <c r="I380" s="346"/>
      <c r="J380" s="347"/>
      <c r="K380" s="346"/>
      <c r="L380" s="347"/>
      <c r="M380" s="346"/>
      <c r="N380" s="347"/>
      <c r="O380" s="346"/>
      <c r="P380" s="347"/>
      <c r="Q380" s="346"/>
      <c r="R380" s="347"/>
      <c r="S380" s="346"/>
      <c r="T380" s="347"/>
      <c r="U380" s="346"/>
      <c r="V380" s="347"/>
      <c r="W380" s="346"/>
      <c r="X380" s="347"/>
      <c r="Y380" s="346"/>
      <c r="Z380" s="347"/>
      <c r="AA380" s="346"/>
      <c r="AB380" s="347"/>
      <c r="AC380" s="346"/>
      <c r="AD380" s="347"/>
      <c r="AE380" s="346"/>
      <c r="AF380" s="347"/>
      <c r="AG380" s="346"/>
      <c r="AH380" s="347"/>
      <c r="AI380" s="346"/>
      <c r="AJ380" s="347"/>
      <c r="AK380" s="346"/>
      <c r="AL380" s="481"/>
      <c r="AM380" s="3678"/>
      <c r="AN380" s="524"/>
      <c r="AO380" s="524"/>
      <c r="AP380" s="687"/>
      <c r="AQ380" s="2784"/>
      <c r="AR380" s="430"/>
      <c r="AS380" s="347"/>
      <c r="AT380" t="str">
        <f t="shared" si="301"/>
        <v/>
      </c>
      <c r="CA380" s="135" t="str">
        <f t="shared" si="297"/>
        <v/>
      </c>
      <c r="CB380" s="135" t="str">
        <f t="shared" si="298"/>
        <v/>
      </c>
      <c r="CO380" s="1901">
        <f t="shared" si="300"/>
        <v>0</v>
      </c>
      <c r="CP380" s="1901">
        <f t="shared" si="299"/>
        <v>0</v>
      </c>
    </row>
    <row r="381" spans="1:94" x14ac:dyDescent="0.3">
      <c r="A381" s="3046" t="s">
        <v>990</v>
      </c>
      <c r="B381" s="3056">
        <f t="shared" si="294"/>
        <v>0</v>
      </c>
      <c r="C381" s="3051">
        <f>SUM(E381,G381,I381,K381,M381,O381,Q381,S381,U381,W381,Y381,AA381,AC381,AE381,AG381,AI381,AK381)</f>
        <v>0</v>
      </c>
      <c r="D381" s="2414">
        <f>SUM(F381,H381,J381,L381,N381,P381,R381,T381,V381,X381,Z381,AB381,AD381,AF381,AH381,AJ381,AL381)</f>
        <v>0</v>
      </c>
      <c r="E381" s="47"/>
      <c r="F381" s="42"/>
      <c r="G381" s="47"/>
      <c r="H381" s="42"/>
      <c r="I381" s="47"/>
      <c r="J381" s="42"/>
      <c r="K381" s="47"/>
      <c r="L381" s="42"/>
      <c r="M381" s="47"/>
      <c r="N381" s="42"/>
      <c r="O381" s="47"/>
      <c r="P381" s="42"/>
      <c r="Q381" s="47"/>
      <c r="R381" s="42"/>
      <c r="S381" s="47"/>
      <c r="T381" s="42"/>
      <c r="U381" s="47"/>
      <c r="V381" s="42"/>
      <c r="W381" s="47"/>
      <c r="X381" s="42"/>
      <c r="Y381" s="47"/>
      <c r="Z381" s="42"/>
      <c r="AA381" s="47"/>
      <c r="AB381" s="42"/>
      <c r="AC381" s="47"/>
      <c r="AD381" s="42"/>
      <c r="AE381" s="47"/>
      <c r="AF381" s="42"/>
      <c r="AG381" s="47"/>
      <c r="AH381" s="42"/>
      <c r="AI381" s="47"/>
      <c r="AJ381" s="42"/>
      <c r="AK381" s="47"/>
      <c r="AL381" s="75"/>
      <c r="AM381" s="5609"/>
      <c r="AN381" s="244"/>
      <c r="AO381" s="244"/>
      <c r="AP381" s="286"/>
      <c r="AQ381" s="3057"/>
      <c r="AR381" s="74"/>
      <c r="AS381" s="42"/>
      <c r="AT381" t="str">
        <f t="shared" si="301"/>
        <v/>
      </c>
      <c r="CA381" s="135" t="str">
        <f t="shared" si="297"/>
        <v/>
      </c>
      <c r="CB381" s="135" t="str">
        <f t="shared" si="298"/>
        <v/>
      </c>
      <c r="CO381" s="1901">
        <f t="shared" si="300"/>
        <v>0</v>
      </c>
      <c r="CP381" s="1901">
        <f t="shared" si="299"/>
        <v>0</v>
      </c>
    </row>
    <row r="382" spans="1:94" x14ac:dyDescent="0.3">
      <c r="A382" s="3052" t="s">
        <v>991</v>
      </c>
      <c r="B382" s="3053">
        <f t="shared" si="294"/>
        <v>0</v>
      </c>
      <c r="C382" s="3054">
        <f t="shared" si="295"/>
        <v>0</v>
      </c>
      <c r="D382" s="591">
        <f t="shared" si="295"/>
        <v>0</v>
      </c>
      <c r="E382" s="192"/>
      <c r="F382" s="2"/>
      <c r="G382" s="192"/>
      <c r="H382" s="2"/>
      <c r="I382" s="192"/>
      <c r="J382" s="2"/>
      <c r="K382" s="192"/>
      <c r="L382" s="2"/>
      <c r="M382" s="192"/>
      <c r="N382" s="2"/>
      <c r="O382" s="192"/>
      <c r="P382" s="2"/>
      <c r="Q382" s="192"/>
      <c r="R382" s="2"/>
      <c r="S382" s="192"/>
      <c r="T382" s="2"/>
      <c r="U382" s="192"/>
      <c r="V382" s="2"/>
      <c r="W382" s="192"/>
      <c r="X382" s="2"/>
      <c r="Y382" s="192"/>
      <c r="Z382" s="2"/>
      <c r="AA382" s="192"/>
      <c r="AB382" s="2"/>
      <c r="AC382" s="192"/>
      <c r="AD382" s="2"/>
      <c r="AE382" s="192"/>
      <c r="AF382" s="2"/>
      <c r="AG382" s="192"/>
      <c r="AH382" s="2"/>
      <c r="AI382" s="192"/>
      <c r="AJ382" s="2"/>
      <c r="AK382" s="192"/>
      <c r="AL382" s="376"/>
      <c r="AM382" s="3817"/>
      <c r="AN382" s="3798"/>
      <c r="AO382" s="3798"/>
      <c r="AP382" s="131"/>
      <c r="AQ382" s="3055"/>
      <c r="AR382" s="377"/>
      <c r="AS382" s="2"/>
      <c r="AT382" t="str">
        <f t="shared" si="301"/>
        <v/>
      </c>
      <c r="CA382" s="135" t="str">
        <f t="shared" si="297"/>
        <v/>
      </c>
      <c r="CB382" s="135" t="str">
        <f t="shared" si="298"/>
        <v/>
      </c>
      <c r="CO382" s="1901">
        <f t="shared" si="300"/>
        <v>0</v>
      </c>
      <c r="CP382" s="1901">
        <f t="shared" si="299"/>
        <v>0</v>
      </c>
    </row>
    <row r="383" spans="1:94" x14ac:dyDescent="0.3">
      <c r="A383" s="3047" t="s">
        <v>992</v>
      </c>
      <c r="B383" s="3048"/>
      <c r="C383" s="3049"/>
      <c r="D383" s="3037"/>
      <c r="E383" s="3035"/>
      <c r="F383" s="3038"/>
      <c r="G383" s="3035"/>
      <c r="H383" s="3038"/>
      <c r="I383" s="3035"/>
      <c r="J383" s="3038"/>
      <c r="K383" s="3035"/>
      <c r="L383" s="3038"/>
      <c r="M383" s="3035"/>
      <c r="N383" s="3038"/>
      <c r="O383" s="3035"/>
      <c r="P383" s="3038"/>
      <c r="Q383" s="3035"/>
      <c r="R383" s="3038"/>
      <c r="S383" s="3035"/>
      <c r="T383" s="3038"/>
      <c r="U383" s="3035"/>
      <c r="V383" s="3038"/>
      <c r="W383" s="3035"/>
      <c r="X383" s="3038"/>
      <c r="Y383" s="3035"/>
      <c r="Z383" s="3038"/>
      <c r="AA383" s="3035"/>
      <c r="AB383" s="3038"/>
      <c r="AC383" s="3035"/>
      <c r="AD383" s="3038"/>
      <c r="AE383" s="3035"/>
      <c r="AF383" s="3038"/>
      <c r="AG383" s="3035"/>
      <c r="AH383" s="3038"/>
      <c r="AI383" s="3035"/>
      <c r="AJ383" s="3038"/>
      <c r="AK383" s="3035"/>
      <c r="AL383" s="3039"/>
      <c r="AM383" s="3040"/>
      <c r="AN383" s="532"/>
      <c r="AO383" s="532"/>
      <c r="AP383" s="3038"/>
      <c r="AQ383" s="3041"/>
      <c r="AR383" s="3040"/>
      <c r="AS383" s="3038"/>
      <c r="CA383" s="181"/>
      <c r="CB383" s="181"/>
      <c r="CO383" s="3050"/>
      <c r="CP383" s="3050"/>
    </row>
    <row r="384" spans="1:94" x14ac:dyDescent="0.3">
      <c r="A384" s="3061" t="s">
        <v>993</v>
      </c>
      <c r="B384" s="3062">
        <f t="shared" ref="B384:B389" si="302">SUM(C384:D384)</f>
        <v>0</v>
      </c>
      <c r="C384" s="3063">
        <f t="shared" ref="C384:C389" si="303">SUM(E384,G384,I384,K384,M384,O384,Q384,S384,U384,W384,Y384,AA384,AC384,AE384,AG384,AI384,AK384)</f>
        <v>0</v>
      </c>
      <c r="D384" s="3044">
        <f t="shared" ref="D384:D389" si="304">SUM(F384,H384,J384,L384,N384,P384,R384,T384,V384,X384,Z384,AB384,AD384,AF384,AH384,AJ384,AL384)</f>
        <v>0</v>
      </c>
      <c r="E384" s="474"/>
      <c r="F384" s="576"/>
      <c r="G384" s="474"/>
      <c r="H384" s="576"/>
      <c r="I384" s="474"/>
      <c r="J384" s="576"/>
      <c r="K384" s="474"/>
      <c r="L384" s="576"/>
      <c r="M384" s="474"/>
      <c r="N384" s="576"/>
      <c r="O384" s="474"/>
      <c r="P384" s="576"/>
      <c r="Q384" s="474"/>
      <c r="R384" s="576"/>
      <c r="S384" s="474"/>
      <c r="T384" s="576"/>
      <c r="U384" s="474"/>
      <c r="V384" s="576"/>
      <c r="W384" s="474"/>
      <c r="X384" s="576"/>
      <c r="Y384" s="474"/>
      <c r="Z384" s="576"/>
      <c r="AA384" s="474"/>
      <c r="AB384" s="576"/>
      <c r="AC384" s="474"/>
      <c r="AD384" s="576"/>
      <c r="AE384" s="474"/>
      <c r="AF384" s="576"/>
      <c r="AG384" s="474"/>
      <c r="AH384" s="576"/>
      <c r="AI384" s="474"/>
      <c r="AJ384" s="576"/>
      <c r="AK384" s="474"/>
      <c r="AL384" s="476"/>
      <c r="AM384" s="5607"/>
      <c r="AN384" s="516"/>
      <c r="AO384" s="516"/>
      <c r="AP384" s="661"/>
      <c r="AQ384" s="3045"/>
      <c r="AR384" s="497"/>
      <c r="AS384" s="576"/>
      <c r="AT384" t="str">
        <f t="shared" ref="AT384:AT389" si="305">CA384&amp;CB384</f>
        <v/>
      </c>
      <c r="CA384" s="135" t="str">
        <f t="shared" si="297"/>
        <v/>
      </c>
      <c r="CB384" s="135" t="str">
        <f t="shared" si="298"/>
        <v/>
      </c>
      <c r="CO384" s="1901">
        <f t="shared" si="300"/>
        <v>0</v>
      </c>
      <c r="CP384" s="1901">
        <f t="shared" si="299"/>
        <v>0</v>
      </c>
    </row>
    <row r="385" spans="1:94" x14ac:dyDescent="0.3">
      <c r="A385" s="3058" t="s">
        <v>994</v>
      </c>
      <c r="B385" s="3059">
        <f t="shared" si="302"/>
        <v>0</v>
      </c>
      <c r="C385" s="3060">
        <f t="shared" si="303"/>
        <v>0</v>
      </c>
      <c r="D385" s="560">
        <f t="shared" si="304"/>
        <v>0</v>
      </c>
      <c r="E385" s="346"/>
      <c r="F385" s="347"/>
      <c r="G385" s="346"/>
      <c r="H385" s="347"/>
      <c r="I385" s="346"/>
      <c r="J385" s="347"/>
      <c r="K385" s="346"/>
      <c r="L385" s="347"/>
      <c r="M385" s="346"/>
      <c r="N385" s="347"/>
      <c r="O385" s="346"/>
      <c r="P385" s="347"/>
      <c r="Q385" s="346"/>
      <c r="R385" s="347"/>
      <c r="S385" s="346"/>
      <c r="T385" s="347"/>
      <c r="U385" s="346"/>
      <c r="V385" s="347"/>
      <c r="W385" s="346"/>
      <c r="X385" s="347"/>
      <c r="Y385" s="346"/>
      <c r="Z385" s="347"/>
      <c r="AA385" s="346"/>
      <c r="AB385" s="347"/>
      <c r="AC385" s="346"/>
      <c r="AD385" s="347"/>
      <c r="AE385" s="346"/>
      <c r="AF385" s="347"/>
      <c r="AG385" s="346"/>
      <c r="AH385" s="347"/>
      <c r="AI385" s="346"/>
      <c r="AJ385" s="347"/>
      <c r="AK385" s="346"/>
      <c r="AL385" s="481"/>
      <c r="AM385" s="3678"/>
      <c r="AN385" s="524"/>
      <c r="AO385" s="524"/>
      <c r="AP385" s="687"/>
      <c r="AQ385" s="2784"/>
      <c r="AR385" s="430"/>
      <c r="AS385" s="347"/>
      <c r="AT385" t="str">
        <f t="shared" si="305"/>
        <v/>
      </c>
      <c r="CA385" s="135" t="str">
        <f t="shared" si="297"/>
        <v/>
      </c>
      <c r="CB385" s="135" t="str">
        <f t="shared" si="298"/>
        <v/>
      </c>
      <c r="CO385" s="1901">
        <f t="shared" si="300"/>
        <v>0</v>
      </c>
      <c r="CP385" s="1901">
        <f t="shared" si="299"/>
        <v>0</v>
      </c>
    </row>
    <row r="386" spans="1:94" x14ac:dyDescent="0.3">
      <c r="A386" s="3058" t="s">
        <v>995</v>
      </c>
      <c r="B386" s="3059">
        <f t="shared" si="302"/>
        <v>0</v>
      </c>
      <c r="C386" s="3060">
        <f t="shared" si="303"/>
        <v>0</v>
      </c>
      <c r="D386" s="560">
        <f t="shared" si="304"/>
        <v>0</v>
      </c>
      <c r="E386" s="346"/>
      <c r="F386" s="347"/>
      <c r="G386" s="346"/>
      <c r="H386" s="347"/>
      <c r="I386" s="346"/>
      <c r="J386" s="347"/>
      <c r="K386" s="346"/>
      <c r="L386" s="347"/>
      <c r="M386" s="346"/>
      <c r="N386" s="347"/>
      <c r="O386" s="346"/>
      <c r="P386" s="347"/>
      <c r="Q386" s="346"/>
      <c r="R386" s="347"/>
      <c r="S386" s="346"/>
      <c r="T386" s="347"/>
      <c r="U386" s="346"/>
      <c r="V386" s="347"/>
      <c r="W386" s="346"/>
      <c r="X386" s="347"/>
      <c r="Y386" s="346"/>
      <c r="Z386" s="347"/>
      <c r="AA386" s="346"/>
      <c r="AB386" s="347"/>
      <c r="AC386" s="346"/>
      <c r="AD386" s="347"/>
      <c r="AE386" s="346"/>
      <c r="AF386" s="347"/>
      <c r="AG386" s="346"/>
      <c r="AH386" s="347"/>
      <c r="AI386" s="346"/>
      <c r="AJ386" s="347"/>
      <c r="AK386" s="346"/>
      <c r="AL386" s="481"/>
      <c r="AM386" s="3678"/>
      <c r="AN386" s="524"/>
      <c r="AO386" s="524"/>
      <c r="AP386" s="687"/>
      <c r="AQ386" s="2784"/>
      <c r="AR386" s="430"/>
      <c r="AS386" s="347"/>
      <c r="AT386" t="str">
        <f t="shared" si="305"/>
        <v/>
      </c>
      <c r="CA386" s="135" t="str">
        <f t="shared" si="297"/>
        <v/>
      </c>
      <c r="CB386" s="135" t="str">
        <f t="shared" si="298"/>
        <v/>
      </c>
      <c r="CO386" s="1901">
        <f t="shared" si="300"/>
        <v>0</v>
      </c>
      <c r="CP386" s="1901">
        <f t="shared" si="299"/>
        <v>0</v>
      </c>
    </row>
    <row r="387" spans="1:94" x14ac:dyDescent="0.3">
      <c r="A387" s="3058" t="s">
        <v>989</v>
      </c>
      <c r="B387" s="3059">
        <f t="shared" si="302"/>
        <v>0</v>
      </c>
      <c r="C387" s="3060">
        <f t="shared" si="303"/>
        <v>0</v>
      </c>
      <c r="D387" s="560">
        <f t="shared" si="304"/>
        <v>0</v>
      </c>
      <c r="E387" s="346"/>
      <c r="F387" s="347"/>
      <c r="G387" s="346"/>
      <c r="H387" s="347"/>
      <c r="I387" s="346"/>
      <c r="J387" s="347"/>
      <c r="K387" s="346"/>
      <c r="L387" s="347"/>
      <c r="M387" s="346"/>
      <c r="N387" s="347"/>
      <c r="O387" s="346"/>
      <c r="P387" s="347"/>
      <c r="Q387" s="346"/>
      <c r="R387" s="347"/>
      <c r="S387" s="346"/>
      <c r="T387" s="347"/>
      <c r="U387" s="346"/>
      <c r="V387" s="347"/>
      <c r="W387" s="346"/>
      <c r="X387" s="347"/>
      <c r="Y387" s="346"/>
      <c r="Z387" s="347"/>
      <c r="AA387" s="346"/>
      <c r="AB387" s="347"/>
      <c r="AC387" s="346"/>
      <c r="AD387" s="347"/>
      <c r="AE387" s="346"/>
      <c r="AF387" s="347"/>
      <c r="AG387" s="346"/>
      <c r="AH387" s="347"/>
      <c r="AI387" s="346"/>
      <c r="AJ387" s="347"/>
      <c r="AK387" s="346"/>
      <c r="AL387" s="481"/>
      <c r="AM387" s="3678"/>
      <c r="AN387" s="524"/>
      <c r="AO387" s="524"/>
      <c r="AP387" s="687"/>
      <c r="AQ387" s="2784"/>
      <c r="AR387" s="430"/>
      <c r="AS387" s="347"/>
      <c r="AT387" t="str">
        <f t="shared" si="305"/>
        <v/>
      </c>
      <c r="CA387" s="135" t="str">
        <f t="shared" si="297"/>
        <v/>
      </c>
      <c r="CB387" s="135" t="str">
        <f t="shared" si="298"/>
        <v/>
      </c>
      <c r="CO387" s="1901">
        <f t="shared" si="300"/>
        <v>0</v>
      </c>
      <c r="CP387" s="1901">
        <f t="shared" si="299"/>
        <v>0</v>
      </c>
    </row>
    <row r="388" spans="1:94" x14ac:dyDescent="0.3">
      <c r="A388" s="3058" t="s">
        <v>996</v>
      </c>
      <c r="B388" s="3059">
        <f t="shared" si="302"/>
        <v>0</v>
      </c>
      <c r="C388" s="3060">
        <f t="shared" si="303"/>
        <v>0</v>
      </c>
      <c r="D388" s="560">
        <f t="shared" si="304"/>
        <v>0</v>
      </c>
      <c r="E388" s="346"/>
      <c r="F388" s="347"/>
      <c r="G388" s="346"/>
      <c r="H388" s="347"/>
      <c r="I388" s="346"/>
      <c r="J388" s="347"/>
      <c r="K388" s="346"/>
      <c r="L388" s="347"/>
      <c r="M388" s="346"/>
      <c r="N388" s="347"/>
      <c r="O388" s="346"/>
      <c r="P388" s="347"/>
      <c r="Q388" s="346"/>
      <c r="R388" s="347"/>
      <c r="S388" s="346"/>
      <c r="T388" s="347"/>
      <c r="U388" s="346"/>
      <c r="V388" s="347"/>
      <c r="W388" s="346"/>
      <c r="X388" s="347"/>
      <c r="Y388" s="346"/>
      <c r="Z388" s="347"/>
      <c r="AA388" s="346"/>
      <c r="AB388" s="347"/>
      <c r="AC388" s="346"/>
      <c r="AD388" s="347"/>
      <c r="AE388" s="346"/>
      <c r="AF388" s="347"/>
      <c r="AG388" s="346"/>
      <c r="AH388" s="347"/>
      <c r="AI388" s="346"/>
      <c r="AJ388" s="347"/>
      <c r="AK388" s="346"/>
      <c r="AL388" s="481"/>
      <c r="AM388" s="3678"/>
      <c r="AN388" s="524"/>
      <c r="AO388" s="524"/>
      <c r="AP388" s="687"/>
      <c r="AQ388" s="2784"/>
      <c r="AR388" s="430"/>
      <c r="AS388" s="347"/>
      <c r="AT388" t="str">
        <f t="shared" si="305"/>
        <v/>
      </c>
      <c r="CA388" s="135" t="str">
        <f t="shared" si="297"/>
        <v/>
      </c>
      <c r="CB388" s="135" t="str">
        <f t="shared" si="298"/>
        <v/>
      </c>
      <c r="CO388" s="1901">
        <f t="shared" si="300"/>
        <v>0</v>
      </c>
      <c r="CP388" s="1901">
        <f t="shared" si="299"/>
        <v>0</v>
      </c>
    </row>
    <row r="389" spans="1:94" x14ac:dyDescent="0.3">
      <c r="A389" s="3064" t="s">
        <v>997</v>
      </c>
      <c r="B389" s="3065">
        <f t="shared" si="302"/>
        <v>0</v>
      </c>
      <c r="C389" s="3066">
        <f t="shared" si="303"/>
        <v>0</v>
      </c>
      <c r="D389" s="563">
        <f t="shared" si="304"/>
        <v>0</v>
      </c>
      <c r="E389" s="380"/>
      <c r="F389" s="388"/>
      <c r="G389" s="380"/>
      <c r="H389" s="388"/>
      <c r="I389" s="380"/>
      <c r="J389" s="388"/>
      <c r="K389" s="380"/>
      <c r="L389" s="388"/>
      <c r="M389" s="380"/>
      <c r="N389" s="388"/>
      <c r="O389" s="380"/>
      <c r="P389" s="388"/>
      <c r="Q389" s="380"/>
      <c r="R389" s="388"/>
      <c r="S389" s="380"/>
      <c r="T389" s="388"/>
      <c r="U389" s="380"/>
      <c r="V389" s="388"/>
      <c r="W389" s="380"/>
      <c r="X389" s="388"/>
      <c r="Y389" s="380"/>
      <c r="Z389" s="388"/>
      <c r="AA389" s="380"/>
      <c r="AB389" s="388"/>
      <c r="AC389" s="380"/>
      <c r="AD389" s="388"/>
      <c r="AE389" s="380"/>
      <c r="AF389" s="388"/>
      <c r="AG389" s="380"/>
      <c r="AH389" s="388"/>
      <c r="AI389" s="380"/>
      <c r="AJ389" s="388"/>
      <c r="AK389" s="380"/>
      <c r="AL389" s="392"/>
      <c r="AM389" s="3823"/>
      <c r="AN389" s="520"/>
      <c r="AO389" s="520"/>
      <c r="AP389" s="391"/>
      <c r="AQ389" s="2733"/>
      <c r="AR389" s="379"/>
      <c r="AS389" s="388"/>
      <c r="AT389" t="str">
        <f t="shared" si="305"/>
        <v/>
      </c>
      <c r="CA389" s="135" t="str">
        <f t="shared" si="297"/>
        <v/>
      </c>
      <c r="CB389" s="135" t="str">
        <f t="shared" si="298"/>
        <v/>
      </c>
      <c r="CO389" s="1901">
        <f t="shared" si="300"/>
        <v>0</v>
      </c>
      <c r="CP389" s="1901">
        <f t="shared" si="299"/>
        <v>0</v>
      </c>
    </row>
    <row r="390" spans="1:94" x14ac:dyDescent="0.3">
      <c r="A390" s="6240" t="s">
        <v>998</v>
      </c>
      <c r="B390" s="6241"/>
      <c r="C390" s="6241"/>
      <c r="D390" s="6241"/>
      <c r="E390" s="6241"/>
      <c r="F390" s="6241"/>
      <c r="G390" s="6241"/>
      <c r="H390" s="6241"/>
      <c r="I390" s="6241"/>
      <c r="J390" s="6241"/>
      <c r="K390" s="6241"/>
      <c r="L390" s="6241"/>
    </row>
    <row r="391" spans="1:94" x14ac:dyDescent="0.3">
      <c r="A391" s="6244" t="s">
        <v>971</v>
      </c>
      <c r="B391" s="6190" t="s">
        <v>77</v>
      </c>
      <c r="C391" s="6137" t="s">
        <v>29</v>
      </c>
      <c r="D391" s="6247"/>
      <c r="E391" s="6247"/>
      <c r="F391" s="6247"/>
      <c r="G391" s="6247"/>
      <c r="H391" s="6187"/>
      <c r="I391" s="6248" t="s">
        <v>999</v>
      </c>
      <c r="J391" s="6187"/>
      <c r="K391" s="6224" t="s">
        <v>34</v>
      </c>
      <c r="L391" s="6242" t="s">
        <v>35</v>
      </c>
      <c r="M391" s="6227" t="s">
        <v>1000</v>
      </c>
      <c r="N391" s="6228"/>
      <c r="O391" s="6228"/>
      <c r="P391" s="6228"/>
      <c r="Q391" s="6228"/>
      <c r="R391" s="6229"/>
      <c r="S391" s="6230" t="s">
        <v>1001</v>
      </c>
      <c r="T391" s="6230"/>
      <c r="U391" s="6231"/>
    </row>
    <row r="392" spans="1:94" x14ac:dyDescent="0.3">
      <c r="A392" s="6245"/>
      <c r="B392" s="5851"/>
      <c r="C392" s="6137" t="s">
        <v>1002</v>
      </c>
      <c r="D392" s="6247"/>
      <c r="E392" s="6183"/>
      <c r="F392" s="6137" t="s">
        <v>1003</v>
      </c>
      <c r="G392" s="6247"/>
      <c r="H392" s="6187"/>
      <c r="I392" s="6249" t="s">
        <v>1004</v>
      </c>
      <c r="J392" s="6250" t="s">
        <v>1005</v>
      </c>
      <c r="K392" s="5837"/>
      <c r="L392" s="5759"/>
      <c r="M392" s="5776" t="s">
        <v>1006</v>
      </c>
      <c r="N392" s="6232" t="s">
        <v>1007</v>
      </c>
      <c r="O392" s="6234" t="s">
        <v>1008</v>
      </c>
      <c r="P392" s="5777" t="s">
        <v>1009</v>
      </c>
      <c r="Q392" s="6237" t="s">
        <v>2525</v>
      </c>
      <c r="R392" s="6232" t="s">
        <v>4304</v>
      </c>
      <c r="S392" s="5837" t="s">
        <v>1010</v>
      </c>
      <c r="T392" s="5837" t="s">
        <v>1011</v>
      </c>
      <c r="U392" s="5759" t="s">
        <v>1012</v>
      </c>
    </row>
    <row r="393" spans="1:94" ht="37.950000000000003" customHeight="1" x14ac:dyDescent="0.3">
      <c r="A393" s="6246"/>
      <c r="B393" s="5756"/>
      <c r="C393" s="468" t="s">
        <v>522</v>
      </c>
      <c r="D393" s="554" t="s">
        <v>751</v>
      </c>
      <c r="E393" s="1776" t="s">
        <v>1013</v>
      </c>
      <c r="F393" s="468" t="s">
        <v>522</v>
      </c>
      <c r="G393" s="554" t="s">
        <v>751</v>
      </c>
      <c r="H393" s="1787" t="s">
        <v>1013</v>
      </c>
      <c r="I393" s="5767"/>
      <c r="J393" s="6251"/>
      <c r="K393" s="5838"/>
      <c r="L393" s="5760"/>
      <c r="M393" s="5776"/>
      <c r="N393" s="6233"/>
      <c r="O393" s="6235"/>
      <c r="P393" s="6236"/>
      <c r="Q393" s="5818"/>
      <c r="R393" s="5799"/>
      <c r="S393" s="6238"/>
      <c r="T393" s="6238"/>
      <c r="U393" s="6239"/>
    </row>
    <row r="394" spans="1:94" x14ac:dyDescent="0.3">
      <c r="A394" s="3068" t="s">
        <v>1014</v>
      </c>
      <c r="B394" s="427">
        <f t="shared" ref="B394:B404" si="306">SUM(C394:H394)</f>
        <v>0</v>
      </c>
      <c r="C394" s="770"/>
      <c r="D394" s="477"/>
      <c r="E394" s="576"/>
      <c r="F394" s="770"/>
      <c r="G394" s="477"/>
      <c r="H394" s="759"/>
      <c r="I394" s="534"/>
      <c r="J394" s="743"/>
      <c r="K394" s="507"/>
      <c r="L394" s="559"/>
      <c r="M394" s="3069"/>
      <c r="N394" s="3070"/>
      <c r="O394" s="3071"/>
      <c r="P394" s="5661"/>
      <c r="Q394" s="5662"/>
      <c r="R394" s="3073"/>
      <c r="S394" s="3071"/>
      <c r="T394" s="3071"/>
      <c r="U394" s="3072"/>
      <c r="V394" t="str">
        <f>CA394&amp;CB394</f>
        <v/>
      </c>
      <c r="CA394" s="135" t="str">
        <f>IF(AND(B394&gt;0,K394="")," * No olvide digitar la variable Niños, Niñas, Adolescentes y Jóvenes SENAME. Digite Cero si no tiene.",IF(K394&gt;B394," * La variable Niños, Niñas, Adolescentes y Jóvenes SENAME No puede ser mayor al Total.",""))</f>
        <v/>
      </c>
      <c r="CB394" s="135" t="str">
        <f>IF(AND(B394&gt;0,L394="")," * No olvide digitar la variable Niños, Niñas, Adolescentes y Jóvenes Mejor Niñez. Digite Cero si no tiene.",IF(L394&gt;B394," * La variable Niños, Niñas, Adolescentes y Jóvenes Mejor Niñez No puede ser mayor al Total.",""))</f>
        <v/>
      </c>
      <c r="CO394" s="1901">
        <f>IF(AND($B394&gt;0,K394=""),1,IF(K394&gt;$B394,1,0))</f>
        <v>0</v>
      </c>
      <c r="CP394" s="1901">
        <f>IF(AND($B394&gt;0,L394=""),1,IF(L394&gt;$B394,1,0))</f>
        <v>0</v>
      </c>
    </row>
    <row r="395" spans="1:94" x14ac:dyDescent="0.3">
      <c r="A395" s="3034" t="s">
        <v>769</v>
      </c>
      <c r="B395" s="801">
        <f t="shared" si="306"/>
        <v>0</v>
      </c>
      <c r="C395" s="779">
        <f>SUM(C396:C398)</f>
        <v>0</v>
      </c>
      <c r="D395" s="572">
        <f t="shared" ref="D395:E395" si="307">SUM(D396:D398)</f>
        <v>0</v>
      </c>
      <c r="E395" s="572">
        <f t="shared" si="307"/>
        <v>0</v>
      </c>
      <c r="F395" s="779">
        <f>SUM(F396:F398)</f>
        <v>0</v>
      </c>
      <c r="G395" s="512">
        <f>SUM(G396:G398)</f>
        <v>0</v>
      </c>
      <c r="H395" s="539">
        <f>SUM(H396:H398)</f>
        <v>0</v>
      </c>
      <c r="I395" s="302">
        <f>SUM(I396:I398)</f>
        <v>0</v>
      </c>
      <c r="J395" s="240"/>
      <c r="K395" s="2426">
        <f t="shared" ref="K395:U395" si="308">SUM(K396:K398)</f>
        <v>0</v>
      </c>
      <c r="L395" s="586">
        <f t="shared" si="308"/>
        <v>0</v>
      </c>
      <c r="M395" s="3074">
        <f t="shared" si="308"/>
        <v>0</v>
      </c>
      <c r="N395" s="3075">
        <f t="shared" si="308"/>
        <v>0</v>
      </c>
      <c r="O395" s="3076">
        <f t="shared" si="308"/>
        <v>0</v>
      </c>
      <c r="P395" s="5443">
        <f t="shared" si="308"/>
        <v>0</v>
      </c>
      <c r="Q395" s="3078">
        <f t="shared" si="308"/>
        <v>0</v>
      </c>
      <c r="R395" s="3077">
        <f t="shared" si="308"/>
        <v>0</v>
      </c>
      <c r="S395" s="3076">
        <f t="shared" si="308"/>
        <v>0</v>
      </c>
      <c r="T395" s="3078">
        <f t="shared" si="308"/>
        <v>0</v>
      </c>
      <c r="U395" s="3077">
        <f t="shared" si="308"/>
        <v>0</v>
      </c>
    </row>
    <row r="396" spans="1:94" x14ac:dyDescent="0.3">
      <c r="A396" s="3061" t="s">
        <v>1015</v>
      </c>
      <c r="B396" s="3079">
        <f t="shared" si="306"/>
        <v>0</v>
      </c>
      <c r="C396" s="770"/>
      <c r="D396" s="477"/>
      <c r="E396" s="576"/>
      <c r="F396" s="770"/>
      <c r="G396" s="773"/>
      <c r="H396" s="476"/>
      <c r="I396" s="758"/>
      <c r="J396" s="742"/>
      <c r="K396" s="477"/>
      <c r="L396" s="576"/>
      <c r="M396" s="1760"/>
      <c r="N396" s="3080"/>
      <c r="O396" s="1760"/>
      <c r="P396" s="5663"/>
      <c r="Q396" s="3082"/>
      <c r="R396" s="3081"/>
      <c r="S396" s="1760"/>
      <c r="T396" s="3082"/>
      <c r="U396" s="3081"/>
      <c r="V396" t="str">
        <f t="shared" ref="V396:V404" si="309">CA396&amp;CB396</f>
        <v/>
      </c>
      <c r="CA396" s="135" t="str">
        <f>IF(AND(B396&gt;0,K396="")," * No olvide digitar la variable Niños, Niñas, Adolescentes y Jóvenes SENAME. Digite Cero si no tiene.",IF(K396&gt;B396," * La variable Niños, Niñas, Adolescentes y Jóvenes SENAME No puede ser mayor al Total.",""))</f>
        <v/>
      </c>
      <c r="CB396" s="135" t="str">
        <f>IF(AND(B396&gt;0,L396="")," * No olvide digitar la variable Niños, Niñas, Adolescentes y Jóvenes Mejor Niñez. Digite Cero si no tiene.",IF(L396&gt;B396," * La variable Niños, Niñas, Adolescentes y Jóvenes Mejor Niñez No puede ser mayor al Total.",""))</f>
        <v/>
      </c>
      <c r="CO396" s="1901">
        <f t="shared" ref="CO396:CO398" si="310">IF(AND($B396&gt;0,K396=""),1,IF(K396&gt;$B396,1,0))</f>
        <v>0</v>
      </c>
      <c r="CP396" s="1901">
        <f>IF(AND($B396&gt;0,L396=""),1,IF(L396&gt;$B396,1,0))</f>
        <v>0</v>
      </c>
    </row>
    <row r="397" spans="1:94" x14ac:dyDescent="0.3">
      <c r="A397" s="3058" t="s">
        <v>1016</v>
      </c>
      <c r="B397" s="2960">
        <f t="shared" si="306"/>
        <v>0</v>
      </c>
      <c r="C397" s="346"/>
      <c r="D397" s="348"/>
      <c r="E397" s="347"/>
      <c r="F397" s="346"/>
      <c r="G397" s="348"/>
      <c r="H397" s="481"/>
      <c r="I397" s="430"/>
      <c r="J397" s="3083"/>
      <c r="K397" s="348"/>
      <c r="L397" s="347"/>
      <c r="M397" s="1114"/>
      <c r="N397" s="1118"/>
      <c r="O397" s="1114"/>
      <c r="P397" s="369"/>
      <c r="Q397" s="3145"/>
      <c r="R397" s="1115"/>
      <c r="S397" s="1114"/>
      <c r="T397" s="1116"/>
      <c r="U397" s="1115"/>
      <c r="V397" t="str">
        <f t="shared" si="309"/>
        <v/>
      </c>
      <c r="CA397" s="135" t="str">
        <f t="shared" ref="CA397" si="311">IF(AND(B397&gt;0,K397="")," * No olvide digitar la variable Niños, Niñas, Adolescentes y Jóvenes SENAME. Digite Cero si no tiene.",IF(K397&gt;B397," * La variable Niños, Niñas, Adolescentes y Jóvenes SENAME No puede ser mayor al Total.",""))</f>
        <v/>
      </c>
      <c r="CB397" s="135" t="str">
        <f t="shared" ref="CB397:CB398" si="312">IF(AND(B397&gt;0,L397="")," * No olvide digitar la variable Niños, Niñas, Adolescentes y Jóvenes Mejor Niñez. Digite Cero si no tiene.",IF(L397&gt;B397," * La variable Niños, Niñas, Adolescentes y Jóvenes Mejor Niñez No puede ser mayor al Total.",""))</f>
        <v/>
      </c>
      <c r="CO397" s="1901">
        <f t="shared" si="310"/>
        <v>0</v>
      </c>
      <c r="CP397" s="1901">
        <f t="shared" ref="CP397" si="313">IF(AND($B397&gt;0,L397=""),1,IF(L397&gt;$B397,1,0))</f>
        <v>0</v>
      </c>
    </row>
    <row r="398" spans="1:94" x14ac:dyDescent="0.3">
      <c r="A398" s="3058" t="s">
        <v>1017</v>
      </c>
      <c r="B398" s="3084">
        <f t="shared" si="306"/>
        <v>0</v>
      </c>
      <c r="C398" s="346"/>
      <c r="D398" s="348"/>
      <c r="E398" s="347"/>
      <c r="F398" s="346"/>
      <c r="G398" s="348"/>
      <c r="H398" s="481"/>
      <c r="I398" s="430"/>
      <c r="J398" s="3083"/>
      <c r="K398" s="348"/>
      <c r="L398" s="347"/>
      <c r="M398" s="1114"/>
      <c r="N398" s="3085"/>
      <c r="O398" s="290"/>
      <c r="P398" s="535"/>
      <c r="Q398" s="3086"/>
      <c r="R398" s="3085"/>
      <c r="S398" s="290"/>
      <c r="T398" s="3086"/>
      <c r="U398" s="3085"/>
      <c r="V398" t="str">
        <f t="shared" si="309"/>
        <v/>
      </c>
      <c r="CA398" s="135" t="str">
        <f>IF(AND(B398&gt;0,K398="")," * No olvide digitar la variable Niños, Niñas, Adolescentes y Jóvenes SENAME. Digite Cero si no tiene.",IF(K398&gt;B398," * La variable Niños, Niñas, Adolescentes y Jóvenes SENAME No puede ser mayor al Total.",""))</f>
        <v/>
      </c>
      <c r="CB398" s="135" t="str">
        <f t="shared" si="312"/>
        <v/>
      </c>
      <c r="CO398" s="1901">
        <f t="shared" si="310"/>
        <v>0</v>
      </c>
      <c r="CP398" s="1901">
        <f>IF(AND($B398&gt;0,L398=""),1,IF(L398&gt;$B398,1,0))</f>
        <v>0</v>
      </c>
    </row>
    <row r="399" spans="1:94" x14ac:dyDescent="0.3">
      <c r="A399" s="3034" t="s">
        <v>905</v>
      </c>
      <c r="B399" s="801">
        <f t="shared" si="306"/>
        <v>0</v>
      </c>
      <c r="C399" s="779">
        <f>SUM(C400:C403)</f>
        <v>0</v>
      </c>
      <c r="D399" s="572">
        <f t="shared" ref="D399:U399" si="314">SUM(D400:D403)</f>
        <v>0</v>
      </c>
      <c r="E399" s="515">
        <f t="shared" si="314"/>
        <v>0</v>
      </c>
      <c r="F399" s="779">
        <f t="shared" si="314"/>
        <v>0</v>
      </c>
      <c r="G399" s="5667">
        <f t="shared" si="314"/>
        <v>0</v>
      </c>
      <c r="H399" s="539">
        <f t="shared" si="314"/>
        <v>0</v>
      </c>
      <c r="I399" s="514">
        <f>SUM(I400:I403)</f>
        <v>0</v>
      </c>
      <c r="J399" s="513">
        <f t="shared" si="314"/>
        <v>0</v>
      </c>
      <c r="K399" s="572">
        <f t="shared" si="314"/>
        <v>0</v>
      </c>
      <c r="L399" s="586">
        <f t="shared" si="314"/>
        <v>0</v>
      </c>
      <c r="M399" s="3087">
        <f t="shared" si="314"/>
        <v>0</v>
      </c>
      <c r="N399" s="3088">
        <f t="shared" si="314"/>
        <v>0</v>
      </c>
      <c r="O399" s="3087">
        <f t="shared" si="314"/>
        <v>0</v>
      </c>
      <c r="P399" s="5664">
        <f t="shared" si="314"/>
        <v>0</v>
      </c>
      <c r="Q399" s="3089">
        <f t="shared" si="314"/>
        <v>0</v>
      </c>
      <c r="R399" s="3088">
        <f t="shared" si="314"/>
        <v>0</v>
      </c>
      <c r="S399" s="3087">
        <f t="shared" si="314"/>
        <v>0</v>
      </c>
      <c r="T399" s="3089">
        <f t="shared" si="314"/>
        <v>0</v>
      </c>
      <c r="U399" s="3088">
        <f t="shared" si="314"/>
        <v>0</v>
      </c>
    </row>
    <row r="400" spans="1:94" x14ac:dyDescent="0.3">
      <c r="A400" s="3061" t="s">
        <v>1018</v>
      </c>
      <c r="B400" s="3079">
        <f t="shared" si="306"/>
        <v>0</v>
      </c>
      <c r="C400" s="770"/>
      <c r="D400" s="477"/>
      <c r="E400" s="576"/>
      <c r="F400" s="770"/>
      <c r="G400" s="477"/>
      <c r="H400" s="476"/>
      <c r="I400" s="758"/>
      <c r="J400" s="476"/>
      <c r="K400" s="477"/>
      <c r="L400" s="559"/>
      <c r="M400" s="3090"/>
      <c r="N400" s="3091"/>
      <c r="O400" s="3090"/>
      <c r="P400" s="5665"/>
      <c r="Q400" s="3093"/>
      <c r="R400" s="3091"/>
      <c r="S400" s="3090"/>
      <c r="T400" s="3093"/>
      <c r="U400" s="3092"/>
      <c r="V400" t="str">
        <f t="shared" si="309"/>
        <v/>
      </c>
      <c r="CA400" s="135" t="str">
        <f t="shared" ref="CA400:CA403" si="315">IF(AND(B400&gt;0,K400="")," * No olvide digitar la variable Niños, Niñas, Adolescentes y Jóvenes SENAME. Digite Cero si no tiene.",IF(K400&gt;B400," * La variable Niños, Niñas, Adolescentes y Jóvenes SENAME No puede ser mayor al Total.",""))</f>
        <v/>
      </c>
      <c r="CB400" s="135" t="str">
        <f t="shared" ref="CB400:CB404" si="316">IF(AND(B400&gt;0,L400="")," * No olvide digitar la variable Niños, Niñas, Adolescentes y Jóvenes Mejor Niñez. Digite Cero si no tiene.",IF(L400&gt;B400," * La variable Niños, Niñas, Adolescentes y Jóvenes Mejor Niñez No puede ser mayor al Total.",""))</f>
        <v/>
      </c>
      <c r="CO400" s="1901">
        <f t="shared" ref="CO400:CO404" si="317">IF(AND($B400&gt;0,K400=""),1,IF(K400&gt;$B400,1,0))</f>
        <v>0</v>
      </c>
      <c r="CP400" s="1901">
        <f t="shared" ref="CP400:CP404" si="318">IF(AND($B400&gt;0,L400=""),1,IF(L400&gt;$B400,1,0))</f>
        <v>0</v>
      </c>
    </row>
    <row r="401" spans="1:94" ht="16.5" customHeight="1" x14ac:dyDescent="0.3">
      <c r="A401" s="3058" t="s">
        <v>1019</v>
      </c>
      <c r="B401" s="2960">
        <f t="shared" si="306"/>
        <v>0</v>
      </c>
      <c r="C401" s="346"/>
      <c r="D401" s="348"/>
      <c r="E401" s="347"/>
      <c r="F401" s="346"/>
      <c r="G401" s="348"/>
      <c r="H401" s="481"/>
      <c r="I401" s="430"/>
      <c r="J401" s="481"/>
      <c r="K401" s="348"/>
      <c r="L401" s="561"/>
      <c r="M401" s="3094"/>
      <c r="N401" s="3095"/>
      <c r="O401" s="3094"/>
      <c r="P401" s="244"/>
      <c r="Q401" s="543"/>
      <c r="R401" s="3095"/>
      <c r="S401" s="3094"/>
      <c r="T401" s="543"/>
      <c r="U401" s="3096"/>
      <c r="V401" t="str">
        <f t="shared" si="309"/>
        <v/>
      </c>
      <c r="CA401" s="135" t="str">
        <f t="shared" si="315"/>
        <v/>
      </c>
      <c r="CB401" s="135" t="str">
        <f t="shared" si="316"/>
        <v/>
      </c>
      <c r="CO401" s="1901">
        <f t="shared" si="317"/>
        <v>0</v>
      </c>
      <c r="CP401" s="1901">
        <f t="shared" si="318"/>
        <v>0</v>
      </c>
    </row>
    <row r="402" spans="1:94" ht="12" customHeight="1" x14ac:dyDescent="0.3">
      <c r="A402" s="3058" t="s">
        <v>1020</v>
      </c>
      <c r="B402" s="3084">
        <f t="shared" si="306"/>
        <v>0</v>
      </c>
      <c r="C402" s="346"/>
      <c r="D402" s="348"/>
      <c r="E402" s="347"/>
      <c r="F402" s="346"/>
      <c r="G402" s="348"/>
      <c r="H402" s="481"/>
      <c r="I402" s="430"/>
      <c r="J402" s="481"/>
      <c r="K402" s="348"/>
      <c r="L402" s="561"/>
      <c r="M402" s="3094"/>
      <c r="N402" s="3095"/>
      <c r="O402" s="3094"/>
      <c r="P402" s="244"/>
      <c r="Q402" s="543"/>
      <c r="R402" s="3095"/>
      <c r="S402" s="3094"/>
      <c r="T402" s="543"/>
      <c r="U402" s="3096"/>
      <c r="V402" t="str">
        <f t="shared" si="309"/>
        <v/>
      </c>
      <c r="CA402" s="135" t="str">
        <f t="shared" si="315"/>
        <v/>
      </c>
      <c r="CB402" s="135" t="str">
        <f t="shared" si="316"/>
        <v/>
      </c>
      <c r="CO402" s="1901">
        <f t="shared" si="317"/>
        <v>0</v>
      </c>
      <c r="CP402" s="1901">
        <f t="shared" si="318"/>
        <v>0</v>
      </c>
    </row>
    <row r="403" spans="1:94" ht="15" thickBot="1" x14ac:dyDescent="0.35">
      <c r="A403" s="3097" t="s">
        <v>1021</v>
      </c>
      <c r="B403" s="3098">
        <f t="shared" si="306"/>
        <v>0</v>
      </c>
      <c r="C403" s="3099"/>
      <c r="D403" s="3100"/>
      <c r="E403" s="545"/>
      <c r="F403" s="3099"/>
      <c r="G403" s="3100"/>
      <c r="H403" s="3101"/>
      <c r="I403" s="544"/>
      <c r="J403" s="3101"/>
      <c r="K403" s="3100"/>
      <c r="L403" s="3102"/>
      <c r="M403" s="3103"/>
      <c r="N403" s="3104"/>
      <c r="O403" s="3103"/>
      <c r="P403" s="156"/>
      <c r="Q403" s="155"/>
      <c r="R403" s="3104"/>
      <c r="S403" s="3103"/>
      <c r="T403" s="155"/>
      <c r="U403" s="3105"/>
      <c r="V403" t="str">
        <f t="shared" si="309"/>
        <v/>
      </c>
      <c r="CA403" s="135" t="str">
        <f t="shared" si="315"/>
        <v/>
      </c>
      <c r="CB403" s="135" t="str">
        <f t="shared" si="316"/>
        <v/>
      </c>
      <c r="CO403" s="1901">
        <f t="shared" si="317"/>
        <v>0</v>
      </c>
      <c r="CP403" s="1901">
        <f t="shared" si="318"/>
        <v>0</v>
      </c>
    </row>
    <row r="404" spans="1:94" ht="15" thickTop="1" x14ac:dyDescent="0.3">
      <c r="A404" s="3106" t="s">
        <v>1022</v>
      </c>
      <c r="B404" s="3107">
        <f t="shared" si="306"/>
        <v>0</v>
      </c>
      <c r="C404" s="373"/>
      <c r="D404" s="547"/>
      <c r="E404" s="747"/>
      <c r="F404" s="373"/>
      <c r="G404" s="547"/>
      <c r="H404" s="600"/>
      <c r="I404" s="266"/>
      <c r="J404" s="600"/>
      <c r="K404" s="547"/>
      <c r="L404" s="659"/>
      <c r="M404" s="3108"/>
      <c r="N404" s="3109"/>
      <c r="O404" s="3108"/>
      <c r="P404" s="5666"/>
      <c r="Q404" s="3111"/>
      <c r="R404" s="3109"/>
      <c r="S404" s="3108"/>
      <c r="T404" s="3111"/>
      <c r="U404" s="3110"/>
      <c r="V404" t="str">
        <f t="shared" si="309"/>
        <v/>
      </c>
      <c r="CA404" s="135" t="str">
        <f>IF(AND(B404&gt;0,K404="")," * No olvide digitar la variable Niños, Niñas, Adolescentes y Jóvenes SENAME. Digite Cero si no tiene.",IF(K404&gt;B404," * La variable Niños, Niñas, Adolescentes y Jóvenes SENAME No puede ser mayor al Total.",""))</f>
        <v/>
      </c>
      <c r="CB404" s="135" t="str">
        <f t="shared" si="316"/>
        <v/>
      </c>
      <c r="CO404" s="1901">
        <f t="shared" si="317"/>
        <v>0</v>
      </c>
      <c r="CP404" s="1901">
        <f t="shared" si="318"/>
        <v>0</v>
      </c>
    </row>
    <row r="405" spans="1:94" x14ac:dyDescent="0.3">
      <c r="A405" s="3112" t="s">
        <v>1023</v>
      </c>
      <c r="B405" s="298"/>
      <c r="C405" s="8"/>
      <c r="D405" s="6"/>
    </row>
    <row r="406" spans="1:94" x14ac:dyDescent="0.3">
      <c r="A406" s="6244" t="s">
        <v>1024</v>
      </c>
      <c r="B406" s="6190" t="s">
        <v>77</v>
      </c>
      <c r="C406" s="6137" t="s">
        <v>29</v>
      </c>
      <c r="D406" s="6187"/>
      <c r="E406" s="6243" t="s">
        <v>34</v>
      </c>
      <c r="F406" s="6190" t="s">
        <v>35</v>
      </c>
    </row>
    <row r="407" spans="1:94" ht="21" customHeight="1" x14ac:dyDescent="0.3">
      <c r="A407" s="6245"/>
      <c r="B407" s="5851"/>
      <c r="C407" s="6186" t="s">
        <v>1002</v>
      </c>
      <c r="D407" s="6250" t="s">
        <v>1003</v>
      </c>
      <c r="E407" s="5759"/>
      <c r="F407" s="5851"/>
    </row>
    <row r="408" spans="1:94" x14ac:dyDescent="0.3">
      <c r="A408" s="6245"/>
      <c r="B408" s="5756"/>
      <c r="C408" s="5835"/>
      <c r="D408" s="6251"/>
      <c r="E408" s="5760"/>
      <c r="F408" s="5756"/>
    </row>
    <row r="409" spans="1:94" x14ac:dyDescent="0.3">
      <c r="A409" s="3061" t="s">
        <v>1025</v>
      </c>
      <c r="B409" s="3079">
        <f>SUM(C409:D409)</f>
        <v>0</v>
      </c>
      <c r="C409" s="770"/>
      <c r="D409" s="476"/>
      <c r="E409" s="477"/>
      <c r="F409" s="797"/>
      <c r="G409" t="str">
        <f>CA409&amp;CB409</f>
        <v/>
      </c>
      <c r="CA409" s="135" t="str">
        <f>IF(AND(B409&gt;0,E409="")," * No olvide digitar la variable Niños, Niñas, Adolescentes y Jóvenes SENAME. Digite Cero si no tiene.",IF(E409&gt;B409," * La variable Niños, Niñas, Adolescentes y Jóvenes SENAME No puede ser mayor al Total.",""))</f>
        <v/>
      </c>
      <c r="CB409" s="135" t="str">
        <f>IF(AND(B409&gt;0,F409="")," * No olvide digitar la variable Niños, Niñas, Adolescentes y Jóvenes Mejor Niñez. Digite Cero si no tiene.",IF(F409&gt;B409," * La variable Niños, Niñas, Adolescentes y Jóvenes Mejor Niñez No puede ser mayor al Total.",""))</f>
        <v/>
      </c>
      <c r="CO409" s="1901">
        <f>IF(AND($B409&gt;0,E409=""),1,IF(E409&gt;$B409,1,0))</f>
        <v>0</v>
      </c>
      <c r="CP409" s="1901">
        <f>IF(AND($B409&gt;0,F409=""),1,IF(F409&gt;$B409,1,0))</f>
        <v>0</v>
      </c>
    </row>
    <row r="410" spans="1:94" x14ac:dyDescent="0.3">
      <c r="A410" s="3058" t="s">
        <v>1026</v>
      </c>
      <c r="B410" s="2960">
        <f>SUM(C410:D410)</f>
        <v>0</v>
      </c>
      <c r="C410" s="346"/>
      <c r="D410" s="481"/>
      <c r="E410" s="348"/>
      <c r="F410" s="813"/>
      <c r="G410" t="str">
        <f t="shared" ref="G410" si="319">CA410&amp;CB410</f>
        <v/>
      </c>
      <c r="CA410" s="135" t="str">
        <f t="shared" ref="CA410:CA411" si="320">IF(AND(B410&gt;0,E410="")," * No olvide digitar la variable Niños, Niñas, Adolescentes y Jóvenes SENAME. Digite Cero si no tiene.",IF(E410&gt;B410," * La variable Niños, Niñas, Adolescentes y Jóvenes SENAME No puede ser mayor al Total.",""))</f>
        <v/>
      </c>
      <c r="CB410" s="135" t="str">
        <f t="shared" ref="CB410:CB411" si="321">IF(AND(B410&gt;0,F410="")," * No olvide digitar la variable Niños, Niñas, Adolescentes y Jóvenes Mejor Niñez. Digite Cero si no tiene.",IF(F410&gt;B410," * La variable Niños, Niñas, Adolescentes y Jóvenes Mejor Niñez No puede ser mayor al Total.",""))</f>
        <v/>
      </c>
      <c r="CO410" s="1901">
        <f t="shared" ref="CO410:CO411" si="322">IF(AND($B410&gt;0,E410=""),1,IF(E410&gt;$B410,1,0))</f>
        <v>0</v>
      </c>
      <c r="CP410" s="1901">
        <f t="shared" ref="CP410:CP411" si="323">IF(AND($B410&gt;0,F410=""),1,IF(F410&gt;$B410,1,0))</f>
        <v>0</v>
      </c>
    </row>
    <row r="411" spans="1:94" x14ac:dyDescent="0.3">
      <c r="A411" s="3106" t="s">
        <v>1027</v>
      </c>
      <c r="B411" s="3113">
        <f>SUM(C411:D411)</f>
        <v>0</v>
      </c>
      <c r="C411" s="380"/>
      <c r="D411" s="392"/>
      <c r="E411" s="429"/>
      <c r="F411" s="799"/>
      <c r="G411" t="str">
        <f>CA411&amp;CB411</f>
        <v/>
      </c>
      <c r="CA411" s="135" t="str">
        <f t="shared" si="320"/>
        <v/>
      </c>
      <c r="CB411" s="135" t="str">
        <f t="shared" si="321"/>
        <v/>
      </c>
      <c r="CO411" s="1901">
        <f t="shared" si="322"/>
        <v>0</v>
      </c>
      <c r="CP411" s="1901">
        <f t="shared" si="323"/>
        <v>0</v>
      </c>
    </row>
    <row r="437" spans="1:2" hidden="1" x14ac:dyDescent="0.3">
      <c r="A437" s="3114">
        <f>SUM(C11:C14,C18:D31,C36:C51,C55:C59,C63:C83,B86,C89,C95:E98,C103:E106,C112:E114,C119:E128,C133:E141,C146:E150,C154:E163,C167:E176,C180:E187,C193:E241,C245:E293,C298:E301,C306:E324,C329:E339,C344:E346,B351:D352,C357:E366,B372:D373,B375:D376,B378:D382,B384:D389,B394:B404,B409:B411)</f>
        <v>0</v>
      </c>
      <c r="B437" s="3115">
        <f>SUM(CO11:CY411)</f>
        <v>0</v>
      </c>
    </row>
  </sheetData>
  <sheetProtection algorithmName="SHA-512" hashValue="2QkrDNuGm2sotBD7yYEgX6MpVTQguAGBEYU8ATfkk2Un+KR/By37DDyAMsVN848aTcVSKWX3EEPGA9WEsB1p4A==" saltValue="+KrKfD6p3hxstlr7QJWdww==" spinCount="100000" sheet="1" objects="1" scenarios="1"/>
  <mergeCells count="583">
    <mergeCell ref="F101:G101"/>
    <mergeCell ref="H101:I101"/>
    <mergeCell ref="J101:K101"/>
    <mergeCell ref="F100:Q100"/>
    <mergeCell ref="AJ93:AK93"/>
    <mergeCell ref="AL93:AM93"/>
    <mergeCell ref="AN93:AO93"/>
    <mergeCell ref="A98:B98"/>
    <mergeCell ref="AD91:AT91"/>
    <mergeCell ref="R93:S93"/>
    <mergeCell ref="T93:U93"/>
    <mergeCell ref="V93:W93"/>
    <mergeCell ref="X93:Y93"/>
    <mergeCell ref="Z93:AA93"/>
    <mergeCell ref="AD93:AE93"/>
    <mergeCell ref="AF93:AG93"/>
    <mergeCell ref="AU91:AU94"/>
    <mergeCell ref="A95:B95"/>
    <mergeCell ref="A96:B96"/>
    <mergeCell ref="A97:B97"/>
    <mergeCell ref="C91:E93"/>
    <mergeCell ref="F91:AC91"/>
    <mergeCell ref="AB93:AC93"/>
    <mergeCell ref="AV91:AV94"/>
    <mergeCell ref="AW91:AW94"/>
    <mergeCell ref="F92:Q92"/>
    <mergeCell ref="R92:W92"/>
    <mergeCell ref="X92:AC92"/>
    <mergeCell ref="AD92:AO92"/>
    <mergeCell ref="AP92:AP94"/>
    <mergeCell ref="AQ92:AQ94"/>
    <mergeCell ref="AR92:AR94"/>
    <mergeCell ref="AS92:AS94"/>
    <mergeCell ref="AT92:AT94"/>
    <mergeCell ref="F93:G93"/>
    <mergeCell ref="H93:I93"/>
    <mergeCell ref="J93:K93"/>
    <mergeCell ref="L93:M93"/>
    <mergeCell ref="N93:O93"/>
    <mergeCell ref="P93:Q93"/>
    <mergeCell ref="A344:B344"/>
    <mergeCell ref="A345:B345"/>
    <mergeCell ref="A346:B346"/>
    <mergeCell ref="M349:N349"/>
    <mergeCell ref="P348:P350"/>
    <mergeCell ref="A348:A350"/>
    <mergeCell ref="B348:D349"/>
    <mergeCell ref="E348:M348"/>
    <mergeCell ref="S348:S350"/>
    <mergeCell ref="E349:F349"/>
    <mergeCell ref="G349:H349"/>
    <mergeCell ref="I349:J349"/>
    <mergeCell ref="K349:L349"/>
    <mergeCell ref="Q348:Q350"/>
    <mergeCell ref="O348:O350"/>
    <mergeCell ref="R348:R350"/>
    <mergeCell ref="A357:A359"/>
    <mergeCell ref="A360:A362"/>
    <mergeCell ref="A363:A366"/>
    <mergeCell ref="AB355:AC355"/>
    <mergeCell ref="AJ355:AJ356"/>
    <mergeCell ref="AK355:AK356"/>
    <mergeCell ref="A354:A356"/>
    <mergeCell ref="B354:B356"/>
    <mergeCell ref="C354:E355"/>
    <mergeCell ref="F355:G355"/>
    <mergeCell ref="H355:I355"/>
    <mergeCell ref="J355:K355"/>
    <mergeCell ref="L355:M355"/>
    <mergeCell ref="N355:O355"/>
    <mergeCell ref="P355:Q355"/>
    <mergeCell ref="R355:S355"/>
    <mergeCell ref="F354:AG354"/>
    <mergeCell ref="AH354:AH356"/>
    <mergeCell ref="T355:U355"/>
    <mergeCell ref="V355:W355"/>
    <mergeCell ref="X355:Y355"/>
    <mergeCell ref="Z355:AA355"/>
    <mergeCell ref="AD355:AE355"/>
    <mergeCell ref="AF355:AG355"/>
    <mergeCell ref="AH341:AI342"/>
    <mergeCell ref="AJ341:AJ343"/>
    <mergeCell ref="AK341:AK343"/>
    <mergeCell ref="F342:G342"/>
    <mergeCell ref="H342:I342"/>
    <mergeCell ref="J342:K342"/>
    <mergeCell ref="L342:M342"/>
    <mergeCell ref="N342:O342"/>
    <mergeCell ref="P342:Q342"/>
    <mergeCell ref="R342:S342"/>
    <mergeCell ref="A333:B333"/>
    <mergeCell ref="A334:B334"/>
    <mergeCell ref="A335:A339"/>
    <mergeCell ref="A341:B343"/>
    <mergeCell ref="C341:E342"/>
    <mergeCell ref="F341:AG341"/>
    <mergeCell ref="T342:U342"/>
    <mergeCell ref="V342:W342"/>
    <mergeCell ref="X342:Y342"/>
    <mergeCell ref="Z342:AA342"/>
    <mergeCell ref="AB342:AC342"/>
    <mergeCell ref="AD342:AE342"/>
    <mergeCell ref="AF342:AG342"/>
    <mergeCell ref="AR326:AS327"/>
    <mergeCell ref="R327:S327"/>
    <mergeCell ref="T327:U327"/>
    <mergeCell ref="V327:W327"/>
    <mergeCell ref="X327:Y327"/>
    <mergeCell ref="AT326:AT328"/>
    <mergeCell ref="A329:A330"/>
    <mergeCell ref="A331:B331"/>
    <mergeCell ref="A332:B332"/>
    <mergeCell ref="Z327:AA327"/>
    <mergeCell ref="AB327:AC327"/>
    <mergeCell ref="AD327:AE327"/>
    <mergeCell ref="AF327:AG327"/>
    <mergeCell ref="AH327:AI327"/>
    <mergeCell ref="AJ327:AK327"/>
    <mergeCell ref="A326:B328"/>
    <mergeCell ref="C326:E327"/>
    <mergeCell ref="F327:G327"/>
    <mergeCell ref="H327:I327"/>
    <mergeCell ref="J327:K327"/>
    <mergeCell ref="L327:M327"/>
    <mergeCell ref="N327:O327"/>
    <mergeCell ref="P327:Q327"/>
    <mergeCell ref="AL327:AM327"/>
    <mergeCell ref="A306:B306"/>
    <mergeCell ref="X304:Y304"/>
    <mergeCell ref="Z304:AA304"/>
    <mergeCell ref="AB304:AC304"/>
    <mergeCell ref="AD304:AE304"/>
    <mergeCell ref="AF304:AG304"/>
    <mergeCell ref="AH304:AI304"/>
    <mergeCell ref="A307:A315"/>
    <mergeCell ref="A316:A324"/>
    <mergeCell ref="A298:A299"/>
    <mergeCell ref="A300:A301"/>
    <mergeCell ref="A303:B305"/>
    <mergeCell ref="C303:E304"/>
    <mergeCell ref="F303:AM303"/>
    <mergeCell ref="AN303:AP303"/>
    <mergeCell ref="P304:Q304"/>
    <mergeCell ref="R304:S304"/>
    <mergeCell ref="T304:U304"/>
    <mergeCell ref="V304:W304"/>
    <mergeCell ref="F304:G304"/>
    <mergeCell ref="H304:I304"/>
    <mergeCell ref="J304:K304"/>
    <mergeCell ref="L304:M304"/>
    <mergeCell ref="N304:O304"/>
    <mergeCell ref="AJ304:AK304"/>
    <mergeCell ref="AL304:AM304"/>
    <mergeCell ref="AN304:AN305"/>
    <mergeCell ref="AO304:AO305"/>
    <mergeCell ref="AP304:AP305"/>
    <mergeCell ref="C295:E296"/>
    <mergeCell ref="F295:AK295"/>
    <mergeCell ref="AL295:AL297"/>
    <mergeCell ref="AM295:AM297"/>
    <mergeCell ref="AN295:AN297"/>
    <mergeCell ref="AO295:AO297"/>
    <mergeCell ref="F296:G296"/>
    <mergeCell ref="H296:I296"/>
    <mergeCell ref="J296:K296"/>
    <mergeCell ref="L296:M296"/>
    <mergeCell ref="Z296:AA296"/>
    <mergeCell ref="AB296:AC296"/>
    <mergeCell ref="AD296:AE296"/>
    <mergeCell ref="AF296:AG296"/>
    <mergeCell ref="AH296:AI296"/>
    <mergeCell ref="AJ296:AK296"/>
    <mergeCell ref="N296:O296"/>
    <mergeCell ref="P296:Q296"/>
    <mergeCell ref="R296:S296"/>
    <mergeCell ref="T296:U296"/>
    <mergeCell ref="V296:W296"/>
    <mergeCell ref="X296:Y296"/>
    <mergeCell ref="A285:B285"/>
    <mergeCell ref="A286:B286"/>
    <mergeCell ref="A287:A291"/>
    <mergeCell ref="A292:B292"/>
    <mergeCell ref="A293:B293"/>
    <mergeCell ref="A295:A297"/>
    <mergeCell ref="B295:B297"/>
    <mergeCell ref="A270:A273"/>
    <mergeCell ref="A274:A278"/>
    <mergeCell ref="A279:A281"/>
    <mergeCell ref="A282:B282"/>
    <mergeCell ref="A283:B283"/>
    <mergeCell ref="A284:B284"/>
    <mergeCell ref="A246:B246"/>
    <mergeCell ref="A251:A252"/>
    <mergeCell ref="A253:B253"/>
    <mergeCell ref="A254:A255"/>
    <mergeCell ref="A257:A264"/>
    <mergeCell ref="A265:A269"/>
    <mergeCell ref="AS243:AT243"/>
    <mergeCell ref="AU243:AU244"/>
    <mergeCell ref="AV243:AV244"/>
    <mergeCell ref="A245:B245"/>
    <mergeCell ref="AH243:AI243"/>
    <mergeCell ref="AJ243:AK243"/>
    <mergeCell ref="AL243:AM243"/>
    <mergeCell ref="AN243:AP243"/>
    <mergeCell ref="AQ243:AQ244"/>
    <mergeCell ref="AR243:AR244"/>
    <mergeCell ref="V243:W243"/>
    <mergeCell ref="X243:Y243"/>
    <mergeCell ref="Z243:AA243"/>
    <mergeCell ref="AB243:AC243"/>
    <mergeCell ref="AD243:AE243"/>
    <mergeCell ref="AF243:AG243"/>
    <mergeCell ref="J243:K243"/>
    <mergeCell ref="L243:M243"/>
    <mergeCell ref="N243:O243"/>
    <mergeCell ref="P243:Q243"/>
    <mergeCell ref="R243:S243"/>
    <mergeCell ref="T243:U243"/>
    <mergeCell ref="A240:B240"/>
    <mergeCell ref="A241:B241"/>
    <mergeCell ref="A243:B244"/>
    <mergeCell ref="C243:E243"/>
    <mergeCell ref="F243:G243"/>
    <mergeCell ref="H243:I243"/>
    <mergeCell ref="A230:B230"/>
    <mergeCell ref="A231:B231"/>
    <mergeCell ref="A232:B232"/>
    <mergeCell ref="A233:B233"/>
    <mergeCell ref="A234:B234"/>
    <mergeCell ref="A235:A239"/>
    <mergeCell ref="A202:A203"/>
    <mergeCell ref="A205:A212"/>
    <mergeCell ref="A213:A217"/>
    <mergeCell ref="A218:A221"/>
    <mergeCell ref="A222:A226"/>
    <mergeCell ref="A227:A229"/>
    <mergeCell ref="AT191:AU191"/>
    <mergeCell ref="AV191:AW191"/>
    <mergeCell ref="A193:B193"/>
    <mergeCell ref="A194:B194"/>
    <mergeCell ref="A199:A200"/>
    <mergeCell ref="A201:B201"/>
    <mergeCell ref="AL191:AM191"/>
    <mergeCell ref="AN191:AN192"/>
    <mergeCell ref="AO191:AO192"/>
    <mergeCell ref="AP191:AQ191"/>
    <mergeCell ref="AR191:AR192"/>
    <mergeCell ref="AS191:AS192"/>
    <mergeCell ref="Z191:AA191"/>
    <mergeCell ref="AB191:AC191"/>
    <mergeCell ref="AD191:AE191"/>
    <mergeCell ref="AF191:AG191"/>
    <mergeCell ref="AH191:AI191"/>
    <mergeCell ref="AJ191:AK191"/>
    <mergeCell ref="A197:A198"/>
    <mergeCell ref="A195:A196"/>
    <mergeCell ref="A191:B192"/>
    <mergeCell ref="C191:E191"/>
    <mergeCell ref="F191:G191"/>
    <mergeCell ref="H191:I191"/>
    <mergeCell ref="J191:K191"/>
    <mergeCell ref="L191:M191"/>
    <mergeCell ref="C178:E178"/>
    <mergeCell ref="F178:G178"/>
    <mergeCell ref="H178:I178"/>
    <mergeCell ref="J178:K178"/>
    <mergeCell ref="L178:M178"/>
    <mergeCell ref="A171:A174"/>
    <mergeCell ref="A175:B175"/>
    <mergeCell ref="A176:B176"/>
    <mergeCell ref="A178:B179"/>
    <mergeCell ref="J165:K165"/>
    <mergeCell ref="L165:M165"/>
    <mergeCell ref="A180:A183"/>
    <mergeCell ref="A184:A187"/>
    <mergeCell ref="N165:P165"/>
    <mergeCell ref="A158:A161"/>
    <mergeCell ref="A162:B162"/>
    <mergeCell ref="A163:B163"/>
    <mergeCell ref="A165:B166"/>
    <mergeCell ref="C165:E165"/>
    <mergeCell ref="F165:G165"/>
    <mergeCell ref="A167:A169"/>
    <mergeCell ref="A170:B170"/>
    <mergeCell ref="A154:A156"/>
    <mergeCell ref="A157:B157"/>
    <mergeCell ref="A148:A149"/>
    <mergeCell ref="A150:B150"/>
    <mergeCell ref="A152:B153"/>
    <mergeCell ref="C152:E152"/>
    <mergeCell ref="F152:G152"/>
    <mergeCell ref="H152:I152"/>
    <mergeCell ref="H165:I165"/>
    <mergeCell ref="A146:B146"/>
    <mergeCell ref="A147:B147"/>
    <mergeCell ref="Z144:AA144"/>
    <mergeCell ref="AB144:AC144"/>
    <mergeCell ref="AD144:AE144"/>
    <mergeCell ref="AF144:AG144"/>
    <mergeCell ref="AH144:AI144"/>
    <mergeCell ref="AJ144:AK144"/>
    <mergeCell ref="J152:K152"/>
    <mergeCell ref="L152:M152"/>
    <mergeCell ref="N152:N153"/>
    <mergeCell ref="O152:O153"/>
    <mergeCell ref="A133:B133"/>
    <mergeCell ref="A134:A141"/>
    <mergeCell ref="A143:B145"/>
    <mergeCell ref="C143:E144"/>
    <mergeCell ref="F143:AM143"/>
    <mergeCell ref="T144:U144"/>
    <mergeCell ref="V144:W144"/>
    <mergeCell ref="X144:Y144"/>
    <mergeCell ref="Z131:AA131"/>
    <mergeCell ref="AB131:AC131"/>
    <mergeCell ref="AD131:AE131"/>
    <mergeCell ref="AF131:AG131"/>
    <mergeCell ref="AH131:AH132"/>
    <mergeCell ref="AI131:AI132"/>
    <mergeCell ref="F144:G144"/>
    <mergeCell ref="H144:I144"/>
    <mergeCell ref="J144:K144"/>
    <mergeCell ref="L144:M144"/>
    <mergeCell ref="N144:O144"/>
    <mergeCell ref="P144:Q144"/>
    <mergeCell ref="R144:S144"/>
    <mergeCell ref="AL144:AM144"/>
    <mergeCell ref="AM130:AM132"/>
    <mergeCell ref="A119:B119"/>
    <mergeCell ref="A120:A127"/>
    <mergeCell ref="A128:B128"/>
    <mergeCell ref="A130:B132"/>
    <mergeCell ref="C130:E131"/>
    <mergeCell ref="F130:AG130"/>
    <mergeCell ref="T131:U131"/>
    <mergeCell ref="V131:W131"/>
    <mergeCell ref="X131:Y131"/>
    <mergeCell ref="F131:G131"/>
    <mergeCell ref="H131:I131"/>
    <mergeCell ref="J131:K131"/>
    <mergeCell ref="L131:M131"/>
    <mergeCell ref="N131:O131"/>
    <mergeCell ref="P131:Q131"/>
    <mergeCell ref="R131:S131"/>
    <mergeCell ref="C116:E117"/>
    <mergeCell ref="A108:B110"/>
    <mergeCell ref="C108:E109"/>
    <mergeCell ref="F116:AG116"/>
    <mergeCell ref="AH116:AH118"/>
    <mergeCell ref="F117:G117"/>
    <mergeCell ref="H117:I117"/>
    <mergeCell ref="J117:K117"/>
    <mergeCell ref="L117:M117"/>
    <mergeCell ref="N117:O117"/>
    <mergeCell ref="P117:Q117"/>
    <mergeCell ref="R117:S117"/>
    <mergeCell ref="AF117:AG117"/>
    <mergeCell ref="T117:U117"/>
    <mergeCell ref="V117:W117"/>
    <mergeCell ref="X117:Y117"/>
    <mergeCell ref="Z117:AA117"/>
    <mergeCell ref="AB117:AC117"/>
    <mergeCell ref="AD117:AE117"/>
    <mergeCell ref="F108:M108"/>
    <mergeCell ref="A111:B111"/>
    <mergeCell ref="F109:G109"/>
    <mergeCell ref="H109:I109"/>
    <mergeCell ref="J109:K109"/>
    <mergeCell ref="A113:B113"/>
    <mergeCell ref="A114:B114"/>
    <mergeCell ref="A116:B118"/>
    <mergeCell ref="A47:A48"/>
    <mergeCell ref="A50:B50"/>
    <mergeCell ref="A51:B51"/>
    <mergeCell ref="A49:B49"/>
    <mergeCell ref="A83:B83"/>
    <mergeCell ref="A81:A82"/>
    <mergeCell ref="A91:B94"/>
    <mergeCell ref="Q61:Q62"/>
    <mergeCell ref="A88:B88"/>
    <mergeCell ref="A89:B89"/>
    <mergeCell ref="C100:E101"/>
    <mergeCell ref="A100:B102"/>
    <mergeCell ref="AI116:AI118"/>
    <mergeCell ref="AH130:AK130"/>
    <mergeCell ref="AL130:AL132"/>
    <mergeCell ref="AJ131:AJ132"/>
    <mergeCell ref="AK131:AK132"/>
    <mergeCell ref="L109:M109"/>
    <mergeCell ref="X100:AC100"/>
    <mergeCell ref="R100:W100"/>
    <mergeCell ref="A73:A74"/>
    <mergeCell ref="AK100:AK102"/>
    <mergeCell ref="AJ100:AJ102"/>
    <mergeCell ref="AL100:AL102"/>
    <mergeCell ref="R101:S101"/>
    <mergeCell ref="T101:U101"/>
    <mergeCell ref="A106:B106"/>
    <mergeCell ref="A105:B105"/>
    <mergeCell ref="A104:B104"/>
    <mergeCell ref="A103:B103"/>
    <mergeCell ref="A112:B112"/>
    <mergeCell ref="AR143:AR145"/>
    <mergeCell ref="A6:P6"/>
    <mergeCell ref="A9:B10"/>
    <mergeCell ref="C9:C10"/>
    <mergeCell ref="O9:O10"/>
    <mergeCell ref="A16:B17"/>
    <mergeCell ref="C16:C17"/>
    <mergeCell ref="D16:D17"/>
    <mergeCell ref="E16:E17"/>
    <mergeCell ref="F16:F17"/>
    <mergeCell ref="D9:N9"/>
    <mergeCell ref="P9:P10"/>
    <mergeCell ref="C61:C62"/>
    <mergeCell ref="D61:P61"/>
    <mergeCell ref="P101:Q101"/>
    <mergeCell ref="N101:O101"/>
    <mergeCell ref="L101:M101"/>
    <mergeCell ref="V101:W101"/>
    <mergeCell ref="X101:Y101"/>
    <mergeCell ref="Z101:AA101"/>
    <mergeCell ref="AB101:AC101"/>
    <mergeCell ref="AD101:AG101"/>
    <mergeCell ref="AH101:AI101"/>
    <mergeCell ref="AD100:AI100"/>
    <mergeCell ref="AX191:AX192"/>
    <mergeCell ref="T348:U349"/>
    <mergeCell ref="Q165:Q166"/>
    <mergeCell ref="R165:R166"/>
    <mergeCell ref="N191:O191"/>
    <mergeCell ref="P191:Q191"/>
    <mergeCell ref="R191:S191"/>
    <mergeCell ref="T191:U191"/>
    <mergeCell ref="V191:W191"/>
    <mergeCell ref="X191:Y191"/>
    <mergeCell ref="P178:P179"/>
    <mergeCell ref="Q178:Q179"/>
    <mergeCell ref="N178:O178"/>
    <mergeCell ref="AW243:AW244"/>
    <mergeCell ref="AX243:AX244"/>
    <mergeCell ref="AQ303:AR304"/>
    <mergeCell ref="AS303:AS305"/>
    <mergeCell ref="AT303:AT305"/>
    <mergeCell ref="AU303:AU305"/>
    <mergeCell ref="AV303:AV305"/>
    <mergeCell ref="AU326:AU328"/>
    <mergeCell ref="AV326:AV328"/>
    <mergeCell ref="AW326:AW328"/>
    <mergeCell ref="F326:AQ326"/>
    <mergeCell ref="A36:B36"/>
    <mergeCell ref="A37:B37"/>
    <mergeCell ref="A57:A58"/>
    <mergeCell ref="A59:B59"/>
    <mergeCell ref="A61:B62"/>
    <mergeCell ref="A63:B63"/>
    <mergeCell ref="A64:B64"/>
    <mergeCell ref="A65:B65"/>
    <mergeCell ref="A66:A72"/>
    <mergeCell ref="Q9:Q10"/>
    <mergeCell ref="A11:B11"/>
    <mergeCell ref="A12:B12"/>
    <mergeCell ref="A13:B13"/>
    <mergeCell ref="A14:B14"/>
    <mergeCell ref="A25:B25"/>
    <mergeCell ref="A18:B18"/>
    <mergeCell ref="A31:B31"/>
    <mergeCell ref="A33:B34"/>
    <mergeCell ref="C33:C34"/>
    <mergeCell ref="D33:P33"/>
    <mergeCell ref="Q33:Q34"/>
    <mergeCell ref="A19:B19"/>
    <mergeCell ref="A20:B20"/>
    <mergeCell ref="A21:B21"/>
    <mergeCell ref="A22:B22"/>
    <mergeCell ref="A23:B23"/>
    <mergeCell ref="A24:B24"/>
    <mergeCell ref="A26:B26"/>
    <mergeCell ref="A27:B27"/>
    <mergeCell ref="A28:B28"/>
    <mergeCell ref="A29:B29"/>
    <mergeCell ref="A30:B30"/>
    <mergeCell ref="AN143:AP143"/>
    <mergeCell ref="AN327:AO327"/>
    <mergeCell ref="AP327:AQ327"/>
    <mergeCell ref="AQ143:AQ145"/>
    <mergeCell ref="AL355:AL356"/>
    <mergeCell ref="R9:R10"/>
    <mergeCell ref="S9:T9"/>
    <mergeCell ref="U9:U10"/>
    <mergeCell ref="R53:R54"/>
    <mergeCell ref="V9:V10"/>
    <mergeCell ref="R33:R34"/>
    <mergeCell ref="S33:S34"/>
    <mergeCell ref="V33:V34"/>
    <mergeCell ref="AN144:AN145"/>
    <mergeCell ref="R61:R62"/>
    <mergeCell ref="AO144:AO145"/>
    <mergeCell ref="AP144:AP145"/>
    <mergeCell ref="AM354:AM356"/>
    <mergeCell ref="AI354:AI356"/>
    <mergeCell ref="AJ354:AL354"/>
    <mergeCell ref="W9:X9"/>
    <mergeCell ref="T33:U33"/>
    <mergeCell ref="S53:T53"/>
    <mergeCell ref="AH93:AI93"/>
    <mergeCell ref="W33:W34"/>
    <mergeCell ref="X33:Z33"/>
    <mergeCell ref="AA33:AA34"/>
    <mergeCell ref="U53:W53"/>
    <mergeCell ref="X53:X54"/>
    <mergeCell ref="A247:A248"/>
    <mergeCell ref="A249:A250"/>
    <mergeCell ref="A368:A370"/>
    <mergeCell ref="B368:D369"/>
    <mergeCell ref="E368:AL368"/>
    <mergeCell ref="AI369:AJ369"/>
    <mergeCell ref="AK369:AL369"/>
    <mergeCell ref="D53:P53"/>
    <mergeCell ref="Q53:Q54"/>
    <mergeCell ref="A38:A44"/>
    <mergeCell ref="A45:A46"/>
    <mergeCell ref="A53:B54"/>
    <mergeCell ref="C53:C54"/>
    <mergeCell ref="A79:A80"/>
    <mergeCell ref="A78:B78"/>
    <mergeCell ref="A77:B77"/>
    <mergeCell ref="A75:A76"/>
    <mergeCell ref="A55:A56"/>
    <mergeCell ref="A35:B35"/>
    <mergeCell ref="AR368:AR370"/>
    <mergeCell ref="AS368:AS370"/>
    <mergeCell ref="E369:F369"/>
    <mergeCell ref="G369:H369"/>
    <mergeCell ref="I369:J369"/>
    <mergeCell ref="K369:L369"/>
    <mergeCell ref="M369:N369"/>
    <mergeCell ref="O369:P369"/>
    <mergeCell ref="Q369:R369"/>
    <mergeCell ref="S369:T369"/>
    <mergeCell ref="U369:V369"/>
    <mergeCell ref="W369:X369"/>
    <mergeCell ref="Y369:Z369"/>
    <mergeCell ref="AA369:AB369"/>
    <mergeCell ref="AC369:AD369"/>
    <mergeCell ref="AE369:AF369"/>
    <mergeCell ref="AG369:AH369"/>
    <mergeCell ref="AM368:AP368"/>
    <mergeCell ref="AQ368:AQ370"/>
    <mergeCell ref="AM369:AM370"/>
    <mergeCell ref="AN369:AN370"/>
    <mergeCell ref="AO369:AO370"/>
    <mergeCell ref="AP369:AP370"/>
    <mergeCell ref="A390:L390"/>
    <mergeCell ref="K391:K393"/>
    <mergeCell ref="L391:L393"/>
    <mergeCell ref="E406:E408"/>
    <mergeCell ref="F406:F408"/>
    <mergeCell ref="A391:A393"/>
    <mergeCell ref="B391:B393"/>
    <mergeCell ref="C391:H391"/>
    <mergeCell ref="I391:J391"/>
    <mergeCell ref="C392:E392"/>
    <mergeCell ref="F392:H392"/>
    <mergeCell ref="I392:I393"/>
    <mergeCell ref="J392:J393"/>
    <mergeCell ref="A406:A408"/>
    <mergeCell ref="B406:B408"/>
    <mergeCell ref="C406:D406"/>
    <mergeCell ref="C407:C408"/>
    <mergeCell ref="D407:D408"/>
    <mergeCell ref="M391:R391"/>
    <mergeCell ref="S391:U391"/>
    <mergeCell ref="M392:M393"/>
    <mergeCell ref="N392:N393"/>
    <mergeCell ref="O392:O393"/>
    <mergeCell ref="P392:P393"/>
    <mergeCell ref="Q392:Q393"/>
    <mergeCell ref="R392:R393"/>
    <mergeCell ref="S392:S393"/>
    <mergeCell ref="T392:T393"/>
    <mergeCell ref="U392:U393"/>
  </mergeCells>
  <dataValidations count="12">
    <dataValidation type="whole" operator="greaterThanOrEqual" allowBlank="1" showInputMessage="1" showErrorMessage="1" sqref="F344:AK346 C18:F31 F357:AM366 D11:X14 B86:D86 F133:AM141 F119:AI128 F111:M114 F154:O156 F158:O161 F146:AR150 D89:E89 F167:R169 F298:AO301 F245:AX245 D55:X59 F193:AX193 D52:U52 F171:R174 F103:AL106 H247:AX247" xr:uid="{00000000-0002-0000-0500-000001000000}">
      <formula1>0</formula1>
    </dataValidation>
    <dataValidation type="whole" allowBlank="1" showInputMessage="1" showErrorMessage="1" sqref="E351:U352 F247:G293 H248:AX293" xr:uid="{1676DE20-759E-4025-B297-6E2F5EFE5DFB}">
      <formula1>0</formula1>
      <formula2>9.99999999999999E+35</formula2>
    </dataValidation>
    <dataValidation type="whole" allowBlank="1" showInputMessage="1" showErrorMessage="1" sqref="F307:AV324 F180:Q182 F184:Q187" xr:uid="{80280D06-ADC7-467B-9CFD-B3A82187DBFD}">
      <formula1>0</formula1>
      <formula2>9.99999999999999E+38</formula2>
    </dataValidation>
    <dataValidation allowBlank="1" showInputMessage="1" showErrorMessage="1" errorTitle="Error de ingreso" error="Debe ingresar sólo números enteros positivos." sqref="AA33:AA34 X33 X53:X54 U53" xr:uid="{BE44FCD2-44C5-4543-B1CE-07511789F317}"/>
    <dataValidation type="whole" operator="greaterThanOrEqual" allowBlank="1" showInputMessage="1" showErrorMessage="1" error="Valor no Permitido" sqref="C399:U399 B384:AS389 B372:AS373 B375:AS376 B378:AS382 K395:U395 B395:B402 C395:I395 B409:B411" xr:uid="{CDE80A49-DFE6-4D3E-B80B-BD1C9F79C663}">
      <formula1>0</formula1>
    </dataValidation>
    <dataValidation type="whole" operator="equal" allowBlank="1" showInputMessage="1" showErrorMessage="1" sqref="C246:AX246 D208 D329 C194:AX194 N37" xr:uid="{8D616405-5CBD-405D-AA06-769AC393917F}">
      <formula1>0</formula1>
    </dataValidation>
    <dataValidation type="whole" operator="equal" allowBlank="1" showInputMessage="1" showErrorMessage="1" error="Valor no Permitido" sqref="B371:AS371 B374:AS374 B377:AS377 B383:AS383 J395" xr:uid="{B60E6065-56B9-4A1A-9866-747E983EC01A}">
      <formula1>0</formula1>
    </dataValidation>
    <dataValidation type="whole" allowBlank="1" showInputMessage="1" showErrorMessage="1" sqref="D36:M51 O36:AA51 N36 N38:N51" xr:uid="{8EA09065-A5D4-4468-B7C4-539474E2BC85}">
      <formula1>0</formula1>
      <formula2>9.99999999999999E+32</formula2>
    </dataValidation>
    <dataValidation type="whole" allowBlank="1" showInputMessage="1" showErrorMessage="1" sqref="D64:R83" xr:uid="{1415FDF0-BCD4-4BF5-A1D9-A856B9E4CD1D}">
      <formula1>0</formula1>
      <formula2>9.99999999999999E+28</formula2>
    </dataValidation>
    <dataValidation type="whole" allowBlank="1" showInputMessage="1" showErrorMessage="1" sqref="F95:AW98" xr:uid="{26ECFDB1-AC2D-431A-9863-56C5DE20F9CC}">
      <formula1>0</formula1>
      <formula2>9.99999999999999E+39</formula2>
    </dataValidation>
    <dataValidation type="whole" allowBlank="1" showInputMessage="1" showErrorMessage="1" sqref="F195:AX241 F329:AW339" xr:uid="{A27D7D4E-70AF-4216-A49A-12DB3BF43390}">
      <formula1>0</formula1>
      <formula2>9.99999999999999E+37</formula2>
    </dataValidation>
    <dataValidation type="whole" allowBlank="1" showInputMessage="1" showErrorMessage="1" sqref="C394:U394 C396:U398 C400:U404 C409:F411" xr:uid="{7B35A322-3F81-448F-BA0F-3806C84984AB}">
      <formula1>0</formula1>
      <formula2>9.99999999999999E+34</formula2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CS205"/>
  <sheetViews>
    <sheetView showGridLines="0" workbookViewId="0"/>
  </sheetViews>
  <sheetFormatPr baseColWidth="10" defaultColWidth="11.44140625" defaultRowHeight="14.4" x14ac:dyDescent="0.3"/>
  <cols>
    <col min="1" max="1" width="48.109375" customWidth="1"/>
    <col min="2" max="2" width="32.109375" customWidth="1"/>
    <col min="3" max="4" width="18.88671875" customWidth="1"/>
    <col min="5" max="5" width="17.109375" customWidth="1"/>
    <col min="6" max="6" width="13.88671875" customWidth="1"/>
    <col min="7" max="7" width="14.109375" customWidth="1"/>
    <col min="8" max="8" width="13.44140625" customWidth="1"/>
    <col min="9" max="9" width="13.33203125" customWidth="1"/>
    <col min="10" max="10" width="12.33203125" customWidth="1"/>
    <col min="11" max="11" width="13.44140625" customWidth="1"/>
    <col min="12" max="13" width="12" customWidth="1"/>
    <col min="18" max="45" width="11.44140625" customWidth="1"/>
    <col min="46" max="46" width="11" customWidth="1"/>
    <col min="47" max="78" width="11.44140625" customWidth="1"/>
    <col min="79" max="91" width="11.44140625" hidden="1" customWidth="1"/>
    <col min="92" max="95" width="12.109375" hidden="1" customWidth="1"/>
    <col min="96" max="96" width="12.33203125" hidden="1" customWidth="1"/>
    <col min="97" max="97" width="11.44140625" hidden="1" customWidth="1"/>
    <col min="98" max="148" width="11.44140625" customWidth="1"/>
  </cols>
  <sheetData>
    <row r="1" spans="1:97" x14ac:dyDescent="0.3">
      <c r="A1" s="50" t="s">
        <v>23</v>
      </c>
    </row>
    <row r="2" spans="1:97" x14ac:dyDescent="0.3">
      <c r="A2" s="50" t="str">
        <f>CONCATENATE("COMUNA: ",NOMBRE!B2, " (",NOMBRE!C2,NOMBRE!D2,NOMBRE!E2,NOMBRE!F2,NOMBRE!G2,")")</f>
        <v>COMUNA:  ()</v>
      </c>
    </row>
    <row r="3" spans="1:97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97" x14ac:dyDescent="0.3">
      <c r="A4" s="50" t="str">
        <f>CONCATENATE("MES: ",NOMBRE!B6, " (",NOMBRE!C6,NOMBRE!D6,")")</f>
        <v>MES:  ()</v>
      </c>
    </row>
    <row r="5" spans="1:97" x14ac:dyDescent="0.3">
      <c r="A5" s="50" t="str">
        <f>CONCATENATE("AÑO: ",NOMBRE!B7)</f>
        <v>AÑO: 2025</v>
      </c>
    </row>
    <row r="6" spans="1:97" s="88" customFormat="1" ht="18" customHeight="1" x14ac:dyDescent="0.25">
      <c r="A6" s="5819" t="s">
        <v>1028</v>
      </c>
      <c r="B6" s="5819"/>
      <c r="C6" s="5819"/>
      <c r="D6" s="5819"/>
      <c r="E6" s="5819"/>
      <c r="F6" s="5819"/>
      <c r="G6" s="5819"/>
      <c r="H6" s="5819"/>
      <c r="I6" s="5819"/>
      <c r="J6" s="5819"/>
      <c r="K6" s="5819"/>
      <c r="L6" s="5819"/>
      <c r="M6" s="5819"/>
      <c r="N6" s="5819"/>
      <c r="O6" s="5819"/>
      <c r="P6" s="5819"/>
      <c r="Q6" s="5819"/>
      <c r="R6" s="5819"/>
      <c r="S6" s="5819"/>
      <c r="T6" s="5819"/>
      <c r="U6" s="5819"/>
      <c r="V6" s="5819"/>
      <c r="W6" s="5819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9"/>
      <c r="AR6" s="9"/>
      <c r="AS6" s="9"/>
      <c r="AT6" s="9"/>
      <c r="AU6" s="9"/>
    </row>
    <row r="8" spans="1:97" s="6" customFormat="1" ht="18" customHeight="1" x14ac:dyDescent="0.25">
      <c r="A8" s="13" t="s">
        <v>1029</v>
      </c>
      <c r="B8" s="1"/>
      <c r="C8" s="1"/>
      <c r="D8" s="1"/>
      <c r="E8" s="1"/>
      <c r="F8" s="1"/>
      <c r="G8" s="1"/>
      <c r="H8" s="1"/>
      <c r="I8" s="1"/>
      <c r="J8" s="1"/>
      <c r="K8" s="14"/>
      <c r="L8" s="1"/>
      <c r="M8" s="1"/>
      <c r="N8" s="1"/>
      <c r="O8" s="8"/>
      <c r="P8" s="8"/>
      <c r="Q8" s="8"/>
      <c r="R8" s="8"/>
      <c r="S8" s="8"/>
      <c r="T8" s="8"/>
      <c r="U8" s="8"/>
      <c r="V8" s="1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5"/>
      <c r="AQ8" s="5"/>
      <c r="AR8" s="5"/>
      <c r="AS8" s="5"/>
      <c r="AT8" s="5"/>
      <c r="AU8" s="5"/>
      <c r="AV8" s="4"/>
    </row>
    <row r="9" spans="1:97" ht="15" customHeight="1" x14ac:dyDescent="0.3">
      <c r="A9" s="6176" t="s">
        <v>219</v>
      </c>
      <c r="B9" s="6176" t="s">
        <v>27</v>
      </c>
      <c r="C9" s="5944" t="s">
        <v>452</v>
      </c>
      <c r="D9" s="6242"/>
      <c r="E9" s="6243"/>
      <c r="F9" s="6436" t="s">
        <v>101</v>
      </c>
      <c r="G9" s="6247"/>
      <c r="H9" s="6247"/>
      <c r="I9" s="6247"/>
      <c r="J9" s="6247"/>
      <c r="K9" s="6247"/>
      <c r="L9" s="6247"/>
      <c r="M9" s="6247"/>
      <c r="N9" s="6247"/>
      <c r="O9" s="6247"/>
      <c r="P9" s="6247"/>
      <c r="Q9" s="6247"/>
      <c r="R9" s="6247"/>
      <c r="S9" s="6247"/>
      <c r="T9" s="6247"/>
      <c r="U9" s="6247"/>
      <c r="V9" s="6247"/>
      <c r="W9" s="6247"/>
      <c r="X9" s="6247"/>
      <c r="Y9" s="6247"/>
      <c r="Z9" s="6247"/>
      <c r="AA9" s="6247"/>
      <c r="AB9" s="6247"/>
      <c r="AC9" s="6247"/>
      <c r="AD9" s="6247"/>
      <c r="AE9" s="6247"/>
      <c r="AF9" s="6247"/>
      <c r="AG9" s="6247"/>
      <c r="AH9" s="6247"/>
      <c r="AI9" s="6247"/>
      <c r="AJ9" s="6247"/>
      <c r="AK9" s="6247"/>
      <c r="AL9" s="6247"/>
      <c r="AM9" s="6187"/>
      <c r="AN9" s="6249" t="s">
        <v>597</v>
      </c>
      <c r="AO9" s="6377" t="s">
        <v>34</v>
      </c>
      <c r="AP9" s="6377" t="s">
        <v>35</v>
      </c>
      <c r="AQ9" s="6243" t="s">
        <v>36</v>
      </c>
      <c r="AR9" s="6224" t="s">
        <v>37</v>
      </c>
      <c r="AS9" s="6243" t="s">
        <v>1030</v>
      </c>
      <c r="AT9" s="6307" t="s">
        <v>1031</v>
      </c>
      <c r="AU9" s="6308"/>
      <c r="AV9" s="6190" t="s">
        <v>1032</v>
      </c>
    </row>
    <row r="10" spans="1:97" x14ac:dyDescent="0.3">
      <c r="A10" s="6082"/>
      <c r="B10" s="6082"/>
      <c r="C10" s="5796"/>
      <c r="D10" s="5882"/>
      <c r="E10" s="6435"/>
      <c r="F10" s="6436" t="s">
        <v>343</v>
      </c>
      <c r="G10" s="6183"/>
      <c r="H10" s="6436" t="s">
        <v>326</v>
      </c>
      <c r="I10" s="6183"/>
      <c r="J10" s="6436" t="s">
        <v>94</v>
      </c>
      <c r="K10" s="6183"/>
      <c r="L10" s="6436" t="s">
        <v>44</v>
      </c>
      <c r="M10" s="6183"/>
      <c r="N10" s="6436" t="s">
        <v>45</v>
      </c>
      <c r="O10" s="6183"/>
      <c r="P10" s="6437" t="s">
        <v>46</v>
      </c>
      <c r="Q10" s="6180"/>
      <c r="R10" s="6437" t="s">
        <v>47</v>
      </c>
      <c r="S10" s="6180"/>
      <c r="T10" s="6437" t="s">
        <v>48</v>
      </c>
      <c r="U10" s="6180"/>
      <c r="V10" s="6437" t="s">
        <v>49</v>
      </c>
      <c r="W10" s="6180"/>
      <c r="X10" s="6437" t="s">
        <v>50</v>
      </c>
      <c r="Y10" s="6180"/>
      <c r="Z10" s="6437" t="s">
        <v>51</v>
      </c>
      <c r="AA10" s="6180"/>
      <c r="AB10" s="6437" t="s">
        <v>52</v>
      </c>
      <c r="AC10" s="6180"/>
      <c r="AD10" s="6437" t="s">
        <v>53</v>
      </c>
      <c r="AE10" s="6180"/>
      <c r="AF10" s="6437" t="s">
        <v>54</v>
      </c>
      <c r="AG10" s="6180"/>
      <c r="AH10" s="6437" t="s">
        <v>55</v>
      </c>
      <c r="AI10" s="6180"/>
      <c r="AJ10" s="6437" t="s">
        <v>56</v>
      </c>
      <c r="AK10" s="6180"/>
      <c r="AL10" s="6437" t="s">
        <v>57</v>
      </c>
      <c r="AM10" s="6179"/>
      <c r="AN10" s="5766"/>
      <c r="AO10" s="6118"/>
      <c r="AP10" s="6118"/>
      <c r="AQ10" s="5759"/>
      <c r="AR10" s="5837"/>
      <c r="AS10" s="5759"/>
      <c r="AT10" s="6438" t="s">
        <v>462</v>
      </c>
      <c r="AU10" s="6206" t="s">
        <v>463</v>
      </c>
      <c r="AV10" s="5851"/>
    </row>
    <row r="11" spans="1:97" ht="19.5" customHeight="1" x14ac:dyDescent="0.3">
      <c r="A11" s="5772"/>
      <c r="B11" s="5772"/>
      <c r="C11" s="464" t="s">
        <v>79</v>
      </c>
      <c r="D11" s="739" t="s">
        <v>58</v>
      </c>
      <c r="E11" s="90" t="s">
        <v>59</v>
      </c>
      <c r="F11" s="767" t="s">
        <v>58</v>
      </c>
      <c r="G11" s="90" t="s">
        <v>59</v>
      </c>
      <c r="H11" s="767" t="s">
        <v>58</v>
      </c>
      <c r="I11" s="90" t="s">
        <v>59</v>
      </c>
      <c r="J11" s="767" t="s">
        <v>58</v>
      </c>
      <c r="K11" s="90" t="s">
        <v>59</v>
      </c>
      <c r="L11" s="767" t="s">
        <v>58</v>
      </c>
      <c r="M11" s="90" t="s">
        <v>59</v>
      </c>
      <c r="N11" s="767" t="s">
        <v>58</v>
      </c>
      <c r="O11" s="90" t="s">
        <v>59</v>
      </c>
      <c r="P11" s="767" t="s">
        <v>58</v>
      </c>
      <c r="Q11" s="90" t="s">
        <v>59</v>
      </c>
      <c r="R11" s="767" t="s">
        <v>58</v>
      </c>
      <c r="S11" s="90" t="s">
        <v>59</v>
      </c>
      <c r="T11" s="767" t="s">
        <v>58</v>
      </c>
      <c r="U11" s="90" t="s">
        <v>59</v>
      </c>
      <c r="V11" s="767" t="s">
        <v>58</v>
      </c>
      <c r="W11" s="90" t="s">
        <v>59</v>
      </c>
      <c r="X11" s="767" t="s">
        <v>58</v>
      </c>
      <c r="Y11" s="90" t="s">
        <v>59</v>
      </c>
      <c r="Z11" s="767" t="s">
        <v>58</v>
      </c>
      <c r="AA11" s="90" t="s">
        <v>59</v>
      </c>
      <c r="AB11" s="767" t="s">
        <v>58</v>
      </c>
      <c r="AC11" s="90" t="s">
        <v>59</v>
      </c>
      <c r="AD11" s="767" t="s">
        <v>58</v>
      </c>
      <c r="AE11" s="90" t="s">
        <v>59</v>
      </c>
      <c r="AF11" s="767" t="s">
        <v>58</v>
      </c>
      <c r="AG11" s="90" t="s">
        <v>59</v>
      </c>
      <c r="AH11" s="767" t="s">
        <v>58</v>
      </c>
      <c r="AI11" s="90" t="s">
        <v>59</v>
      </c>
      <c r="AJ11" s="767" t="s">
        <v>58</v>
      </c>
      <c r="AK11" s="90" t="s">
        <v>59</v>
      </c>
      <c r="AL11" s="767" t="s">
        <v>58</v>
      </c>
      <c r="AM11" s="12" t="s">
        <v>59</v>
      </c>
      <c r="AN11" s="5767"/>
      <c r="AO11" s="5818"/>
      <c r="AP11" s="5818"/>
      <c r="AQ11" s="6435"/>
      <c r="AR11" s="5838"/>
      <c r="AS11" s="6435"/>
      <c r="AT11" s="6438"/>
      <c r="AU11" s="6206"/>
      <c r="AV11" s="5756"/>
    </row>
    <row r="12" spans="1:97" ht="15" customHeight="1" x14ac:dyDescent="0.3">
      <c r="A12" s="6185" t="s">
        <v>1033</v>
      </c>
      <c r="B12" s="768" t="s">
        <v>64</v>
      </c>
      <c r="C12" s="756">
        <f>SUM(D12+E12)</f>
        <v>0</v>
      </c>
      <c r="D12" s="769">
        <f>SUM(F12+H12+J12+L12+N12+P12+R12+T12+V12+X12+Z12+AB12+AD12+AF12+AH12+AJ12+AL12)</f>
        <v>0</v>
      </c>
      <c r="E12" s="621">
        <f>SUM(G12+I12+K12+M12+O12+Q12+S12+U12+W12+Y12+AA12+AC12+AE12+AG12+AI12+AK12+AM12)</f>
        <v>0</v>
      </c>
      <c r="F12" s="770"/>
      <c r="G12" s="576"/>
      <c r="H12" s="770"/>
      <c r="I12" s="576"/>
      <c r="J12" s="770"/>
      <c r="K12" s="771"/>
      <c r="L12" s="770"/>
      <c r="M12" s="771"/>
      <c r="N12" s="770"/>
      <c r="O12" s="771"/>
      <c r="P12" s="770"/>
      <c r="Q12" s="771"/>
      <c r="R12" s="770"/>
      <c r="S12" s="771"/>
      <c r="T12" s="770"/>
      <c r="U12" s="771"/>
      <c r="V12" s="770"/>
      <c r="W12" s="771"/>
      <c r="X12" s="770"/>
      <c r="Y12" s="771"/>
      <c r="Z12" s="770"/>
      <c r="AA12" s="771"/>
      <c r="AB12" s="770"/>
      <c r="AC12" s="771"/>
      <c r="AD12" s="770"/>
      <c r="AE12" s="771"/>
      <c r="AF12" s="770"/>
      <c r="AG12" s="771"/>
      <c r="AH12" s="770"/>
      <c r="AI12" s="771"/>
      <c r="AJ12" s="770"/>
      <c r="AK12" s="771"/>
      <c r="AL12" s="772"/>
      <c r="AM12" s="759"/>
      <c r="AN12" s="758"/>
      <c r="AO12" s="773"/>
      <c r="AP12" s="773"/>
      <c r="AQ12" s="576"/>
      <c r="AR12" s="477"/>
      <c r="AS12" s="576"/>
      <c r="AT12" s="770"/>
      <c r="AU12" s="771"/>
      <c r="AV12" s="576"/>
      <c r="AW12" t="str">
        <f>CA12&amp;CB12&amp;CC12&amp;CD12&amp;CE12&amp;CF12&amp;CG12&amp;CH12&amp;CI12</f>
        <v/>
      </c>
      <c r="CA12" s="3024" t="str">
        <f>IF(AND($C12&gt;0,AN12="")," * No olvide digitar la variable Beneficiarios. Digite Cero si no tiene.",IF(AN12&gt;$C12," * La variable Beneficiarios No puede ser mayor al Total Ambos Sexos.",""))</f>
        <v/>
      </c>
      <c r="CB12" s="3024" t="str">
        <f>IF(AND($C12&gt;0,AO12="")," * No olvide digitar la variable Niños, Niñas, adolescentes y Jóvenes SENAME. Digite Cero si no tiene.",IF(AO12&gt;$C12," * La variable Niños, Niñas, adolescentes y Jóvenes SENAME No puede ser mayor al Total Ambos Sexos.",""))</f>
        <v/>
      </c>
      <c r="CC12" s="3024" t="str">
        <f>IF(AND($C12&gt;0,AP12="")," * No olvide digitar la variable Niños, Niñas, adolescentes y Jóvenes Mejor Niñez. Digite Cero si no tiene.",IF(AP12&gt;$C12," * La variable Niños, Niñas, adolescentes y Jóvenes Mejor Niñez No puede ser mayor al Total Ambos Sexos.",""))</f>
        <v/>
      </c>
      <c r="CD12" s="3024" t="str">
        <f>IF(AND($C12&gt;0,AQ12="")," * No olvide digitar la variable Pueblos originarios. Digite Cero si no tiene.",IF(AQ12&gt;$C12," * La variable Pueblos Originarios No puede ser mayor al Total Ambos Sexos.",""))</f>
        <v/>
      </c>
      <c r="CE12" s="3024" t="str">
        <f>IF(AND($C12&gt;0,AR12="")," * No olvide digitar la variable Migrantes. Digite Cero si no tiene.",IF(AR12&gt;$C12," * La variable Migrantes No puede ser mayor al Total Ambos Sexos.",""))</f>
        <v/>
      </c>
      <c r="CF12" s="3024" t="str">
        <f>IF(AND($C12&gt;0,AS12="")," * No olvide digitar la variable Demencia. Digite Cero si no tiene.",IF(AS12&gt;$C12," * La variable Demencia No puede ser mayor al Total Ambos Sexos.",""))</f>
        <v/>
      </c>
      <c r="CG12" s="3024" t="str">
        <f>IF(AND($E12&gt;0,OR(AT12=""))," * No olvide digitar la variable Trans (Masculino). Digite Cero si no tiene.",IF((AT12)&gt;$E12," * La variable Trans (Masculino) No puede ser mayor al Total Mujeres.",""))</f>
        <v/>
      </c>
      <c r="CH12" s="3024" t="str">
        <f>IF(AND(D12&gt;0,OR(AU12=""))," * No olvide digitar la variable Trans (Femenino). Digite Cero si no tiene.",IF((AU12)&gt;D12," * La variable Trans (Femenino) No puede ser mayor al Total Hombres.",""))</f>
        <v/>
      </c>
      <c r="CI12" s="3024" t="str">
        <f>IF(AND($C12&gt;0,AV12="")," * No olvide digitar la variable Cuidadores de personas con demencia. Digite Cero si no tiene.",IF(AV12&gt;$C12," * La variable Cuidadores de personas con demencia No puede ser mayor al Total Ambos Sexos.",""))</f>
        <v/>
      </c>
      <c r="CK12" s="1901">
        <f t="shared" ref="CK12:CP12" si="0">IF(AND($C12&gt;0,AN12=""),1,IF(AN12&gt;$C12,1,0))</f>
        <v>0</v>
      </c>
      <c r="CL12" s="1901">
        <f t="shared" si="0"/>
        <v>0</v>
      </c>
      <c r="CM12" s="1901">
        <f t="shared" si="0"/>
        <v>0</v>
      </c>
      <c r="CN12" s="1901">
        <f t="shared" si="0"/>
        <v>0</v>
      </c>
      <c r="CO12" s="1901">
        <f t="shared" si="0"/>
        <v>0</v>
      </c>
      <c r="CP12" s="1901">
        <f t="shared" si="0"/>
        <v>0</v>
      </c>
      <c r="CQ12" s="1901">
        <f>IF(AND($E12&gt;0,OR(AT12="")),1,IF((AT12)&gt;$E12,1,0))</f>
        <v>0</v>
      </c>
      <c r="CR12" s="1901">
        <f>IF(AND($D12&gt;0,OR(AU12="")),1,IF((AU12)&gt;$D12,1,0))</f>
        <v>0</v>
      </c>
      <c r="CS12" s="1901">
        <f>IF(AND($C12&gt;0,AV12=""),1,IF(AV12&gt;$C12,1,0))</f>
        <v>0</v>
      </c>
    </row>
    <row r="13" spans="1:97" ht="15" customHeight="1" x14ac:dyDescent="0.3">
      <c r="A13" s="5844"/>
      <c r="B13" s="333" t="s">
        <v>1034</v>
      </c>
      <c r="C13" s="760">
        <f t="shared" ref="C13:C26" si="1">SUM(D13+E13)</f>
        <v>0</v>
      </c>
      <c r="D13" s="774">
        <f t="shared" ref="D13:E26" si="2">SUM(F13+H13+J13+L13+N13+P13+R13+T13+V13+X13+Z13+AB13+AD13+AF13+AH13+AJ13+AL13)</f>
        <v>0</v>
      </c>
      <c r="E13" s="345">
        <f t="shared" si="2"/>
        <v>0</v>
      </c>
      <c r="F13" s="346"/>
      <c r="G13" s="347"/>
      <c r="H13" s="346"/>
      <c r="I13" s="347"/>
      <c r="J13" s="346"/>
      <c r="K13" s="350"/>
      <c r="L13" s="346"/>
      <c r="M13" s="350"/>
      <c r="N13" s="346"/>
      <c r="O13" s="350"/>
      <c r="P13" s="346"/>
      <c r="Q13" s="350"/>
      <c r="R13" s="346"/>
      <c r="S13" s="350"/>
      <c r="T13" s="346"/>
      <c r="U13" s="350"/>
      <c r="V13" s="346"/>
      <c r="W13" s="350"/>
      <c r="X13" s="346"/>
      <c r="Y13" s="350"/>
      <c r="Z13" s="346"/>
      <c r="AA13" s="350"/>
      <c r="AB13" s="346"/>
      <c r="AC13" s="350"/>
      <c r="AD13" s="346"/>
      <c r="AE13" s="350"/>
      <c r="AF13" s="346"/>
      <c r="AG13" s="350"/>
      <c r="AH13" s="346"/>
      <c r="AI13" s="350"/>
      <c r="AJ13" s="346"/>
      <c r="AK13" s="350"/>
      <c r="AL13" s="351"/>
      <c r="AM13" s="352"/>
      <c r="AN13" s="430"/>
      <c r="AO13" s="369"/>
      <c r="AP13" s="369"/>
      <c r="AQ13" s="347"/>
      <c r="AR13" s="348"/>
      <c r="AS13" s="347"/>
      <c r="AT13" s="346"/>
      <c r="AU13" s="350"/>
      <c r="AV13" s="347"/>
      <c r="AW13" t="str">
        <f t="shared" ref="AW13:AW26" si="3">CA13&amp;CB13&amp;CC13&amp;CD13&amp;CE13&amp;CF13&amp;CG13&amp;CH13&amp;CI13</f>
        <v/>
      </c>
      <c r="CA13" s="3024" t="str">
        <f t="shared" ref="CA13:CA21" si="4">IF(AND($C13&gt;0,AN13="")," * No olvide digitar la variable Beneficiarios. Digite Cero si no tiene.",IF(AN13&gt;$C13," * La variable Beneficiarios No puede ser mayor al Total Ambos Sexos.",""))</f>
        <v/>
      </c>
      <c r="CB13" s="3024" t="str">
        <f t="shared" ref="CB13:CB21" si="5">IF(AND($C13&gt;0,AO13="")," * No olvide digitar la variable Niños, Niñas, adolescentes y Jóvenes SENAME. Digite Cero si no tiene.",IF(AO13&gt;$C13," * La variable Niños, Niñas, adolescentes y Jóvenes SENAME No puede ser mayor al Total Ambos Sexos.",""))</f>
        <v/>
      </c>
      <c r="CC13" s="3024" t="str">
        <f t="shared" ref="CC13:CC21" si="6">IF(AND($C13&gt;0,AP13="")," * No olvide digitar la variable Niños, Niñas, adolescentes y Jóvenes Mejor Niñez. Digite Cero si no tiene.",IF(AP13&gt;$C13," * La variable Niños, Niñas, adolescentes y Jóvenes Mejor Niñez No puede ser mayor al Total Ambos Sexos.",""))</f>
        <v/>
      </c>
      <c r="CD13" s="3024" t="str">
        <f t="shared" ref="CD13:CD21" si="7">IF(AND($C13&gt;0,AQ13="")," * No olvide digitar la variable Pueblos originarios. Digite Cero si no tiene.",IF(AQ13&gt;$C13," * La variable Pueblos Originarios No puede ser mayor al Total Ambos Sexos.",""))</f>
        <v/>
      </c>
      <c r="CE13" s="3024" t="str">
        <f t="shared" ref="CE13:CE21" si="8">IF(AND($C13&gt;0,AR13="")," * No olvide digitar la variable Migrantes. Digite Cero si no tiene.",IF(AR13&gt;$C13," * La variable Migrantes No puede ser mayor al Total Ambos Sexos.",""))</f>
        <v/>
      </c>
      <c r="CF13" s="3024" t="str">
        <f t="shared" ref="CF13:CF21" si="9">IF(AND($C13&gt;0,AS13="")," * No olvide digitar la variable Demencia. Digite Cero si no tiene.",IF(AS13&gt;$C13," * La variable Demencia No puede ser mayor al Total Ambos Sexos.",""))</f>
        <v/>
      </c>
      <c r="CG13" s="3024" t="str">
        <f t="shared" ref="CG13:CG21" si="10">IF(AND($E13&gt;0,OR(AT13=""))," * No olvide digitar la variable Trans (Masculino). Digite Cero si no tiene.",IF((AT13)&gt;$E13," * La variable Trans (Masculino) No puede ser mayor al Total Mujeres.",""))</f>
        <v/>
      </c>
      <c r="CH13" s="3024" t="str">
        <f t="shared" ref="CH13:CH21" si="11">IF(AND(D13&gt;0,OR(AU13=""))," * No olvide digitar la variable Trans (Femenino). Digite Cero si no tiene.",IF((AU13)&gt;D13," * La variable Trans (Femenino) No puede ser mayor al Total Hombres.",""))</f>
        <v/>
      </c>
      <c r="CI13" s="3024" t="str">
        <f t="shared" ref="CI13:CI21" si="12">IF(AND($C13&gt;0,AV13="")," * No olvide digitar la variable Cuidadores de personas con demencia. Digite Cero si no tiene.",IF(AV13&gt;$C13," * La variable Cuidadores de personas con demencia No puede ser mayor al Total Ambos Sexos.",""))</f>
        <v/>
      </c>
      <c r="CK13" s="1901">
        <f t="shared" ref="CK13:CK21" si="13">IF(AND(C13&gt;0,AN13=""),1,IF(AN13&gt;C13,1,0))</f>
        <v>0</v>
      </c>
      <c r="CL13" s="1901">
        <f t="shared" ref="CL13:CL21" si="14">IF(AND(C13&gt;0,AO13=""),1,IF(AO13&gt;C13,1,0))</f>
        <v>0</v>
      </c>
      <c r="CM13" s="1901">
        <f t="shared" ref="CM13:CM21" si="15">IF(AND(C13&gt;0,AP13=""),1,IF(AP13&gt;C13,1,0))</f>
        <v>0</v>
      </c>
      <c r="CN13" s="1901">
        <f t="shared" ref="CN13:CN21" si="16">IF(AND(C13&gt;0,AQ13=""),1,IF(AQ13&gt;C13,1,0))</f>
        <v>0</v>
      </c>
      <c r="CO13" s="1901">
        <f t="shared" ref="CO13:CO21" si="17">IF(AND(C13&gt;0,AR13=""),1,IF(AR13&gt;C13,1,0))</f>
        <v>0</v>
      </c>
      <c r="CP13" s="1901">
        <f t="shared" ref="CP13:CP21" si="18">IF(AND(C13&gt;0,AS13=""),1,IF(AS13&gt;C13,1,0))</f>
        <v>0</v>
      </c>
      <c r="CQ13" s="1901">
        <f t="shared" ref="CQ13:CQ21" si="19">IF(AND(E13&gt;0,OR(AT13="")),1,IF((AT13)&gt;E13,1,0))</f>
        <v>0</v>
      </c>
      <c r="CR13" s="1901">
        <f t="shared" ref="CR13:CR21" si="20">IF(AND(D13&gt;0,OR(AU13="")),1,IF((AU13)&gt;D13,1,0))</f>
        <v>0</v>
      </c>
      <c r="CS13" s="1901">
        <f t="shared" ref="CS13:CS26" si="21">IF(AND($C13&gt;0,AV13=""),1,IF(AV13&gt;$C13,1,0))</f>
        <v>0</v>
      </c>
    </row>
    <row r="14" spans="1:97" ht="15" customHeight="1" x14ac:dyDescent="0.3">
      <c r="A14" s="5844"/>
      <c r="B14" s="333" t="s">
        <v>98</v>
      </c>
      <c r="C14" s="760">
        <f t="shared" si="1"/>
        <v>0</v>
      </c>
      <c r="D14" s="774">
        <f t="shared" si="2"/>
        <v>0</v>
      </c>
      <c r="E14" s="345">
        <f t="shared" si="2"/>
        <v>0</v>
      </c>
      <c r="F14" s="346"/>
      <c r="G14" s="347"/>
      <c r="H14" s="346"/>
      <c r="I14" s="347"/>
      <c r="J14" s="346"/>
      <c r="K14" s="350"/>
      <c r="L14" s="346"/>
      <c r="M14" s="350"/>
      <c r="N14" s="346"/>
      <c r="O14" s="350"/>
      <c r="P14" s="346"/>
      <c r="Q14" s="350"/>
      <c r="R14" s="346"/>
      <c r="S14" s="350"/>
      <c r="T14" s="346"/>
      <c r="U14" s="350"/>
      <c r="V14" s="346"/>
      <c r="W14" s="350"/>
      <c r="X14" s="346"/>
      <c r="Y14" s="350"/>
      <c r="Z14" s="346"/>
      <c r="AA14" s="350"/>
      <c r="AB14" s="346"/>
      <c r="AC14" s="350"/>
      <c r="AD14" s="346"/>
      <c r="AE14" s="350"/>
      <c r="AF14" s="346"/>
      <c r="AG14" s="350"/>
      <c r="AH14" s="346"/>
      <c r="AI14" s="350"/>
      <c r="AJ14" s="346"/>
      <c r="AK14" s="350"/>
      <c r="AL14" s="351"/>
      <c r="AM14" s="352"/>
      <c r="AN14" s="430"/>
      <c r="AO14" s="369"/>
      <c r="AP14" s="369"/>
      <c r="AQ14" s="347"/>
      <c r="AR14" s="348"/>
      <c r="AS14" s="347"/>
      <c r="AT14" s="346"/>
      <c r="AU14" s="350"/>
      <c r="AV14" s="347"/>
      <c r="AW14" t="str">
        <f t="shared" si="3"/>
        <v/>
      </c>
      <c r="CA14" s="3024" t="str">
        <f t="shared" si="4"/>
        <v/>
      </c>
      <c r="CB14" s="3024" t="str">
        <f t="shared" si="5"/>
        <v/>
      </c>
      <c r="CC14" s="3024" t="str">
        <f t="shared" si="6"/>
        <v/>
      </c>
      <c r="CD14" s="3024" t="str">
        <f t="shared" si="7"/>
        <v/>
      </c>
      <c r="CE14" s="3024" t="str">
        <f t="shared" si="8"/>
        <v/>
      </c>
      <c r="CF14" s="3024" t="str">
        <f t="shared" si="9"/>
        <v/>
      </c>
      <c r="CG14" s="3024" t="str">
        <f t="shared" si="10"/>
        <v/>
      </c>
      <c r="CH14" s="3024" t="str">
        <f t="shared" si="11"/>
        <v/>
      </c>
      <c r="CI14" s="3024" t="str">
        <f t="shared" si="12"/>
        <v/>
      </c>
      <c r="CK14" s="1901">
        <f t="shared" si="13"/>
        <v>0</v>
      </c>
      <c r="CL14" s="1901">
        <f t="shared" si="14"/>
        <v>0</v>
      </c>
      <c r="CM14" s="1901">
        <f t="shared" si="15"/>
        <v>0</v>
      </c>
      <c r="CN14" s="1901">
        <f t="shared" si="16"/>
        <v>0</v>
      </c>
      <c r="CO14" s="1901">
        <f t="shared" si="17"/>
        <v>0</v>
      </c>
      <c r="CP14" s="1901">
        <f t="shared" si="18"/>
        <v>0</v>
      </c>
      <c r="CQ14" s="1901">
        <f t="shared" si="19"/>
        <v>0</v>
      </c>
      <c r="CR14" s="1901">
        <f t="shared" si="20"/>
        <v>0</v>
      </c>
      <c r="CS14" s="1901">
        <f t="shared" si="21"/>
        <v>0</v>
      </c>
    </row>
    <row r="15" spans="1:97" ht="15" customHeight="1" x14ac:dyDescent="0.3">
      <c r="A15" s="5844"/>
      <c r="B15" s="333" t="s">
        <v>65</v>
      </c>
      <c r="C15" s="760">
        <f t="shared" si="1"/>
        <v>0</v>
      </c>
      <c r="D15" s="774">
        <f t="shared" si="2"/>
        <v>0</v>
      </c>
      <c r="E15" s="345">
        <f t="shared" si="2"/>
        <v>0</v>
      </c>
      <c r="F15" s="346"/>
      <c r="G15" s="347"/>
      <c r="H15" s="346"/>
      <c r="I15" s="347"/>
      <c r="J15" s="346"/>
      <c r="K15" s="350"/>
      <c r="L15" s="346"/>
      <c r="M15" s="350"/>
      <c r="N15" s="346"/>
      <c r="O15" s="350"/>
      <c r="P15" s="346"/>
      <c r="Q15" s="350"/>
      <c r="R15" s="346"/>
      <c r="S15" s="350"/>
      <c r="T15" s="346"/>
      <c r="U15" s="350"/>
      <c r="V15" s="346"/>
      <c r="W15" s="350"/>
      <c r="X15" s="346"/>
      <c r="Y15" s="350"/>
      <c r="Z15" s="346"/>
      <c r="AA15" s="350"/>
      <c r="AB15" s="346"/>
      <c r="AC15" s="350"/>
      <c r="AD15" s="346"/>
      <c r="AE15" s="350"/>
      <c r="AF15" s="346"/>
      <c r="AG15" s="350"/>
      <c r="AH15" s="346"/>
      <c r="AI15" s="350"/>
      <c r="AJ15" s="346"/>
      <c r="AK15" s="350"/>
      <c r="AL15" s="351"/>
      <c r="AM15" s="352"/>
      <c r="AN15" s="430"/>
      <c r="AO15" s="369"/>
      <c r="AP15" s="369"/>
      <c r="AQ15" s="347"/>
      <c r="AR15" s="348"/>
      <c r="AS15" s="347"/>
      <c r="AT15" s="346"/>
      <c r="AU15" s="350"/>
      <c r="AV15" s="347"/>
      <c r="AW15" t="str">
        <f t="shared" si="3"/>
        <v/>
      </c>
      <c r="CA15" s="3024" t="str">
        <f t="shared" si="4"/>
        <v/>
      </c>
      <c r="CB15" s="3024" t="str">
        <f t="shared" si="5"/>
        <v/>
      </c>
      <c r="CC15" s="3024" t="str">
        <f t="shared" si="6"/>
        <v/>
      </c>
      <c r="CD15" s="3024" t="str">
        <f t="shared" si="7"/>
        <v/>
      </c>
      <c r="CE15" s="3024" t="str">
        <f t="shared" si="8"/>
        <v/>
      </c>
      <c r="CF15" s="3024" t="str">
        <f t="shared" si="9"/>
        <v/>
      </c>
      <c r="CG15" s="3024" t="str">
        <f t="shared" si="10"/>
        <v/>
      </c>
      <c r="CH15" s="3024" t="str">
        <f t="shared" si="11"/>
        <v/>
      </c>
      <c r="CI15" s="3024" t="str">
        <f t="shared" si="12"/>
        <v/>
      </c>
      <c r="CK15" s="1901">
        <f t="shared" si="13"/>
        <v>0</v>
      </c>
      <c r="CL15" s="1901">
        <f t="shared" si="14"/>
        <v>0</v>
      </c>
      <c r="CM15" s="1901">
        <f t="shared" si="15"/>
        <v>0</v>
      </c>
      <c r="CN15" s="1901">
        <f t="shared" si="16"/>
        <v>0</v>
      </c>
      <c r="CO15" s="1901">
        <f t="shared" si="17"/>
        <v>0</v>
      </c>
      <c r="CP15" s="1901">
        <f t="shared" si="18"/>
        <v>0</v>
      </c>
      <c r="CQ15" s="1901">
        <f t="shared" si="19"/>
        <v>0</v>
      </c>
      <c r="CR15" s="1901">
        <f t="shared" si="20"/>
        <v>0</v>
      </c>
      <c r="CS15" s="1901">
        <f t="shared" si="21"/>
        <v>0</v>
      </c>
    </row>
    <row r="16" spans="1:97" ht="15" customHeight="1" x14ac:dyDescent="0.3">
      <c r="A16" s="5844"/>
      <c r="B16" s="333" t="s">
        <v>1035</v>
      </c>
      <c r="C16" s="760">
        <f t="shared" si="1"/>
        <v>0</v>
      </c>
      <c r="D16" s="774">
        <f t="shared" si="2"/>
        <v>0</v>
      </c>
      <c r="E16" s="345">
        <f t="shared" si="2"/>
        <v>0</v>
      </c>
      <c r="F16" s="346"/>
      <c r="G16" s="347"/>
      <c r="H16" s="346"/>
      <c r="I16" s="347"/>
      <c r="J16" s="346"/>
      <c r="K16" s="350"/>
      <c r="L16" s="346"/>
      <c r="M16" s="350"/>
      <c r="N16" s="346"/>
      <c r="O16" s="350"/>
      <c r="P16" s="346"/>
      <c r="Q16" s="350"/>
      <c r="R16" s="346"/>
      <c r="S16" s="350"/>
      <c r="T16" s="346"/>
      <c r="U16" s="350"/>
      <c r="V16" s="346"/>
      <c r="W16" s="350"/>
      <c r="X16" s="346"/>
      <c r="Y16" s="350"/>
      <c r="Z16" s="346"/>
      <c r="AA16" s="350"/>
      <c r="AB16" s="346"/>
      <c r="AC16" s="350"/>
      <c r="AD16" s="346"/>
      <c r="AE16" s="350"/>
      <c r="AF16" s="346"/>
      <c r="AG16" s="350"/>
      <c r="AH16" s="346"/>
      <c r="AI16" s="350"/>
      <c r="AJ16" s="346"/>
      <c r="AK16" s="350"/>
      <c r="AL16" s="351"/>
      <c r="AM16" s="352"/>
      <c r="AN16" s="430"/>
      <c r="AO16" s="369"/>
      <c r="AP16" s="369"/>
      <c r="AQ16" s="347"/>
      <c r="AR16" s="348"/>
      <c r="AS16" s="347"/>
      <c r="AT16" s="346"/>
      <c r="AU16" s="350"/>
      <c r="AV16" s="347"/>
      <c r="AW16" t="str">
        <f t="shared" si="3"/>
        <v/>
      </c>
      <c r="CA16" s="3024" t="str">
        <f t="shared" si="4"/>
        <v/>
      </c>
      <c r="CB16" s="3024" t="str">
        <f t="shared" si="5"/>
        <v/>
      </c>
      <c r="CC16" s="3024" t="str">
        <f t="shared" si="6"/>
        <v/>
      </c>
      <c r="CD16" s="3024" t="str">
        <f t="shared" si="7"/>
        <v/>
      </c>
      <c r="CE16" s="3024" t="str">
        <f t="shared" si="8"/>
        <v/>
      </c>
      <c r="CF16" s="3024" t="str">
        <f t="shared" si="9"/>
        <v/>
      </c>
      <c r="CG16" s="3024" t="str">
        <f t="shared" si="10"/>
        <v/>
      </c>
      <c r="CH16" s="3024" t="str">
        <f t="shared" si="11"/>
        <v/>
      </c>
      <c r="CI16" s="3024" t="str">
        <f t="shared" si="12"/>
        <v/>
      </c>
      <c r="CK16" s="1901">
        <f t="shared" si="13"/>
        <v>0</v>
      </c>
      <c r="CL16" s="1901">
        <f t="shared" si="14"/>
        <v>0</v>
      </c>
      <c r="CM16" s="1901">
        <f t="shared" si="15"/>
        <v>0</v>
      </c>
      <c r="CN16" s="1901">
        <f t="shared" si="16"/>
        <v>0</v>
      </c>
      <c r="CO16" s="1901">
        <f t="shared" si="17"/>
        <v>0</v>
      </c>
      <c r="CP16" s="1901">
        <f t="shared" si="18"/>
        <v>0</v>
      </c>
      <c r="CQ16" s="1901">
        <f t="shared" si="19"/>
        <v>0</v>
      </c>
      <c r="CR16" s="1901">
        <f t="shared" si="20"/>
        <v>0</v>
      </c>
      <c r="CS16" s="1901">
        <f t="shared" si="21"/>
        <v>0</v>
      </c>
    </row>
    <row r="17" spans="1:97" ht="20.399999999999999" x14ac:dyDescent="0.3">
      <c r="A17" s="5844"/>
      <c r="B17" s="333" t="s">
        <v>1036</v>
      </c>
      <c r="C17" s="760">
        <f t="shared" si="1"/>
        <v>0</v>
      </c>
      <c r="D17" s="774">
        <f t="shared" si="2"/>
        <v>0</v>
      </c>
      <c r="E17" s="345">
        <f t="shared" si="2"/>
        <v>0</v>
      </c>
      <c r="F17" s="346"/>
      <c r="G17" s="347"/>
      <c r="H17" s="346"/>
      <c r="I17" s="347"/>
      <c r="J17" s="346"/>
      <c r="K17" s="350"/>
      <c r="L17" s="346"/>
      <c r="M17" s="350"/>
      <c r="N17" s="346"/>
      <c r="O17" s="350"/>
      <c r="P17" s="346"/>
      <c r="Q17" s="350"/>
      <c r="R17" s="346"/>
      <c r="S17" s="350"/>
      <c r="T17" s="346"/>
      <c r="U17" s="350"/>
      <c r="V17" s="346"/>
      <c r="W17" s="350"/>
      <c r="X17" s="346"/>
      <c r="Y17" s="350"/>
      <c r="Z17" s="346"/>
      <c r="AA17" s="350"/>
      <c r="AB17" s="346"/>
      <c r="AC17" s="350"/>
      <c r="AD17" s="346"/>
      <c r="AE17" s="350"/>
      <c r="AF17" s="346"/>
      <c r="AG17" s="350"/>
      <c r="AH17" s="346"/>
      <c r="AI17" s="350"/>
      <c r="AJ17" s="346"/>
      <c r="AK17" s="350"/>
      <c r="AL17" s="351"/>
      <c r="AM17" s="352"/>
      <c r="AN17" s="430"/>
      <c r="AO17" s="369"/>
      <c r="AP17" s="369"/>
      <c r="AQ17" s="347"/>
      <c r="AR17" s="348"/>
      <c r="AS17" s="347"/>
      <c r="AT17" s="346"/>
      <c r="AU17" s="350"/>
      <c r="AV17" s="347"/>
      <c r="AW17" t="str">
        <f t="shared" si="3"/>
        <v/>
      </c>
      <c r="CA17" s="3024" t="str">
        <f t="shared" si="4"/>
        <v/>
      </c>
      <c r="CB17" s="3024" t="str">
        <f t="shared" si="5"/>
        <v/>
      </c>
      <c r="CC17" s="3024" t="str">
        <f t="shared" si="6"/>
        <v/>
      </c>
      <c r="CD17" s="3024" t="str">
        <f t="shared" si="7"/>
        <v/>
      </c>
      <c r="CE17" s="3024" t="str">
        <f t="shared" si="8"/>
        <v/>
      </c>
      <c r="CF17" s="3024" t="str">
        <f t="shared" si="9"/>
        <v/>
      </c>
      <c r="CG17" s="3024" t="str">
        <f t="shared" si="10"/>
        <v/>
      </c>
      <c r="CH17" s="3024" t="str">
        <f t="shared" si="11"/>
        <v/>
      </c>
      <c r="CI17" s="3024" t="str">
        <f t="shared" si="12"/>
        <v/>
      </c>
      <c r="CK17" s="1901">
        <f t="shared" si="13"/>
        <v>0</v>
      </c>
      <c r="CL17" s="1901">
        <f t="shared" si="14"/>
        <v>0</v>
      </c>
      <c r="CM17" s="1901">
        <f t="shared" si="15"/>
        <v>0</v>
      </c>
      <c r="CN17" s="1901">
        <f t="shared" si="16"/>
        <v>0</v>
      </c>
      <c r="CO17" s="1901">
        <f t="shared" si="17"/>
        <v>0</v>
      </c>
      <c r="CP17" s="1901">
        <f t="shared" si="18"/>
        <v>0</v>
      </c>
      <c r="CQ17" s="1901">
        <f t="shared" si="19"/>
        <v>0</v>
      </c>
      <c r="CR17" s="1901">
        <f t="shared" si="20"/>
        <v>0</v>
      </c>
      <c r="CS17" s="1901">
        <f t="shared" si="21"/>
        <v>0</v>
      </c>
    </row>
    <row r="18" spans="1:97" ht="15" customHeight="1" x14ac:dyDescent="0.3">
      <c r="A18" s="5844"/>
      <c r="B18" s="333" t="s">
        <v>1037</v>
      </c>
      <c r="C18" s="202">
        <f t="shared" si="1"/>
        <v>0</v>
      </c>
      <c r="D18" s="775">
        <f t="shared" si="2"/>
        <v>0</v>
      </c>
      <c r="E18" s="10">
        <f t="shared" si="2"/>
        <v>0</v>
      </c>
      <c r="F18" s="192"/>
      <c r="G18" s="2"/>
      <c r="H18" s="192"/>
      <c r="I18" s="2"/>
      <c r="J18" s="192"/>
      <c r="K18" s="383"/>
      <c r="L18" s="192"/>
      <c r="M18" s="383"/>
      <c r="N18" s="192"/>
      <c r="O18" s="383"/>
      <c r="P18" s="192"/>
      <c r="Q18" s="383"/>
      <c r="R18" s="192"/>
      <c r="S18" s="383"/>
      <c r="T18" s="192"/>
      <c r="U18" s="383"/>
      <c r="V18" s="192"/>
      <c r="W18" s="383"/>
      <c r="X18" s="192"/>
      <c r="Y18" s="383"/>
      <c r="Z18" s="192"/>
      <c r="AA18" s="383"/>
      <c r="AB18" s="192"/>
      <c r="AC18" s="383"/>
      <c r="AD18" s="192"/>
      <c r="AE18" s="383"/>
      <c r="AF18" s="192"/>
      <c r="AG18" s="383"/>
      <c r="AH18" s="192"/>
      <c r="AI18" s="383"/>
      <c r="AJ18" s="192"/>
      <c r="AK18" s="383"/>
      <c r="AL18" s="776"/>
      <c r="AM18" s="384"/>
      <c r="AN18" s="377"/>
      <c r="AO18" s="594"/>
      <c r="AP18" s="594"/>
      <c r="AQ18" s="2"/>
      <c r="AR18" s="482"/>
      <c r="AS18" s="2"/>
      <c r="AT18" s="192"/>
      <c r="AU18" s="383"/>
      <c r="AV18" s="2"/>
      <c r="AW18" t="str">
        <f t="shared" si="3"/>
        <v/>
      </c>
      <c r="CA18" s="3024" t="str">
        <f t="shared" si="4"/>
        <v/>
      </c>
      <c r="CB18" s="3024" t="str">
        <f t="shared" si="5"/>
        <v/>
      </c>
      <c r="CC18" s="3024" t="str">
        <f t="shared" si="6"/>
        <v/>
      </c>
      <c r="CD18" s="3024" t="str">
        <f t="shared" si="7"/>
        <v/>
      </c>
      <c r="CE18" s="3024" t="str">
        <f t="shared" si="8"/>
        <v/>
      </c>
      <c r="CF18" s="3024" t="str">
        <f t="shared" si="9"/>
        <v/>
      </c>
      <c r="CG18" s="3024" t="str">
        <f t="shared" si="10"/>
        <v/>
      </c>
      <c r="CH18" s="3024" t="str">
        <f t="shared" si="11"/>
        <v/>
      </c>
      <c r="CI18" s="3024" t="str">
        <f t="shared" si="12"/>
        <v/>
      </c>
      <c r="CK18" s="1901">
        <f t="shared" si="13"/>
        <v>0</v>
      </c>
      <c r="CL18" s="1901">
        <f t="shared" si="14"/>
        <v>0</v>
      </c>
      <c r="CM18" s="1901">
        <f t="shared" si="15"/>
        <v>0</v>
      </c>
      <c r="CN18" s="1901">
        <f t="shared" si="16"/>
        <v>0</v>
      </c>
      <c r="CO18" s="1901">
        <f t="shared" si="17"/>
        <v>0</v>
      </c>
      <c r="CP18" s="1901">
        <f t="shared" si="18"/>
        <v>0</v>
      </c>
      <c r="CQ18" s="1901">
        <f t="shared" si="19"/>
        <v>0</v>
      </c>
      <c r="CR18" s="1901">
        <f t="shared" si="20"/>
        <v>0</v>
      </c>
      <c r="CS18" s="1901">
        <f t="shared" si="21"/>
        <v>0</v>
      </c>
    </row>
    <row r="19" spans="1:97" x14ac:dyDescent="0.3">
      <c r="A19" s="5844"/>
      <c r="B19" s="333" t="s">
        <v>1038</v>
      </c>
      <c r="C19" s="202">
        <f t="shared" si="1"/>
        <v>0</v>
      </c>
      <c r="D19" s="775">
        <f t="shared" si="2"/>
        <v>0</v>
      </c>
      <c r="E19" s="10">
        <f t="shared" si="2"/>
        <v>0</v>
      </c>
      <c r="F19" s="192"/>
      <c r="G19" s="2"/>
      <c r="H19" s="192"/>
      <c r="I19" s="2"/>
      <c r="J19" s="192"/>
      <c r="K19" s="383"/>
      <c r="L19" s="192"/>
      <c r="M19" s="383"/>
      <c r="N19" s="192"/>
      <c r="O19" s="383"/>
      <c r="P19" s="192"/>
      <c r="Q19" s="383"/>
      <c r="R19" s="192"/>
      <c r="S19" s="383"/>
      <c r="T19" s="192"/>
      <c r="U19" s="383"/>
      <c r="V19" s="192"/>
      <c r="W19" s="383"/>
      <c r="X19" s="192"/>
      <c r="Y19" s="383"/>
      <c r="Z19" s="192"/>
      <c r="AA19" s="383"/>
      <c r="AB19" s="192"/>
      <c r="AC19" s="383"/>
      <c r="AD19" s="192"/>
      <c r="AE19" s="383"/>
      <c r="AF19" s="192"/>
      <c r="AG19" s="383"/>
      <c r="AH19" s="192"/>
      <c r="AI19" s="383"/>
      <c r="AJ19" s="192"/>
      <c r="AK19" s="383"/>
      <c r="AL19" s="776"/>
      <c r="AM19" s="384"/>
      <c r="AN19" s="377"/>
      <c r="AO19" s="594"/>
      <c r="AP19" s="594"/>
      <c r="AQ19" s="2"/>
      <c r="AR19" s="482"/>
      <c r="AS19" s="2"/>
      <c r="AT19" s="192"/>
      <c r="AU19" s="383"/>
      <c r="AV19" s="2"/>
      <c r="AW19" t="str">
        <f t="shared" si="3"/>
        <v/>
      </c>
      <c r="CA19" s="3024" t="str">
        <f t="shared" si="4"/>
        <v/>
      </c>
      <c r="CB19" s="3024" t="str">
        <f t="shared" si="5"/>
        <v/>
      </c>
      <c r="CC19" s="3024" t="str">
        <f t="shared" si="6"/>
        <v/>
      </c>
      <c r="CD19" s="3024" t="str">
        <f t="shared" si="7"/>
        <v/>
      </c>
      <c r="CE19" s="3024" t="str">
        <f t="shared" si="8"/>
        <v/>
      </c>
      <c r="CF19" s="3024" t="str">
        <f t="shared" si="9"/>
        <v/>
      </c>
      <c r="CG19" s="3024" t="str">
        <f t="shared" si="10"/>
        <v/>
      </c>
      <c r="CH19" s="3024" t="str">
        <f t="shared" si="11"/>
        <v/>
      </c>
      <c r="CI19" s="3024" t="str">
        <f t="shared" si="12"/>
        <v/>
      </c>
      <c r="CK19" s="1901">
        <f t="shared" si="13"/>
        <v>0</v>
      </c>
      <c r="CL19" s="1901">
        <f t="shared" si="14"/>
        <v>0</v>
      </c>
      <c r="CM19" s="1901">
        <f t="shared" si="15"/>
        <v>0</v>
      </c>
      <c r="CN19" s="1901">
        <f t="shared" si="16"/>
        <v>0</v>
      </c>
      <c r="CO19" s="1901">
        <f t="shared" si="17"/>
        <v>0</v>
      </c>
      <c r="CP19" s="1901">
        <f t="shared" si="18"/>
        <v>0</v>
      </c>
      <c r="CQ19" s="1901">
        <f t="shared" si="19"/>
        <v>0</v>
      </c>
      <c r="CR19" s="1901">
        <f t="shared" si="20"/>
        <v>0</v>
      </c>
      <c r="CS19" s="1901">
        <f t="shared" si="21"/>
        <v>0</v>
      </c>
    </row>
    <row r="20" spans="1:97" ht="15" customHeight="1" x14ac:dyDescent="0.3">
      <c r="A20" s="5844"/>
      <c r="B20" s="333" t="s">
        <v>1039</v>
      </c>
      <c r="C20" s="202">
        <f t="shared" si="1"/>
        <v>0</v>
      </c>
      <c r="D20" s="775">
        <f t="shared" si="2"/>
        <v>0</v>
      </c>
      <c r="E20" s="10">
        <f t="shared" si="2"/>
        <v>0</v>
      </c>
      <c r="F20" s="192"/>
      <c r="G20" s="2"/>
      <c r="H20" s="192"/>
      <c r="I20" s="2"/>
      <c r="J20" s="192"/>
      <c r="K20" s="383"/>
      <c r="L20" s="192"/>
      <c r="M20" s="383"/>
      <c r="N20" s="192"/>
      <c r="O20" s="383"/>
      <c r="P20" s="192"/>
      <c r="Q20" s="383"/>
      <c r="R20" s="192"/>
      <c r="S20" s="383"/>
      <c r="T20" s="192"/>
      <c r="U20" s="383"/>
      <c r="V20" s="192"/>
      <c r="W20" s="383"/>
      <c r="X20" s="192"/>
      <c r="Y20" s="383"/>
      <c r="Z20" s="192"/>
      <c r="AA20" s="383"/>
      <c r="AB20" s="192"/>
      <c r="AC20" s="383"/>
      <c r="AD20" s="192"/>
      <c r="AE20" s="383"/>
      <c r="AF20" s="192"/>
      <c r="AG20" s="383"/>
      <c r="AH20" s="192"/>
      <c r="AI20" s="383"/>
      <c r="AJ20" s="192"/>
      <c r="AK20" s="383"/>
      <c r="AL20" s="776"/>
      <c r="AM20" s="384"/>
      <c r="AN20" s="377"/>
      <c r="AO20" s="594"/>
      <c r="AP20" s="594"/>
      <c r="AQ20" s="2"/>
      <c r="AR20" s="482"/>
      <c r="AS20" s="2"/>
      <c r="AT20" s="192"/>
      <c r="AU20" s="383"/>
      <c r="AV20" s="2"/>
      <c r="AW20" t="str">
        <f t="shared" si="3"/>
        <v/>
      </c>
      <c r="CA20" s="3024" t="str">
        <f t="shared" si="4"/>
        <v/>
      </c>
      <c r="CB20" s="3024" t="str">
        <f t="shared" si="5"/>
        <v/>
      </c>
      <c r="CC20" s="3024" t="str">
        <f t="shared" si="6"/>
        <v/>
      </c>
      <c r="CD20" s="3024" t="str">
        <f t="shared" si="7"/>
        <v/>
      </c>
      <c r="CE20" s="3024" t="str">
        <f t="shared" si="8"/>
        <v/>
      </c>
      <c r="CF20" s="3024" t="str">
        <f t="shared" si="9"/>
        <v/>
      </c>
      <c r="CG20" s="3024" t="str">
        <f t="shared" si="10"/>
        <v/>
      </c>
      <c r="CH20" s="3024" t="str">
        <f t="shared" si="11"/>
        <v/>
      </c>
      <c r="CI20" s="3024" t="str">
        <f t="shared" si="12"/>
        <v/>
      </c>
      <c r="CK20" s="1901">
        <f t="shared" si="13"/>
        <v>0</v>
      </c>
      <c r="CL20" s="1901">
        <f t="shared" si="14"/>
        <v>0</v>
      </c>
      <c r="CM20" s="1901">
        <f t="shared" si="15"/>
        <v>0</v>
      </c>
      <c r="CN20" s="1901">
        <f t="shared" si="16"/>
        <v>0</v>
      </c>
      <c r="CO20" s="1901">
        <f t="shared" si="17"/>
        <v>0</v>
      </c>
      <c r="CP20" s="1901">
        <f t="shared" si="18"/>
        <v>0</v>
      </c>
      <c r="CQ20" s="1901">
        <f t="shared" si="19"/>
        <v>0</v>
      </c>
      <c r="CR20" s="1901">
        <f t="shared" si="20"/>
        <v>0</v>
      </c>
      <c r="CS20" s="1901">
        <f t="shared" si="21"/>
        <v>0</v>
      </c>
    </row>
    <row r="21" spans="1:97" x14ac:dyDescent="0.3">
      <c r="A21" s="5844"/>
      <c r="B21" s="333" t="s">
        <v>1040</v>
      </c>
      <c r="C21" s="202">
        <f t="shared" si="1"/>
        <v>0</v>
      </c>
      <c r="D21" s="725">
        <f t="shared" si="2"/>
        <v>0</v>
      </c>
      <c r="E21" s="10">
        <f t="shared" si="2"/>
        <v>0</v>
      </c>
      <c r="F21" s="192"/>
      <c r="G21" s="2"/>
      <c r="H21" s="192"/>
      <c r="I21" s="2"/>
      <c r="J21" s="192"/>
      <c r="K21" s="383"/>
      <c r="L21" s="192"/>
      <c r="M21" s="383"/>
      <c r="N21" s="192"/>
      <c r="O21" s="383"/>
      <c r="P21" s="192"/>
      <c r="Q21" s="383"/>
      <c r="R21" s="192"/>
      <c r="S21" s="383"/>
      <c r="T21" s="192"/>
      <c r="U21" s="383"/>
      <c r="V21" s="192"/>
      <c r="W21" s="383"/>
      <c r="X21" s="192"/>
      <c r="Y21" s="383"/>
      <c r="Z21" s="192"/>
      <c r="AA21" s="383"/>
      <c r="AB21" s="192"/>
      <c r="AC21" s="383"/>
      <c r="AD21" s="192"/>
      <c r="AE21" s="383"/>
      <c r="AF21" s="192"/>
      <c r="AG21" s="383"/>
      <c r="AH21" s="192"/>
      <c r="AI21" s="383"/>
      <c r="AJ21" s="192"/>
      <c r="AK21" s="383"/>
      <c r="AL21" s="776"/>
      <c r="AM21" s="384"/>
      <c r="AN21" s="377"/>
      <c r="AO21" s="594"/>
      <c r="AP21" s="594"/>
      <c r="AQ21" s="2"/>
      <c r="AR21" s="482"/>
      <c r="AS21" s="2"/>
      <c r="AT21" s="192"/>
      <c r="AU21" s="383"/>
      <c r="AV21" s="2"/>
      <c r="AW21" t="str">
        <f t="shared" si="3"/>
        <v/>
      </c>
      <c r="CA21" s="3024" t="str">
        <f t="shared" si="4"/>
        <v/>
      </c>
      <c r="CB21" s="3024" t="str">
        <f t="shared" si="5"/>
        <v/>
      </c>
      <c r="CC21" s="3024" t="str">
        <f t="shared" si="6"/>
        <v/>
      </c>
      <c r="CD21" s="3024" t="str">
        <f t="shared" si="7"/>
        <v/>
      </c>
      <c r="CE21" s="3024" t="str">
        <f t="shared" si="8"/>
        <v/>
      </c>
      <c r="CF21" s="3024" t="str">
        <f t="shared" si="9"/>
        <v/>
      </c>
      <c r="CG21" s="3024" t="str">
        <f t="shared" si="10"/>
        <v/>
      </c>
      <c r="CH21" s="3024" t="str">
        <f t="shared" si="11"/>
        <v/>
      </c>
      <c r="CI21" s="3024" t="str">
        <f t="shared" si="12"/>
        <v/>
      </c>
      <c r="CK21" s="1901">
        <f t="shared" si="13"/>
        <v>0</v>
      </c>
      <c r="CL21" s="1901">
        <f t="shared" si="14"/>
        <v>0</v>
      </c>
      <c r="CM21" s="1901">
        <f t="shared" si="15"/>
        <v>0</v>
      </c>
      <c r="CN21" s="1901">
        <f t="shared" si="16"/>
        <v>0</v>
      </c>
      <c r="CO21" s="1901">
        <f t="shared" si="17"/>
        <v>0</v>
      </c>
      <c r="CP21" s="1901">
        <f t="shared" si="18"/>
        <v>0</v>
      </c>
      <c r="CQ21" s="1901">
        <f t="shared" si="19"/>
        <v>0</v>
      </c>
      <c r="CR21" s="1901">
        <f t="shared" si="20"/>
        <v>0</v>
      </c>
      <c r="CS21" s="1901">
        <f t="shared" si="21"/>
        <v>0</v>
      </c>
    </row>
    <row r="22" spans="1:97" ht="15" customHeight="1" x14ac:dyDescent="0.3">
      <c r="A22" s="5791"/>
      <c r="B22" s="777" t="s">
        <v>77</v>
      </c>
      <c r="C22" s="778">
        <f>SUM(D22+E22)</f>
        <v>0</v>
      </c>
      <c r="D22" s="625">
        <f t="shared" si="2"/>
        <v>0</v>
      </c>
      <c r="E22" s="626">
        <f>SUM(G22+I22+K22+M22+O22+Q22+S22+U22+W22+Y22+AA22+AC22+AE22+AG22+AI22+AK22+AM22)</f>
        <v>0</v>
      </c>
      <c r="F22" s="779">
        <f>SUM(F12:F21)</f>
        <v>0</v>
      </c>
      <c r="G22" s="515">
        <f t="shared" ref="G22:AS22" si="22">SUM(G12:G21)</f>
        <v>0</v>
      </c>
      <c r="H22" s="779">
        <f t="shared" si="22"/>
        <v>0</v>
      </c>
      <c r="I22" s="515">
        <f t="shared" si="22"/>
        <v>0</v>
      </c>
      <c r="J22" s="779">
        <f t="shared" si="22"/>
        <v>0</v>
      </c>
      <c r="K22" s="586">
        <f t="shared" si="22"/>
        <v>0</v>
      </c>
      <c r="L22" s="779">
        <f t="shared" si="22"/>
        <v>0</v>
      </c>
      <c r="M22" s="586">
        <f t="shared" si="22"/>
        <v>0</v>
      </c>
      <c r="N22" s="779">
        <f t="shared" si="22"/>
        <v>0</v>
      </c>
      <c r="O22" s="586">
        <f t="shared" si="22"/>
        <v>0</v>
      </c>
      <c r="P22" s="779">
        <f t="shared" si="22"/>
        <v>0</v>
      </c>
      <c r="Q22" s="586">
        <f t="shared" si="22"/>
        <v>0</v>
      </c>
      <c r="R22" s="779">
        <f t="shared" si="22"/>
        <v>0</v>
      </c>
      <c r="S22" s="586">
        <f t="shared" si="22"/>
        <v>0</v>
      </c>
      <c r="T22" s="779">
        <f t="shared" si="22"/>
        <v>0</v>
      </c>
      <c r="U22" s="586">
        <f t="shared" si="22"/>
        <v>0</v>
      </c>
      <c r="V22" s="779">
        <f t="shared" si="22"/>
        <v>0</v>
      </c>
      <c r="W22" s="586">
        <f t="shared" si="22"/>
        <v>0</v>
      </c>
      <c r="X22" s="779">
        <f t="shared" si="22"/>
        <v>0</v>
      </c>
      <c r="Y22" s="586">
        <f t="shared" si="22"/>
        <v>0</v>
      </c>
      <c r="Z22" s="779">
        <f t="shared" si="22"/>
        <v>0</v>
      </c>
      <c r="AA22" s="586">
        <f t="shared" si="22"/>
        <v>0</v>
      </c>
      <c r="AB22" s="779">
        <f t="shared" si="22"/>
        <v>0</v>
      </c>
      <c r="AC22" s="586">
        <f t="shared" si="22"/>
        <v>0</v>
      </c>
      <c r="AD22" s="779">
        <f t="shared" si="22"/>
        <v>0</v>
      </c>
      <c r="AE22" s="586">
        <f t="shared" si="22"/>
        <v>0</v>
      </c>
      <c r="AF22" s="779">
        <f t="shared" si="22"/>
        <v>0</v>
      </c>
      <c r="AG22" s="586">
        <f t="shared" si="22"/>
        <v>0</v>
      </c>
      <c r="AH22" s="779">
        <f t="shared" si="22"/>
        <v>0</v>
      </c>
      <c r="AI22" s="586">
        <f t="shared" si="22"/>
        <v>0</v>
      </c>
      <c r="AJ22" s="779">
        <f t="shared" si="22"/>
        <v>0</v>
      </c>
      <c r="AK22" s="586">
        <f t="shared" si="22"/>
        <v>0</v>
      </c>
      <c r="AL22" s="780">
        <f t="shared" si="22"/>
        <v>0</v>
      </c>
      <c r="AM22" s="513">
        <f t="shared" si="22"/>
        <v>0</v>
      </c>
      <c r="AN22" s="514">
        <f t="shared" si="22"/>
        <v>0</v>
      </c>
      <c r="AO22" s="512">
        <f t="shared" si="22"/>
        <v>0</v>
      </c>
      <c r="AP22" s="512">
        <f>SUM(AP12:AP21)</f>
        <v>0</v>
      </c>
      <c r="AQ22" s="515">
        <f t="shared" si="22"/>
        <v>0</v>
      </c>
      <c r="AR22" s="572">
        <f t="shared" si="22"/>
        <v>0</v>
      </c>
      <c r="AS22" s="515">
        <f t="shared" si="22"/>
        <v>0</v>
      </c>
      <c r="AT22" s="779">
        <f>SUM(AT12:AT21)</f>
        <v>0</v>
      </c>
      <c r="AU22" s="586">
        <f>SUM(AU12:AU21)</f>
        <v>0</v>
      </c>
      <c r="AV22" s="515">
        <f>SUM(AV12:AV21)</f>
        <v>0</v>
      </c>
    </row>
    <row r="23" spans="1:97" ht="15" customHeight="1" x14ac:dyDescent="0.3">
      <c r="A23" s="6439" t="s">
        <v>1041</v>
      </c>
      <c r="B23" s="6327"/>
      <c r="C23" s="781">
        <f t="shared" si="1"/>
        <v>0</v>
      </c>
      <c r="D23" s="782">
        <f t="shared" si="2"/>
        <v>0</v>
      </c>
      <c r="E23" s="626">
        <f t="shared" si="2"/>
        <v>0</v>
      </c>
      <c r="F23" s="783"/>
      <c r="G23" s="508"/>
      <c r="H23" s="783"/>
      <c r="I23" s="508"/>
      <c r="J23" s="783"/>
      <c r="K23" s="648"/>
      <c r="L23" s="783"/>
      <c r="M23" s="648"/>
      <c r="N23" s="783"/>
      <c r="O23" s="648"/>
      <c r="P23" s="783"/>
      <c r="Q23" s="648"/>
      <c r="R23" s="783"/>
      <c r="S23" s="648"/>
      <c r="T23" s="783"/>
      <c r="U23" s="648"/>
      <c r="V23" s="783"/>
      <c r="W23" s="648"/>
      <c r="X23" s="783"/>
      <c r="Y23" s="648"/>
      <c r="Z23" s="783"/>
      <c r="AA23" s="648"/>
      <c r="AB23" s="783"/>
      <c r="AC23" s="648"/>
      <c r="AD23" s="783"/>
      <c r="AE23" s="648"/>
      <c r="AF23" s="783"/>
      <c r="AG23" s="648"/>
      <c r="AH23" s="783"/>
      <c r="AI23" s="648"/>
      <c r="AJ23" s="783"/>
      <c r="AK23" s="648"/>
      <c r="AL23" s="784"/>
      <c r="AM23" s="506"/>
      <c r="AN23" s="534"/>
      <c r="AO23" s="531"/>
      <c r="AP23" s="531"/>
      <c r="AQ23" s="508"/>
      <c r="AR23" s="507"/>
      <c r="AS23" s="508"/>
      <c r="AT23" s="783"/>
      <c r="AU23" s="648"/>
      <c r="AV23" s="508"/>
      <c r="AW23" t="str">
        <f t="shared" si="3"/>
        <v/>
      </c>
      <c r="CA23" s="3024" t="str">
        <f t="shared" ref="CA23:CA26" si="23">IF(AND($C23&gt;0,AN23="")," * No olvide digitar la variable Beneficiarios. Digite Cero si no tiene.",IF(AN23&gt;$C23," * La variable Beneficiarios No puede ser mayor al Total Ambos Sexos.",""))</f>
        <v/>
      </c>
      <c r="CB23" s="3024" t="str">
        <f t="shared" ref="CB23:CB26" si="24">IF(AND($C23&gt;0,AO23="")," * No olvide digitar la variable Niños, Niñas, adolescentes y Jóvenes SENAME. Digite Cero si no tiene.",IF(AO23&gt;$C23," * La variable Niños, Niñas, adolescentes y Jóvenes SENAME No puede ser mayor al Total Ambos Sexos.",""))</f>
        <v/>
      </c>
      <c r="CC23" s="3024" t="str">
        <f t="shared" ref="CC23:CC26" si="25">IF(AND($C23&gt;0,AP23="")," * No olvide digitar la variable Niños, Niñas, adolescentes y Jóvenes Mejor Niñez. Digite Cero si no tiene.",IF(AP23&gt;$C23," * La variable Niños, Niñas, adolescentes y Jóvenes Mejor Niñez No puede ser mayor al Total Ambos Sexos.",""))</f>
        <v/>
      </c>
      <c r="CD23" s="3024" t="str">
        <f t="shared" ref="CD23:CD26" si="26">IF(AND($C23&gt;0,AQ23="")," * No olvide digitar la variable Pueblos originarios. Digite Cero si no tiene.",IF(AQ23&gt;$C23," * La variable Pueblos Originarios No puede ser mayor al Total Ambos Sexos.",""))</f>
        <v/>
      </c>
      <c r="CE23" s="3024" t="str">
        <f t="shared" ref="CE23:CE26" si="27">IF(AND($C23&gt;0,AR23="")," * No olvide digitar la variable Migrantes. Digite Cero si no tiene.",IF(AR23&gt;$C23," * La variable Migrantes No puede ser mayor al Total Ambos Sexos.",""))</f>
        <v/>
      </c>
      <c r="CF23" s="3024" t="str">
        <f t="shared" ref="CF23:CF26" si="28">IF(AND($C23&gt;0,AS23="")," * No olvide digitar la variable Demencia. Digite Cero si no tiene.",IF(AS23&gt;$C23," * La variable Demencia No puede ser mayor al Total Ambos Sexos.",""))</f>
        <v/>
      </c>
      <c r="CG23" s="3024" t="str">
        <f t="shared" ref="CG23:CG26" si="29">IF(AND($E23&gt;0,OR(AT23=""))," * No olvide digitar la variable Trans (Masculino). Digite Cero si no tiene.",IF((AT23)&gt;$E23," * La variable Trans (Masculino) No puede ser mayor al Total Mujeres.",""))</f>
        <v/>
      </c>
      <c r="CH23" s="3024" t="str">
        <f t="shared" ref="CH23:CH26" si="30">IF(AND(D23&gt;0,OR(AU23=""))," * No olvide digitar la variable Trans (Femenino). Digite Cero si no tiene.",IF((AU23)&gt;D23," * La variable Trans (Femenino) No puede ser mayor al Total Hombres.",""))</f>
        <v/>
      </c>
      <c r="CI23" s="3024" t="str">
        <f t="shared" ref="CI23:CI26" si="31">IF(AND($C23&gt;0,AV23="")," * No olvide digitar la variable Cuidadores de personas con demencia. Digite Cero si no tiene.",IF(AV23&gt;$C23," * La variable Cuidadores de personas con demencia No puede ser mayor al Total Ambos Sexos.",""))</f>
        <v/>
      </c>
      <c r="CK23" s="1901">
        <f>IF(AND(C23&gt;0,AN23=""),1,IF(AN23&gt;C23,1,0))</f>
        <v>0</v>
      </c>
      <c r="CL23" s="1901">
        <f>IF(AND(C23&gt;0,AO23=""),1,IF(AO23&gt;C23,1,0))</f>
        <v>0</v>
      </c>
      <c r="CM23" s="1901">
        <f>IF(AND(C23&gt;0,AP23=""),1,IF(AP23&gt;C23,1,0))</f>
        <v>0</v>
      </c>
      <c r="CN23" s="1901">
        <f>IF(AND(C23&gt;0,AQ23=""),1,IF(AQ23&gt;C23,1,0))</f>
        <v>0</v>
      </c>
      <c r="CO23" s="1901">
        <f>IF(AND(C23&gt;0,AR23=""),1,IF(AR23&gt;C23,1,0))</f>
        <v>0</v>
      </c>
      <c r="CP23" s="1901">
        <f>IF(AND(C23&gt;0,AS23=""),1,IF(AS23&gt;C23,1,0))</f>
        <v>0</v>
      </c>
      <c r="CQ23" s="1901">
        <f>IF(AND(E23&gt;0,OR(AT23="")),1,IF((AT23)&gt;E23,1,0))</f>
        <v>0</v>
      </c>
      <c r="CR23" s="1901">
        <f>IF(AND(D23&gt;0,OR(AU23="")),1,IF((AU23)&gt;D23,1,0))</f>
        <v>0</v>
      </c>
      <c r="CS23" s="1901">
        <f t="shared" si="21"/>
        <v>0</v>
      </c>
    </row>
    <row r="24" spans="1:97" ht="15" customHeight="1" x14ac:dyDescent="0.3">
      <c r="A24" s="785" t="s">
        <v>1042</v>
      </c>
      <c r="B24" s="786" t="s">
        <v>1034</v>
      </c>
      <c r="C24" s="720">
        <f t="shared" si="1"/>
        <v>0</v>
      </c>
      <c r="D24" s="721">
        <f t="shared" si="2"/>
        <v>0</v>
      </c>
      <c r="E24" s="787">
        <f t="shared" si="2"/>
        <v>0</v>
      </c>
      <c r="F24" s="669"/>
      <c r="G24" s="668"/>
      <c r="H24" s="669"/>
      <c r="I24" s="668"/>
      <c r="J24" s="669"/>
      <c r="K24" s="671"/>
      <c r="L24" s="669"/>
      <c r="M24" s="671"/>
      <c r="N24" s="669"/>
      <c r="O24" s="671"/>
      <c r="P24" s="669"/>
      <c r="Q24" s="671"/>
      <c r="R24" s="669"/>
      <c r="S24" s="671"/>
      <c r="T24" s="669"/>
      <c r="U24" s="671"/>
      <c r="V24" s="669"/>
      <c r="W24" s="671"/>
      <c r="X24" s="669"/>
      <c r="Y24" s="671"/>
      <c r="Z24" s="669"/>
      <c r="AA24" s="671"/>
      <c r="AB24" s="669"/>
      <c r="AC24" s="671"/>
      <c r="AD24" s="669"/>
      <c r="AE24" s="671"/>
      <c r="AF24" s="669"/>
      <c r="AG24" s="671"/>
      <c r="AH24" s="669"/>
      <c r="AI24" s="671"/>
      <c r="AJ24" s="669"/>
      <c r="AK24" s="671"/>
      <c r="AL24" s="788"/>
      <c r="AM24" s="789"/>
      <c r="AN24" s="790"/>
      <c r="AO24" s="791"/>
      <c r="AP24" s="791"/>
      <c r="AQ24" s="668"/>
      <c r="AR24" s="792"/>
      <c r="AS24" s="668"/>
      <c r="AT24" s="669"/>
      <c r="AU24" s="671"/>
      <c r="AV24" s="668"/>
      <c r="AW24" t="str">
        <f>CA24&amp;CB24&amp;CC24&amp;CD24&amp;CE24&amp;CF24&amp;CG24&amp;CH24&amp;CI24</f>
        <v/>
      </c>
      <c r="CA24" s="3024" t="str">
        <f t="shared" si="23"/>
        <v/>
      </c>
      <c r="CB24" s="3024" t="str">
        <f t="shared" si="24"/>
        <v/>
      </c>
      <c r="CC24" s="3024" t="str">
        <f t="shared" si="25"/>
        <v/>
      </c>
      <c r="CD24" s="3024" t="str">
        <f t="shared" si="26"/>
        <v/>
      </c>
      <c r="CE24" s="3024" t="str">
        <f t="shared" si="27"/>
        <v/>
      </c>
      <c r="CF24" s="3024" t="str">
        <f t="shared" si="28"/>
        <v/>
      </c>
      <c r="CG24" s="3024" t="str">
        <f t="shared" si="29"/>
        <v/>
      </c>
      <c r="CH24" s="3024" t="str">
        <f t="shared" si="30"/>
        <v/>
      </c>
      <c r="CI24" s="3024" t="str">
        <f t="shared" si="31"/>
        <v/>
      </c>
      <c r="CK24" s="1901">
        <f>IF(AND(C24&gt;0,AN24=""),1,IF(AN24&gt;C24,1,0))</f>
        <v>0</v>
      </c>
      <c r="CL24" s="1901">
        <f>IF(AND(C24&gt;0,AO24=""),1,IF(AO24&gt;C24,1,0))</f>
        <v>0</v>
      </c>
      <c r="CM24" s="1901">
        <f>IF(AND(C24&gt;0,AP24=""),1,IF(AP24&gt;C24,1,0))</f>
        <v>0</v>
      </c>
      <c r="CN24" s="1901">
        <f>IF(AND(C24&gt;0,AQ24=""),1,IF(AQ24&gt;C24,1,0))</f>
        <v>0</v>
      </c>
      <c r="CO24" s="1901">
        <f>IF(AND(C24&gt;0,AR24=""),1,IF(AR24&gt;C24,1,0))</f>
        <v>0</v>
      </c>
      <c r="CP24" s="1901">
        <f>IF(AND(C24&gt;0,AS24=""),1,IF(AS24&gt;C24,1,0))</f>
        <v>0</v>
      </c>
      <c r="CQ24" s="1901">
        <f>IF(AND(E24&gt;0,OR(AT24="")),1,IF((AT24)&gt;E24,1,0))</f>
        <v>0</v>
      </c>
      <c r="CR24" s="1901">
        <f>IF(AND(D24&gt;0,OR(AU24="")),1,IF((AU24)&gt;D24,1,0))</f>
        <v>0</v>
      </c>
      <c r="CS24" s="1901">
        <f t="shared" si="21"/>
        <v>0</v>
      </c>
    </row>
    <row r="25" spans="1:97" ht="15" customHeight="1" x14ac:dyDescent="0.3">
      <c r="A25" s="6185" t="s">
        <v>1043</v>
      </c>
      <c r="B25" s="793" t="s">
        <v>1034</v>
      </c>
      <c r="C25" s="756">
        <f t="shared" si="1"/>
        <v>0</v>
      </c>
      <c r="D25" s="769">
        <f t="shared" si="2"/>
        <v>0</v>
      </c>
      <c r="E25" s="621">
        <f t="shared" si="2"/>
        <v>0</v>
      </c>
      <c r="F25" s="770"/>
      <c r="G25" s="576"/>
      <c r="H25" s="770"/>
      <c r="I25" s="576"/>
      <c r="J25" s="770"/>
      <c r="K25" s="771"/>
      <c r="L25" s="770"/>
      <c r="M25" s="771"/>
      <c r="N25" s="770"/>
      <c r="O25" s="771"/>
      <c r="P25" s="770"/>
      <c r="Q25" s="771"/>
      <c r="R25" s="770"/>
      <c r="S25" s="771"/>
      <c r="T25" s="770"/>
      <c r="U25" s="771"/>
      <c r="V25" s="770"/>
      <c r="W25" s="771"/>
      <c r="X25" s="770"/>
      <c r="Y25" s="771"/>
      <c r="Z25" s="770"/>
      <c r="AA25" s="771"/>
      <c r="AB25" s="770"/>
      <c r="AC25" s="771"/>
      <c r="AD25" s="770"/>
      <c r="AE25" s="771"/>
      <c r="AF25" s="770"/>
      <c r="AG25" s="771"/>
      <c r="AH25" s="770"/>
      <c r="AI25" s="771"/>
      <c r="AJ25" s="770"/>
      <c r="AK25" s="771"/>
      <c r="AL25" s="772"/>
      <c r="AM25" s="759"/>
      <c r="AN25" s="758"/>
      <c r="AO25" s="773"/>
      <c r="AP25" s="773"/>
      <c r="AQ25" s="576"/>
      <c r="AR25" s="477"/>
      <c r="AS25" s="576"/>
      <c r="AT25" s="770"/>
      <c r="AU25" s="771"/>
      <c r="AV25" s="576"/>
      <c r="AW25" t="str">
        <f t="shared" si="3"/>
        <v/>
      </c>
      <c r="CA25" s="3024" t="str">
        <f t="shared" si="23"/>
        <v/>
      </c>
      <c r="CB25" s="3024" t="str">
        <f t="shared" si="24"/>
        <v/>
      </c>
      <c r="CC25" s="3024" t="str">
        <f t="shared" si="25"/>
        <v/>
      </c>
      <c r="CD25" s="3024" t="str">
        <f t="shared" si="26"/>
        <v/>
      </c>
      <c r="CE25" s="3024" t="str">
        <f t="shared" si="27"/>
        <v/>
      </c>
      <c r="CF25" s="3024" t="str">
        <f t="shared" si="28"/>
        <v/>
      </c>
      <c r="CG25" s="3024" t="str">
        <f t="shared" si="29"/>
        <v/>
      </c>
      <c r="CH25" s="3024" t="str">
        <f t="shared" si="30"/>
        <v/>
      </c>
      <c r="CI25" s="3024" t="str">
        <f t="shared" si="31"/>
        <v/>
      </c>
      <c r="CK25" s="1901">
        <f>IF(AND(C25&gt;0,AN25=""),1,IF(AN25&gt;C25,1,0))</f>
        <v>0</v>
      </c>
      <c r="CL25" s="1901">
        <f>IF(AND(C25&gt;0,AO25=""),1,IF(AO25&gt;C25,1,0))</f>
        <v>0</v>
      </c>
      <c r="CM25" s="1901">
        <f>IF(AND(C25&gt;0,AP25=""),1,IF(AP25&gt;C25,1,0))</f>
        <v>0</v>
      </c>
      <c r="CN25" s="1901">
        <f>IF(AND(C25&gt;0,AQ25=""),1,IF(AQ25&gt;C25,1,0))</f>
        <v>0</v>
      </c>
      <c r="CO25" s="1901">
        <f>IF(AND(C25&gt;0,AR25=""),1,IF(AR25&gt;C25,1,0))</f>
        <v>0</v>
      </c>
      <c r="CP25" s="1901">
        <f>IF(AND(C25&gt;0,AS25=""),1,IF(AS25&gt;C25,1,0))</f>
        <v>0</v>
      </c>
      <c r="CQ25" s="1901">
        <f>IF(AND(E25&gt;0,OR(AT25="")),1,IF((AT25)&gt;E25,1,0))</f>
        <v>0</v>
      </c>
      <c r="CR25" s="1901">
        <f>IF(AND(D25&gt;0,OR(AU25="")),1,IF((AU25)&gt;D25,1,0))</f>
        <v>0</v>
      </c>
      <c r="CS25" s="1901">
        <f>IF(AND($C25&gt;0,AV25=""),1,IF(AV25&gt;$C25,1,0))</f>
        <v>0</v>
      </c>
    </row>
    <row r="26" spans="1:97" ht="15" customHeight="1" x14ac:dyDescent="0.3">
      <c r="A26" s="5791"/>
      <c r="B26" s="794" t="s">
        <v>1044</v>
      </c>
      <c r="C26" s="324">
        <f t="shared" si="1"/>
        <v>0</v>
      </c>
      <c r="D26" s="318">
        <f t="shared" si="2"/>
        <v>0</v>
      </c>
      <c r="E26" s="632">
        <f t="shared" si="2"/>
        <v>0</v>
      </c>
      <c r="F26" s="380"/>
      <c r="G26" s="747"/>
      <c r="H26" s="380"/>
      <c r="I26" s="389"/>
      <c r="J26" s="380"/>
      <c r="K26" s="389"/>
      <c r="L26" s="380"/>
      <c r="M26" s="389"/>
      <c r="N26" s="380"/>
      <c r="O26" s="388"/>
      <c r="P26" s="380"/>
      <c r="Q26" s="747"/>
      <c r="R26" s="795"/>
      <c r="S26" s="389"/>
      <c r="T26" s="380"/>
      <c r="U26" s="389"/>
      <c r="V26" s="380"/>
      <c r="W26" s="389"/>
      <c r="X26" s="380"/>
      <c r="Y26" s="747"/>
      <c r="Z26" s="380"/>
      <c r="AA26" s="747"/>
      <c r="AB26" s="380"/>
      <c r="AC26" s="389"/>
      <c r="AD26" s="380"/>
      <c r="AE26" s="747"/>
      <c r="AF26" s="380"/>
      <c r="AG26" s="747"/>
      <c r="AH26" s="380"/>
      <c r="AI26" s="389"/>
      <c r="AJ26" s="380"/>
      <c r="AK26" s="389"/>
      <c r="AL26" s="682"/>
      <c r="AM26" s="390"/>
      <c r="AN26" s="379"/>
      <c r="AO26" s="372"/>
      <c r="AP26" s="372"/>
      <c r="AQ26" s="388"/>
      <c r="AR26" s="429"/>
      <c r="AS26" s="388"/>
      <c r="AT26" s="380"/>
      <c r="AU26" s="389"/>
      <c r="AV26" s="388"/>
      <c r="AW26" t="str">
        <f t="shared" si="3"/>
        <v/>
      </c>
      <c r="CA26" s="3024" t="str">
        <f t="shared" si="23"/>
        <v/>
      </c>
      <c r="CB26" s="3024" t="str">
        <f t="shared" si="24"/>
        <v/>
      </c>
      <c r="CC26" s="3024" t="str">
        <f t="shared" si="25"/>
        <v/>
      </c>
      <c r="CD26" s="3024" t="str">
        <f t="shared" si="26"/>
        <v/>
      </c>
      <c r="CE26" s="3024" t="str">
        <f t="shared" si="27"/>
        <v/>
      </c>
      <c r="CF26" s="3024" t="str">
        <f t="shared" si="28"/>
        <v/>
      </c>
      <c r="CG26" s="3024" t="str">
        <f t="shared" si="29"/>
        <v/>
      </c>
      <c r="CH26" s="3024" t="str">
        <f t="shared" si="30"/>
        <v/>
      </c>
      <c r="CI26" s="3024" t="str">
        <f t="shared" si="31"/>
        <v/>
      </c>
      <c r="CK26" s="1901">
        <f>IF(AND(C26&gt;0,AN26=""),1,IF(AN26&gt;C26,1,0))</f>
        <v>0</v>
      </c>
      <c r="CL26" s="1901">
        <f>IF(AND(C26&gt;0,AO26=""),1,IF(AO26&gt;C26,1,0))</f>
        <v>0</v>
      </c>
      <c r="CM26" s="1901">
        <f>IF(AND(C26&gt;0,AP26=""),1,IF(AP26&gt;C26,1,0))</f>
        <v>0</v>
      </c>
      <c r="CN26" s="1901">
        <f>IF(AND(C26&gt;0,AQ26=""),1,IF(AQ26&gt;C26,1,0))</f>
        <v>0</v>
      </c>
      <c r="CO26" s="1901">
        <f>IF(AND(C26&gt;0,AR26=""),1,IF(AR26&gt;C26,1,0))</f>
        <v>0</v>
      </c>
      <c r="CP26" s="1901">
        <f>IF(AND(C26&gt;0,AS26=""),1,IF(AS26&gt;C26,1,0))</f>
        <v>0</v>
      </c>
      <c r="CQ26" s="1901">
        <f>IF(AND(E26&gt;0,OR(AT26="")),1,IF((AT26)&gt;E26,1,0))</f>
        <v>0</v>
      </c>
      <c r="CR26" s="1901">
        <f>IF(AND(D26&gt;0,OR(AU26="")),1,IF((AU26)&gt;D26,1,0))</f>
        <v>0</v>
      </c>
      <c r="CS26" s="1901">
        <f t="shared" si="21"/>
        <v>0</v>
      </c>
    </row>
    <row r="27" spans="1:97" s="6" customFormat="1" ht="18" customHeight="1" x14ac:dyDescent="0.25">
      <c r="A27" s="3" t="s">
        <v>1045</v>
      </c>
      <c r="B27" s="3"/>
      <c r="C27" s="1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4"/>
      <c r="P27" s="4"/>
      <c r="Q27" s="4"/>
      <c r="R27" s="4"/>
      <c r="S27" s="4"/>
      <c r="T27" s="4"/>
      <c r="U27" s="4"/>
      <c r="V27" s="56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</row>
    <row r="28" spans="1:97" ht="21.75" customHeight="1" x14ac:dyDescent="0.3">
      <c r="A28" s="6190" t="s">
        <v>219</v>
      </c>
      <c r="B28" s="6190" t="s">
        <v>1046</v>
      </c>
      <c r="C28" s="6436" t="s">
        <v>1047</v>
      </c>
      <c r="D28" s="6183"/>
      <c r="E28" s="6436" t="s">
        <v>1048</v>
      </c>
      <c r="F28" s="6247"/>
      <c r="G28" s="6183"/>
      <c r="H28" s="6436" t="s">
        <v>343</v>
      </c>
      <c r="I28" s="6183"/>
      <c r="J28" s="6436" t="s">
        <v>326</v>
      </c>
      <c r="K28" s="6183"/>
      <c r="L28" s="6436" t="s">
        <v>94</v>
      </c>
      <c r="M28" s="6183"/>
      <c r="N28" s="6436" t="s">
        <v>44</v>
      </c>
      <c r="O28" s="6183"/>
      <c r="P28" s="6436" t="s">
        <v>45</v>
      </c>
      <c r="Q28" s="6183"/>
      <c r="R28" s="6437" t="s">
        <v>46</v>
      </c>
      <c r="S28" s="6180"/>
      <c r="T28" s="6437" t="s">
        <v>47</v>
      </c>
      <c r="U28" s="6180"/>
      <c r="V28" s="6437" t="s">
        <v>48</v>
      </c>
      <c r="W28" s="6180"/>
      <c r="X28" s="6437" t="s">
        <v>49</v>
      </c>
      <c r="Y28" s="6180"/>
      <c r="Z28" s="6437" t="s">
        <v>50</v>
      </c>
      <c r="AA28" s="6180"/>
      <c r="AB28" s="6437" t="s">
        <v>51</v>
      </c>
      <c r="AC28" s="6180"/>
      <c r="AD28" s="6437" t="s">
        <v>52</v>
      </c>
      <c r="AE28" s="6180"/>
      <c r="AF28" s="6437" t="s">
        <v>53</v>
      </c>
      <c r="AG28" s="6180"/>
      <c r="AH28" s="6437" t="s">
        <v>54</v>
      </c>
      <c r="AI28" s="6180"/>
      <c r="AJ28" s="6437" t="s">
        <v>55</v>
      </c>
      <c r="AK28" s="6180"/>
      <c r="AL28" s="6437" t="s">
        <v>56</v>
      </c>
      <c r="AM28" s="6180"/>
      <c r="AN28" s="6437" t="s">
        <v>57</v>
      </c>
      <c r="AO28" s="6179"/>
      <c r="AP28" s="6249" t="s">
        <v>36</v>
      </c>
      <c r="AQ28" s="6377" t="s">
        <v>37</v>
      </c>
      <c r="AR28" s="6377" t="s">
        <v>34</v>
      </c>
      <c r="AS28" s="6377" t="s">
        <v>35</v>
      </c>
      <c r="AT28" s="6377" t="s">
        <v>1049</v>
      </c>
      <c r="AU28" s="6243" t="s">
        <v>1050</v>
      </c>
    </row>
    <row r="29" spans="1:97" ht="40.799999999999997" x14ac:dyDescent="0.3">
      <c r="A29" s="5756"/>
      <c r="B29" s="5756"/>
      <c r="C29" s="442" t="s">
        <v>1051</v>
      </c>
      <c r="D29" s="442" t="s">
        <v>1052</v>
      </c>
      <c r="E29" s="767" t="s">
        <v>79</v>
      </c>
      <c r="F29" s="555" t="s">
        <v>58</v>
      </c>
      <c r="G29" s="465" t="s">
        <v>59</v>
      </c>
      <c r="H29" s="767" t="s">
        <v>58</v>
      </c>
      <c r="I29" s="465" t="s">
        <v>59</v>
      </c>
      <c r="J29" s="767" t="s">
        <v>58</v>
      </c>
      <c r="K29" s="465" t="s">
        <v>59</v>
      </c>
      <c r="L29" s="767" t="s">
        <v>58</v>
      </c>
      <c r="M29" s="465" t="s">
        <v>59</v>
      </c>
      <c r="N29" s="767" t="s">
        <v>58</v>
      </c>
      <c r="O29" s="465" t="s">
        <v>59</v>
      </c>
      <c r="P29" s="767" t="s">
        <v>58</v>
      </c>
      <c r="Q29" s="465" t="s">
        <v>59</v>
      </c>
      <c r="R29" s="767" t="s">
        <v>58</v>
      </c>
      <c r="S29" s="465" t="s">
        <v>59</v>
      </c>
      <c r="T29" s="767" t="s">
        <v>58</v>
      </c>
      <c r="U29" s="604" t="s">
        <v>59</v>
      </c>
      <c r="V29" s="767" t="s">
        <v>58</v>
      </c>
      <c r="W29" s="465" t="s">
        <v>59</v>
      </c>
      <c r="X29" s="767" t="s">
        <v>58</v>
      </c>
      <c r="Y29" s="465" t="s">
        <v>59</v>
      </c>
      <c r="Z29" s="767" t="s">
        <v>58</v>
      </c>
      <c r="AA29" s="465" t="s">
        <v>59</v>
      </c>
      <c r="AB29" s="767" t="s">
        <v>58</v>
      </c>
      <c r="AC29" s="465" t="s">
        <v>59</v>
      </c>
      <c r="AD29" s="767" t="s">
        <v>58</v>
      </c>
      <c r="AE29" s="465" t="s">
        <v>59</v>
      </c>
      <c r="AF29" s="767" t="s">
        <v>58</v>
      </c>
      <c r="AG29" s="465" t="s">
        <v>59</v>
      </c>
      <c r="AH29" s="767" t="s">
        <v>58</v>
      </c>
      <c r="AI29" s="465" t="s">
        <v>59</v>
      </c>
      <c r="AJ29" s="767" t="s">
        <v>58</v>
      </c>
      <c r="AK29" s="465" t="s">
        <v>59</v>
      </c>
      <c r="AL29" s="767" t="s">
        <v>58</v>
      </c>
      <c r="AM29" s="465" t="s">
        <v>59</v>
      </c>
      <c r="AN29" s="767" t="s">
        <v>58</v>
      </c>
      <c r="AO29" s="466" t="s">
        <v>59</v>
      </c>
      <c r="AP29" s="5767"/>
      <c r="AQ29" s="5818"/>
      <c r="AR29" s="5818"/>
      <c r="AS29" s="5818"/>
      <c r="AT29" s="5818"/>
      <c r="AU29" s="6435"/>
    </row>
    <row r="30" spans="1:97" x14ac:dyDescent="0.3">
      <c r="A30" s="793" t="s">
        <v>1053</v>
      </c>
      <c r="B30" s="796">
        <f>SUM(C30:D30)</f>
        <v>0</v>
      </c>
      <c r="C30" s="576"/>
      <c r="D30" s="797"/>
      <c r="E30" s="472">
        <f>SUM(F30+G30)</f>
        <v>0</v>
      </c>
      <c r="F30" s="597">
        <f>SUM(H30+J30+L30+N30+P30+R30+T30+V30+X30+Z30+AB30+AD30+AF30+AH30+AJ30+AL30+AN30)</f>
        <v>0</v>
      </c>
      <c r="G30" s="598">
        <f>SUM(I30+K30+M30+O30+Q30+S30+U30+W30+Y30+AA30+AC30+AE30+AG30+AI30+AK30+AM30+AO30)</f>
        <v>0</v>
      </c>
      <c r="H30" s="770"/>
      <c r="I30" s="576"/>
      <c r="J30" s="770"/>
      <c r="K30" s="771"/>
      <c r="L30" s="770"/>
      <c r="M30" s="771"/>
      <c r="N30" s="770"/>
      <c r="O30" s="771"/>
      <c r="P30" s="770"/>
      <c r="Q30" s="576"/>
      <c r="R30" s="770"/>
      <c r="S30" s="576"/>
      <c r="T30" s="772"/>
      <c r="U30" s="771"/>
      <c r="V30" s="770"/>
      <c r="W30" s="771"/>
      <c r="X30" s="770"/>
      <c r="Y30" s="771"/>
      <c r="Z30" s="770"/>
      <c r="AA30" s="576"/>
      <c r="AB30" s="770"/>
      <c r="AC30" s="576"/>
      <c r="AD30" s="770"/>
      <c r="AE30" s="771"/>
      <c r="AF30" s="770"/>
      <c r="AG30" s="576"/>
      <c r="AH30" s="770"/>
      <c r="AI30" s="576"/>
      <c r="AJ30" s="770"/>
      <c r="AK30" s="771"/>
      <c r="AL30" s="770"/>
      <c r="AM30" s="771"/>
      <c r="AN30" s="772"/>
      <c r="AO30" s="759"/>
      <c r="AP30" s="758"/>
      <c r="AQ30" s="773"/>
      <c r="AR30" s="773"/>
      <c r="AS30" s="773"/>
      <c r="AT30" s="773"/>
      <c r="AU30" s="576"/>
      <c r="AV30" t="str">
        <f>CA30&amp;CB30&amp;CC30&amp;CD30&amp;CE30&amp;CF30</f>
        <v/>
      </c>
      <c r="CA30" s="3024" t="str">
        <f>IF(AND($E30&gt;0,AP30=""),"  * No olvide digitar la variable Pueblos originarios. Digite Cero si no tiene.",IF(AP30&gt;E30," * La variable Pueblos originarios No puede ser mayor al Total Ambos Sexos.",""))</f>
        <v/>
      </c>
      <c r="CB30" s="3024" t="str">
        <f>IF(AND($E30&gt;0,AQ30=""),"  * No olvide digitar la variable Migrantes. Digite Cero si no tiene.",IF(AQ30&gt;$E30," * La variable Migrantes No puede ser mayor al Total Ambos Sexos.",""))</f>
        <v/>
      </c>
      <c r="CC30" s="3024" t="str">
        <f>IF(AND($E30&gt;0,AR30=""),"  * No olvide digitar la variable Niños, Niñas, adolescentes y jóvenes SENAME. Digite Cero si no tiene.",IF(AR30&gt;$E30," * La variable Niños, Niñas, adolescentes y jóvenes SENAME No puede ser mayor al Total Ambos Sexos.",""))</f>
        <v/>
      </c>
      <c r="CD30" s="3024" t="str">
        <f>IF(AND($E30&gt;0,AS30=""),"  * No olvide digitar la variable Niños, Niñas, adolescentes y jóvenes Mejor Niñez. Digite Cero si no tiene.",IF(AS30&gt;$E30," * La variable Niños, Niñas, adolescentes y jóvenes Mejor Niñez No puede ser mayor al Total Ambos Sexos.",""))</f>
        <v/>
      </c>
      <c r="CE30" s="3024" t="str">
        <f>IF(AND($E30&gt;0,AT30="")," * No olvide digitar la variable Personas con sospecha de demencia. Digite Cero si no tiene.",IF(AT30&gt;$E30," * La variable Personas con sospecha de demencia No puede ser mayor al Total Ambos Sexos.",""))</f>
        <v/>
      </c>
      <c r="CF30" s="3024" t="str">
        <f>IF(AND($E30&gt;0,AU30="")," * No olvide digitar la variable Personas con diagnóstico de demencia. Digite Cero si no tiene.",IF(AU30&gt;$E30," * La variable Personas con diagnóstico de demencia No puede ser mayor al Total Ambos Sexos.",""))</f>
        <v/>
      </c>
      <c r="CK30" s="1901">
        <f>IF(AND(E30&gt;0,AP30=""),1,IF(AP30&gt;E30,1,0))</f>
        <v>0</v>
      </c>
      <c r="CL30" s="1901">
        <f>IF(AND(E30&gt;0,AQ30=""),1,IF(AQ30&gt;E30,1,0))</f>
        <v>0</v>
      </c>
      <c r="CM30" s="1901">
        <f>IF(AND(E30&gt;0,AR30=""),1,IF(AR30&gt;E30,1,0))</f>
        <v>0</v>
      </c>
      <c r="CN30" s="1901">
        <f>IF(AND(E30&gt;0,AS30=""),1,IF(AS30&gt;E30,1,0))</f>
        <v>0</v>
      </c>
      <c r="CO30" s="1901">
        <f>IF(AND(E30&gt;0,AT30=""),1,IF(AT30&gt;E30,1,0))</f>
        <v>0</v>
      </c>
      <c r="CP30" s="1901">
        <f>IF(AND(E30&gt;0,AU30=""),1,IF(AU30&gt;E30,1,0))</f>
        <v>0</v>
      </c>
    </row>
    <row r="31" spans="1:97" x14ac:dyDescent="0.3">
      <c r="A31" s="319" t="s">
        <v>1054</v>
      </c>
      <c r="B31" s="798">
        <f>SUM(C31:D31)</f>
        <v>0</v>
      </c>
      <c r="C31" s="388"/>
      <c r="D31" s="799"/>
      <c r="E31" s="484">
        <f>SUM(F31+G31)</f>
        <v>0</v>
      </c>
      <c r="F31" s="595">
        <f>SUM(H31+J31+L31+N31+P31+R31+T31+V31+X31+Z31+AB31+AD31+AF31+AH31+AJ31+AL31+AN31)</f>
        <v>0</v>
      </c>
      <c r="G31" s="485">
        <f>SUM(I31+K31+M31+O31+Q31+S31+U31+W31+Y31+AA31+AC31+AE31+AG31+AI31+AK31+AM31+AO31)</f>
        <v>0</v>
      </c>
      <c r="H31" s="380"/>
      <c r="I31" s="388"/>
      <c r="J31" s="380"/>
      <c r="K31" s="389"/>
      <c r="L31" s="380"/>
      <c r="M31" s="389"/>
      <c r="N31" s="380"/>
      <c r="O31" s="389"/>
      <c r="P31" s="380"/>
      <c r="Q31" s="388"/>
      <c r="R31" s="380"/>
      <c r="S31" s="388"/>
      <c r="T31" s="682"/>
      <c r="U31" s="389"/>
      <c r="V31" s="380"/>
      <c r="W31" s="389"/>
      <c r="X31" s="380"/>
      <c r="Y31" s="389"/>
      <c r="Z31" s="380"/>
      <c r="AA31" s="388"/>
      <c r="AB31" s="380"/>
      <c r="AC31" s="388"/>
      <c r="AD31" s="380"/>
      <c r="AE31" s="389"/>
      <c r="AF31" s="380"/>
      <c r="AG31" s="388"/>
      <c r="AH31" s="380"/>
      <c r="AI31" s="388"/>
      <c r="AJ31" s="380"/>
      <c r="AK31" s="389"/>
      <c r="AL31" s="380"/>
      <c r="AM31" s="389"/>
      <c r="AN31" s="682"/>
      <c r="AO31" s="390"/>
      <c r="AP31" s="379"/>
      <c r="AQ31" s="372"/>
      <c r="AR31" s="372"/>
      <c r="AS31" s="372"/>
      <c r="AT31" s="372"/>
      <c r="AU31" s="388"/>
      <c r="AV31" t="str">
        <f>CA31&amp;CB31&amp;CC31&amp;CD31&amp;CE31&amp;CF31</f>
        <v/>
      </c>
      <c r="CA31" s="3024" t="str">
        <f>IF(AND($E31&gt;0,AP31=""),"  * No olvide digitar la variable Pueblos originarios. Digite Cero si no tiene.",IF(AP31&gt;E31," * La variable Pueblos originarios No puede ser mayor al Total Ambos Sexos.",""))</f>
        <v/>
      </c>
      <c r="CB31" s="3024" t="str">
        <f>IF(AND($E31&gt;0,AQ31=""),"  * No olvide digitar la variable Migrantes. Digite Cero si no tiene.",IF(AQ31&gt;$E31," * La variable Migrantes No puede ser mayor al Total Ambos Sexos.",""))</f>
        <v/>
      </c>
      <c r="CC31" s="3024" t="str">
        <f>IF(AND($E31&gt;0,AR31=""),"  * No olvide digitar la variable Niños, Niñas, adolescentes y jóvenes SENAME. Digite Cero si no tiene.",IF(AR31&gt;$E31," * La variable Niños, Niñas, adolescentes y jóvenes SENAME No puede ser mayor al Total Ambos Sexos.",""))</f>
        <v/>
      </c>
      <c r="CD31" s="3024" t="str">
        <f>IF(AND($E31&gt;0,AS31=""),"  * No olvide digitar la variable Niños, Niñas, adolescentes y jóvenes Mejor Niñez. Digite Cero si no tiene.",IF(AS31&gt;$E31," * La variable Niños, Niñas, adolescentes y jóvenes Mejor Niñez No puede ser mayor al Total Ambos Sexos.",""))</f>
        <v/>
      </c>
      <c r="CE31" s="3024" t="str">
        <f>IF(AND($E31&gt;0,AT31="")," * No olvide digitar la variable Personas con sospecha de demencia. Digite Cero si no tiene.",IF(AT31&gt;$E31," * La variable Personas con sospecha de demencia No puede ser mayor al Total Ambos Sexos.",""))</f>
        <v/>
      </c>
      <c r="CF31" s="3024" t="str">
        <f>IF(AND($E31&gt;0,AU31="")," * No olvide digitar la variable Personas con diagnóstico de demencia. Digite Cero si no tiene.",IF(AU31&gt;$E31," * La variable Personas con diagnóstico de demencia No puede ser mayor al Total Ambos Sexos.",""))</f>
        <v/>
      </c>
      <c r="CK31" s="1901">
        <f>IF(AND(E31&gt;0,AP31=""),1,IF(AP31&gt;E31,1,0))</f>
        <v>0</v>
      </c>
      <c r="CL31" s="1901">
        <f>IF(AND(E31&gt;0,AQ31=""),1,IF(AQ31&gt;E31,1,0))</f>
        <v>0</v>
      </c>
      <c r="CM31" s="1901">
        <f>IF(AND(E31&gt;0,AR31=""),1,IF(AR31&gt;E31,1,0))</f>
        <v>0</v>
      </c>
      <c r="CN31" s="1901">
        <f>IF(AND(E31&gt;0,AS31=""),1,IF(AS31&gt;E31,1,0))</f>
        <v>0</v>
      </c>
      <c r="CO31" s="1901">
        <f>IF(AND(E31&gt;0,AT31=""),1,IF(AT31&gt;E31,1,0))</f>
        <v>0</v>
      </c>
      <c r="CP31" s="1901">
        <f>IF(AND(E31&gt;0,AU31=""),1,IF(AU31&gt;E31,1,0))</f>
        <v>0</v>
      </c>
    </row>
    <row r="32" spans="1:97" s="19" customFormat="1" ht="15" customHeight="1" x14ac:dyDescent="0.2">
      <c r="A32" s="800" t="s">
        <v>77</v>
      </c>
      <c r="B32" s="801">
        <f t="shared" ref="B32:H32" si="32">SUM(B30:B31)</f>
        <v>0</v>
      </c>
      <c r="C32" s="515">
        <f t="shared" si="32"/>
        <v>0</v>
      </c>
      <c r="D32" s="801">
        <f t="shared" si="32"/>
        <v>0</v>
      </c>
      <c r="E32" s="572">
        <f t="shared" si="32"/>
        <v>0</v>
      </c>
      <c r="F32" s="572">
        <f t="shared" si="32"/>
        <v>0</v>
      </c>
      <c r="G32" s="572">
        <f t="shared" si="32"/>
        <v>0</v>
      </c>
      <c r="H32" s="779">
        <f t="shared" si="32"/>
        <v>0</v>
      </c>
      <c r="I32" s="572">
        <f t="shared" ref="I32:AU32" si="33">SUM(I30:I31)</f>
        <v>0</v>
      </c>
      <c r="J32" s="779">
        <f t="shared" si="33"/>
        <v>0</v>
      </c>
      <c r="K32" s="572">
        <f t="shared" si="33"/>
        <v>0</v>
      </c>
      <c r="L32" s="779">
        <f t="shared" si="33"/>
        <v>0</v>
      </c>
      <c r="M32" s="572">
        <f t="shared" si="33"/>
        <v>0</v>
      </c>
      <c r="N32" s="779">
        <f t="shared" si="33"/>
        <v>0</v>
      </c>
      <c r="O32" s="572">
        <f t="shared" si="33"/>
        <v>0</v>
      </c>
      <c r="P32" s="779">
        <f t="shared" si="33"/>
        <v>0</v>
      </c>
      <c r="Q32" s="572">
        <f t="shared" si="33"/>
        <v>0</v>
      </c>
      <c r="R32" s="779">
        <f t="shared" si="33"/>
        <v>0</v>
      </c>
      <c r="S32" s="572">
        <f t="shared" si="33"/>
        <v>0</v>
      </c>
      <c r="T32" s="779">
        <f t="shared" si="33"/>
        <v>0</v>
      </c>
      <c r="U32" s="572">
        <f t="shared" si="33"/>
        <v>0</v>
      </c>
      <c r="V32" s="779">
        <f t="shared" si="33"/>
        <v>0</v>
      </c>
      <c r="W32" s="572">
        <f t="shared" si="33"/>
        <v>0</v>
      </c>
      <c r="X32" s="779">
        <f t="shared" si="33"/>
        <v>0</v>
      </c>
      <c r="Y32" s="572">
        <f t="shared" si="33"/>
        <v>0</v>
      </c>
      <c r="Z32" s="779">
        <f t="shared" si="33"/>
        <v>0</v>
      </c>
      <c r="AA32" s="572">
        <f t="shared" si="33"/>
        <v>0</v>
      </c>
      <c r="AB32" s="779">
        <f t="shared" si="33"/>
        <v>0</v>
      </c>
      <c r="AC32" s="572">
        <f t="shared" si="33"/>
        <v>0</v>
      </c>
      <c r="AD32" s="779">
        <f t="shared" si="33"/>
        <v>0</v>
      </c>
      <c r="AE32" s="572">
        <f t="shared" si="33"/>
        <v>0</v>
      </c>
      <c r="AF32" s="779">
        <f t="shared" si="33"/>
        <v>0</v>
      </c>
      <c r="AG32" s="572">
        <f t="shared" si="33"/>
        <v>0</v>
      </c>
      <c r="AH32" s="779">
        <f t="shared" si="33"/>
        <v>0</v>
      </c>
      <c r="AI32" s="572">
        <f t="shared" si="33"/>
        <v>0</v>
      </c>
      <c r="AJ32" s="779">
        <f t="shared" si="33"/>
        <v>0</v>
      </c>
      <c r="AK32" s="572">
        <f t="shared" si="33"/>
        <v>0</v>
      </c>
      <c r="AL32" s="779">
        <f t="shared" si="33"/>
        <v>0</v>
      </c>
      <c r="AM32" s="572">
        <f t="shared" si="33"/>
        <v>0</v>
      </c>
      <c r="AN32" s="779">
        <f t="shared" si="33"/>
        <v>0</v>
      </c>
      <c r="AO32" s="539">
        <f t="shared" si="33"/>
        <v>0</v>
      </c>
      <c r="AP32" s="514">
        <f t="shared" si="33"/>
        <v>0</v>
      </c>
      <c r="AQ32" s="512">
        <f t="shared" si="33"/>
        <v>0</v>
      </c>
      <c r="AR32" s="512">
        <f t="shared" si="33"/>
        <v>0</v>
      </c>
      <c r="AS32" s="512">
        <f t="shared" si="33"/>
        <v>0</v>
      </c>
      <c r="AT32" s="512">
        <f t="shared" si="33"/>
        <v>0</v>
      </c>
      <c r="AU32" s="515">
        <f t="shared" si="33"/>
        <v>0</v>
      </c>
    </row>
    <row r="33" spans="1:42" s="6" customFormat="1" ht="18" customHeight="1" x14ac:dyDescent="0.25">
      <c r="A33" s="3" t="s">
        <v>1055</v>
      </c>
      <c r="B33" s="3"/>
      <c r="C33" s="1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42" ht="24" customHeight="1" x14ac:dyDescent="0.3">
      <c r="A34" s="6190" t="s">
        <v>219</v>
      </c>
      <c r="B34" s="6190" t="s">
        <v>1056</v>
      </c>
      <c r="C34" s="6436" t="s">
        <v>1057</v>
      </c>
      <c r="D34" s="6183"/>
      <c r="E34" s="6436" t="s">
        <v>1048</v>
      </c>
      <c r="F34" s="6247"/>
      <c r="G34" s="6183"/>
      <c r="H34" s="6452" t="s">
        <v>1058</v>
      </c>
      <c r="I34" s="6453"/>
      <c r="J34" s="6453"/>
      <c r="K34" s="6453"/>
      <c r="L34" s="6453"/>
      <c r="M34" s="6454"/>
    </row>
    <row r="35" spans="1:42" ht="40.799999999999997" x14ac:dyDescent="0.3">
      <c r="A35" s="5756"/>
      <c r="B35" s="5756"/>
      <c r="C35" s="767" t="s">
        <v>1051</v>
      </c>
      <c r="D35" s="556" t="s">
        <v>1059</v>
      </c>
      <c r="E35" s="767" t="s">
        <v>79</v>
      </c>
      <c r="F35" s="555" t="s">
        <v>58</v>
      </c>
      <c r="G35" s="802" t="s">
        <v>59</v>
      </c>
      <c r="H35" s="803" t="s">
        <v>1060</v>
      </c>
      <c r="I35" s="804" t="s">
        <v>1061</v>
      </c>
      <c r="J35" s="804" t="s">
        <v>1062</v>
      </c>
      <c r="K35" s="804" t="s">
        <v>1063</v>
      </c>
      <c r="L35" s="804" t="s">
        <v>1064</v>
      </c>
      <c r="M35" s="805" t="s">
        <v>1065</v>
      </c>
    </row>
    <row r="36" spans="1:42" ht="15" customHeight="1" x14ac:dyDescent="0.3">
      <c r="A36" s="793" t="s">
        <v>1053</v>
      </c>
      <c r="B36" s="796">
        <f>SUM(C36:D36)</f>
        <v>0</v>
      </c>
      <c r="C36" s="770"/>
      <c r="D36" s="576"/>
      <c r="E36" s="806">
        <f>SUM(F36:G36)</f>
        <v>0</v>
      </c>
      <c r="F36" s="477"/>
      <c r="G36" s="576"/>
      <c r="H36" s="770"/>
      <c r="I36" s="773"/>
      <c r="J36" s="773"/>
      <c r="K36" s="773"/>
      <c r="L36" s="773"/>
      <c r="M36" s="771"/>
    </row>
    <row r="37" spans="1:42" ht="15" customHeight="1" x14ac:dyDescent="0.3">
      <c r="A37" s="398" t="s">
        <v>1054</v>
      </c>
      <c r="B37" s="427">
        <f>SUM(C37:D37)</f>
        <v>0</v>
      </c>
      <c r="C37" s="373"/>
      <c r="D37" s="747"/>
      <c r="E37" s="562">
        <f>SUM(F37:G37)</f>
        <v>0</v>
      </c>
      <c r="F37" s="547"/>
      <c r="G37" s="747"/>
      <c r="H37" s="373"/>
      <c r="I37" s="262"/>
      <c r="J37" s="262"/>
      <c r="K37" s="262"/>
      <c r="L37" s="262"/>
      <c r="M37" s="311"/>
    </row>
    <row r="38" spans="1:42" ht="15" customHeight="1" x14ac:dyDescent="0.3">
      <c r="A38" s="800" t="s">
        <v>77</v>
      </c>
      <c r="B38" s="801">
        <f t="shared" ref="B38:M38" si="34">SUM(B36:B37)</f>
        <v>0</v>
      </c>
      <c r="C38" s="807">
        <f t="shared" si="34"/>
        <v>0</v>
      </c>
      <c r="D38" s="808">
        <f t="shared" si="34"/>
        <v>0</v>
      </c>
      <c r="E38" s="807">
        <f t="shared" si="34"/>
        <v>0</v>
      </c>
      <c r="F38" s="809">
        <f t="shared" si="34"/>
        <v>0</v>
      </c>
      <c r="G38" s="809">
        <f t="shared" si="34"/>
        <v>0</v>
      </c>
      <c r="H38" s="807">
        <f t="shared" si="34"/>
        <v>0</v>
      </c>
      <c r="I38" s="810">
        <f t="shared" si="34"/>
        <v>0</v>
      </c>
      <c r="J38" s="810">
        <f t="shared" si="34"/>
        <v>0</v>
      </c>
      <c r="K38" s="810">
        <f t="shared" si="34"/>
        <v>0</v>
      </c>
      <c r="L38" s="810">
        <f t="shared" si="34"/>
        <v>0</v>
      </c>
      <c r="M38" s="811">
        <f t="shared" si="34"/>
        <v>0</v>
      </c>
    </row>
    <row r="39" spans="1:42" s="6" customFormat="1" ht="18" customHeight="1" x14ac:dyDescent="0.25">
      <c r="A39" s="15" t="s">
        <v>1066</v>
      </c>
      <c r="B39" s="1"/>
      <c r="C39" s="1"/>
    </row>
    <row r="40" spans="1:42" x14ac:dyDescent="0.3">
      <c r="A40" s="766" t="s">
        <v>219</v>
      </c>
      <c r="B40" s="488" t="s">
        <v>27</v>
      </c>
      <c r="C40" s="488" t="s">
        <v>452</v>
      </c>
    </row>
    <row r="41" spans="1:42" x14ac:dyDescent="0.3">
      <c r="A41" s="6185" t="s">
        <v>1067</v>
      </c>
      <c r="B41" s="786" t="s">
        <v>1044</v>
      </c>
      <c r="C41" s="812"/>
    </row>
    <row r="42" spans="1:42" x14ac:dyDescent="0.3">
      <c r="A42" s="5791"/>
      <c r="B42" s="441" t="s">
        <v>1034</v>
      </c>
      <c r="C42" s="813"/>
    </row>
    <row r="43" spans="1:42" x14ac:dyDescent="0.3">
      <c r="A43" s="6185" t="s">
        <v>1068</v>
      </c>
      <c r="B43" s="786" t="s">
        <v>1044</v>
      </c>
      <c r="C43" s="812"/>
    </row>
    <row r="44" spans="1:42" x14ac:dyDescent="0.3">
      <c r="A44" s="5791"/>
      <c r="B44" s="526" t="s">
        <v>1034</v>
      </c>
      <c r="C44" s="799"/>
    </row>
    <row r="45" spans="1:42" s="6" customFormat="1" ht="18" customHeight="1" x14ac:dyDescent="0.25">
      <c r="A45" s="3" t="s">
        <v>1069</v>
      </c>
      <c r="B45" s="814"/>
      <c r="C45" s="814"/>
      <c r="D45" s="815"/>
      <c r="E45" s="815"/>
      <c r="F45" s="815"/>
      <c r="G45" s="815"/>
      <c r="H45" s="815"/>
      <c r="I45" s="815"/>
      <c r="J45" s="815"/>
      <c r="K45" s="815"/>
      <c r="L45" s="816"/>
      <c r="M45" s="817"/>
      <c r="N45" s="818"/>
      <c r="O45" s="819"/>
      <c r="P45" s="819"/>
      <c r="Q45" s="819"/>
      <c r="R45" s="819"/>
      <c r="S45" s="819"/>
      <c r="T45" s="819"/>
      <c r="U45" s="819"/>
      <c r="V45" s="820"/>
      <c r="W45" s="819"/>
      <c r="X45" s="819"/>
      <c r="Y45" s="819"/>
      <c r="Z45" s="819"/>
      <c r="AA45" s="819"/>
      <c r="AB45" s="819"/>
      <c r="AC45" s="819"/>
      <c r="AD45" s="819"/>
      <c r="AE45" s="819"/>
      <c r="AF45" s="819"/>
      <c r="AG45" s="819"/>
      <c r="AH45" s="819"/>
      <c r="AI45" s="819"/>
      <c r="AJ45" s="819"/>
      <c r="AK45" s="819"/>
      <c r="AL45" s="819"/>
      <c r="AM45" s="819"/>
      <c r="AN45" s="16"/>
      <c r="AO45" s="17"/>
      <c r="AP45" s="17"/>
    </row>
    <row r="46" spans="1:42" ht="15" customHeight="1" x14ac:dyDescent="0.3">
      <c r="A46" s="6440" t="s">
        <v>277</v>
      </c>
      <c r="B46" s="6441"/>
      <c r="C46" s="6446" t="s">
        <v>452</v>
      </c>
      <c r="D46" s="6447"/>
      <c r="E46" s="6448"/>
      <c r="F46" s="6436" t="s">
        <v>101</v>
      </c>
      <c r="G46" s="6247"/>
      <c r="H46" s="6247"/>
      <c r="I46" s="6247"/>
      <c r="J46" s="6247"/>
      <c r="K46" s="6247"/>
      <c r="L46" s="6247"/>
      <c r="M46" s="6247"/>
      <c r="N46" s="6247"/>
      <c r="O46" s="6247"/>
      <c r="P46" s="6247"/>
      <c r="Q46" s="6247"/>
      <c r="R46" s="6247"/>
      <c r="S46" s="6247"/>
      <c r="T46" s="6247"/>
      <c r="U46" s="6247"/>
      <c r="V46" s="6247"/>
      <c r="W46" s="6247"/>
      <c r="X46" s="6247"/>
      <c r="Y46" s="6247"/>
      <c r="Z46" s="6247"/>
      <c r="AA46" s="6247"/>
      <c r="AB46" s="6247"/>
      <c r="AC46" s="6247"/>
      <c r="AD46" s="6247"/>
      <c r="AE46" s="6247"/>
      <c r="AF46" s="6247"/>
      <c r="AG46" s="6247"/>
      <c r="AH46" s="6247"/>
      <c r="AI46" s="6247"/>
      <c r="AJ46" s="6247"/>
      <c r="AK46" s="6187"/>
      <c r="AL46" s="6249" t="s">
        <v>597</v>
      </c>
      <c r="AM46" s="6377" t="s">
        <v>36</v>
      </c>
      <c r="AN46" s="6243" t="s">
        <v>37</v>
      </c>
    </row>
    <row r="47" spans="1:42" x14ac:dyDescent="0.3">
      <c r="A47" s="6442"/>
      <c r="B47" s="6443"/>
      <c r="C47" s="6449"/>
      <c r="D47" s="6450"/>
      <c r="E47" s="6451"/>
      <c r="F47" s="6436" t="s">
        <v>326</v>
      </c>
      <c r="G47" s="6183"/>
      <c r="H47" s="6436" t="s">
        <v>94</v>
      </c>
      <c r="I47" s="6183"/>
      <c r="J47" s="6436" t="s">
        <v>44</v>
      </c>
      <c r="K47" s="6183"/>
      <c r="L47" s="6436" t="s">
        <v>45</v>
      </c>
      <c r="M47" s="6183"/>
      <c r="N47" s="6437" t="s">
        <v>46</v>
      </c>
      <c r="O47" s="6180"/>
      <c r="P47" s="6437" t="s">
        <v>47</v>
      </c>
      <c r="Q47" s="6180"/>
      <c r="R47" s="6437" t="s">
        <v>48</v>
      </c>
      <c r="S47" s="6180"/>
      <c r="T47" s="6437" t="s">
        <v>49</v>
      </c>
      <c r="U47" s="6180"/>
      <c r="V47" s="6437" t="s">
        <v>50</v>
      </c>
      <c r="W47" s="6180"/>
      <c r="X47" s="6437" t="s">
        <v>51</v>
      </c>
      <c r="Y47" s="6180"/>
      <c r="Z47" s="6437" t="s">
        <v>52</v>
      </c>
      <c r="AA47" s="6180"/>
      <c r="AB47" s="6437" t="s">
        <v>53</v>
      </c>
      <c r="AC47" s="6180"/>
      <c r="AD47" s="6437" t="s">
        <v>54</v>
      </c>
      <c r="AE47" s="6180"/>
      <c r="AF47" s="6437" t="s">
        <v>55</v>
      </c>
      <c r="AG47" s="6180"/>
      <c r="AH47" s="6437" t="s">
        <v>56</v>
      </c>
      <c r="AI47" s="6180"/>
      <c r="AJ47" s="6437" t="s">
        <v>57</v>
      </c>
      <c r="AK47" s="6179"/>
      <c r="AL47" s="5766"/>
      <c r="AM47" s="6118"/>
      <c r="AN47" s="5759"/>
    </row>
    <row r="48" spans="1:42" x14ac:dyDescent="0.3">
      <c r="A48" s="6444"/>
      <c r="B48" s="6445"/>
      <c r="C48" s="715" t="s">
        <v>79</v>
      </c>
      <c r="D48" s="822" t="s">
        <v>58</v>
      </c>
      <c r="E48" s="821" t="s">
        <v>59</v>
      </c>
      <c r="F48" s="767" t="s">
        <v>58</v>
      </c>
      <c r="G48" s="465" t="s">
        <v>59</v>
      </c>
      <c r="H48" s="767" t="s">
        <v>58</v>
      </c>
      <c r="I48" s="465" t="s">
        <v>59</v>
      </c>
      <c r="J48" s="767" t="s">
        <v>58</v>
      </c>
      <c r="K48" s="465" t="s">
        <v>59</v>
      </c>
      <c r="L48" s="767" t="s">
        <v>58</v>
      </c>
      <c r="M48" s="465" t="s">
        <v>59</v>
      </c>
      <c r="N48" s="767" t="s">
        <v>58</v>
      </c>
      <c r="O48" s="465" t="s">
        <v>59</v>
      </c>
      <c r="P48" s="767" t="s">
        <v>58</v>
      </c>
      <c r="Q48" s="465" t="s">
        <v>59</v>
      </c>
      <c r="R48" s="767" t="s">
        <v>58</v>
      </c>
      <c r="S48" s="465" t="s">
        <v>59</v>
      </c>
      <c r="T48" s="767" t="s">
        <v>58</v>
      </c>
      <c r="U48" s="465" t="s">
        <v>59</v>
      </c>
      <c r="V48" s="767" t="s">
        <v>58</v>
      </c>
      <c r="W48" s="465" t="s">
        <v>59</v>
      </c>
      <c r="X48" s="767" t="s">
        <v>58</v>
      </c>
      <c r="Y48" s="465" t="s">
        <v>59</v>
      </c>
      <c r="Z48" s="767" t="s">
        <v>58</v>
      </c>
      <c r="AA48" s="465" t="s">
        <v>59</v>
      </c>
      <c r="AB48" s="767" t="s">
        <v>58</v>
      </c>
      <c r="AC48" s="465" t="s">
        <v>59</v>
      </c>
      <c r="AD48" s="767" t="s">
        <v>58</v>
      </c>
      <c r="AE48" s="465" t="s">
        <v>59</v>
      </c>
      <c r="AF48" s="767" t="s">
        <v>58</v>
      </c>
      <c r="AG48" s="465" t="s">
        <v>59</v>
      </c>
      <c r="AH48" s="767" t="s">
        <v>58</v>
      </c>
      <c r="AI48" s="465" t="s">
        <v>59</v>
      </c>
      <c r="AJ48" s="554" t="s">
        <v>58</v>
      </c>
      <c r="AK48" s="466" t="s">
        <v>59</v>
      </c>
      <c r="AL48" s="5767"/>
      <c r="AM48" s="5818"/>
      <c r="AN48" s="6435"/>
    </row>
    <row r="49" spans="1:91" x14ac:dyDescent="0.3">
      <c r="A49" s="823" t="s">
        <v>915</v>
      </c>
      <c r="B49" s="823" t="s">
        <v>1070</v>
      </c>
      <c r="C49" s="756">
        <f>SUM(D49+E49)</f>
        <v>0</v>
      </c>
      <c r="D49" s="769">
        <f>SUM(F49+H49+J49+L49+N49+P49+R49+T49+V49+X49+Z49+AB49+AD49+AF49+AH49+AJ49)</f>
        <v>0</v>
      </c>
      <c r="E49" s="621">
        <f>SUM(G49+I49+K49+M49+O49+Q49+S49+U49+W49+Y49+AA49+AC49+AE49+AG49+AI49+AK49)</f>
        <v>0</v>
      </c>
      <c r="F49" s="770"/>
      <c r="G49" s="477"/>
      <c r="H49" s="770"/>
      <c r="I49" s="477"/>
      <c r="J49" s="770"/>
      <c r="K49" s="771"/>
      <c r="L49" s="770"/>
      <c r="M49" s="771"/>
      <c r="N49" s="772"/>
      <c r="O49" s="771"/>
      <c r="P49" s="772"/>
      <c r="Q49" s="771"/>
      <c r="R49" s="772"/>
      <c r="S49" s="771"/>
      <c r="T49" s="772"/>
      <c r="U49" s="771"/>
      <c r="V49" s="772"/>
      <c r="W49" s="771"/>
      <c r="X49" s="772"/>
      <c r="Y49" s="771"/>
      <c r="Z49" s="772"/>
      <c r="AA49" s="771"/>
      <c r="AB49" s="772"/>
      <c r="AC49" s="771"/>
      <c r="AD49" s="772"/>
      <c r="AE49" s="771"/>
      <c r="AF49" s="772"/>
      <c r="AG49" s="771"/>
      <c r="AH49" s="772"/>
      <c r="AI49" s="771"/>
      <c r="AJ49" s="559"/>
      <c r="AK49" s="759"/>
      <c r="AL49" s="824"/>
      <c r="AM49" s="825"/>
      <c r="AN49" s="826"/>
      <c r="AO49" t="str">
        <f>CA49&amp;CB49&amp;CC49&amp;CD49</f>
        <v/>
      </c>
      <c r="CA49" s="3024" t="str">
        <f>IF(AND($C49&gt;0,AL49="")," * No olvide digitar la variable Beneficiarios. Digite Cero si no tiene.",IF(AL49&gt;$C49,"  * La variable Beneficiarios No puede ser mayor al Total Ambos Sexos.",""))</f>
        <v/>
      </c>
      <c r="CB49" s="3024" t="str">
        <f>IF(AND($C49&gt;0,AM49=""),"  * No olvide digitar la variable Pueblos originarios. Digite Cero si no tiene.",IF(AM49&gt;$C49,"  * La variable Pueblos originarios No puede ser mayor al Total Ambos Sexos.",""))</f>
        <v/>
      </c>
      <c r="CC49" s="3024" t="str">
        <f>IF(AND($C49&gt;0,AN49="")," * No olvide digitar la variable Migrantes. Digite Cero si no tiene.",IF(AN49&gt;$C49,"  * La variable Migrantes No puede ser mayor al Total Ambos Sexos.",""))</f>
        <v/>
      </c>
      <c r="CK49" s="1901">
        <f>IF(AND(C49&gt;0,AL49=""),1,IF(AL49&gt;C49,1,0))</f>
        <v>0</v>
      </c>
      <c r="CL49" s="1901">
        <f>IF(AND(C49&gt;0,AM49=""),1,IF(AM49&gt;C49,1,0))</f>
        <v>0</v>
      </c>
      <c r="CM49" s="1901">
        <f>IF(AND(C49&gt;0,AN49=""),1,IF(AN49&gt;C49,1,0))</f>
        <v>0</v>
      </c>
    </row>
    <row r="50" spans="1:91" x14ac:dyDescent="0.3">
      <c r="A50" s="722" t="s">
        <v>1071</v>
      </c>
      <c r="B50" s="722" t="s">
        <v>1070</v>
      </c>
      <c r="C50" s="324">
        <f>SUM(D50+E50)</f>
        <v>0</v>
      </c>
      <c r="D50" s="318">
        <f>SUM(F50+H50+J50+L50+N50+P50+R50+T50+V50+X50+Z50+AB50+AD50+AF50+AH50+AJ50)</f>
        <v>0</v>
      </c>
      <c r="E50" s="631">
        <f>SUM(G50+I50+K50+M50+O50+Q50+S50+U50+W50+Y50+AA50+AC50+AE50+AG50+AI50+AK50)</f>
        <v>0</v>
      </c>
      <c r="F50" s="373"/>
      <c r="G50" s="547"/>
      <c r="H50" s="373"/>
      <c r="I50" s="547"/>
      <c r="J50" s="373"/>
      <c r="K50" s="311"/>
      <c r="L50" s="373"/>
      <c r="M50" s="311"/>
      <c r="N50" s="795"/>
      <c r="O50" s="311"/>
      <c r="P50" s="795"/>
      <c r="Q50" s="311"/>
      <c r="R50" s="795"/>
      <c r="S50" s="311"/>
      <c r="T50" s="795"/>
      <c r="U50" s="311"/>
      <c r="V50" s="795"/>
      <c r="W50" s="311"/>
      <c r="X50" s="795"/>
      <c r="Y50" s="311"/>
      <c r="Z50" s="795"/>
      <c r="AA50" s="311"/>
      <c r="AB50" s="795"/>
      <c r="AC50" s="311"/>
      <c r="AD50" s="795"/>
      <c r="AE50" s="311"/>
      <c r="AF50" s="795"/>
      <c r="AG50" s="311"/>
      <c r="AH50" s="795"/>
      <c r="AI50" s="311"/>
      <c r="AJ50" s="659"/>
      <c r="AK50" s="297"/>
      <c r="AL50" s="320"/>
      <c r="AM50" s="321"/>
      <c r="AN50" s="827"/>
      <c r="AO50" t="str">
        <f>CA50&amp;CB50&amp;CC50&amp;CD50</f>
        <v/>
      </c>
      <c r="CA50" s="3024" t="str">
        <f>IF(AND($C50&gt;0,AL50="")," * No olvide digitar la variable Beneficiarios. Digite Cero si no tiene.",IF(AL50&gt;$C50,"  * La variable Beneficiarios No puede ser mayor al Total Ambos Sexos.",""))</f>
        <v/>
      </c>
      <c r="CB50" s="3024" t="str">
        <f>IF(AND($C50&gt;0,AM50=""),"  * No olvide digitar la variable Pueblos originarios. Digite Cero si no tiene.",IF(AM50&gt;$C50,"  * La variable Pueblos originarios No puede ser mayor al Total Ambos Sexos.",""))</f>
        <v/>
      </c>
      <c r="CC50" s="3024" t="str">
        <f>IF(AND($C50&gt;0,AN50="")," * No olvide digitar la variable Migrantes. Digite Cero si no tiene.",IF(AN50&gt;$C50,"  * La variable Migrantes No puede ser mayor al Total Ambos Sexos.",""))</f>
        <v/>
      </c>
      <c r="CK50" s="1901">
        <f>IF(AND(C50&gt;0,AL50=""),1,IF(AL50&gt;C50,1,0))</f>
        <v>0</v>
      </c>
      <c r="CL50" s="1901">
        <f>IF(AND(C50&gt;0,AM50=""),1,IF(AM50&gt;C50,1,0))</f>
        <v>0</v>
      </c>
      <c r="CM50" s="1901">
        <f>IF(AND(C50&gt;0,AN50=""),1,IF(AN50&gt;C50,1,0))</f>
        <v>0</v>
      </c>
    </row>
    <row r="51" spans="1:91" s="6" customFormat="1" ht="18" customHeight="1" x14ac:dyDescent="0.25">
      <c r="A51" s="6455" t="s">
        <v>1072</v>
      </c>
      <c r="B51" s="6455"/>
      <c r="C51" s="6455"/>
      <c r="D51" s="6455"/>
      <c r="E51" s="6455"/>
      <c r="F51" s="6455"/>
      <c r="G51" s="6455"/>
      <c r="H51" s="6455"/>
      <c r="I51" s="6455"/>
      <c r="J51" s="6455"/>
      <c r="K51" s="6455"/>
      <c r="L51" s="6455"/>
      <c r="M51" s="6455"/>
      <c r="N51" s="57"/>
      <c r="O51" s="58"/>
      <c r="P51" s="58"/>
      <c r="Q51" s="58"/>
      <c r="R51" s="58"/>
      <c r="S51" s="58"/>
      <c r="T51" s="58"/>
      <c r="U51" s="58"/>
      <c r="V51" s="59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60"/>
    </row>
    <row r="52" spans="1:91" ht="15" customHeight="1" x14ac:dyDescent="0.3">
      <c r="A52" s="6440" t="s">
        <v>219</v>
      </c>
      <c r="B52" s="6441"/>
      <c r="C52" s="6447" t="s">
        <v>452</v>
      </c>
      <c r="D52" s="6447"/>
      <c r="E52" s="6448"/>
      <c r="F52" s="6456" t="s">
        <v>101</v>
      </c>
      <c r="G52" s="6457"/>
      <c r="H52" s="6457"/>
      <c r="I52" s="6457"/>
      <c r="J52" s="6457"/>
      <c r="K52" s="6457"/>
      <c r="L52" s="6457"/>
      <c r="M52" s="6457"/>
      <c r="N52" s="6457"/>
      <c r="O52" s="6457"/>
      <c r="P52" s="6457"/>
      <c r="Q52" s="6457"/>
      <c r="R52" s="6457"/>
      <c r="S52" s="6457"/>
      <c r="T52" s="6457"/>
      <c r="U52" s="6457"/>
      <c r="V52" s="6457"/>
      <c r="W52" s="6457"/>
      <c r="X52" s="6457"/>
      <c r="Y52" s="6457"/>
      <c r="Z52" s="6457"/>
      <c r="AA52" s="6457"/>
      <c r="AB52" s="6457"/>
      <c r="AC52" s="6457"/>
      <c r="AD52" s="6457"/>
      <c r="AE52" s="6457"/>
      <c r="AF52" s="6457"/>
      <c r="AG52" s="6457"/>
      <c r="AH52" s="6457"/>
      <c r="AI52" s="6457"/>
      <c r="AJ52" s="6457"/>
      <c r="AK52" s="6458"/>
      <c r="AL52" s="6249" t="s">
        <v>36</v>
      </c>
      <c r="AM52" s="6243" t="s">
        <v>37</v>
      </c>
    </row>
    <row r="53" spans="1:91" x14ac:dyDescent="0.3">
      <c r="A53" s="6442"/>
      <c r="B53" s="6443"/>
      <c r="C53" s="6450"/>
      <c r="D53" s="6450"/>
      <c r="E53" s="6451"/>
      <c r="F53" s="6436" t="s">
        <v>326</v>
      </c>
      <c r="G53" s="6183"/>
      <c r="H53" s="6436" t="s">
        <v>94</v>
      </c>
      <c r="I53" s="6183"/>
      <c r="J53" s="6436" t="s">
        <v>44</v>
      </c>
      <c r="K53" s="6183"/>
      <c r="L53" s="6436" t="s">
        <v>45</v>
      </c>
      <c r="M53" s="6183"/>
      <c r="N53" s="6437" t="s">
        <v>46</v>
      </c>
      <c r="O53" s="6180"/>
      <c r="P53" s="6437" t="s">
        <v>47</v>
      </c>
      <c r="Q53" s="6180"/>
      <c r="R53" s="6437" t="s">
        <v>48</v>
      </c>
      <c r="S53" s="6180"/>
      <c r="T53" s="6437" t="s">
        <v>49</v>
      </c>
      <c r="U53" s="6180"/>
      <c r="V53" s="6437" t="s">
        <v>50</v>
      </c>
      <c r="W53" s="6180"/>
      <c r="X53" s="6437" t="s">
        <v>51</v>
      </c>
      <c r="Y53" s="6180"/>
      <c r="Z53" s="6437" t="s">
        <v>52</v>
      </c>
      <c r="AA53" s="6180"/>
      <c r="AB53" s="6437" t="s">
        <v>53</v>
      </c>
      <c r="AC53" s="6180"/>
      <c r="AD53" s="6437" t="s">
        <v>54</v>
      </c>
      <c r="AE53" s="6180"/>
      <c r="AF53" s="6437" t="s">
        <v>55</v>
      </c>
      <c r="AG53" s="6180"/>
      <c r="AH53" s="6437" t="s">
        <v>56</v>
      </c>
      <c r="AI53" s="6180"/>
      <c r="AJ53" s="6437" t="s">
        <v>57</v>
      </c>
      <c r="AK53" s="6179"/>
      <c r="AL53" s="5766"/>
      <c r="AM53" s="5759"/>
    </row>
    <row r="54" spans="1:91" x14ac:dyDescent="0.3">
      <c r="A54" s="6444"/>
      <c r="B54" s="6445"/>
      <c r="C54" s="830" t="s">
        <v>79</v>
      </c>
      <c r="D54" s="831" t="s">
        <v>58</v>
      </c>
      <c r="E54" s="139" t="s">
        <v>59</v>
      </c>
      <c r="F54" s="464" t="s">
        <v>58</v>
      </c>
      <c r="G54" s="487" t="s">
        <v>59</v>
      </c>
      <c r="H54" s="464" t="s">
        <v>58</v>
      </c>
      <c r="I54" s="487" t="s">
        <v>59</v>
      </c>
      <c r="J54" s="464" t="s">
        <v>58</v>
      </c>
      <c r="K54" s="487" t="s">
        <v>59</v>
      </c>
      <c r="L54" s="464" t="s">
        <v>58</v>
      </c>
      <c r="M54" s="487" t="s">
        <v>59</v>
      </c>
      <c r="N54" s="464" t="s">
        <v>58</v>
      </c>
      <c r="O54" s="487" t="s">
        <v>59</v>
      </c>
      <c r="P54" s="464" t="s">
        <v>58</v>
      </c>
      <c r="Q54" s="487" t="s">
        <v>59</v>
      </c>
      <c r="R54" s="464" t="s">
        <v>58</v>
      </c>
      <c r="S54" s="487" t="s">
        <v>59</v>
      </c>
      <c r="T54" s="464" t="s">
        <v>58</v>
      </c>
      <c r="U54" s="487" t="s">
        <v>59</v>
      </c>
      <c r="V54" s="464" t="s">
        <v>58</v>
      </c>
      <c r="W54" s="487" t="s">
        <v>59</v>
      </c>
      <c r="X54" s="464" t="s">
        <v>58</v>
      </c>
      <c r="Y54" s="487" t="s">
        <v>59</v>
      </c>
      <c r="Z54" s="464" t="s">
        <v>58</v>
      </c>
      <c r="AA54" s="487" t="s">
        <v>59</v>
      </c>
      <c r="AB54" s="464" t="s">
        <v>58</v>
      </c>
      <c r="AC54" s="487" t="s">
        <v>59</v>
      </c>
      <c r="AD54" s="464" t="s">
        <v>58</v>
      </c>
      <c r="AE54" s="487" t="s">
        <v>59</v>
      </c>
      <c r="AF54" s="464" t="s">
        <v>58</v>
      </c>
      <c r="AG54" s="487" t="s">
        <v>59</v>
      </c>
      <c r="AH54" s="464" t="s">
        <v>58</v>
      </c>
      <c r="AI54" s="487" t="s">
        <v>59</v>
      </c>
      <c r="AJ54" s="53" t="s">
        <v>58</v>
      </c>
      <c r="AK54" s="322" t="s">
        <v>59</v>
      </c>
      <c r="AL54" s="5767"/>
      <c r="AM54" s="6435"/>
    </row>
    <row r="55" spans="1:91" x14ac:dyDescent="0.3">
      <c r="A55" s="6365" t="s">
        <v>1073</v>
      </c>
      <c r="B55" s="832" t="s">
        <v>64</v>
      </c>
      <c r="C55" s="756">
        <f>SUM(D55+E55)</f>
        <v>0</v>
      </c>
      <c r="D55" s="769">
        <f t="shared" ref="D55:E60" si="35">SUM(F55+H55+J55+L55+N55+P55+R55+T55+V55+X55+Z55+AB55+AD55+AF55+AH55+AJ55)</f>
        <v>0</v>
      </c>
      <c r="E55" s="621">
        <f t="shared" si="35"/>
        <v>0</v>
      </c>
      <c r="F55" s="770"/>
      <c r="G55" s="576"/>
      <c r="H55" s="770"/>
      <c r="I55" s="771"/>
      <c r="J55" s="770"/>
      <c r="K55" s="771"/>
      <c r="L55" s="770"/>
      <c r="M55" s="771"/>
      <c r="N55" s="772"/>
      <c r="O55" s="771"/>
      <c r="P55" s="772"/>
      <c r="Q55" s="771"/>
      <c r="R55" s="772"/>
      <c r="S55" s="771"/>
      <c r="T55" s="772"/>
      <c r="U55" s="771"/>
      <c r="V55" s="772"/>
      <c r="W55" s="771"/>
      <c r="X55" s="772"/>
      <c r="Y55" s="771"/>
      <c r="Z55" s="772"/>
      <c r="AA55" s="771"/>
      <c r="AB55" s="772"/>
      <c r="AC55" s="771"/>
      <c r="AD55" s="772"/>
      <c r="AE55" s="771"/>
      <c r="AF55" s="772"/>
      <c r="AG55" s="771"/>
      <c r="AH55" s="772"/>
      <c r="AI55" s="771"/>
      <c r="AJ55" s="772"/>
      <c r="AK55" s="759"/>
      <c r="AL55" s="824"/>
      <c r="AM55" s="826"/>
      <c r="AN55" t="str">
        <f t="shared" ref="AN55:AN76" si="36">CA55&amp;CB55&amp;CC55</f>
        <v/>
      </c>
      <c r="CA55" s="3024" t="str">
        <f>IF(AND($C55&gt;0,AL55="")," * No olvide digitar la variable Pueblos Originarios. Digite cero si no tiene.",IF(AL55&gt;$C55," * La variable Pueblos Originarios no puede ser mayor al Total Ambos Sexos.",""))</f>
        <v/>
      </c>
      <c r="CB55" s="3024" t="str">
        <f>IF(AND($C55&gt;0,AM55="")," * No olvide digitar la variable Migrantes. Digite cero si no tiene.",IF(AM55&gt;$C55," * La variable Migrantes no puede ser mayor al Total Ambos Sexos.",""))</f>
        <v/>
      </c>
      <c r="CK55" s="1901">
        <f t="shared" ref="CK55:CK76" si="37">IF(AND(C55&gt;0,AL55=""),1,IF(AL55&gt;C55,1,0))</f>
        <v>0</v>
      </c>
      <c r="CL55" s="1901">
        <f t="shared" ref="CL55:CL76" si="38">IF(AND(C55&gt;0,AM55=""),1,IF(AM55&gt;C55,1,0))</f>
        <v>0</v>
      </c>
    </row>
    <row r="56" spans="1:91" x14ac:dyDescent="0.3">
      <c r="A56" s="6459"/>
      <c r="B56" s="833" t="s">
        <v>1044</v>
      </c>
      <c r="C56" s="760">
        <f t="shared" ref="C56:C76" si="39">SUM(D56+E56)</f>
        <v>0</v>
      </c>
      <c r="D56" s="774">
        <f t="shared" si="35"/>
        <v>0</v>
      </c>
      <c r="E56" s="345">
        <f t="shared" si="35"/>
        <v>0</v>
      </c>
      <c r="F56" s="346"/>
      <c r="G56" s="347"/>
      <c r="H56" s="346"/>
      <c r="I56" s="350"/>
      <c r="J56" s="346"/>
      <c r="K56" s="350"/>
      <c r="L56" s="346"/>
      <c r="M56" s="350"/>
      <c r="N56" s="351"/>
      <c r="O56" s="350"/>
      <c r="P56" s="351"/>
      <c r="Q56" s="350"/>
      <c r="R56" s="351"/>
      <c r="S56" s="350"/>
      <c r="T56" s="351"/>
      <c r="U56" s="350"/>
      <c r="V56" s="351"/>
      <c r="W56" s="350"/>
      <c r="X56" s="351"/>
      <c r="Y56" s="350"/>
      <c r="Z56" s="351"/>
      <c r="AA56" s="350"/>
      <c r="AB56" s="351"/>
      <c r="AC56" s="350"/>
      <c r="AD56" s="351"/>
      <c r="AE56" s="350"/>
      <c r="AF56" s="351"/>
      <c r="AG56" s="350"/>
      <c r="AH56" s="351"/>
      <c r="AI56" s="350"/>
      <c r="AJ56" s="351"/>
      <c r="AK56" s="352"/>
      <c r="AL56" s="834"/>
      <c r="AM56" s="835"/>
      <c r="AN56" t="str">
        <f t="shared" si="36"/>
        <v/>
      </c>
      <c r="CA56" s="3024" t="str">
        <f t="shared" ref="CA56:CA76" si="40">IF(AND($C56&gt;0,AL56="")," * No olvide digitar la variable Pueblos Originarios. Digite cero si no tiene.",IF(AL56&gt;$C56," * La variable Pueblos Originarios no puede ser mayor al Total Ambos Sexos.",""))</f>
        <v/>
      </c>
      <c r="CB56" s="3024" t="str">
        <f t="shared" ref="CB56:CB76" si="41">IF(AND($C56&gt;0,AM56="")," * No olvide digitar la variable Migrantes. Digite cero si no tiene.",IF(AM56&gt;$C56," * La variable Migrantes no puede ser mayor al Total Ambos Sexos.",""))</f>
        <v/>
      </c>
      <c r="CK56" s="1901">
        <f t="shared" si="37"/>
        <v>0</v>
      </c>
      <c r="CL56" s="1901">
        <f t="shared" si="38"/>
        <v>0</v>
      </c>
    </row>
    <row r="57" spans="1:91" x14ac:dyDescent="0.3">
      <c r="A57" s="6459"/>
      <c r="B57" s="833" t="s">
        <v>1034</v>
      </c>
      <c r="C57" s="760">
        <f t="shared" si="39"/>
        <v>0</v>
      </c>
      <c r="D57" s="774">
        <f t="shared" si="35"/>
        <v>0</v>
      </c>
      <c r="E57" s="345">
        <f t="shared" si="35"/>
        <v>0</v>
      </c>
      <c r="F57" s="346"/>
      <c r="G57" s="347"/>
      <c r="H57" s="346"/>
      <c r="I57" s="350"/>
      <c r="J57" s="346"/>
      <c r="K57" s="350"/>
      <c r="L57" s="346"/>
      <c r="M57" s="350"/>
      <c r="N57" s="351"/>
      <c r="O57" s="350"/>
      <c r="P57" s="351"/>
      <c r="Q57" s="350"/>
      <c r="R57" s="351"/>
      <c r="S57" s="350"/>
      <c r="T57" s="351"/>
      <c r="U57" s="350"/>
      <c r="V57" s="351"/>
      <c r="W57" s="350"/>
      <c r="X57" s="351"/>
      <c r="Y57" s="350"/>
      <c r="Z57" s="351"/>
      <c r="AA57" s="350"/>
      <c r="AB57" s="351"/>
      <c r="AC57" s="350"/>
      <c r="AD57" s="351"/>
      <c r="AE57" s="350"/>
      <c r="AF57" s="351"/>
      <c r="AG57" s="350"/>
      <c r="AH57" s="351"/>
      <c r="AI57" s="350"/>
      <c r="AJ57" s="351"/>
      <c r="AK57" s="352"/>
      <c r="AL57" s="834"/>
      <c r="AM57" s="835"/>
      <c r="AN57" t="str">
        <f t="shared" si="36"/>
        <v/>
      </c>
      <c r="CA57" s="3024" t="str">
        <f t="shared" si="40"/>
        <v/>
      </c>
      <c r="CB57" s="3024" t="str">
        <f t="shared" si="41"/>
        <v/>
      </c>
      <c r="CK57" s="1901">
        <f t="shared" si="37"/>
        <v>0</v>
      </c>
      <c r="CL57" s="1901">
        <f t="shared" si="38"/>
        <v>0</v>
      </c>
    </row>
    <row r="58" spans="1:91" x14ac:dyDescent="0.3">
      <c r="A58" s="6459"/>
      <c r="B58" s="833" t="s">
        <v>1074</v>
      </c>
      <c r="C58" s="760">
        <f t="shared" si="39"/>
        <v>0</v>
      </c>
      <c r="D58" s="774">
        <f t="shared" si="35"/>
        <v>0</v>
      </c>
      <c r="E58" s="345">
        <f t="shared" si="35"/>
        <v>0</v>
      </c>
      <c r="F58" s="346"/>
      <c r="G58" s="347"/>
      <c r="H58" s="346"/>
      <c r="I58" s="350"/>
      <c r="J58" s="346"/>
      <c r="K58" s="350"/>
      <c r="L58" s="346"/>
      <c r="M58" s="350"/>
      <c r="N58" s="351"/>
      <c r="O58" s="350"/>
      <c r="P58" s="351"/>
      <c r="Q58" s="350"/>
      <c r="R58" s="351"/>
      <c r="S58" s="350"/>
      <c r="T58" s="351"/>
      <c r="U58" s="350"/>
      <c r="V58" s="351"/>
      <c r="W58" s="350"/>
      <c r="X58" s="351"/>
      <c r="Y58" s="350"/>
      <c r="Z58" s="351"/>
      <c r="AA58" s="350"/>
      <c r="AB58" s="351"/>
      <c r="AC58" s="350"/>
      <c r="AD58" s="351"/>
      <c r="AE58" s="350"/>
      <c r="AF58" s="351"/>
      <c r="AG58" s="350"/>
      <c r="AH58" s="351"/>
      <c r="AI58" s="350"/>
      <c r="AJ58" s="351"/>
      <c r="AK58" s="352"/>
      <c r="AL58" s="834"/>
      <c r="AM58" s="835"/>
      <c r="AN58" t="str">
        <f t="shared" si="36"/>
        <v/>
      </c>
      <c r="CA58" s="3024" t="str">
        <f t="shared" si="40"/>
        <v/>
      </c>
      <c r="CB58" s="3024" t="str">
        <f t="shared" si="41"/>
        <v/>
      </c>
      <c r="CK58" s="1901">
        <f t="shared" si="37"/>
        <v>0</v>
      </c>
      <c r="CL58" s="1901">
        <f t="shared" si="38"/>
        <v>0</v>
      </c>
    </row>
    <row r="59" spans="1:91" x14ac:dyDescent="0.3">
      <c r="A59" s="6459"/>
      <c r="B59" s="833" t="s">
        <v>1035</v>
      </c>
      <c r="C59" s="760">
        <f t="shared" si="39"/>
        <v>0</v>
      </c>
      <c r="D59" s="774">
        <f t="shared" si="35"/>
        <v>0</v>
      </c>
      <c r="E59" s="345">
        <f t="shared" si="35"/>
        <v>0</v>
      </c>
      <c r="F59" s="346"/>
      <c r="G59" s="347"/>
      <c r="H59" s="346"/>
      <c r="I59" s="350"/>
      <c r="J59" s="346"/>
      <c r="K59" s="350"/>
      <c r="L59" s="346"/>
      <c r="M59" s="350"/>
      <c r="N59" s="351"/>
      <c r="O59" s="350"/>
      <c r="P59" s="351"/>
      <c r="Q59" s="350"/>
      <c r="R59" s="351"/>
      <c r="S59" s="350"/>
      <c r="T59" s="351"/>
      <c r="U59" s="350"/>
      <c r="V59" s="351"/>
      <c r="W59" s="350"/>
      <c r="X59" s="351"/>
      <c r="Y59" s="350"/>
      <c r="Z59" s="351"/>
      <c r="AA59" s="350"/>
      <c r="AB59" s="351"/>
      <c r="AC59" s="350"/>
      <c r="AD59" s="351"/>
      <c r="AE59" s="350"/>
      <c r="AF59" s="351"/>
      <c r="AG59" s="350"/>
      <c r="AH59" s="351"/>
      <c r="AI59" s="350"/>
      <c r="AJ59" s="351"/>
      <c r="AK59" s="352"/>
      <c r="AL59" s="834"/>
      <c r="AM59" s="835"/>
      <c r="AN59" t="str">
        <f t="shared" si="36"/>
        <v/>
      </c>
      <c r="CA59" s="3024" t="str">
        <f t="shared" si="40"/>
        <v/>
      </c>
      <c r="CB59" s="3024" t="str">
        <f t="shared" si="41"/>
        <v/>
      </c>
      <c r="CK59" s="1901">
        <f t="shared" si="37"/>
        <v>0</v>
      </c>
      <c r="CL59" s="1901">
        <f t="shared" si="38"/>
        <v>0</v>
      </c>
    </row>
    <row r="60" spans="1:91" x14ac:dyDescent="0.3">
      <c r="A60" s="6366"/>
      <c r="B60" s="836" t="s">
        <v>1075</v>
      </c>
      <c r="C60" s="724">
        <f t="shared" si="39"/>
        <v>0</v>
      </c>
      <c r="D60" s="725">
        <f t="shared" si="35"/>
        <v>0</v>
      </c>
      <c r="E60" s="640">
        <f t="shared" si="35"/>
        <v>0</v>
      </c>
      <c r="F60" s="380"/>
      <c r="G60" s="388"/>
      <c r="H60" s="380"/>
      <c r="I60" s="389"/>
      <c r="J60" s="380"/>
      <c r="K60" s="389"/>
      <c r="L60" s="380"/>
      <c r="M60" s="389"/>
      <c r="N60" s="682"/>
      <c r="O60" s="389"/>
      <c r="P60" s="682"/>
      <c r="Q60" s="389"/>
      <c r="R60" s="682"/>
      <c r="S60" s="389"/>
      <c r="T60" s="682"/>
      <c r="U60" s="389"/>
      <c r="V60" s="682"/>
      <c r="W60" s="389"/>
      <c r="X60" s="682"/>
      <c r="Y60" s="389"/>
      <c r="Z60" s="682"/>
      <c r="AA60" s="389"/>
      <c r="AB60" s="682"/>
      <c r="AC60" s="389"/>
      <c r="AD60" s="682"/>
      <c r="AE60" s="389"/>
      <c r="AF60" s="682"/>
      <c r="AG60" s="389"/>
      <c r="AH60" s="682"/>
      <c r="AI60" s="389"/>
      <c r="AJ60" s="682"/>
      <c r="AK60" s="390"/>
      <c r="AL60" s="837"/>
      <c r="AM60" s="838"/>
      <c r="AN60" t="str">
        <f t="shared" si="36"/>
        <v/>
      </c>
      <c r="CA60" s="3024" t="str">
        <f t="shared" si="40"/>
        <v/>
      </c>
      <c r="CB60" s="3024" t="str">
        <f t="shared" si="41"/>
        <v/>
      </c>
      <c r="CK60" s="1901">
        <f t="shared" si="37"/>
        <v>0</v>
      </c>
      <c r="CL60" s="1901">
        <f t="shared" si="38"/>
        <v>0</v>
      </c>
    </row>
    <row r="61" spans="1:91" x14ac:dyDescent="0.3">
      <c r="A61" s="6365" t="s">
        <v>1076</v>
      </c>
      <c r="B61" s="832" t="s">
        <v>1034</v>
      </c>
      <c r="C61" s="756">
        <f t="shared" si="39"/>
        <v>0</v>
      </c>
      <c r="D61" s="769">
        <f t="shared" ref="D61:E66" si="42">SUM(H61+J61+L61)</f>
        <v>0</v>
      </c>
      <c r="E61" s="621">
        <f t="shared" si="42"/>
        <v>0</v>
      </c>
      <c r="F61" s="839"/>
      <c r="G61" s="840"/>
      <c r="H61" s="770"/>
      <c r="I61" s="771"/>
      <c r="J61" s="770"/>
      <c r="K61" s="771"/>
      <c r="L61" s="770"/>
      <c r="M61" s="771"/>
      <c r="N61" s="841"/>
      <c r="O61" s="842"/>
      <c r="P61" s="841"/>
      <c r="Q61" s="842"/>
      <c r="R61" s="841"/>
      <c r="S61" s="842"/>
      <c r="T61" s="841"/>
      <c r="U61" s="842"/>
      <c r="V61" s="841"/>
      <c r="W61" s="842"/>
      <c r="X61" s="841"/>
      <c r="Y61" s="842"/>
      <c r="Z61" s="841"/>
      <c r="AA61" s="842"/>
      <c r="AB61" s="841"/>
      <c r="AC61" s="842"/>
      <c r="AD61" s="841"/>
      <c r="AE61" s="842"/>
      <c r="AF61" s="841"/>
      <c r="AG61" s="842"/>
      <c r="AH61" s="839"/>
      <c r="AI61" s="842"/>
      <c r="AJ61" s="841"/>
      <c r="AK61" s="843"/>
      <c r="AL61" s="824"/>
      <c r="AM61" s="826"/>
      <c r="AN61" t="str">
        <f t="shared" si="36"/>
        <v/>
      </c>
      <c r="CA61" s="3024" t="str">
        <f t="shared" si="40"/>
        <v/>
      </c>
      <c r="CB61" s="3024" t="str">
        <f t="shared" si="41"/>
        <v/>
      </c>
      <c r="CK61" s="1901">
        <f t="shared" si="37"/>
        <v>0</v>
      </c>
      <c r="CL61" s="1901">
        <f t="shared" si="38"/>
        <v>0</v>
      </c>
    </row>
    <row r="62" spans="1:91" x14ac:dyDescent="0.3">
      <c r="A62" s="6366"/>
      <c r="B62" s="833" t="s">
        <v>1035</v>
      </c>
      <c r="C62" s="724">
        <f t="shared" si="39"/>
        <v>0</v>
      </c>
      <c r="D62" s="725">
        <f t="shared" si="42"/>
        <v>0</v>
      </c>
      <c r="E62" s="640">
        <f t="shared" si="42"/>
        <v>0</v>
      </c>
      <c r="F62" s="635"/>
      <c r="G62" s="636"/>
      <c r="H62" s="380"/>
      <c r="I62" s="389"/>
      <c r="J62" s="380"/>
      <c r="K62" s="389"/>
      <c r="L62" s="380"/>
      <c r="M62" s="389"/>
      <c r="N62" s="744"/>
      <c r="O62" s="844"/>
      <c r="P62" s="744"/>
      <c r="Q62" s="844"/>
      <c r="R62" s="744"/>
      <c r="S62" s="844"/>
      <c r="T62" s="744"/>
      <c r="U62" s="844"/>
      <c r="V62" s="744"/>
      <c r="W62" s="844"/>
      <c r="X62" s="744"/>
      <c r="Y62" s="844"/>
      <c r="Z62" s="744"/>
      <c r="AA62" s="844"/>
      <c r="AB62" s="744"/>
      <c r="AC62" s="844"/>
      <c r="AD62" s="744"/>
      <c r="AE62" s="844"/>
      <c r="AF62" s="744"/>
      <c r="AG62" s="844"/>
      <c r="AH62" s="635"/>
      <c r="AI62" s="844"/>
      <c r="AJ62" s="744"/>
      <c r="AK62" s="845"/>
      <c r="AL62" s="837"/>
      <c r="AM62" s="838"/>
      <c r="AN62" t="str">
        <f t="shared" si="36"/>
        <v/>
      </c>
      <c r="CA62" s="3024" t="str">
        <f t="shared" si="40"/>
        <v/>
      </c>
      <c r="CB62" s="3024" t="str">
        <f t="shared" si="41"/>
        <v/>
      </c>
      <c r="CK62" s="1901">
        <f t="shared" si="37"/>
        <v>0</v>
      </c>
      <c r="CL62" s="1901">
        <f t="shared" si="38"/>
        <v>0</v>
      </c>
    </row>
    <row r="63" spans="1:91" x14ac:dyDescent="0.3">
      <c r="A63" s="6365" t="s">
        <v>1077</v>
      </c>
      <c r="B63" s="832" t="s">
        <v>64</v>
      </c>
      <c r="C63" s="756">
        <f t="shared" si="39"/>
        <v>0</v>
      </c>
      <c r="D63" s="769">
        <f t="shared" si="42"/>
        <v>0</v>
      </c>
      <c r="E63" s="621">
        <f t="shared" si="42"/>
        <v>0</v>
      </c>
      <c r="F63" s="839"/>
      <c r="G63" s="840"/>
      <c r="H63" s="770"/>
      <c r="I63" s="771"/>
      <c r="J63" s="770"/>
      <c r="K63" s="771"/>
      <c r="L63" s="770"/>
      <c r="M63" s="771"/>
      <c r="N63" s="841"/>
      <c r="O63" s="842"/>
      <c r="P63" s="841"/>
      <c r="Q63" s="842"/>
      <c r="R63" s="841"/>
      <c r="S63" s="842"/>
      <c r="T63" s="841"/>
      <c r="U63" s="842"/>
      <c r="V63" s="841"/>
      <c r="W63" s="842"/>
      <c r="X63" s="841"/>
      <c r="Y63" s="842"/>
      <c r="Z63" s="841"/>
      <c r="AA63" s="842"/>
      <c r="AB63" s="841"/>
      <c r="AC63" s="842"/>
      <c r="AD63" s="841"/>
      <c r="AE63" s="842"/>
      <c r="AF63" s="841"/>
      <c r="AG63" s="842"/>
      <c r="AH63" s="839"/>
      <c r="AI63" s="842"/>
      <c r="AJ63" s="841"/>
      <c r="AK63" s="843"/>
      <c r="AL63" s="824"/>
      <c r="AM63" s="826"/>
      <c r="AN63" t="str">
        <f t="shared" si="36"/>
        <v/>
      </c>
      <c r="CA63" s="3024" t="str">
        <f t="shared" si="40"/>
        <v/>
      </c>
      <c r="CB63" s="3024" t="str">
        <f t="shared" si="41"/>
        <v/>
      </c>
      <c r="CK63" s="1901">
        <f t="shared" si="37"/>
        <v>0</v>
      </c>
      <c r="CL63" s="1901">
        <f t="shared" si="38"/>
        <v>0</v>
      </c>
    </row>
    <row r="64" spans="1:91" x14ac:dyDescent="0.3">
      <c r="A64" s="6459"/>
      <c r="B64" s="833" t="s">
        <v>1044</v>
      </c>
      <c r="C64" s="760">
        <f t="shared" si="39"/>
        <v>0</v>
      </c>
      <c r="D64" s="774">
        <f t="shared" si="42"/>
        <v>0</v>
      </c>
      <c r="E64" s="345">
        <f t="shared" si="42"/>
        <v>0</v>
      </c>
      <c r="F64" s="634"/>
      <c r="G64" s="368"/>
      <c r="H64" s="346"/>
      <c r="I64" s="350"/>
      <c r="J64" s="346"/>
      <c r="K64" s="350"/>
      <c r="L64" s="346"/>
      <c r="M64" s="350"/>
      <c r="N64" s="846"/>
      <c r="O64" s="847"/>
      <c r="P64" s="846"/>
      <c r="Q64" s="847"/>
      <c r="R64" s="846"/>
      <c r="S64" s="847"/>
      <c r="T64" s="846"/>
      <c r="U64" s="847"/>
      <c r="V64" s="846"/>
      <c r="W64" s="847"/>
      <c r="X64" s="846"/>
      <c r="Y64" s="847"/>
      <c r="Z64" s="846"/>
      <c r="AA64" s="847"/>
      <c r="AB64" s="846"/>
      <c r="AC64" s="847"/>
      <c r="AD64" s="846"/>
      <c r="AE64" s="847"/>
      <c r="AF64" s="846"/>
      <c r="AG64" s="847"/>
      <c r="AH64" s="634"/>
      <c r="AI64" s="847"/>
      <c r="AJ64" s="846"/>
      <c r="AK64" s="848"/>
      <c r="AL64" s="834"/>
      <c r="AM64" s="835"/>
      <c r="AN64" t="str">
        <f t="shared" si="36"/>
        <v/>
      </c>
      <c r="CA64" s="3024" t="str">
        <f t="shared" si="40"/>
        <v/>
      </c>
      <c r="CB64" s="3024" t="str">
        <f t="shared" si="41"/>
        <v/>
      </c>
      <c r="CK64" s="1901">
        <f t="shared" si="37"/>
        <v>0</v>
      </c>
      <c r="CL64" s="1901">
        <f t="shared" si="38"/>
        <v>0</v>
      </c>
    </row>
    <row r="65" spans="1:90" x14ac:dyDescent="0.3">
      <c r="A65" s="6459"/>
      <c r="B65" s="833" t="s">
        <v>1034</v>
      </c>
      <c r="C65" s="760">
        <f t="shared" si="39"/>
        <v>0</v>
      </c>
      <c r="D65" s="774">
        <f t="shared" si="42"/>
        <v>0</v>
      </c>
      <c r="E65" s="345">
        <f t="shared" si="42"/>
        <v>0</v>
      </c>
      <c r="F65" s="634"/>
      <c r="G65" s="368"/>
      <c r="H65" s="346"/>
      <c r="I65" s="350"/>
      <c r="J65" s="346"/>
      <c r="K65" s="350"/>
      <c r="L65" s="346"/>
      <c r="M65" s="350"/>
      <c r="N65" s="846"/>
      <c r="O65" s="847"/>
      <c r="P65" s="846"/>
      <c r="Q65" s="847"/>
      <c r="R65" s="846"/>
      <c r="S65" s="847"/>
      <c r="T65" s="846"/>
      <c r="U65" s="847"/>
      <c r="V65" s="846"/>
      <c r="W65" s="847"/>
      <c r="X65" s="846"/>
      <c r="Y65" s="847"/>
      <c r="Z65" s="846"/>
      <c r="AA65" s="847"/>
      <c r="AB65" s="846"/>
      <c r="AC65" s="847"/>
      <c r="AD65" s="846"/>
      <c r="AE65" s="847"/>
      <c r="AF65" s="846"/>
      <c r="AG65" s="847"/>
      <c r="AH65" s="634"/>
      <c r="AI65" s="847"/>
      <c r="AJ65" s="846"/>
      <c r="AK65" s="848"/>
      <c r="AL65" s="834"/>
      <c r="AM65" s="835"/>
      <c r="AN65" t="str">
        <f t="shared" si="36"/>
        <v/>
      </c>
      <c r="CA65" s="3024" t="str">
        <f t="shared" si="40"/>
        <v/>
      </c>
      <c r="CB65" s="3024" t="str">
        <f t="shared" si="41"/>
        <v/>
      </c>
      <c r="CK65" s="1901">
        <f t="shared" si="37"/>
        <v>0</v>
      </c>
      <c r="CL65" s="1901">
        <f t="shared" si="38"/>
        <v>0</v>
      </c>
    </row>
    <row r="66" spans="1:90" x14ac:dyDescent="0.3">
      <c r="A66" s="6366"/>
      <c r="B66" s="833" t="s">
        <v>1035</v>
      </c>
      <c r="C66" s="724">
        <f t="shared" si="39"/>
        <v>0</v>
      </c>
      <c r="D66" s="725">
        <f t="shared" si="42"/>
        <v>0</v>
      </c>
      <c r="E66" s="640">
        <f t="shared" si="42"/>
        <v>0</v>
      </c>
      <c r="F66" s="635"/>
      <c r="G66" s="636"/>
      <c r="H66" s="380"/>
      <c r="I66" s="389"/>
      <c r="J66" s="380"/>
      <c r="K66" s="389"/>
      <c r="L66" s="380"/>
      <c r="M66" s="389"/>
      <c r="N66" s="744"/>
      <c r="O66" s="844"/>
      <c r="P66" s="744"/>
      <c r="Q66" s="844"/>
      <c r="R66" s="744"/>
      <c r="S66" s="844"/>
      <c r="T66" s="744"/>
      <c r="U66" s="844"/>
      <c r="V66" s="744"/>
      <c r="W66" s="844"/>
      <c r="X66" s="744"/>
      <c r="Y66" s="844"/>
      <c r="Z66" s="744"/>
      <c r="AA66" s="844"/>
      <c r="AB66" s="744"/>
      <c r="AC66" s="844"/>
      <c r="AD66" s="744"/>
      <c r="AE66" s="844"/>
      <c r="AF66" s="744"/>
      <c r="AG66" s="844"/>
      <c r="AH66" s="635"/>
      <c r="AI66" s="844"/>
      <c r="AJ66" s="744"/>
      <c r="AK66" s="845"/>
      <c r="AL66" s="837"/>
      <c r="AM66" s="838"/>
      <c r="AN66" t="str">
        <f t="shared" si="36"/>
        <v/>
      </c>
      <c r="CA66" s="3024" t="str">
        <f t="shared" si="40"/>
        <v/>
      </c>
      <c r="CB66" s="3024" t="str">
        <f t="shared" si="41"/>
        <v/>
      </c>
      <c r="CK66" s="1901">
        <f t="shared" si="37"/>
        <v>0</v>
      </c>
      <c r="CL66" s="1901">
        <f t="shared" si="38"/>
        <v>0</v>
      </c>
    </row>
    <row r="67" spans="1:90" x14ac:dyDescent="0.3">
      <c r="A67" s="6365" t="s">
        <v>1078</v>
      </c>
      <c r="B67" s="832" t="s">
        <v>64</v>
      </c>
      <c r="C67" s="756">
        <f t="shared" si="39"/>
        <v>0</v>
      </c>
      <c r="D67" s="769">
        <f t="shared" ref="D67:D76" si="43">SUM(H67+J67+L67+N67+P67+R67+T67+V67+X67+Z67+AB67+AD67+AF67+AH67+AJ67)</f>
        <v>0</v>
      </c>
      <c r="E67" s="621">
        <f t="shared" ref="E67:E76" si="44">SUM(I67+K67+M67+O67+Q67+S67+U67+W67+Y67+AA67+AC67+AE67+AG67+AI67+AK67)</f>
        <v>0</v>
      </c>
      <c r="F67" s="839"/>
      <c r="G67" s="842"/>
      <c r="H67" s="770"/>
      <c r="I67" s="771"/>
      <c r="J67" s="770"/>
      <c r="K67" s="771"/>
      <c r="L67" s="770"/>
      <c r="M67" s="771"/>
      <c r="N67" s="770"/>
      <c r="O67" s="771"/>
      <c r="P67" s="770"/>
      <c r="Q67" s="771"/>
      <c r="R67" s="770"/>
      <c r="S67" s="771"/>
      <c r="T67" s="770"/>
      <c r="U67" s="771"/>
      <c r="V67" s="770"/>
      <c r="W67" s="771"/>
      <c r="X67" s="770"/>
      <c r="Y67" s="771"/>
      <c r="Z67" s="770"/>
      <c r="AA67" s="771"/>
      <c r="AB67" s="770"/>
      <c r="AC67" s="771"/>
      <c r="AD67" s="770"/>
      <c r="AE67" s="771"/>
      <c r="AF67" s="770"/>
      <c r="AG67" s="771"/>
      <c r="AH67" s="770"/>
      <c r="AI67" s="771"/>
      <c r="AJ67" s="770"/>
      <c r="AK67" s="759"/>
      <c r="AL67" s="824"/>
      <c r="AM67" s="826"/>
      <c r="AN67" t="str">
        <f t="shared" si="36"/>
        <v/>
      </c>
      <c r="CA67" s="3024" t="str">
        <f t="shared" si="40"/>
        <v/>
      </c>
      <c r="CB67" s="3024" t="str">
        <f t="shared" si="41"/>
        <v/>
      </c>
      <c r="CK67" s="1901">
        <f t="shared" si="37"/>
        <v>0</v>
      </c>
      <c r="CL67" s="1901">
        <f t="shared" si="38"/>
        <v>0</v>
      </c>
    </row>
    <row r="68" spans="1:90" x14ac:dyDescent="0.3">
      <c r="A68" s="6366"/>
      <c r="B68" s="833" t="s">
        <v>1044</v>
      </c>
      <c r="C68" s="202">
        <f t="shared" si="39"/>
        <v>0</v>
      </c>
      <c r="D68" s="775">
        <f t="shared" si="43"/>
        <v>0</v>
      </c>
      <c r="E68" s="640">
        <f t="shared" si="44"/>
        <v>0</v>
      </c>
      <c r="F68" s="635"/>
      <c r="G68" s="844"/>
      <c r="H68" s="380"/>
      <c r="I68" s="389"/>
      <c r="J68" s="380"/>
      <c r="K68" s="389"/>
      <c r="L68" s="380"/>
      <c r="M68" s="389"/>
      <c r="N68" s="380"/>
      <c r="O68" s="389"/>
      <c r="P68" s="380"/>
      <c r="Q68" s="389"/>
      <c r="R68" s="380"/>
      <c r="S68" s="389"/>
      <c r="T68" s="380"/>
      <c r="U68" s="389"/>
      <c r="V68" s="380"/>
      <c r="W68" s="389"/>
      <c r="X68" s="380"/>
      <c r="Y68" s="389"/>
      <c r="Z68" s="380"/>
      <c r="AA68" s="389"/>
      <c r="AB68" s="380"/>
      <c r="AC68" s="389"/>
      <c r="AD68" s="380"/>
      <c r="AE68" s="389"/>
      <c r="AF68" s="380"/>
      <c r="AG68" s="389"/>
      <c r="AH68" s="380"/>
      <c r="AI68" s="389"/>
      <c r="AJ68" s="380"/>
      <c r="AK68" s="390"/>
      <c r="AL68" s="837"/>
      <c r="AM68" s="838"/>
      <c r="AN68" t="str">
        <f t="shared" si="36"/>
        <v/>
      </c>
      <c r="CA68" s="3024" t="str">
        <f t="shared" si="40"/>
        <v/>
      </c>
      <c r="CB68" s="3024" t="str">
        <f t="shared" si="41"/>
        <v/>
      </c>
      <c r="CK68" s="1901">
        <f t="shared" si="37"/>
        <v>0</v>
      </c>
      <c r="CL68" s="1901">
        <f t="shared" si="38"/>
        <v>0</v>
      </c>
    </row>
    <row r="69" spans="1:90" x14ac:dyDescent="0.3">
      <c r="A69" s="6365" t="s">
        <v>1079</v>
      </c>
      <c r="B69" s="832" t="s">
        <v>64</v>
      </c>
      <c r="C69" s="756">
        <f t="shared" si="39"/>
        <v>0</v>
      </c>
      <c r="D69" s="769">
        <f t="shared" si="43"/>
        <v>0</v>
      </c>
      <c r="E69" s="621">
        <f t="shared" si="44"/>
        <v>0</v>
      </c>
      <c r="F69" s="839"/>
      <c r="G69" s="840"/>
      <c r="H69" s="770"/>
      <c r="I69" s="771"/>
      <c r="J69" s="770"/>
      <c r="K69" s="771"/>
      <c r="L69" s="770"/>
      <c r="M69" s="771"/>
      <c r="N69" s="770"/>
      <c r="O69" s="771"/>
      <c r="P69" s="770"/>
      <c r="Q69" s="771"/>
      <c r="R69" s="770"/>
      <c r="S69" s="771"/>
      <c r="T69" s="770"/>
      <c r="U69" s="771"/>
      <c r="V69" s="770"/>
      <c r="W69" s="771"/>
      <c r="X69" s="770"/>
      <c r="Y69" s="771"/>
      <c r="Z69" s="770"/>
      <c r="AA69" s="771"/>
      <c r="AB69" s="770"/>
      <c r="AC69" s="771"/>
      <c r="AD69" s="770"/>
      <c r="AE69" s="771"/>
      <c r="AF69" s="770"/>
      <c r="AG69" s="771"/>
      <c r="AH69" s="770"/>
      <c r="AI69" s="771"/>
      <c r="AJ69" s="770"/>
      <c r="AK69" s="759"/>
      <c r="AL69" s="824"/>
      <c r="AM69" s="826"/>
      <c r="AN69" t="str">
        <f t="shared" si="36"/>
        <v/>
      </c>
      <c r="CA69" s="3024" t="str">
        <f t="shared" si="40"/>
        <v/>
      </c>
      <c r="CB69" s="3024" t="str">
        <f t="shared" si="41"/>
        <v/>
      </c>
      <c r="CK69" s="1901">
        <f t="shared" si="37"/>
        <v>0</v>
      </c>
      <c r="CL69" s="1901">
        <f t="shared" si="38"/>
        <v>0</v>
      </c>
    </row>
    <row r="70" spans="1:90" x14ac:dyDescent="0.3">
      <c r="A70" s="6366"/>
      <c r="B70" s="833" t="s">
        <v>1044</v>
      </c>
      <c r="C70" s="724">
        <f t="shared" si="39"/>
        <v>0</v>
      </c>
      <c r="D70" s="725">
        <f t="shared" si="43"/>
        <v>0</v>
      </c>
      <c r="E70" s="640">
        <f t="shared" si="44"/>
        <v>0</v>
      </c>
      <c r="F70" s="635"/>
      <c r="G70" s="636"/>
      <c r="H70" s="380"/>
      <c r="I70" s="389"/>
      <c r="J70" s="380"/>
      <c r="K70" s="389"/>
      <c r="L70" s="380"/>
      <c r="M70" s="389"/>
      <c r="N70" s="380"/>
      <c r="O70" s="389"/>
      <c r="P70" s="380"/>
      <c r="Q70" s="389"/>
      <c r="R70" s="380"/>
      <c r="S70" s="389"/>
      <c r="T70" s="380"/>
      <c r="U70" s="389"/>
      <c r="V70" s="380"/>
      <c r="W70" s="389"/>
      <c r="X70" s="380"/>
      <c r="Y70" s="389"/>
      <c r="Z70" s="380"/>
      <c r="AA70" s="389"/>
      <c r="AB70" s="380"/>
      <c r="AC70" s="389"/>
      <c r="AD70" s="380"/>
      <c r="AE70" s="389"/>
      <c r="AF70" s="380"/>
      <c r="AG70" s="389"/>
      <c r="AH70" s="380"/>
      <c r="AI70" s="389"/>
      <c r="AJ70" s="380"/>
      <c r="AK70" s="390"/>
      <c r="AL70" s="837"/>
      <c r="AM70" s="838"/>
      <c r="AN70" t="str">
        <f t="shared" si="36"/>
        <v/>
      </c>
      <c r="CA70" s="3024" t="str">
        <f t="shared" si="40"/>
        <v/>
      </c>
      <c r="CB70" s="3024" t="str">
        <f t="shared" si="41"/>
        <v/>
      </c>
      <c r="CK70" s="1901">
        <f t="shared" si="37"/>
        <v>0</v>
      </c>
      <c r="CL70" s="1901">
        <f t="shared" si="38"/>
        <v>0</v>
      </c>
    </row>
    <row r="71" spans="1:90" x14ac:dyDescent="0.3">
      <c r="A71" s="6365" t="s">
        <v>1080</v>
      </c>
      <c r="B71" s="832" t="s">
        <v>64</v>
      </c>
      <c r="C71" s="756">
        <f t="shared" si="39"/>
        <v>0</v>
      </c>
      <c r="D71" s="769">
        <f t="shared" si="43"/>
        <v>0</v>
      </c>
      <c r="E71" s="621">
        <f t="shared" si="44"/>
        <v>0</v>
      </c>
      <c r="F71" s="839"/>
      <c r="G71" s="840"/>
      <c r="H71" s="770"/>
      <c r="I71" s="771"/>
      <c r="J71" s="770"/>
      <c r="K71" s="771"/>
      <c r="L71" s="770"/>
      <c r="M71" s="771"/>
      <c r="N71" s="770"/>
      <c r="O71" s="771"/>
      <c r="P71" s="770"/>
      <c r="Q71" s="771"/>
      <c r="R71" s="770"/>
      <c r="S71" s="771"/>
      <c r="T71" s="770"/>
      <c r="U71" s="771"/>
      <c r="V71" s="770"/>
      <c r="W71" s="771"/>
      <c r="X71" s="770"/>
      <c r="Y71" s="771"/>
      <c r="Z71" s="770"/>
      <c r="AA71" s="771"/>
      <c r="AB71" s="770"/>
      <c r="AC71" s="771"/>
      <c r="AD71" s="770"/>
      <c r="AE71" s="771"/>
      <c r="AF71" s="770"/>
      <c r="AG71" s="771"/>
      <c r="AH71" s="770"/>
      <c r="AI71" s="771"/>
      <c r="AJ71" s="770"/>
      <c r="AK71" s="759"/>
      <c r="AL71" s="824"/>
      <c r="AM71" s="826"/>
      <c r="AN71" t="str">
        <f t="shared" si="36"/>
        <v/>
      </c>
      <c r="CA71" s="3024" t="str">
        <f t="shared" si="40"/>
        <v/>
      </c>
      <c r="CB71" s="3024" t="str">
        <f t="shared" si="41"/>
        <v/>
      </c>
      <c r="CK71" s="1901">
        <f t="shared" si="37"/>
        <v>0</v>
      </c>
      <c r="CL71" s="1901">
        <f t="shared" si="38"/>
        <v>0</v>
      </c>
    </row>
    <row r="72" spans="1:90" x14ac:dyDescent="0.3">
      <c r="A72" s="6459"/>
      <c r="B72" s="833" t="s">
        <v>1044</v>
      </c>
      <c r="C72" s="760">
        <f t="shared" si="39"/>
        <v>0</v>
      </c>
      <c r="D72" s="774">
        <f t="shared" si="43"/>
        <v>0</v>
      </c>
      <c r="E72" s="345">
        <f t="shared" si="44"/>
        <v>0</v>
      </c>
      <c r="F72" s="634"/>
      <c r="G72" s="368"/>
      <c r="H72" s="346"/>
      <c r="I72" s="350"/>
      <c r="J72" s="346"/>
      <c r="K72" s="350"/>
      <c r="L72" s="346"/>
      <c r="M72" s="350"/>
      <c r="N72" s="346"/>
      <c r="O72" s="350"/>
      <c r="P72" s="346"/>
      <c r="Q72" s="350"/>
      <c r="R72" s="346"/>
      <c r="S72" s="350"/>
      <c r="T72" s="346"/>
      <c r="U72" s="350"/>
      <c r="V72" s="346"/>
      <c r="W72" s="350"/>
      <c r="X72" s="346"/>
      <c r="Y72" s="350"/>
      <c r="Z72" s="346"/>
      <c r="AA72" s="350"/>
      <c r="AB72" s="346"/>
      <c r="AC72" s="350"/>
      <c r="AD72" s="346"/>
      <c r="AE72" s="350"/>
      <c r="AF72" s="346"/>
      <c r="AG72" s="350"/>
      <c r="AH72" s="346"/>
      <c r="AI72" s="350"/>
      <c r="AJ72" s="346"/>
      <c r="AK72" s="352"/>
      <c r="AL72" s="834"/>
      <c r="AM72" s="835"/>
      <c r="AN72" t="str">
        <f t="shared" si="36"/>
        <v/>
      </c>
      <c r="CA72" s="3024" t="str">
        <f t="shared" si="40"/>
        <v/>
      </c>
      <c r="CB72" s="3024" t="str">
        <f t="shared" si="41"/>
        <v/>
      </c>
      <c r="CK72" s="1901">
        <f t="shared" si="37"/>
        <v>0</v>
      </c>
      <c r="CL72" s="1901">
        <f t="shared" si="38"/>
        <v>0</v>
      </c>
    </row>
    <row r="73" spans="1:90" x14ac:dyDescent="0.3">
      <c r="A73" s="6459"/>
      <c r="B73" s="833" t="s">
        <v>1034</v>
      </c>
      <c r="C73" s="760">
        <f t="shared" si="39"/>
        <v>0</v>
      </c>
      <c r="D73" s="774">
        <f t="shared" si="43"/>
        <v>0</v>
      </c>
      <c r="E73" s="345">
        <f t="shared" si="44"/>
        <v>0</v>
      </c>
      <c r="F73" s="634"/>
      <c r="G73" s="368"/>
      <c r="H73" s="346"/>
      <c r="I73" s="350"/>
      <c r="J73" s="346"/>
      <c r="K73" s="350"/>
      <c r="L73" s="346"/>
      <c r="M73" s="350"/>
      <c r="N73" s="346"/>
      <c r="O73" s="350"/>
      <c r="P73" s="346"/>
      <c r="Q73" s="350"/>
      <c r="R73" s="346"/>
      <c r="S73" s="350"/>
      <c r="T73" s="346"/>
      <c r="U73" s="350"/>
      <c r="V73" s="346"/>
      <c r="W73" s="350"/>
      <c r="X73" s="346"/>
      <c r="Y73" s="350"/>
      <c r="Z73" s="346"/>
      <c r="AA73" s="350"/>
      <c r="AB73" s="346"/>
      <c r="AC73" s="350"/>
      <c r="AD73" s="346"/>
      <c r="AE73" s="350"/>
      <c r="AF73" s="346"/>
      <c r="AG73" s="350"/>
      <c r="AH73" s="346"/>
      <c r="AI73" s="350"/>
      <c r="AJ73" s="346"/>
      <c r="AK73" s="352"/>
      <c r="AL73" s="834"/>
      <c r="AM73" s="835"/>
      <c r="AN73" t="str">
        <f t="shared" si="36"/>
        <v/>
      </c>
      <c r="CA73" s="3024" t="str">
        <f t="shared" si="40"/>
        <v/>
      </c>
      <c r="CB73" s="3024" t="str">
        <f t="shared" si="41"/>
        <v/>
      </c>
      <c r="CK73" s="1901">
        <f t="shared" si="37"/>
        <v>0</v>
      </c>
      <c r="CL73" s="1901">
        <f t="shared" si="38"/>
        <v>0</v>
      </c>
    </row>
    <row r="74" spans="1:90" x14ac:dyDescent="0.3">
      <c r="A74" s="6459"/>
      <c r="B74" s="833" t="s">
        <v>1074</v>
      </c>
      <c r="C74" s="760">
        <f t="shared" si="39"/>
        <v>0</v>
      </c>
      <c r="D74" s="774">
        <f t="shared" si="43"/>
        <v>0</v>
      </c>
      <c r="E74" s="345">
        <f t="shared" si="44"/>
        <v>0</v>
      </c>
      <c r="F74" s="634"/>
      <c r="G74" s="368"/>
      <c r="H74" s="346"/>
      <c r="I74" s="350"/>
      <c r="J74" s="346"/>
      <c r="K74" s="350"/>
      <c r="L74" s="346"/>
      <c r="M74" s="350"/>
      <c r="N74" s="346"/>
      <c r="O74" s="350"/>
      <c r="P74" s="346"/>
      <c r="Q74" s="350"/>
      <c r="R74" s="346"/>
      <c r="S74" s="350"/>
      <c r="T74" s="346"/>
      <c r="U74" s="350"/>
      <c r="V74" s="346"/>
      <c r="W74" s="350"/>
      <c r="X74" s="346"/>
      <c r="Y74" s="350"/>
      <c r="Z74" s="346"/>
      <c r="AA74" s="350"/>
      <c r="AB74" s="346"/>
      <c r="AC74" s="350"/>
      <c r="AD74" s="346"/>
      <c r="AE74" s="350"/>
      <c r="AF74" s="346"/>
      <c r="AG74" s="350"/>
      <c r="AH74" s="346"/>
      <c r="AI74" s="350"/>
      <c r="AJ74" s="346"/>
      <c r="AK74" s="352"/>
      <c r="AL74" s="834"/>
      <c r="AM74" s="835"/>
      <c r="AN74" t="str">
        <f t="shared" si="36"/>
        <v/>
      </c>
      <c r="CA74" s="3024" t="str">
        <f t="shared" si="40"/>
        <v/>
      </c>
      <c r="CB74" s="3024" t="str">
        <f t="shared" si="41"/>
        <v/>
      </c>
      <c r="CK74" s="1901">
        <f t="shared" si="37"/>
        <v>0</v>
      </c>
      <c r="CL74" s="1901">
        <f t="shared" si="38"/>
        <v>0</v>
      </c>
    </row>
    <row r="75" spans="1:90" x14ac:dyDescent="0.3">
      <c r="A75" s="6459"/>
      <c r="B75" s="833" t="s">
        <v>1035</v>
      </c>
      <c r="C75" s="760">
        <f t="shared" si="39"/>
        <v>0</v>
      </c>
      <c r="D75" s="774">
        <f t="shared" si="43"/>
        <v>0</v>
      </c>
      <c r="E75" s="345">
        <f t="shared" si="44"/>
        <v>0</v>
      </c>
      <c r="F75" s="634"/>
      <c r="G75" s="368"/>
      <c r="H75" s="346"/>
      <c r="I75" s="350"/>
      <c r="J75" s="346"/>
      <c r="K75" s="350"/>
      <c r="L75" s="346"/>
      <c r="M75" s="350"/>
      <c r="N75" s="346"/>
      <c r="O75" s="350"/>
      <c r="P75" s="346"/>
      <c r="Q75" s="350"/>
      <c r="R75" s="346"/>
      <c r="S75" s="350"/>
      <c r="T75" s="346"/>
      <c r="U75" s="350"/>
      <c r="V75" s="346"/>
      <c r="W75" s="350"/>
      <c r="X75" s="346"/>
      <c r="Y75" s="350"/>
      <c r="Z75" s="346"/>
      <c r="AA75" s="350"/>
      <c r="AB75" s="346"/>
      <c r="AC75" s="350"/>
      <c r="AD75" s="346"/>
      <c r="AE75" s="350"/>
      <c r="AF75" s="346"/>
      <c r="AG75" s="350"/>
      <c r="AH75" s="346"/>
      <c r="AI75" s="350"/>
      <c r="AJ75" s="346"/>
      <c r="AK75" s="352"/>
      <c r="AL75" s="834"/>
      <c r="AM75" s="835"/>
      <c r="AN75" t="str">
        <f t="shared" si="36"/>
        <v/>
      </c>
      <c r="CA75" s="3024" t="str">
        <f t="shared" si="40"/>
        <v/>
      </c>
      <c r="CB75" s="3024" t="str">
        <f t="shared" si="41"/>
        <v/>
      </c>
      <c r="CK75" s="1901">
        <f t="shared" si="37"/>
        <v>0</v>
      </c>
      <c r="CL75" s="1901">
        <f t="shared" si="38"/>
        <v>0</v>
      </c>
    </row>
    <row r="76" spans="1:90" x14ac:dyDescent="0.3">
      <c r="A76" s="6366"/>
      <c r="B76" s="836" t="s">
        <v>1075</v>
      </c>
      <c r="C76" s="724">
        <f t="shared" si="39"/>
        <v>0</v>
      </c>
      <c r="D76" s="725">
        <f t="shared" si="43"/>
        <v>0</v>
      </c>
      <c r="E76" s="640">
        <f t="shared" si="44"/>
        <v>0</v>
      </c>
      <c r="F76" s="635"/>
      <c r="G76" s="636"/>
      <c r="H76" s="380"/>
      <c r="I76" s="389"/>
      <c r="J76" s="380"/>
      <c r="K76" s="389"/>
      <c r="L76" s="380"/>
      <c r="M76" s="389"/>
      <c r="N76" s="380"/>
      <c r="O76" s="389"/>
      <c r="P76" s="380"/>
      <c r="Q76" s="389"/>
      <c r="R76" s="380"/>
      <c r="S76" s="389"/>
      <c r="T76" s="380"/>
      <c r="U76" s="389"/>
      <c r="V76" s="380"/>
      <c r="W76" s="389"/>
      <c r="X76" s="380"/>
      <c r="Y76" s="389"/>
      <c r="Z76" s="380"/>
      <c r="AA76" s="389"/>
      <c r="AB76" s="380"/>
      <c r="AC76" s="389"/>
      <c r="AD76" s="380"/>
      <c r="AE76" s="389"/>
      <c r="AF76" s="380"/>
      <c r="AG76" s="389"/>
      <c r="AH76" s="380"/>
      <c r="AI76" s="389"/>
      <c r="AJ76" s="380"/>
      <c r="AK76" s="390"/>
      <c r="AL76" s="837"/>
      <c r="AM76" s="838"/>
      <c r="AN76" t="str">
        <f t="shared" si="36"/>
        <v/>
      </c>
      <c r="CA76" s="3024" t="str">
        <f t="shared" si="40"/>
        <v/>
      </c>
      <c r="CB76" s="3024" t="str">
        <f t="shared" si="41"/>
        <v/>
      </c>
      <c r="CK76" s="1901">
        <f t="shared" si="37"/>
        <v>0</v>
      </c>
      <c r="CL76" s="1901">
        <f t="shared" si="38"/>
        <v>0</v>
      </c>
    </row>
    <row r="77" spans="1:90" s="6" customFormat="1" ht="18" customHeight="1" x14ac:dyDescent="0.25">
      <c r="A77" s="849" t="s">
        <v>1081</v>
      </c>
      <c r="B77" s="828"/>
      <c r="C77" s="828"/>
      <c r="D77" s="850"/>
      <c r="E77" s="850"/>
      <c r="F77" s="850"/>
      <c r="G77" s="59"/>
      <c r="H77" s="59"/>
      <c r="I77" s="59"/>
    </row>
    <row r="78" spans="1:90" ht="23.25" customHeight="1" x14ac:dyDescent="0.3">
      <c r="A78" s="6359" t="s">
        <v>1082</v>
      </c>
      <c r="B78" s="6469" t="s">
        <v>1083</v>
      </c>
      <c r="C78" s="6469"/>
      <c r="D78" s="6469" t="s">
        <v>1084</v>
      </c>
      <c r="E78" s="6470"/>
      <c r="F78" s="6464" t="s">
        <v>1085</v>
      </c>
      <c r="G78" s="6469"/>
      <c r="H78" s="6464" t="s">
        <v>1086</v>
      </c>
      <c r="I78" s="6469"/>
    </row>
    <row r="79" spans="1:90" ht="23.25" customHeight="1" x14ac:dyDescent="0.3">
      <c r="A79" s="6361"/>
      <c r="B79" s="853" t="s">
        <v>1087</v>
      </c>
      <c r="C79" s="854" t="s">
        <v>706</v>
      </c>
      <c r="D79" s="853" t="s">
        <v>1087</v>
      </c>
      <c r="E79" s="855" t="s">
        <v>706</v>
      </c>
      <c r="F79" s="856" t="s">
        <v>1087</v>
      </c>
      <c r="G79" s="854" t="s">
        <v>706</v>
      </c>
      <c r="H79" s="856" t="s">
        <v>1087</v>
      </c>
      <c r="I79" s="854" t="s">
        <v>706</v>
      </c>
    </row>
    <row r="80" spans="1:90" ht="15" customHeight="1" x14ac:dyDescent="0.3">
      <c r="A80" s="857" t="s">
        <v>1088</v>
      </c>
      <c r="B80" s="858"/>
      <c r="C80" s="859"/>
      <c r="D80" s="858"/>
      <c r="E80" s="860"/>
      <c r="F80" s="861"/>
      <c r="G80" s="859"/>
      <c r="H80" s="861"/>
      <c r="I80" s="859"/>
    </row>
    <row r="81" spans="1:9" ht="15" customHeight="1" x14ac:dyDescent="0.3">
      <c r="A81" s="862" t="s">
        <v>1089</v>
      </c>
      <c r="B81" s="863"/>
      <c r="C81" s="864"/>
      <c r="D81" s="863"/>
      <c r="E81" s="865"/>
      <c r="F81" s="866"/>
      <c r="G81" s="864"/>
      <c r="H81" s="866"/>
      <c r="I81" s="864"/>
    </row>
    <row r="82" spans="1:9" ht="15" customHeight="1" x14ac:dyDescent="0.3">
      <c r="A82" s="862" t="s">
        <v>1090</v>
      </c>
      <c r="B82" s="863"/>
      <c r="C82" s="864"/>
      <c r="D82" s="863"/>
      <c r="E82" s="865"/>
      <c r="F82" s="866"/>
      <c r="G82" s="864"/>
      <c r="H82" s="866"/>
      <c r="I82" s="864"/>
    </row>
    <row r="83" spans="1:9" ht="15" customHeight="1" x14ac:dyDescent="0.3">
      <c r="A83" s="867" t="s">
        <v>1091</v>
      </c>
      <c r="B83" s="380"/>
      <c r="C83" s="844"/>
      <c r="D83" s="380"/>
      <c r="E83" s="845"/>
      <c r="F83" s="429"/>
      <c r="G83" s="844"/>
      <c r="H83" s="429"/>
      <c r="I83" s="844"/>
    </row>
    <row r="84" spans="1:9" s="6" customFormat="1" ht="18" customHeight="1" x14ac:dyDescent="0.25">
      <c r="A84" s="3" t="s">
        <v>1092</v>
      </c>
      <c r="B84" s="815"/>
      <c r="C84" s="815"/>
      <c r="D84" s="815"/>
    </row>
    <row r="85" spans="1:9" ht="30.6" x14ac:dyDescent="0.3">
      <c r="A85" s="851" t="s">
        <v>1093</v>
      </c>
      <c r="B85" s="712" t="s">
        <v>1094</v>
      </c>
      <c r="C85" s="713" t="s">
        <v>1095</v>
      </c>
      <c r="D85" s="868" t="s">
        <v>1096</v>
      </c>
    </row>
    <row r="86" spans="1:9" x14ac:dyDescent="0.3">
      <c r="A86" s="323" t="s">
        <v>1097</v>
      </c>
      <c r="B86" s="869"/>
      <c r="C86" s="870"/>
      <c r="D86" s="871"/>
    </row>
    <row r="87" spans="1:9" x14ac:dyDescent="0.3">
      <c r="A87" s="862" t="s">
        <v>1098</v>
      </c>
      <c r="B87" s="872"/>
      <c r="C87" s="329"/>
      <c r="D87" s="330"/>
    </row>
    <row r="88" spans="1:9" x14ac:dyDescent="0.3">
      <c r="A88" s="862" t="s">
        <v>1099</v>
      </c>
      <c r="B88" s="872"/>
      <c r="C88" s="329"/>
      <c r="D88" s="330"/>
    </row>
    <row r="89" spans="1:9" x14ac:dyDescent="0.3">
      <c r="A89" s="873" t="s">
        <v>1100</v>
      </c>
      <c r="B89" s="872"/>
      <c r="C89" s="329"/>
      <c r="D89" s="330"/>
    </row>
    <row r="90" spans="1:9" ht="21.6" x14ac:dyDescent="0.3">
      <c r="A90" s="357" t="s">
        <v>1101</v>
      </c>
      <c r="B90" s="872"/>
      <c r="C90" s="329"/>
      <c r="D90" s="330"/>
    </row>
    <row r="91" spans="1:9" ht="21.6" x14ac:dyDescent="0.3">
      <c r="A91" s="357" t="s">
        <v>1102</v>
      </c>
      <c r="B91" s="874"/>
      <c r="C91" s="329"/>
      <c r="D91" s="330"/>
    </row>
    <row r="92" spans="1:9" ht="21.6" x14ac:dyDescent="0.3">
      <c r="A92" s="357" t="s">
        <v>1103</v>
      </c>
      <c r="B92" s="872"/>
      <c r="C92" s="329"/>
      <c r="D92" s="330"/>
    </row>
    <row r="93" spans="1:9" x14ac:dyDescent="0.3">
      <c r="A93" s="690" t="s">
        <v>1104</v>
      </c>
      <c r="B93" s="875"/>
      <c r="C93" s="876"/>
      <c r="D93" s="877"/>
    </row>
    <row r="94" spans="1:9" s="6" customFormat="1" ht="18" customHeight="1" x14ac:dyDescent="0.25">
      <c r="A94" s="818" t="s">
        <v>1105</v>
      </c>
      <c r="B94" s="16"/>
      <c r="C94" s="16"/>
      <c r="D94" s="16"/>
      <c r="E94" s="8"/>
      <c r="F94" s="16"/>
    </row>
    <row r="95" spans="1:9" x14ac:dyDescent="0.3">
      <c r="A95" s="6190" t="s">
        <v>1106</v>
      </c>
      <c r="B95" s="6460" t="s">
        <v>1107</v>
      </c>
      <c r="C95" s="6462" t="s">
        <v>1108</v>
      </c>
      <c r="D95" s="6448" t="s">
        <v>1109</v>
      </c>
      <c r="E95" s="6456" t="s">
        <v>1110</v>
      </c>
      <c r="F95" s="6464"/>
    </row>
    <row r="96" spans="1:9" x14ac:dyDescent="0.3">
      <c r="A96" s="5756"/>
      <c r="B96" s="6461"/>
      <c r="C96" s="6463"/>
      <c r="D96" s="6451"/>
      <c r="E96" s="853" t="s">
        <v>1111</v>
      </c>
      <c r="F96" s="852" t="s">
        <v>1112</v>
      </c>
    </row>
    <row r="97" spans="1:16" x14ac:dyDescent="0.3">
      <c r="A97" s="878" t="s">
        <v>1113</v>
      </c>
      <c r="B97" s="346"/>
      <c r="C97" s="369"/>
      <c r="D97" s="576"/>
      <c r="E97" s="770"/>
      <c r="F97" s="576"/>
    </row>
    <row r="98" spans="1:16" x14ac:dyDescent="0.3">
      <c r="A98" s="361" t="s">
        <v>1114</v>
      </c>
      <c r="B98" s="346"/>
      <c r="C98" s="369"/>
      <c r="D98" s="347"/>
      <c r="E98" s="346"/>
      <c r="F98" s="347"/>
    </row>
    <row r="99" spans="1:16" x14ac:dyDescent="0.3">
      <c r="A99" s="361" t="s">
        <v>1115</v>
      </c>
      <c r="B99" s="346"/>
      <c r="C99" s="369"/>
      <c r="D99" s="347"/>
      <c r="E99" s="346"/>
      <c r="F99" s="347"/>
    </row>
    <row r="100" spans="1:16" x14ac:dyDescent="0.3">
      <c r="A100" s="361" t="s">
        <v>1116</v>
      </c>
      <c r="B100" s="346"/>
      <c r="C100" s="369"/>
      <c r="D100" s="347"/>
      <c r="E100" s="346"/>
      <c r="F100" s="347"/>
    </row>
    <row r="101" spans="1:16" x14ac:dyDescent="0.3">
      <c r="A101" s="361" t="s">
        <v>1117</v>
      </c>
      <c r="B101" s="346"/>
      <c r="C101" s="369"/>
      <c r="D101" s="347"/>
      <c r="E101" s="346"/>
      <c r="F101" s="347"/>
    </row>
    <row r="102" spans="1:16" x14ac:dyDescent="0.3">
      <c r="A102" s="829" t="s">
        <v>77</v>
      </c>
      <c r="B102" s="879">
        <f>SUM(B97:B101)</f>
        <v>0</v>
      </c>
      <c r="C102" s="880">
        <f>SUM(C97:C101)</f>
        <v>0</v>
      </c>
      <c r="D102" s="881">
        <f>SUM(D97:D101)</f>
        <v>0</v>
      </c>
      <c r="E102" s="879">
        <f>SUM(E97:E101)</f>
        <v>0</v>
      </c>
      <c r="F102" s="882">
        <f>SUM(F97:F101)</f>
        <v>0</v>
      </c>
    </row>
    <row r="103" spans="1:16" x14ac:dyDescent="0.3">
      <c r="A103" s="818" t="s">
        <v>1118</v>
      </c>
      <c r="B103" s="16"/>
      <c r="C103" s="16"/>
      <c r="D103" s="16"/>
      <c r="E103" s="8"/>
      <c r="F103" s="16"/>
    </row>
    <row r="104" spans="1:16" x14ac:dyDescent="0.3">
      <c r="A104" s="6190" t="s">
        <v>1119</v>
      </c>
      <c r="B104" s="6460" t="s">
        <v>1107</v>
      </c>
      <c r="C104" s="6448" t="s">
        <v>1108</v>
      </c>
      <c r="D104" s="6446" t="s">
        <v>1109</v>
      </c>
      <c r="E104" s="6487" t="s">
        <v>34</v>
      </c>
      <c r="F104" s="6489" t="s">
        <v>35</v>
      </c>
    </row>
    <row r="105" spans="1:16" ht="29.25" customHeight="1" x14ac:dyDescent="0.3">
      <c r="A105" s="5756"/>
      <c r="B105" s="6461"/>
      <c r="C105" s="6451"/>
      <c r="D105" s="6449"/>
      <c r="E105" s="6488"/>
      <c r="F105" s="6490"/>
    </row>
    <row r="106" spans="1:16" x14ac:dyDescent="0.3">
      <c r="A106" s="878" t="s">
        <v>1120</v>
      </c>
      <c r="B106" s="770"/>
      <c r="C106" s="347"/>
      <c r="D106" s="3045"/>
      <c r="E106" s="758"/>
      <c r="F106" s="576"/>
    </row>
    <row r="107" spans="1:16" ht="20.399999999999999" x14ac:dyDescent="0.3">
      <c r="A107" s="361" t="s">
        <v>1121</v>
      </c>
      <c r="B107" s="346"/>
      <c r="C107" s="347"/>
      <c r="D107" s="2784"/>
      <c r="E107" s="430"/>
      <c r="F107" s="347"/>
    </row>
    <row r="108" spans="1:16" x14ac:dyDescent="0.3">
      <c r="A108" s="361" t="s">
        <v>1122</v>
      </c>
      <c r="B108" s="346"/>
      <c r="C108" s="347"/>
      <c r="D108" s="2784"/>
      <c r="E108" s="348"/>
      <c r="F108" s="347"/>
    </row>
    <row r="109" spans="1:16" x14ac:dyDescent="0.3">
      <c r="A109" s="829" t="s">
        <v>77</v>
      </c>
      <c r="B109" s="879">
        <f>SUM(B106:B108)</f>
        <v>0</v>
      </c>
      <c r="C109" s="881">
        <f>SUM(C106:C108)</f>
        <v>0</v>
      </c>
      <c r="D109" s="3116">
        <f>SUM(D106:D108)</f>
        <v>0</v>
      </c>
      <c r="E109" s="3117">
        <f>SUM(E106:E108)</f>
        <v>0</v>
      </c>
      <c r="F109" s="882">
        <f>SUM(F106:F108)</f>
        <v>0</v>
      </c>
    </row>
    <row r="110" spans="1:16" s="6" customFormat="1" ht="18" customHeight="1" x14ac:dyDescent="0.25">
      <c r="A110" s="883" t="s">
        <v>1123</v>
      </c>
      <c r="B110" s="4"/>
      <c r="C110" s="4"/>
      <c r="D110" s="4"/>
      <c r="E110" s="819"/>
      <c r="F110" s="884"/>
      <c r="G110" s="819"/>
      <c r="H110" s="819"/>
      <c r="I110" s="819"/>
      <c r="J110" s="819"/>
      <c r="K110" s="819"/>
      <c r="L110" s="819"/>
      <c r="M110" s="819"/>
      <c r="N110" s="16"/>
      <c r="O110" s="16"/>
      <c r="P110" s="16"/>
    </row>
    <row r="111" spans="1:16" x14ac:dyDescent="0.3">
      <c r="A111" s="6176" t="s">
        <v>219</v>
      </c>
      <c r="B111" s="5944" t="s">
        <v>452</v>
      </c>
      <c r="C111" s="6242"/>
      <c r="D111" s="6243"/>
      <c r="E111" s="6436" t="s">
        <v>101</v>
      </c>
      <c r="F111" s="6247"/>
      <c r="G111" s="6247"/>
      <c r="H111" s="6247"/>
      <c r="I111" s="6247"/>
      <c r="J111" s="6247"/>
      <c r="K111" s="6247"/>
      <c r="L111" s="6247"/>
      <c r="M111" s="6247"/>
      <c r="N111" s="885"/>
      <c r="O111" s="6243" t="s">
        <v>36</v>
      </c>
      <c r="P111" s="6243" t="s">
        <v>37</v>
      </c>
    </row>
    <row r="112" spans="1:16" x14ac:dyDescent="0.3">
      <c r="A112" s="6082"/>
      <c r="B112" s="6466"/>
      <c r="C112" s="6467"/>
      <c r="D112" s="6468"/>
      <c r="E112" s="6436" t="s">
        <v>343</v>
      </c>
      <c r="F112" s="6183"/>
      <c r="G112" s="6436" t="s">
        <v>326</v>
      </c>
      <c r="H112" s="6183"/>
      <c r="I112" s="6436" t="s">
        <v>94</v>
      </c>
      <c r="J112" s="6183"/>
      <c r="K112" s="6436" t="s">
        <v>44</v>
      </c>
      <c r="L112" s="6183"/>
      <c r="M112" s="6436" t="s">
        <v>45</v>
      </c>
      <c r="N112" s="6187"/>
      <c r="O112" s="5759"/>
      <c r="P112" s="5759"/>
    </row>
    <row r="113" spans="1:90" x14ac:dyDescent="0.3">
      <c r="A113" s="6465"/>
      <c r="B113" s="889" t="s">
        <v>79</v>
      </c>
      <c r="C113" s="509" t="s">
        <v>58</v>
      </c>
      <c r="D113" s="887" t="s">
        <v>59</v>
      </c>
      <c r="E113" s="767" t="s">
        <v>58</v>
      </c>
      <c r="F113" s="465" t="s">
        <v>59</v>
      </c>
      <c r="G113" s="767" t="s">
        <v>58</v>
      </c>
      <c r="H113" s="465" t="s">
        <v>59</v>
      </c>
      <c r="I113" s="767" t="s">
        <v>58</v>
      </c>
      <c r="J113" s="465" t="s">
        <v>59</v>
      </c>
      <c r="K113" s="767" t="s">
        <v>58</v>
      </c>
      <c r="L113" s="465" t="s">
        <v>59</v>
      </c>
      <c r="M113" s="767" t="s">
        <v>58</v>
      </c>
      <c r="N113" s="466" t="s">
        <v>59</v>
      </c>
      <c r="O113" s="6468"/>
      <c r="P113" s="6468"/>
    </row>
    <row r="114" spans="1:90" x14ac:dyDescent="0.3">
      <c r="A114" s="793" t="s">
        <v>1124</v>
      </c>
      <c r="B114" s="756">
        <f>SUM(C114:D114)</f>
        <v>0</v>
      </c>
      <c r="C114" s="751">
        <f t="shared" ref="C114:D116" si="45">SUM(E114+G114+I114+K114+M114)</f>
        <v>0</v>
      </c>
      <c r="D114" s="621">
        <f>SUM(F114+H114+J114+L114+N114)</f>
        <v>0</v>
      </c>
      <c r="E114" s="870"/>
      <c r="F114" s="871"/>
      <c r="G114" s="870"/>
      <c r="H114" s="871"/>
      <c r="I114" s="870"/>
      <c r="J114" s="890"/>
      <c r="K114" s="870"/>
      <c r="L114" s="890"/>
      <c r="M114" s="891"/>
      <c r="N114" s="892"/>
      <c r="O114" s="871"/>
      <c r="P114" s="871"/>
      <c r="Q114" t="str">
        <f>CA114&amp;CB114</f>
        <v/>
      </c>
      <c r="CA114" s="3024" t="str">
        <f>IF(AND($B114&gt;0,O114="")," * No olvide digitar la variable Pueblos Originarios. Digite cero si no tiene.",IF(O114&gt;$B114,"* La variable Pueblos Originarios no puede ser mayor al Total Ambos Sexos.",""))</f>
        <v/>
      </c>
      <c r="CB114" s="3024" t="str">
        <f>IF(AND($B114&gt;0,P114="")," * No olvide digitar la variable Migrantes. Digite cero si no tiene.",IF(P114&gt;$B114,"* La variable Migrantes no puede ser mayor al Total Ambos Sexos.",""))</f>
        <v/>
      </c>
      <c r="CK114" s="1901">
        <f>IF(AND(B114&gt;0,O114=""),1,IF(O114&gt;B114,1,0))</f>
        <v>0</v>
      </c>
      <c r="CL114" s="1901">
        <f>IF(AND(B114&gt;0,P114=""),1,IF(P114&gt;B114,1,0))</f>
        <v>0</v>
      </c>
    </row>
    <row r="115" spans="1:90" ht="21.75" customHeight="1" x14ac:dyDescent="0.3">
      <c r="A115" s="361" t="s">
        <v>1125</v>
      </c>
      <c r="B115" s="760">
        <f>SUM(C115:D115)</f>
        <v>0</v>
      </c>
      <c r="C115" s="761">
        <f t="shared" si="45"/>
        <v>0</v>
      </c>
      <c r="D115" s="345">
        <f t="shared" si="45"/>
        <v>0</v>
      </c>
      <c r="E115" s="329"/>
      <c r="F115" s="330"/>
      <c r="G115" s="329"/>
      <c r="H115" s="330"/>
      <c r="I115" s="329"/>
      <c r="J115" s="330"/>
      <c r="K115" s="329"/>
      <c r="L115" s="330"/>
      <c r="M115" s="331"/>
      <c r="N115" s="332"/>
      <c r="O115" s="330"/>
      <c r="P115" s="330"/>
      <c r="Q115" t="str">
        <f>CA115&amp;CB115</f>
        <v/>
      </c>
      <c r="CA115" s="3024" t="str">
        <f t="shared" ref="CA115:CA116" si="46">IF(AND($B115&gt;0,O115="")," * No olvide digitar la variable Pueblos Originarios. Digite cero si no tiene.",IF(O115&gt;$B115,"* La variable Pueblos Originarios no puede ser mayor al Total Ambos Sexos.",""))</f>
        <v/>
      </c>
      <c r="CB115" s="3024" t="str">
        <f t="shared" ref="CB115:CB116" si="47">IF(AND($B115&gt;0,P115="")," * No olvide digitar la variable Migrantes. Digite cero si no tiene.",IF(P115&gt;$B115,"* La variable Migrantes no puede ser mayor al Total Ambos Sexos.",""))</f>
        <v/>
      </c>
      <c r="CK115" s="1901">
        <f>IF(AND(B115&gt;0,O115=""),1,IF(O115&gt;B115,1,0))</f>
        <v>0</v>
      </c>
      <c r="CL115" s="1901">
        <f>IF(AND(B115&gt;0,P115=""),1,IF(P115&gt;B115,1,0))</f>
        <v>0</v>
      </c>
    </row>
    <row r="116" spans="1:90" ht="21.75" customHeight="1" x14ac:dyDescent="0.3">
      <c r="A116" s="893" t="s">
        <v>1126</v>
      </c>
      <c r="B116" s="894">
        <f>SUM(C116:D116)</f>
        <v>0</v>
      </c>
      <c r="C116" s="895">
        <f t="shared" si="45"/>
        <v>0</v>
      </c>
      <c r="D116" s="896">
        <f t="shared" si="45"/>
        <v>0</v>
      </c>
      <c r="E116" s="897"/>
      <c r="F116" s="898"/>
      <c r="G116" s="897"/>
      <c r="H116" s="325"/>
      <c r="I116" s="897"/>
      <c r="J116" s="898"/>
      <c r="K116" s="897"/>
      <c r="L116" s="898"/>
      <c r="M116" s="899"/>
      <c r="N116" s="326"/>
      <c r="O116" s="898"/>
      <c r="P116" s="898"/>
      <c r="Q116" t="str">
        <f>CA116&amp;CB116</f>
        <v/>
      </c>
      <c r="CA116" s="3024" t="str">
        <f t="shared" si="46"/>
        <v/>
      </c>
      <c r="CB116" s="3024" t="str">
        <f t="shared" si="47"/>
        <v/>
      </c>
      <c r="CK116" s="1901">
        <f>IF(AND(B116&gt;0,O116=""),1,IF(O116&gt;B116,1,0))</f>
        <v>0</v>
      </c>
      <c r="CL116" s="1901">
        <f>IF(AND(B116&gt;0,P116=""),1,IF(P116&gt;B116,1,0))</f>
        <v>0</v>
      </c>
    </row>
    <row r="117" spans="1:90" s="6" customFormat="1" ht="18" customHeight="1" x14ac:dyDescent="0.25">
      <c r="A117" s="13" t="s">
        <v>1127</v>
      </c>
      <c r="D117" s="4"/>
    </row>
    <row r="118" spans="1:90" x14ac:dyDescent="0.3">
      <c r="A118" s="6190" t="s">
        <v>1128</v>
      </c>
      <c r="B118" s="6437" t="s">
        <v>1129</v>
      </c>
      <c r="C118" s="6266"/>
      <c r="D118" s="6179"/>
      <c r="E118" s="6472" t="s">
        <v>1130</v>
      </c>
    </row>
    <row r="119" spans="1:90" x14ac:dyDescent="0.3">
      <c r="A119" s="6471"/>
      <c r="B119" s="889" t="s">
        <v>1131</v>
      </c>
      <c r="C119" s="491" t="s">
        <v>1132</v>
      </c>
      <c r="D119" s="489" t="s">
        <v>1133</v>
      </c>
      <c r="E119" s="6473"/>
    </row>
    <row r="120" spans="1:90" x14ac:dyDescent="0.3">
      <c r="A120" s="829" t="s">
        <v>77</v>
      </c>
      <c r="B120" s="900"/>
      <c r="C120" s="901"/>
      <c r="D120" s="902"/>
      <c r="E120" s="903"/>
    </row>
    <row r="121" spans="1:90" s="6" customFormat="1" ht="18" customHeight="1" x14ac:dyDescent="0.25">
      <c r="A121" s="883" t="s">
        <v>1134</v>
      </c>
      <c r="B121" s="4"/>
      <c r="C121" s="4"/>
      <c r="D121" s="8"/>
      <c r="E121" s="8"/>
      <c r="F121" s="8"/>
      <c r="G121" s="8"/>
      <c r="H121" s="904"/>
      <c r="I121" s="904"/>
      <c r="J121" s="904"/>
    </row>
    <row r="122" spans="1:90" x14ac:dyDescent="0.3">
      <c r="A122" s="6176" t="s">
        <v>219</v>
      </c>
      <c r="B122" s="5944" t="s">
        <v>452</v>
      </c>
      <c r="C122" s="6242"/>
      <c r="D122" s="6243"/>
      <c r="E122" s="6474" t="s">
        <v>1135</v>
      </c>
      <c r="F122" s="6474"/>
      <c r="G122" s="6474" t="s">
        <v>1136</v>
      </c>
      <c r="H122" s="6474"/>
      <c r="I122" s="6474" t="s">
        <v>1137</v>
      </c>
      <c r="J122" s="6474"/>
    </row>
    <row r="123" spans="1:90" x14ac:dyDescent="0.3">
      <c r="A123" s="6465"/>
      <c r="B123" s="889" t="s">
        <v>79</v>
      </c>
      <c r="C123" s="491" t="s">
        <v>58</v>
      </c>
      <c r="D123" s="465" t="s">
        <v>59</v>
      </c>
      <c r="E123" s="767" t="s">
        <v>58</v>
      </c>
      <c r="F123" s="465" t="s">
        <v>59</v>
      </c>
      <c r="G123" s="767" t="s">
        <v>58</v>
      </c>
      <c r="H123" s="465" t="s">
        <v>59</v>
      </c>
      <c r="I123" s="767" t="s">
        <v>58</v>
      </c>
      <c r="J123" s="465" t="s">
        <v>59</v>
      </c>
    </row>
    <row r="124" spans="1:90" ht="20.399999999999999" x14ac:dyDescent="0.3">
      <c r="A124" s="319" t="s">
        <v>1138</v>
      </c>
      <c r="B124" s="756">
        <f>SUM(C124:D124)</f>
        <v>0</v>
      </c>
      <c r="C124" s="751">
        <f>+E124+G124+I124</f>
        <v>0</v>
      </c>
      <c r="D124" s="621">
        <f>+F124+H124+J124</f>
        <v>0</v>
      </c>
      <c r="E124" s="870"/>
      <c r="F124" s="871"/>
      <c r="G124" s="870"/>
      <c r="H124" s="871"/>
      <c r="I124" s="870"/>
      <c r="J124" s="890"/>
    </row>
    <row r="125" spans="1:90" ht="20.399999999999999" x14ac:dyDescent="0.3">
      <c r="A125" s="203" t="s">
        <v>4337</v>
      </c>
      <c r="B125" s="317">
        <f>SUM(C125:D125)</f>
        <v>0</v>
      </c>
      <c r="C125" s="140">
        <f t="shared" ref="C125:D126" si="48">+E125+G125+I125</f>
        <v>0</v>
      </c>
      <c r="D125" s="141">
        <f t="shared" si="48"/>
        <v>0</v>
      </c>
      <c r="E125" s="327"/>
      <c r="F125" s="142"/>
      <c r="G125" s="327"/>
      <c r="H125" s="142"/>
      <c r="I125" s="327"/>
      <c r="J125" s="905"/>
    </row>
    <row r="126" spans="1:90" ht="30.6" x14ac:dyDescent="0.3">
      <c r="A126" s="526" t="s">
        <v>4338</v>
      </c>
      <c r="B126" s="894">
        <f>SUM(C126:D126)</f>
        <v>0</v>
      </c>
      <c r="C126" s="895">
        <f t="shared" si="48"/>
        <v>0</v>
      </c>
      <c r="D126" s="896">
        <f t="shared" si="48"/>
        <v>0</v>
      </c>
      <c r="E126" s="897"/>
      <c r="F126" s="898"/>
      <c r="G126" s="897"/>
      <c r="H126" s="325"/>
      <c r="I126" s="897"/>
      <c r="J126" s="898"/>
    </row>
    <row r="127" spans="1:90" s="6" customFormat="1" ht="18" customHeight="1" x14ac:dyDescent="0.25">
      <c r="A127" s="883" t="s">
        <v>1139</v>
      </c>
      <c r="B127" s="906"/>
      <c r="C127" s="18"/>
      <c r="D127" s="18"/>
      <c r="E127" s="8"/>
      <c r="F127" s="907"/>
      <c r="G127" s="908"/>
      <c r="H127" s="908"/>
    </row>
    <row r="128" spans="1:90" ht="23.25" customHeight="1" x14ac:dyDescent="0.3">
      <c r="A128" s="6243" t="s">
        <v>219</v>
      </c>
      <c r="B128" s="6176" t="s">
        <v>77</v>
      </c>
      <c r="C128" s="5944" t="s">
        <v>1140</v>
      </c>
      <c r="D128" s="6243"/>
      <c r="E128" s="5944" t="s">
        <v>1141</v>
      </c>
      <c r="F128" s="6243"/>
      <c r="G128" s="6436" t="s">
        <v>1142</v>
      </c>
      <c r="H128" s="6247"/>
      <c r="I128" s="6183"/>
    </row>
    <row r="129" spans="1:93" ht="30.6" x14ac:dyDescent="0.3">
      <c r="A129" s="6468"/>
      <c r="B129" s="6465"/>
      <c r="C129" s="767" t="s">
        <v>58</v>
      </c>
      <c r="D129" s="469" t="s">
        <v>59</v>
      </c>
      <c r="E129" s="554" t="s">
        <v>1143</v>
      </c>
      <c r="F129" s="465" t="s">
        <v>1144</v>
      </c>
      <c r="G129" s="554" t="s">
        <v>1145</v>
      </c>
      <c r="H129" s="555" t="s">
        <v>1146</v>
      </c>
      <c r="I129" s="465" t="s">
        <v>1147</v>
      </c>
    </row>
    <row r="130" spans="1:93" x14ac:dyDescent="0.3">
      <c r="A130" s="909" t="s">
        <v>1148</v>
      </c>
      <c r="B130" s="910">
        <f>SUM(C130:D130)</f>
        <v>0</v>
      </c>
      <c r="C130" s="911"/>
      <c r="D130" s="912"/>
      <c r="E130" s="911"/>
      <c r="F130" s="913"/>
      <c r="G130" s="911"/>
      <c r="H130" s="911"/>
      <c r="I130" s="913"/>
    </row>
    <row r="131" spans="1:93" s="6" customFormat="1" ht="18" customHeight="1" x14ac:dyDescent="0.25">
      <c r="A131" s="11" t="s">
        <v>1149</v>
      </c>
      <c r="C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</row>
    <row r="132" spans="1:93" x14ac:dyDescent="0.3">
      <c r="A132" s="6176" t="s">
        <v>219</v>
      </c>
      <c r="B132" s="6176" t="s">
        <v>27</v>
      </c>
      <c r="C132" s="5944" t="s">
        <v>452</v>
      </c>
      <c r="D132" s="6242"/>
      <c r="E132" s="6243"/>
      <c r="F132" s="6436" t="s">
        <v>101</v>
      </c>
      <c r="G132" s="6247"/>
      <c r="H132" s="6247"/>
      <c r="I132" s="6247"/>
      <c r="J132" s="6247"/>
      <c r="K132" s="6247"/>
      <c r="L132" s="6247"/>
      <c r="M132" s="6247"/>
      <c r="N132" s="6247"/>
      <c r="O132" s="6247"/>
      <c r="P132" s="6247"/>
      <c r="Q132" s="6247"/>
      <c r="R132" s="6247"/>
      <c r="S132" s="6247"/>
      <c r="T132" s="6247"/>
      <c r="U132" s="6247"/>
      <c r="V132" s="6247"/>
      <c r="W132" s="6247"/>
      <c r="X132" s="6247"/>
      <c r="Y132" s="6247"/>
      <c r="Z132" s="6247"/>
      <c r="AA132" s="6247"/>
      <c r="AB132" s="6247"/>
      <c r="AC132" s="6247"/>
      <c r="AD132" s="6247"/>
      <c r="AE132" s="6247"/>
      <c r="AF132" s="6247"/>
      <c r="AG132" s="6247"/>
      <c r="AH132" s="6247"/>
      <c r="AI132" s="6247"/>
      <c r="AJ132" s="6247"/>
      <c r="AK132" s="6247"/>
      <c r="AL132" s="6247"/>
      <c r="AM132" s="6187"/>
      <c r="AN132" s="6249" t="s">
        <v>597</v>
      </c>
      <c r="AO132" s="6377" t="s">
        <v>455</v>
      </c>
      <c r="AP132" s="6377" t="s">
        <v>35</v>
      </c>
      <c r="AQ132" s="6377" t="s">
        <v>36</v>
      </c>
      <c r="AR132" s="6243" t="s">
        <v>37</v>
      </c>
    </row>
    <row r="133" spans="1:93" x14ac:dyDescent="0.3">
      <c r="A133" s="6082"/>
      <c r="B133" s="6082"/>
      <c r="C133" s="6466"/>
      <c r="D133" s="6467"/>
      <c r="E133" s="6468"/>
      <c r="F133" s="6436" t="s">
        <v>343</v>
      </c>
      <c r="G133" s="6183"/>
      <c r="H133" s="6436" t="s">
        <v>326</v>
      </c>
      <c r="I133" s="6183"/>
      <c r="J133" s="6436" t="s">
        <v>94</v>
      </c>
      <c r="K133" s="6183"/>
      <c r="L133" s="6436" t="s">
        <v>44</v>
      </c>
      <c r="M133" s="6183"/>
      <c r="N133" s="6436" t="s">
        <v>45</v>
      </c>
      <c r="O133" s="6183"/>
      <c r="P133" s="6437" t="s">
        <v>46</v>
      </c>
      <c r="Q133" s="6180"/>
      <c r="R133" s="6437" t="s">
        <v>47</v>
      </c>
      <c r="S133" s="6180"/>
      <c r="T133" s="6437" t="s">
        <v>48</v>
      </c>
      <c r="U133" s="6180"/>
      <c r="V133" s="6437" t="s">
        <v>49</v>
      </c>
      <c r="W133" s="6180"/>
      <c r="X133" s="6437" t="s">
        <v>50</v>
      </c>
      <c r="Y133" s="6180"/>
      <c r="Z133" s="6437" t="s">
        <v>51</v>
      </c>
      <c r="AA133" s="6180"/>
      <c r="AB133" s="6437" t="s">
        <v>52</v>
      </c>
      <c r="AC133" s="6180"/>
      <c r="AD133" s="6437" t="s">
        <v>53</v>
      </c>
      <c r="AE133" s="6180"/>
      <c r="AF133" s="6437" t="s">
        <v>54</v>
      </c>
      <c r="AG133" s="6180"/>
      <c r="AH133" s="6437" t="s">
        <v>55</v>
      </c>
      <c r="AI133" s="6180"/>
      <c r="AJ133" s="6437" t="s">
        <v>56</v>
      </c>
      <c r="AK133" s="6180"/>
      <c r="AL133" s="6437" t="s">
        <v>476</v>
      </c>
      <c r="AM133" s="6179"/>
      <c r="AN133" s="5766"/>
      <c r="AO133" s="6118"/>
      <c r="AP133" s="6118"/>
      <c r="AQ133" s="6118"/>
      <c r="AR133" s="5759"/>
    </row>
    <row r="134" spans="1:93" ht="27" customHeight="1" x14ac:dyDescent="0.3">
      <c r="A134" s="6465"/>
      <c r="B134" s="6465"/>
      <c r="C134" s="464" t="s">
        <v>79</v>
      </c>
      <c r="D134" s="739" t="s">
        <v>58</v>
      </c>
      <c r="E134" s="90" t="s">
        <v>59</v>
      </c>
      <c r="F134" s="767" t="s">
        <v>58</v>
      </c>
      <c r="G134" s="90" t="s">
        <v>59</v>
      </c>
      <c r="H134" s="767" t="s">
        <v>58</v>
      </c>
      <c r="I134" s="90" t="s">
        <v>59</v>
      </c>
      <c r="J134" s="767" t="s">
        <v>58</v>
      </c>
      <c r="K134" s="90" t="s">
        <v>59</v>
      </c>
      <c r="L134" s="767" t="s">
        <v>58</v>
      </c>
      <c r="M134" s="90" t="s">
        <v>59</v>
      </c>
      <c r="N134" s="767" t="s">
        <v>58</v>
      </c>
      <c r="O134" s="90" t="s">
        <v>59</v>
      </c>
      <c r="P134" s="767" t="s">
        <v>58</v>
      </c>
      <c r="Q134" s="90" t="s">
        <v>59</v>
      </c>
      <c r="R134" s="767" t="s">
        <v>58</v>
      </c>
      <c r="S134" s="90" t="s">
        <v>59</v>
      </c>
      <c r="T134" s="767" t="s">
        <v>58</v>
      </c>
      <c r="U134" s="90" t="s">
        <v>59</v>
      </c>
      <c r="V134" s="767" t="s">
        <v>58</v>
      </c>
      <c r="W134" s="90" t="s">
        <v>59</v>
      </c>
      <c r="X134" s="767" t="s">
        <v>58</v>
      </c>
      <c r="Y134" s="90" t="s">
        <v>59</v>
      </c>
      <c r="Z134" s="767" t="s">
        <v>58</v>
      </c>
      <c r="AA134" s="90" t="s">
        <v>59</v>
      </c>
      <c r="AB134" s="767" t="s">
        <v>58</v>
      </c>
      <c r="AC134" s="90" t="s">
        <v>59</v>
      </c>
      <c r="AD134" s="767" t="s">
        <v>58</v>
      </c>
      <c r="AE134" s="90" t="s">
        <v>59</v>
      </c>
      <c r="AF134" s="767" t="s">
        <v>58</v>
      </c>
      <c r="AG134" s="90" t="s">
        <v>59</v>
      </c>
      <c r="AH134" s="767" t="s">
        <v>58</v>
      </c>
      <c r="AI134" s="90" t="s">
        <v>59</v>
      </c>
      <c r="AJ134" s="767" t="s">
        <v>58</v>
      </c>
      <c r="AK134" s="90" t="s">
        <v>59</v>
      </c>
      <c r="AL134" s="767" t="s">
        <v>58</v>
      </c>
      <c r="AM134" s="12" t="s">
        <v>59</v>
      </c>
      <c r="AN134" s="5767"/>
      <c r="AO134" s="5818"/>
      <c r="AP134" s="5818"/>
      <c r="AQ134" s="5818"/>
      <c r="AR134" s="6468"/>
    </row>
    <row r="135" spans="1:93" x14ac:dyDescent="0.3">
      <c r="A135" s="6477" t="s">
        <v>1150</v>
      </c>
      <c r="B135" s="914" t="s">
        <v>1151</v>
      </c>
      <c r="C135" s="915">
        <f>SUM(D135+E135)</f>
        <v>0</v>
      </c>
      <c r="D135" s="916">
        <f t="shared" ref="D135:E138" si="49">SUM(F135+H135+J135+L135+N135+P135+R135+T135+V135+X135+Z135+AB135+AD135+AF135+AH135+AJ135+AL135)</f>
        <v>0</v>
      </c>
      <c r="E135" s="917">
        <f t="shared" si="49"/>
        <v>0</v>
      </c>
      <c r="F135" s="770"/>
      <c r="G135" s="771"/>
      <c r="H135" s="770"/>
      <c r="I135" s="771"/>
      <c r="J135" s="770"/>
      <c r="K135" s="771"/>
      <c r="L135" s="770"/>
      <c r="M135" s="771"/>
      <c r="N135" s="770"/>
      <c r="O135" s="771"/>
      <c r="P135" s="770"/>
      <c r="Q135" s="771"/>
      <c r="R135" s="770"/>
      <c r="S135" s="771"/>
      <c r="T135" s="770"/>
      <c r="U135" s="771"/>
      <c r="V135" s="770"/>
      <c r="W135" s="771"/>
      <c r="X135" s="770"/>
      <c r="Y135" s="771"/>
      <c r="Z135" s="770"/>
      <c r="AA135" s="771"/>
      <c r="AB135" s="770"/>
      <c r="AC135" s="771"/>
      <c r="AD135" s="770"/>
      <c r="AE135" s="771"/>
      <c r="AF135" s="770"/>
      <c r="AG135" s="771"/>
      <c r="AH135" s="770"/>
      <c r="AI135" s="771"/>
      <c r="AJ135" s="770"/>
      <c r="AK135" s="771"/>
      <c r="AL135" s="770"/>
      <c r="AM135" s="759"/>
      <c r="AN135" s="758"/>
      <c r="AO135" s="773"/>
      <c r="AP135" s="773"/>
      <c r="AQ135" s="773"/>
      <c r="AR135" s="576"/>
      <c r="AS135" t="str">
        <f>CA135&amp;CB135&amp;CC135&amp;CD135&amp;CE135&amp;CF135&amp;CG135</f>
        <v/>
      </c>
      <c r="CA135" s="3024" t="str">
        <f>IF(AND($C135&gt;0,AN135="")," No olvide digitar la variable Beneficiarios. Digite cero si no tiene.",IF(AN135&gt;$C135," *  La variable Beneficiarios no puede ser mayor al Total Ambos sexos.",""))</f>
        <v/>
      </c>
      <c r="CB135" s="3024" t="str">
        <f>IF(AND($C135&gt;0,AO135="")," No olvide digitar la variable Niños, Niñas, adolescentes y jóvenes SENAME. Digite cero si no tiene.",IF(AO135&gt;$C135," * La variable Niños, Niñas, adolescentes y jóvenes SENAME no puede ser mayor al Total Ambos sexos.",""))</f>
        <v/>
      </c>
      <c r="CC135" s="3024" t="str">
        <f>IF(AND($C135&gt;0,AP135="")," No olvide digitar la variable Niños, Niñas, adolescentes y jóvenes mejor Niñez. Digite cero si no tiene.",IF(AP135&gt;$C135," * La variable Niños, Niñas, adolescentes y jóvenes mejor Niñez no puede ser mayor al Total Ambos sexos.",""))</f>
        <v/>
      </c>
      <c r="CD135" s="3024" t="str">
        <f>IF(AND($C135&gt;0,AQ135="")," No olvide digitar la variable Pueblos originarios. Digite cero si no tiene.",IF(AQ135&gt;$C135," * La variable Pueblos originarios no puede ser mayor al Total Ambos sexos.",""))</f>
        <v/>
      </c>
      <c r="CE135" s="3024" t="str">
        <f>IF(AND($C135&gt;0,AR135="")," No olvide digitar la variable Migrantes. Digite cero si no tiene.",IF(AR135&gt;$C135," * La variable Migrantes no puede ser mayor al Total Ambos sexos.",""))</f>
        <v/>
      </c>
      <c r="CK135" s="1901">
        <f>IF(AND(C135&gt;0,AN135=""),1,IF(AN135&gt;C135,1,0))</f>
        <v>0</v>
      </c>
      <c r="CL135" s="1901">
        <f>IF(AND(C135&gt;0,AO135=""),1,IF(AO135&gt;C135,1,0))</f>
        <v>0</v>
      </c>
      <c r="CM135" s="1901">
        <f>IF(AND(C135&gt;0,AP135=""),1,IF(AP135&gt;C135,1,0))</f>
        <v>0</v>
      </c>
      <c r="CN135" s="1901">
        <f>IF(AND(C135&gt;0,AQ135=""),1,IF(AQ135&gt;C135,1,0))</f>
        <v>0</v>
      </c>
      <c r="CO135" s="1901">
        <f>IF(AND(C135&gt;0,AR135=""),1,IF(AR135&gt;C135,1,0))</f>
        <v>0</v>
      </c>
    </row>
    <row r="136" spans="1:93" x14ac:dyDescent="0.3">
      <c r="A136" s="6478"/>
      <c r="B136" s="918" t="s">
        <v>1152</v>
      </c>
      <c r="C136" s="919">
        <f>SUM(D136+E136)</f>
        <v>0</v>
      </c>
      <c r="D136" s="920">
        <f t="shared" si="49"/>
        <v>0</v>
      </c>
      <c r="E136" s="921">
        <f t="shared" si="49"/>
        <v>0</v>
      </c>
      <c r="F136" s="346"/>
      <c r="G136" s="350"/>
      <c r="H136" s="346"/>
      <c r="I136" s="350"/>
      <c r="J136" s="346"/>
      <c r="K136" s="350"/>
      <c r="L136" s="346"/>
      <c r="M136" s="350"/>
      <c r="N136" s="346"/>
      <c r="O136" s="350"/>
      <c r="P136" s="346"/>
      <c r="Q136" s="350"/>
      <c r="R136" s="346"/>
      <c r="S136" s="350"/>
      <c r="T136" s="346"/>
      <c r="U136" s="350"/>
      <c r="V136" s="346"/>
      <c r="W136" s="350"/>
      <c r="X136" s="346"/>
      <c r="Y136" s="350"/>
      <c r="Z136" s="346"/>
      <c r="AA136" s="350"/>
      <c r="AB136" s="346"/>
      <c r="AC136" s="350"/>
      <c r="AD136" s="346"/>
      <c r="AE136" s="350"/>
      <c r="AF136" s="346"/>
      <c r="AG136" s="350"/>
      <c r="AH136" s="346"/>
      <c r="AI136" s="350"/>
      <c r="AJ136" s="346"/>
      <c r="AK136" s="350"/>
      <c r="AL136" s="346"/>
      <c r="AM136" s="352"/>
      <c r="AN136" s="430"/>
      <c r="AO136" s="369"/>
      <c r="AP136" s="369"/>
      <c r="AQ136" s="369"/>
      <c r="AR136" s="347"/>
      <c r="AS136" t="str">
        <f>CA136&amp;CB136&amp;CC136&amp;CD136&amp;CE136&amp;CF136&amp;CG136</f>
        <v/>
      </c>
      <c r="CA136" s="3024" t="str">
        <f t="shared" ref="CA136:CA137" si="50">IF(AND($C136&gt;0,AN136="")," No olvide digitar la variable Beneficiarios. Digite cero si no tiene.",IF(AN136&gt;$C136," *  La variable Beneficiarios no puede ser mayor al Total Ambos sexos.",""))</f>
        <v/>
      </c>
      <c r="CB136" s="3024" t="str">
        <f t="shared" ref="CB136:CB137" si="51">IF(AND($C136&gt;0,AO136="")," No olvide digitar la variable Niños, Niñas, adolescentes y jóvenes SENAME. Digite cero si no tiene.",IF(AO136&gt;$C136," * La variable Niños, Niñas, adolescentes y jóvenes SENAME no puede ser mayor al Total Ambos sexos.",""))</f>
        <v/>
      </c>
      <c r="CC136" s="3024" t="str">
        <f t="shared" ref="CC136:CC137" si="52">IF(AND($C136&gt;0,AP136="")," No olvide digitar la variable Niños, Niñas, adolescentes y jóvenes mejor Niñez. Digite cero si no tiene.",IF(AP136&gt;$C136," * La variable Niños, Niñas, adolescentes y jóvenes mejor Niñez no puede ser mayor al Total Ambos sexos.",""))</f>
        <v/>
      </c>
      <c r="CD136" s="3024" t="str">
        <f t="shared" ref="CD136:CD137" si="53">IF(AND($C136&gt;0,AQ136="")," No olvide digitar la variable Pueblos originarios. Digite cero si no tiene.",IF(AQ136&gt;$C136," * La variable Pueblos originarios no puede ser mayor al Total Ambos sexos.",""))</f>
        <v/>
      </c>
      <c r="CE136" s="3024" t="str">
        <f t="shared" ref="CE136:CE137" si="54">IF(AND($C136&gt;0,AR136="")," No olvide digitar la variable Migrantes. Digite cero si no tiene.",IF(AR136&gt;$C136," * La variable Migrantes no puede ser mayor al Total Ambos sexos.",""))</f>
        <v/>
      </c>
      <c r="CK136" s="1901">
        <f>IF(AND(C136&gt;0,AN136=""),1,IF(AN136&gt;C136,1,0))</f>
        <v>0</v>
      </c>
      <c r="CL136" s="1901">
        <f>IF(AND(C136&gt;0,AO136=""),1,IF(AO136&gt;C136,1,0))</f>
        <v>0</v>
      </c>
      <c r="CM136" s="1901">
        <f>IF(AND(C136&gt;0,AP136=""),1,IF(AP136&gt;C136,1,0))</f>
        <v>0</v>
      </c>
      <c r="CN136" s="1901">
        <f>IF(AND(C136&gt;0,AQ136=""),1,IF(AQ136&gt;C136,1,0))</f>
        <v>0</v>
      </c>
      <c r="CO136" s="1901">
        <f>IF(AND(C136&gt;0,AR136=""),1,IF(AR136&gt;C136,1,0))</f>
        <v>0</v>
      </c>
    </row>
    <row r="137" spans="1:93" x14ac:dyDescent="0.3">
      <c r="A137" s="6478"/>
      <c r="B137" s="918" t="s">
        <v>1153</v>
      </c>
      <c r="C137" s="919">
        <f>SUM(D137+E137)</f>
        <v>0</v>
      </c>
      <c r="D137" s="920">
        <f t="shared" si="49"/>
        <v>0</v>
      </c>
      <c r="E137" s="921">
        <f t="shared" si="49"/>
        <v>0</v>
      </c>
      <c r="F137" s="380"/>
      <c r="G137" s="389"/>
      <c r="H137" s="380"/>
      <c r="I137" s="389"/>
      <c r="J137" s="380"/>
      <c r="K137" s="389"/>
      <c r="L137" s="380"/>
      <c r="M137" s="389"/>
      <c r="N137" s="380"/>
      <c r="O137" s="389"/>
      <c r="P137" s="380"/>
      <c r="Q137" s="389"/>
      <c r="R137" s="380"/>
      <c r="S137" s="389"/>
      <c r="T137" s="380"/>
      <c r="U137" s="389"/>
      <c r="V137" s="380"/>
      <c r="W137" s="389"/>
      <c r="X137" s="380"/>
      <c r="Y137" s="389"/>
      <c r="Z137" s="380"/>
      <c r="AA137" s="389"/>
      <c r="AB137" s="380"/>
      <c r="AC137" s="389"/>
      <c r="AD137" s="380"/>
      <c r="AE137" s="389"/>
      <c r="AF137" s="380"/>
      <c r="AG137" s="389"/>
      <c r="AH137" s="380"/>
      <c r="AI137" s="389"/>
      <c r="AJ137" s="380"/>
      <c r="AK137" s="389"/>
      <c r="AL137" s="380"/>
      <c r="AM137" s="390"/>
      <c r="AN137" s="379"/>
      <c r="AO137" s="372"/>
      <c r="AP137" s="372"/>
      <c r="AQ137" s="372"/>
      <c r="AR137" s="388"/>
      <c r="AS137" t="str">
        <f>CA137&amp;CB137&amp;CC137&amp;CD137&amp;CE137&amp;CF137&amp;CG137</f>
        <v/>
      </c>
      <c r="CA137" s="3024" t="str">
        <f t="shared" si="50"/>
        <v/>
      </c>
      <c r="CB137" s="3024" t="str">
        <f t="shared" si="51"/>
        <v/>
      </c>
      <c r="CC137" s="3024" t="str">
        <f t="shared" si="52"/>
        <v/>
      </c>
      <c r="CD137" s="3024" t="str">
        <f t="shared" si="53"/>
        <v/>
      </c>
      <c r="CE137" s="3024" t="str">
        <f t="shared" si="54"/>
        <v/>
      </c>
      <c r="CK137" s="1901">
        <f>IF(AND(C137&gt;0,AN137=""),1,IF(AN137&gt;C137,1,0))</f>
        <v>0</v>
      </c>
      <c r="CL137" s="1901">
        <f>IF(AND(C137&gt;0,AO137=""),1,IF(AO137&gt;C137,1,0))</f>
        <v>0</v>
      </c>
      <c r="CM137" s="1901">
        <f>IF(AND(C137&gt;0,AP137=""),1,IF(AP137&gt;C137,1,0))</f>
        <v>0</v>
      </c>
      <c r="CN137" s="1901">
        <f>IF(AND(C137&gt;0,AQ137=""),1,IF(AQ137&gt;C137,1,0))</f>
        <v>0</v>
      </c>
      <c r="CO137" s="1901">
        <f>IF(AND(C137&gt;0,AR137=""),1,IF(AR137&gt;C137,1,0))</f>
        <v>0</v>
      </c>
    </row>
    <row r="138" spans="1:93" x14ac:dyDescent="0.3">
      <c r="A138" s="6479"/>
      <c r="B138" s="777" t="s">
        <v>77</v>
      </c>
      <c r="C138" s="778">
        <f>SUM(D138+E138)</f>
        <v>0</v>
      </c>
      <c r="D138" s="625">
        <f t="shared" si="49"/>
        <v>0</v>
      </c>
      <c r="E138" s="626">
        <f t="shared" si="49"/>
        <v>0</v>
      </c>
      <c r="F138" s="779">
        <f>SUM(F135:F137)</f>
        <v>0</v>
      </c>
      <c r="G138" s="515">
        <f t="shared" ref="G138:AR138" si="55">SUM(G135:G137)</f>
        <v>0</v>
      </c>
      <c r="H138" s="779">
        <f t="shared" si="55"/>
        <v>0</v>
      </c>
      <c r="I138" s="515">
        <f t="shared" si="55"/>
        <v>0</v>
      </c>
      <c r="J138" s="779">
        <f t="shared" si="55"/>
        <v>0</v>
      </c>
      <c r="K138" s="586">
        <f t="shared" si="55"/>
        <v>0</v>
      </c>
      <c r="L138" s="779">
        <f t="shared" si="55"/>
        <v>0</v>
      </c>
      <c r="M138" s="586">
        <f t="shared" si="55"/>
        <v>0</v>
      </c>
      <c r="N138" s="779">
        <f t="shared" si="55"/>
        <v>0</v>
      </c>
      <c r="O138" s="586">
        <f t="shared" si="55"/>
        <v>0</v>
      </c>
      <c r="P138" s="779">
        <f t="shared" si="55"/>
        <v>0</v>
      </c>
      <c r="Q138" s="586">
        <f t="shared" si="55"/>
        <v>0</v>
      </c>
      <c r="R138" s="779">
        <f t="shared" si="55"/>
        <v>0</v>
      </c>
      <c r="S138" s="586">
        <f t="shared" si="55"/>
        <v>0</v>
      </c>
      <c r="T138" s="779">
        <f t="shared" si="55"/>
        <v>0</v>
      </c>
      <c r="U138" s="586">
        <f t="shared" si="55"/>
        <v>0</v>
      </c>
      <c r="V138" s="779">
        <f t="shared" si="55"/>
        <v>0</v>
      </c>
      <c r="W138" s="586">
        <f t="shared" si="55"/>
        <v>0</v>
      </c>
      <c r="X138" s="779">
        <f t="shared" si="55"/>
        <v>0</v>
      </c>
      <c r="Y138" s="586">
        <f t="shared" si="55"/>
        <v>0</v>
      </c>
      <c r="Z138" s="779">
        <f t="shared" si="55"/>
        <v>0</v>
      </c>
      <c r="AA138" s="586">
        <f t="shared" si="55"/>
        <v>0</v>
      </c>
      <c r="AB138" s="779">
        <f t="shared" si="55"/>
        <v>0</v>
      </c>
      <c r="AC138" s="586">
        <f t="shared" si="55"/>
        <v>0</v>
      </c>
      <c r="AD138" s="779">
        <f t="shared" si="55"/>
        <v>0</v>
      </c>
      <c r="AE138" s="586">
        <f t="shared" si="55"/>
        <v>0</v>
      </c>
      <c r="AF138" s="779">
        <f t="shared" si="55"/>
        <v>0</v>
      </c>
      <c r="AG138" s="586">
        <f t="shared" si="55"/>
        <v>0</v>
      </c>
      <c r="AH138" s="779">
        <f t="shared" si="55"/>
        <v>0</v>
      </c>
      <c r="AI138" s="586">
        <f t="shared" si="55"/>
        <v>0</v>
      </c>
      <c r="AJ138" s="779">
        <f t="shared" si="55"/>
        <v>0</v>
      </c>
      <c r="AK138" s="586">
        <f t="shared" si="55"/>
        <v>0</v>
      </c>
      <c r="AL138" s="780">
        <f t="shared" si="55"/>
        <v>0</v>
      </c>
      <c r="AM138" s="513">
        <f t="shared" si="55"/>
        <v>0</v>
      </c>
      <c r="AN138" s="514">
        <f t="shared" si="55"/>
        <v>0</v>
      </c>
      <c r="AO138" s="512">
        <f t="shared" si="55"/>
        <v>0</v>
      </c>
      <c r="AP138" s="512">
        <f>SUM(AP135:AP137)</f>
        <v>0</v>
      </c>
      <c r="AQ138" s="512">
        <f t="shared" si="55"/>
        <v>0</v>
      </c>
      <c r="AR138" s="515">
        <f t="shared" si="55"/>
        <v>0</v>
      </c>
    </row>
    <row r="139" spans="1:93" s="6" customFormat="1" ht="18" customHeight="1" x14ac:dyDescent="0.25">
      <c r="A139" s="922" t="s">
        <v>1154</v>
      </c>
      <c r="B139" s="922"/>
      <c r="C139" s="922"/>
      <c r="D139" s="922"/>
      <c r="E139" s="922"/>
      <c r="F139" s="922"/>
      <c r="G139" s="922"/>
      <c r="H139" s="884"/>
      <c r="I139" s="4"/>
    </row>
    <row r="140" spans="1:93" ht="15" customHeight="1" x14ac:dyDescent="0.3">
      <c r="A140" s="6176" t="s">
        <v>29</v>
      </c>
      <c r="B140" s="6437" t="s">
        <v>1155</v>
      </c>
      <c r="C140" s="6266"/>
      <c r="D140" s="6266"/>
      <c r="E140" s="6266"/>
      <c r="F140" s="6180"/>
      <c r="G140" s="6254" t="s">
        <v>1156</v>
      </c>
      <c r="H140" s="6223" t="s">
        <v>1157</v>
      </c>
      <c r="I140" s="6474"/>
    </row>
    <row r="141" spans="1:93" ht="15" customHeight="1" x14ac:dyDescent="0.3">
      <c r="A141" s="6082"/>
      <c r="B141" s="6307" t="s">
        <v>77</v>
      </c>
      <c r="C141" s="6437" t="s">
        <v>1158</v>
      </c>
      <c r="D141" s="6266"/>
      <c r="E141" s="6266"/>
      <c r="F141" s="6180"/>
      <c r="G141" s="6255"/>
      <c r="H141" s="6481"/>
      <c r="I141" s="6474"/>
    </row>
    <row r="142" spans="1:93" ht="20.399999999999999" x14ac:dyDescent="0.3">
      <c r="A142" s="6465"/>
      <c r="B142" s="6482"/>
      <c r="C142" s="767" t="s">
        <v>1159</v>
      </c>
      <c r="D142" s="554" t="s">
        <v>99</v>
      </c>
      <c r="E142" s="555" t="s">
        <v>1160</v>
      </c>
      <c r="F142" s="469" t="s">
        <v>1161</v>
      </c>
      <c r="G142" s="6480"/>
      <c r="H142" s="557" t="s">
        <v>1162</v>
      </c>
      <c r="I142" s="465" t="s">
        <v>1156</v>
      </c>
    </row>
    <row r="143" spans="1:93" ht="15" customHeight="1" x14ac:dyDescent="0.3">
      <c r="A143" s="344" t="s">
        <v>475</v>
      </c>
      <c r="B143" s="356">
        <f>SUM(C143:F143)+H143</f>
        <v>0</v>
      </c>
      <c r="C143" s="346"/>
      <c r="D143" s="348"/>
      <c r="E143" s="369"/>
      <c r="F143" s="350"/>
      <c r="G143" s="351"/>
      <c r="H143" s="430"/>
      <c r="I143" s="347"/>
    </row>
    <row r="144" spans="1:93" ht="15" customHeight="1" x14ac:dyDescent="0.3">
      <c r="A144" s="344" t="s">
        <v>326</v>
      </c>
      <c r="B144" s="356">
        <f t="shared" ref="B144:B148" si="56">SUM(C144:F144)+H144</f>
        <v>0</v>
      </c>
      <c r="C144" s="346"/>
      <c r="D144" s="348"/>
      <c r="E144" s="369"/>
      <c r="F144" s="350"/>
      <c r="G144" s="351"/>
      <c r="H144" s="430"/>
      <c r="I144" s="347"/>
    </row>
    <row r="145" spans="1:95" ht="15" customHeight="1" x14ac:dyDescent="0.3">
      <c r="A145" s="924" t="s">
        <v>94</v>
      </c>
      <c r="B145" s="356">
        <f>SUM(C145:F145)+H145</f>
        <v>0</v>
      </c>
      <c r="C145" s="346"/>
      <c r="D145" s="348"/>
      <c r="E145" s="369"/>
      <c r="F145" s="350"/>
      <c r="G145" s="351"/>
      <c r="H145" s="430"/>
      <c r="I145" s="347"/>
    </row>
    <row r="146" spans="1:95" ht="15" customHeight="1" x14ac:dyDescent="0.3">
      <c r="A146" s="924" t="s">
        <v>44</v>
      </c>
      <c r="B146" s="356">
        <f t="shared" si="56"/>
        <v>0</v>
      </c>
      <c r="C146" s="346"/>
      <c r="D146" s="348"/>
      <c r="E146" s="369"/>
      <c r="F146" s="350"/>
      <c r="G146" s="351"/>
      <c r="H146" s="430"/>
      <c r="I146" s="347"/>
    </row>
    <row r="147" spans="1:95" ht="15" customHeight="1" x14ac:dyDescent="0.3">
      <c r="A147" s="344" t="s">
        <v>45</v>
      </c>
      <c r="B147" s="356">
        <f>SUM(C147:F147)+H147</f>
        <v>0</v>
      </c>
      <c r="C147" s="346"/>
      <c r="D147" s="348"/>
      <c r="E147" s="369"/>
      <c r="F147" s="350"/>
      <c r="G147" s="351"/>
      <c r="H147" s="430"/>
      <c r="I147" s="347"/>
    </row>
    <row r="148" spans="1:95" ht="15" customHeight="1" x14ac:dyDescent="0.3">
      <c r="A148" s="344" t="s">
        <v>327</v>
      </c>
      <c r="B148" s="356">
        <f t="shared" si="56"/>
        <v>0</v>
      </c>
      <c r="C148" s="346"/>
      <c r="D148" s="348"/>
      <c r="E148" s="369"/>
      <c r="F148" s="350"/>
      <c r="G148" s="351"/>
      <c r="H148" s="430"/>
      <c r="I148" s="347"/>
    </row>
    <row r="149" spans="1:95" ht="15" customHeight="1" x14ac:dyDescent="0.3">
      <c r="A149" s="358" t="s">
        <v>460</v>
      </c>
      <c r="B149" s="925">
        <f>SUM(C149:F149)+H149</f>
        <v>0</v>
      </c>
      <c r="C149" s="192"/>
      <c r="D149" s="482"/>
      <c r="E149" s="594"/>
      <c r="F149" s="383"/>
      <c r="G149" s="776"/>
      <c r="H149" s="377"/>
      <c r="I149" s="2"/>
    </row>
    <row r="150" spans="1:95" ht="15" customHeight="1" x14ac:dyDescent="0.3">
      <c r="A150" s="926" t="s">
        <v>57</v>
      </c>
      <c r="B150" s="927">
        <f>SUM(C150:F150)+H150</f>
        <v>0</v>
      </c>
      <c r="C150" s="380"/>
      <c r="D150" s="429"/>
      <c r="E150" s="372"/>
      <c r="F150" s="389"/>
      <c r="G150" s="682"/>
      <c r="H150" s="379"/>
      <c r="I150" s="388"/>
    </row>
    <row r="151" spans="1:95" ht="18" customHeight="1" x14ac:dyDescent="0.3">
      <c r="A151" s="50" t="s">
        <v>1163</v>
      </c>
    </row>
    <row r="152" spans="1:95" s="6" customFormat="1" ht="18" customHeight="1" x14ac:dyDescent="0.25">
      <c r="A152" s="928" t="s">
        <v>1164</v>
      </c>
      <c r="B152" s="8"/>
      <c r="C152" s="8"/>
    </row>
    <row r="153" spans="1:95" ht="20.399999999999999" x14ac:dyDescent="0.3">
      <c r="A153" s="929" t="s">
        <v>1165</v>
      </c>
      <c r="B153" s="930" t="s">
        <v>1166</v>
      </c>
      <c r="C153" s="930" t="s">
        <v>1167</v>
      </c>
    </row>
    <row r="154" spans="1:95" ht="20.399999999999999" x14ac:dyDescent="0.3">
      <c r="A154" s="3118" t="s">
        <v>1168</v>
      </c>
      <c r="B154" s="347"/>
      <c r="C154" s="813"/>
    </row>
    <row r="155" spans="1:95" x14ac:dyDescent="0.3">
      <c r="A155" s="2557" t="s">
        <v>1169</v>
      </c>
      <c r="B155" s="388"/>
      <c r="C155" s="799"/>
    </row>
    <row r="156" spans="1:95" s="6" customFormat="1" ht="18" customHeight="1" x14ac:dyDescent="0.25">
      <c r="A156" s="6475" t="s">
        <v>1170</v>
      </c>
      <c r="B156" s="6475"/>
      <c r="C156" s="6475"/>
      <c r="D156" s="6475"/>
      <c r="E156" s="6475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4"/>
      <c r="Q156" s="4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</row>
    <row r="157" spans="1:95" x14ac:dyDescent="0.3">
      <c r="A157" s="6176" t="s">
        <v>219</v>
      </c>
      <c r="B157" s="6176" t="s">
        <v>27</v>
      </c>
      <c r="C157" s="5944" t="s">
        <v>1171</v>
      </c>
      <c r="D157" s="6242"/>
      <c r="E157" s="6243"/>
      <c r="F157" s="6474" t="s">
        <v>101</v>
      </c>
      <c r="G157" s="6474"/>
      <c r="H157" s="6474"/>
      <c r="I157" s="6474"/>
      <c r="J157" s="6474"/>
      <c r="K157" s="6474"/>
      <c r="L157" s="6474"/>
      <c r="M157" s="6476"/>
      <c r="N157" s="6249" t="s">
        <v>1172</v>
      </c>
      <c r="O157" s="6377" t="s">
        <v>1173</v>
      </c>
      <c r="P157" s="6377" t="s">
        <v>1174</v>
      </c>
      <c r="Q157" s="6250" t="s">
        <v>1175</v>
      </c>
      <c r="R157" s="6249" t="s">
        <v>597</v>
      </c>
      <c r="S157" s="6377" t="s">
        <v>35</v>
      </c>
      <c r="T157" s="6377" t="s">
        <v>1176</v>
      </c>
      <c r="U157" s="6377" t="s">
        <v>36</v>
      </c>
      <c r="V157" s="6243" t="s">
        <v>37</v>
      </c>
      <c r="W157" s="6436" t="s">
        <v>457</v>
      </c>
      <c r="X157" s="6183"/>
    </row>
    <row r="158" spans="1:95" x14ac:dyDescent="0.3">
      <c r="A158" s="6082"/>
      <c r="B158" s="6082"/>
      <c r="C158" s="6466"/>
      <c r="D158" s="6467"/>
      <c r="E158" s="6468"/>
      <c r="F158" s="6474" t="s">
        <v>458</v>
      </c>
      <c r="G158" s="6474"/>
      <c r="H158" s="6474" t="s">
        <v>1177</v>
      </c>
      <c r="I158" s="6474"/>
      <c r="J158" s="6474" t="s">
        <v>1178</v>
      </c>
      <c r="K158" s="6474"/>
      <c r="L158" s="6474" t="s">
        <v>1179</v>
      </c>
      <c r="M158" s="6476"/>
      <c r="N158" s="5766"/>
      <c r="O158" s="6118"/>
      <c r="P158" s="6118"/>
      <c r="Q158" s="6284"/>
      <c r="R158" s="5766"/>
      <c r="S158" s="6118"/>
      <c r="T158" s="6118"/>
      <c r="U158" s="6118"/>
      <c r="V158" s="5759"/>
      <c r="W158" s="6186" t="s">
        <v>462</v>
      </c>
      <c r="X158" s="6243" t="s">
        <v>463</v>
      </c>
    </row>
    <row r="159" spans="1:95" ht="23.25" customHeight="1" x14ac:dyDescent="0.3">
      <c r="A159" s="6465"/>
      <c r="B159" s="6465"/>
      <c r="C159" s="464" t="s">
        <v>79</v>
      </c>
      <c r="D159" s="739" t="s">
        <v>58</v>
      </c>
      <c r="E159" s="90" t="s">
        <v>59</v>
      </c>
      <c r="F159" s="767" t="s">
        <v>58</v>
      </c>
      <c r="G159" s="465" t="s">
        <v>59</v>
      </c>
      <c r="H159" s="767" t="s">
        <v>58</v>
      </c>
      <c r="I159" s="465" t="s">
        <v>59</v>
      </c>
      <c r="J159" s="767" t="s">
        <v>58</v>
      </c>
      <c r="K159" s="465" t="s">
        <v>59</v>
      </c>
      <c r="L159" s="767" t="s">
        <v>58</v>
      </c>
      <c r="M159" s="466" t="s">
        <v>59</v>
      </c>
      <c r="N159" s="5767"/>
      <c r="O159" s="5818"/>
      <c r="P159" s="5818"/>
      <c r="Q159" s="6491"/>
      <c r="R159" s="5767"/>
      <c r="S159" s="5818"/>
      <c r="T159" s="5818"/>
      <c r="U159" s="5818"/>
      <c r="V159" s="6468"/>
      <c r="W159" s="6483"/>
      <c r="X159" s="6468"/>
    </row>
    <row r="160" spans="1:95" x14ac:dyDescent="0.3">
      <c r="A160" s="6484" t="s">
        <v>1180</v>
      </c>
      <c r="B160" s="768" t="s">
        <v>64</v>
      </c>
      <c r="C160" s="756">
        <f>SUM(D160:E160)</f>
        <v>0</v>
      </c>
      <c r="D160" s="769">
        <f>SUM(F160+H160+J160+L160)</f>
        <v>0</v>
      </c>
      <c r="E160" s="3119">
        <f>SUM(G160+I160+K160+M160)</f>
        <v>0</v>
      </c>
      <c r="F160" s="770"/>
      <c r="G160" s="477"/>
      <c r="H160" s="770"/>
      <c r="I160" s="477"/>
      <c r="J160" s="770"/>
      <c r="K160" s="477"/>
      <c r="L160" s="770"/>
      <c r="M160" s="476"/>
      <c r="N160" s="758"/>
      <c r="O160" s="773"/>
      <c r="P160" s="773"/>
      <c r="Q160" s="476"/>
      <c r="R160" s="758"/>
      <c r="S160" s="773"/>
      <c r="T160" s="773"/>
      <c r="U160" s="773"/>
      <c r="V160" s="576"/>
      <c r="W160" s="770"/>
      <c r="X160" s="576"/>
      <c r="Y160" t="str">
        <f>CA160&amp;CB160&amp;CC160&amp;CD160&amp;CE160&amp;CF160&amp;CG160</f>
        <v/>
      </c>
      <c r="CA160" s="3024" t="str">
        <f>IF(AND($C160&gt;0,R160="")," * No olvide digitar la variable Beneficiarios. Digite cero si no tiene.",IF(R160&gt;$C160," * La variable Beneficiarios no puede ser mayor al Total Ambos Sexos.",""))</f>
        <v/>
      </c>
      <c r="CB160" s="3024" t="str">
        <f>IF(AND($C160&gt;0,S160="")," * No olvide digitar la variable Niños, Niñas, Adolescentes y Jóvenes Mejor Niñez. Digite cero si no tiene.",IF(S160&gt;$C160," * La variable Niños, Niñas, Adolescentes y Jóvenes Mejor Niñez no puede ser mayor al Total Ambos Sexos.",""))</f>
        <v/>
      </c>
      <c r="CC160" s="3024" t="str">
        <f>IF(AND($C160&gt;0,T160="")," * No olvide digitar la variable Niños, Niñas, Adolescentes y Jóvenes SENAME. Digite cero si no tiene.",IF(T160&gt;$C160," * La variable Niños, Niñas, Adolescentes y Jóvenes SENAME no puede ser mayor al Total Ambos Sexos.",""))</f>
        <v/>
      </c>
      <c r="CD160" s="3024" t="str">
        <f>IF(AND($C160&gt;0,U160="")," * No olvide digitar la variable Pueblos Originarios. Digite cero si no tiene.",IF(U160&gt;$C160," * La variable Pueblos Originarios no puede ser mayor al Total Ambos Sexos.",""))</f>
        <v/>
      </c>
      <c r="CE160" s="3024" t="str">
        <f>IF(AND($C160&gt;0,V160="")," * No olvide digitar la variable Migrantes. Digite cero si no tiene.",IF(V160&gt;$C160," * La variable Migrantes no puede ser mayor al Total Ambos Sexos.",""))</f>
        <v/>
      </c>
      <c r="CF160" s="3024" t="str">
        <f>IF(AND($E160&gt;0,OR(W160=""))," * No olvide digitar la variable Trans (Masculino). Digite cero si no tiene.",IF((W160)&gt;$E160," * La variable Trans (Masculino) no puede ser mayor al Total Mujeres.",""))</f>
        <v/>
      </c>
      <c r="CG160" s="3024" t="str">
        <f>IF(AND($D160&gt;0,OR(X160=""))," * No olvide digitar la variable Trans (Femenino). Digite cero si no tiene.",IF((X160)&gt;$D160," * La variable Trans (Femenino) no puede ser mayor al Total Hombres.",""))</f>
        <v/>
      </c>
      <c r="CK160" s="1901">
        <f>IF(AND(C160&gt;0,R160=""),1,IF(R160&gt;C160,1,0))</f>
        <v>0</v>
      </c>
      <c r="CL160" s="1901">
        <f>IF(AND(C160&gt;0,S160=""),1,IF(S160&gt;C160,1,0))</f>
        <v>0</v>
      </c>
      <c r="CM160" s="1901">
        <f>IF(AND(C160&gt;0,T160=""),1,IF(T160&gt;C160,1,0))</f>
        <v>0</v>
      </c>
      <c r="CN160" s="1901">
        <f>IF(AND(C160&gt;0,U160=""),1,IF(U160&gt;C160,1,0))</f>
        <v>0</v>
      </c>
      <c r="CO160" s="1901">
        <f>IF(AND(C160&gt;0,V160=""),1,IF(V160&gt;C160,1,0))</f>
        <v>0</v>
      </c>
      <c r="CP160" s="1901">
        <f>IF(AND(E160&gt;0,OR(W160="")),1,IF((W160)&gt;E160,1,0))</f>
        <v>0</v>
      </c>
      <c r="CQ160" s="1901">
        <f>IF(AND(D160&gt;0,OR(X160="")),1,IF((X160)&gt;D160,1,0))</f>
        <v>0</v>
      </c>
    </row>
    <row r="161" spans="1:95" x14ac:dyDescent="0.3">
      <c r="A161" s="6484"/>
      <c r="B161" s="333" t="s">
        <v>960</v>
      </c>
      <c r="C161" s="760">
        <f t="shared" ref="C161:C162" si="57">SUM(D161:E161)</f>
        <v>0</v>
      </c>
      <c r="D161" s="774">
        <f>SUM(F161+H161+J161+L161)</f>
        <v>0</v>
      </c>
      <c r="E161" s="3120">
        <f t="shared" ref="E161:E162" si="58">SUM(G161+I161+K161+M161)</f>
        <v>0</v>
      </c>
      <c r="F161" s="346"/>
      <c r="G161" s="348"/>
      <c r="H161" s="346"/>
      <c r="I161" s="348"/>
      <c r="J161" s="346"/>
      <c r="K161" s="348"/>
      <c r="L161" s="346"/>
      <c r="M161" s="481"/>
      <c r="N161" s="430"/>
      <c r="O161" s="369"/>
      <c r="P161" s="369"/>
      <c r="Q161" s="481"/>
      <c r="R161" s="430"/>
      <c r="S161" s="369"/>
      <c r="T161" s="369"/>
      <c r="U161" s="369"/>
      <c r="V161" s="347"/>
      <c r="W161" s="346"/>
      <c r="X161" s="347"/>
      <c r="Y161" t="str">
        <f>CA161&amp;CB161&amp;CC161&amp;CD161&amp;CE161&amp;CF161&amp;CG161</f>
        <v/>
      </c>
      <c r="CA161" s="3024" t="str">
        <f t="shared" ref="CA161:CA162" si="59">IF(AND($C161&gt;0,R161="")," * No olvide digitar la variable Beneficiarios. Digite cero si no tiene.",IF(R161&gt;$C161," * La variable Beneficiarios no puede ser mayor al Total Ambos Sexos.",""))</f>
        <v/>
      </c>
      <c r="CB161" s="3024" t="str">
        <f t="shared" ref="CB161:CB162" si="60">IF(AND($C161&gt;0,S161="")," * No olvide digitar la variable Niños, Niñas, Adolescentes y Jóvenes Mejor Niñez. Digite cero si no tiene.",IF(S161&gt;$C161," * La variable Niños, Niñas, Adolescentes y Jóvenes Mejor Niñez no puede ser mayor al Total Ambos Sexos.",""))</f>
        <v/>
      </c>
      <c r="CC161" s="3024" t="str">
        <f t="shared" ref="CC161:CC162" si="61">IF(AND($C161&gt;0,T161="")," * No olvide digitar la variable Niños, Niñas, Adolescentes y Jóvenes SENAME. Digite cero si no tiene.",IF(T161&gt;$C161," * La variable Niños, Niñas, Adolescentes y Jóvenes SENAME no puede ser mayor al Total Ambos Sexos.",""))</f>
        <v/>
      </c>
      <c r="CD161" s="3024" t="str">
        <f t="shared" ref="CD161:CD162" si="62">IF(AND($C161&gt;0,U161="")," * No olvide digitar la variable Pueblos Originarios. Digite cero si no tiene.",IF(U161&gt;$C161," * La variable Pueblos Originarios no puede ser mayor al Total Ambos Sexos.",""))</f>
        <v/>
      </c>
      <c r="CE161" s="3024" t="str">
        <f t="shared" ref="CE161:CE162" si="63">IF(AND($C161&gt;0,V161="")," * No olvide digitar la variable Migrantes. Digite cero si no tiene.",IF(V161&gt;$C161," * La variable Migrantes no puede ser mayor al Total Ambos Sexos.",""))</f>
        <v/>
      </c>
      <c r="CF161" s="3024" t="str">
        <f t="shared" ref="CF161:CF162" si="64">IF(AND($E161&gt;0,OR(W161=""))," * No olvide digitar la variable Trans (Masculino). Digite cero si no tiene.",IF((W161)&gt;$E161," * La variable Trans (Masculino) no puede ser mayor al Total Mujeres.",""))</f>
        <v/>
      </c>
      <c r="CG161" s="3024" t="str">
        <f t="shared" ref="CG161:CG162" si="65">IF(AND($D161&gt;0,OR(X161=""))," * No olvide digitar la variable Trans (Femenino). Digite cero si no tiene.",IF((X161)&gt;$D161," * La variable Trans (Femenino) no puede ser mayor al Total Hombres.",""))</f>
        <v/>
      </c>
      <c r="CK161" s="1901">
        <f>IF(AND(C161&gt;0,R161=""),1,IF(R161&gt;C161,1,0))</f>
        <v>0</v>
      </c>
      <c r="CL161" s="1901">
        <f>IF(AND(C161&gt;0,S161=""),1,IF(S161&gt;C161,1,0))</f>
        <v>0</v>
      </c>
      <c r="CM161" s="1901">
        <f>IF(AND(C161&gt;0,T161=""),1,IF(T161&gt;C161,1,0))</f>
        <v>0</v>
      </c>
      <c r="CN161" s="1901">
        <f>IF(AND(C161&gt;0,U161=""),1,IF(U161&gt;C161,1,0))</f>
        <v>0</v>
      </c>
      <c r="CO161" s="1901">
        <f>IF(AND(C161&gt;0,V161=""),1,IF(V161&gt;C161,1,0))</f>
        <v>0</v>
      </c>
      <c r="CP161" s="1901">
        <f>IF(AND(E161&gt;0,OR(W161="")),1,IF((W161)&gt;E161,1,0))</f>
        <v>0</v>
      </c>
      <c r="CQ161" s="1901">
        <f>IF(AND(D161&gt;0,OR(X161="")),1,IF((X161)&gt;D161,1,0))</f>
        <v>0</v>
      </c>
    </row>
    <row r="162" spans="1:95" x14ac:dyDescent="0.3">
      <c r="A162" s="6484"/>
      <c r="B162" s="333" t="s">
        <v>99</v>
      </c>
      <c r="C162" s="724">
        <f t="shared" si="57"/>
        <v>0</v>
      </c>
      <c r="D162" s="725">
        <f>SUM(F162+H162+J162+L162)</f>
        <v>0</v>
      </c>
      <c r="E162" s="3121">
        <f t="shared" si="58"/>
        <v>0</v>
      </c>
      <c r="F162" s="346"/>
      <c r="G162" s="348"/>
      <c r="H162" s="346"/>
      <c r="I162" s="348"/>
      <c r="J162" s="346"/>
      <c r="K162" s="348"/>
      <c r="L162" s="346"/>
      <c r="M162" s="481"/>
      <c r="N162" s="430"/>
      <c r="O162" s="369"/>
      <c r="P162" s="369"/>
      <c r="Q162" s="481"/>
      <c r="R162" s="430"/>
      <c r="S162" s="369"/>
      <c r="T162" s="369"/>
      <c r="U162" s="369"/>
      <c r="V162" s="347"/>
      <c r="W162" s="346"/>
      <c r="X162" s="347"/>
      <c r="Y162" t="str">
        <f>CA162&amp;CB162&amp;CC162&amp;CD162&amp;CE162&amp;CF162&amp;CG162</f>
        <v/>
      </c>
      <c r="CA162" s="3024" t="str">
        <f t="shared" si="59"/>
        <v/>
      </c>
      <c r="CB162" s="3024" t="str">
        <f t="shared" si="60"/>
        <v/>
      </c>
      <c r="CC162" s="3024" t="str">
        <f t="shared" si="61"/>
        <v/>
      </c>
      <c r="CD162" s="3024" t="str">
        <f t="shared" si="62"/>
        <v/>
      </c>
      <c r="CE162" s="3024" t="str">
        <f t="shared" si="63"/>
        <v/>
      </c>
      <c r="CF162" s="3024" t="str">
        <f t="shared" si="64"/>
        <v/>
      </c>
      <c r="CG162" s="3024" t="str">
        <f t="shared" si="65"/>
        <v/>
      </c>
      <c r="CK162" s="1901">
        <f>IF(AND(C162&gt;0,R162=""),1,IF(R162&gt;C162,1,0))</f>
        <v>0</v>
      </c>
      <c r="CL162" s="1901">
        <f>IF(AND(C162&gt;0,S162=""),1,IF(S162&gt;C162,1,0))</f>
        <v>0</v>
      </c>
      <c r="CM162" s="1901">
        <f>IF(AND(C162&gt;0,T162=""),1,IF(T162&gt;C162,1,0))</f>
        <v>0</v>
      </c>
      <c r="CN162" s="1901">
        <f>IF(AND(C162&gt;0,U162=""),1,IF(U162&gt;C162,1,0))</f>
        <v>0</v>
      </c>
      <c r="CO162" s="1901">
        <f>IF(AND(C162&gt;0,V162=""),1,IF(V162&gt;C162,1,0))</f>
        <v>0</v>
      </c>
      <c r="CP162" s="1901">
        <f>IF(AND(E162&gt;0,OR(W162="")),1,IF((W162)&gt;E162,1,0))</f>
        <v>0</v>
      </c>
      <c r="CQ162" s="1901">
        <f>IF(AND(D162&gt;0,OR(X162="")),1,IF((X162)&gt;D162,1,0))</f>
        <v>0</v>
      </c>
    </row>
    <row r="163" spans="1:95" x14ac:dyDescent="0.3">
      <c r="A163" s="1395"/>
      <c r="B163" s="777" t="s">
        <v>77</v>
      </c>
      <c r="C163" s="778">
        <f>SUM(C160:C162)</f>
        <v>0</v>
      </c>
      <c r="D163" s="625">
        <f t="shared" ref="D163:Q163" si="66">SUM(D160:D162)</f>
        <v>0</v>
      </c>
      <c r="E163" s="3122">
        <f t="shared" si="66"/>
        <v>0</v>
      </c>
      <c r="F163" s="779">
        <f t="shared" si="66"/>
        <v>0</v>
      </c>
      <c r="G163" s="572">
        <f t="shared" si="66"/>
        <v>0</v>
      </c>
      <c r="H163" s="779">
        <f t="shared" si="66"/>
        <v>0</v>
      </c>
      <c r="I163" s="572">
        <f t="shared" si="66"/>
        <v>0</v>
      </c>
      <c r="J163" s="779">
        <f t="shared" si="66"/>
        <v>0</v>
      </c>
      <c r="K163" s="572">
        <f t="shared" si="66"/>
        <v>0</v>
      </c>
      <c r="L163" s="779">
        <f t="shared" si="66"/>
        <v>0</v>
      </c>
      <c r="M163" s="539">
        <f t="shared" si="66"/>
        <v>0</v>
      </c>
      <c r="N163" s="514">
        <f t="shared" si="66"/>
        <v>0</v>
      </c>
      <c r="O163" s="512">
        <f t="shared" si="66"/>
        <v>0</v>
      </c>
      <c r="P163" s="512">
        <f t="shared" si="66"/>
        <v>0</v>
      </c>
      <c r="Q163" s="539">
        <f t="shared" si="66"/>
        <v>0</v>
      </c>
      <c r="R163" s="514">
        <f>SUM(R160:R162)</f>
        <v>0</v>
      </c>
      <c r="S163" s="512">
        <f t="shared" ref="S163:X163" si="67">SUM(S160:S162)</f>
        <v>0</v>
      </c>
      <c r="T163" s="512">
        <f t="shared" si="67"/>
        <v>0</v>
      </c>
      <c r="U163" s="512">
        <f t="shared" si="67"/>
        <v>0</v>
      </c>
      <c r="V163" s="515">
        <f t="shared" si="67"/>
        <v>0</v>
      </c>
      <c r="W163" s="779">
        <f t="shared" si="67"/>
        <v>0</v>
      </c>
      <c r="X163" s="515">
        <f t="shared" si="67"/>
        <v>0</v>
      </c>
    </row>
    <row r="164" spans="1:95" x14ac:dyDescent="0.3">
      <c r="A164" s="6484" t="s">
        <v>1181</v>
      </c>
      <c r="B164" s="768" t="s">
        <v>64</v>
      </c>
      <c r="C164" s="317">
        <f>SUM(D164:E164)</f>
        <v>0</v>
      </c>
      <c r="D164" s="2233">
        <f>SUM(F164+H164+J164+L164)</f>
        <v>0</v>
      </c>
      <c r="E164" s="3123">
        <f>SUM(G164+I164+K164+M164)</f>
        <v>0</v>
      </c>
      <c r="F164" s="770"/>
      <c r="G164" s="477"/>
      <c r="H164" s="770"/>
      <c r="I164" s="477"/>
      <c r="J164" s="770"/>
      <c r="K164" s="477"/>
      <c r="L164" s="770"/>
      <c r="M164" s="476"/>
      <c r="N164" s="430"/>
      <c r="O164" s="369"/>
      <c r="P164" s="369"/>
      <c r="Q164" s="481"/>
      <c r="R164" s="430"/>
      <c r="S164" s="369"/>
      <c r="T164" s="369"/>
      <c r="U164" s="369"/>
      <c r="V164" s="347"/>
      <c r="W164" s="346"/>
      <c r="X164" s="347"/>
      <c r="Y164" t="str">
        <f>CA164&amp;CB164&amp;CC164&amp;CD164&amp;CE164&amp;CF164&amp;CG164</f>
        <v/>
      </c>
      <c r="CA164" s="3024" t="str">
        <f t="shared" ref="CA164:CA166" si="68">IF(AND($C164&gt;0,R164="")," * No olvide digitar la variable Beneficiarios. Digite cero si no tiene.",IF(R164&gt;$C164," * La variable Beneficiarios no puede ser mayor al Total Ambos Sexos.",""))</f>
        <v/>
      </c>
      <c r="CB164" s="3024" t="str">
        <f t="shared" ref="CB164:CB166" si="69">IF(AND($C164&gt;0,S164="")," * No olvide digitar la variable Niños, Niñas, Adolescentes y Jóvenes Mejor Niñez. Digite cero si no tiene.",IF(S164&gt;$C164," * La variable Niños, Niñas, Adolescentes y Jóvenes Mejor Niñez no puede ser mayor al Total Ambos Sexos.",""))</f>
        <v/>
      </c>
      <c r="CC164" s="3024" t="str">
        <f t="shared" ref="CC164:CC166" si="70">IF(AND($C164&gt;0,T164="")," * No olvide digitar la variable Niños, Niñas, Adolescentes y Jóvenes SENAME. Digite cero si no tiene.",IF(T164&gt;$C164," * La variable Niños, Niñas, Adolescentes y Jóvenes SENAME no puede ser mayor al Total Ambos Sexos.",""))</f>
        <v/>
      </c>
      <c r="CD164" s="3024" t="str">
        <f t="shared" ref="CD164:CD166" si="71">IF(AND($C164&gt;0,U164="")," * No olvide digitar la variable Pueblos Originarios. Digite cero si no tiene.",IF(U164&gt;$C164," * La variable Pueblos Originarios no puede ser mayor al Total Ambos Sexos.",""))</f>
        <v/>
      </c>
      <c r="CE164" s="3024" t="str">
        <f t="shared" ref="CE164:CE166" si="72">IF(AND($C164&gt;0,V164="")," * No olvide digitar la variable Migrantes. Digite cero si no tiene.",IF(V164&gt;$C164," * La variable Migrantes no puede ser mayor al Total Ambos Sexos.",""))</f>
        <v/>
      </c>
      <c r="CF164" s="3024" t="str">
        <f t="shared" ref="CF164:CF166" si="73">IF(AND($E164&gt;0,OR(W164=""))," * No olvide digitar la variable Trans (Masculino). Digite cero si no tiene.",IF((W164)&gt;$E164," * La variable Trans (Masculino) no puede ser mayor al Total Mujeres.",""))</f>
        <v/>
      </c>
      <c r="CG164" s="3024" t="str">
        <f t="shared" ref="CG164:CG166" si="74">IF(AND($D164&gt;0,OR(X164=""))," * No olvide digitar la variable Trans (Femenino). Digite cero si no tiene.",IF((X164)&gt;$D164," * La variable Trans (Femenino) no puede ser mayor al Total Hombres.",""))</f>
        <v/>
      </c>
      <c r="CK164" s="1901">
        <f>IF(AND(C164&gt;0,R164=""),1,IF(R164&gt;C164,1,0))</f>
        <v>0</v>
      </c>
      <c r="CL164" s="1901">
        <f>IF(AND(C164&gt;0,S164=""),1,IF(S164&gt;C164,1,0))</f>
        <v>0</v>
      </c>
      <c r="CM164" s="1901">
        <f>IF(AND(C164&gt;0,T164=""),1,IF(T164&gt;C164,1,0))</f>
        <v>0</v>
      </c>
      <c r="CN164" s="1901">
        <f>IF(AND(C164&gt;0,U164=""),1,IF(U164&gt;C164,1,0))</f>
        <v>0</v>
      </c>
      <c r="CO164" s="1901">
        <f>IF(AND(C164&gt;0,V164=""),1,IF(V164&gt;C164,1,0))</f>
        <v>0</v>
      </c>
      <c r="CP164" s="1901">
        <f>IF(AND(E164&gt;0,OR(W164="")),1,IF((W164)&gt;E164,1,0))</f>
        <v>0</v>
      </c>
      <c r="CQ164" s="1901">
        <f>IF(AND(D164&gt;0,OR(X164="")),1,IF((X164)&gt;D164,1,0))</f>
        <v>0</v>
      </c>
    </row>
    <row r="165" spans="1:95" x14ac:dyDescent="0.3">
      <c r="A165" s="6484"/>
      <c r="B165" s="333" t="s">
        <v>960</v>
      </c>
      <c r="C165" s="760">
        <f t="shared" ref="C165" si="75">SUM(D165:E165)</f>
        <v>0</v>
      </c>
      <c r="D165" s="774">
        <f>SUM(F165+H165+J165+L165)</f>
        <v>0</v>
      </c>
      <c r="E165" s="3120">
        <f t="shared" ref="E165:E167" si="76">SUM(G165+I165+K165+M165)</f>
        <v>0</v>
      </c>
      <c r="F165" s="346"/>
      <c r="G165" s="348"/>
      <c r="H165" s="346"/>
      <c r="I165" s="348"/>
      <c r="J165" s="346"/>
      <c r="K165" s="348"/>
      <c r="L165" s="346"/>
      <c r="M165" s="481"/>
      <c r="N165" s="430"/>
      <c r="O165" s="369"/>
      <c r="P165" s="369"/>
      <c r="Q165" s="481"/>
      <c r="R165" s="430"/>
      <c r="S165" s="369"/>
      <c r="T165" s="369"/>
      <c r="U165" s="369"/>
      <c r="V165" s="347"/>
      <c r="W165" s="346"/>
      <c r="X165" s="347"/>
      <c r="Y165" t="str">
        <f>CA165&amp;CB165&amp;CC165&amp;CD165&amp;CE165&amp;CF165&amp;CG165</f>
        <v/>
      </c>
      <c r="CA165" s="3024" t="str">
        <f t="shared" si="68"/>
        <v/>
      </c>
      <c r="CB165" s="3024" t="str">
        <f t="shared" si="69"/>
        <v/>
      </c>
      <c r="CC165" s="3024" t="str">
        <f t="shared" si="70"/>
        <v/>
      </c>
      <c r="CD165" s="3024" t="str">
        <f t="shared" si="71"/>
        <v/>
      </c>
      <c r="CE165" s="3024" t="str">
        <f t="shared" si="72"/>
        <v/>
      </c>
      <c r="CF165" s="3024" t="str">
        <f t="shared" si="73"/>
        <v/>
      </c>
      <c r="CG165" s="3024" t="str">
        <f t="shared" si="74"/>
        <v/>
      </c>
      <c r="CK165" s="1901">
        <f>IF(AND(C165&gt;0,R165=""),1,IF(R165&gt;C165,1,0))</f>
        <v>0</v>
      </c>
      <c r="CL165" s="1901">
        <f>IF(AND(C165&gt;0,S165=""),1,IF(S165&gt;C165,1,0))</f>
        <v>0</v>
      </c>
      <c r="CM165" s="1901">
        <f>IF(AND(C165&gt;0,T165=""),1,IF(T165&gt;C165,1,0))</f>
        <v>0</v>
      </c>
      <c r="CN165" s="1901">
        <f>IF(AND(C165&gt;0,U165=""),1,IF(U165&gt;C165,1,0))</f>
        <v>0</v>
      </c>
      <c r="CO165" s="1901">
        <f>IF(AND(C165&gt;0,V165=""),1,IF(V165&gt;C165,1,0))</f>
        <v>0</v>
      </c>
      <c r="CP165" s="1901">
        <f>IF(AND(E165&gt;0,OR(W165="")),1,IF((W165)&gt;E165,1,0))</f>
        <v>0</v>
      </c>
      <c r="CQ165" s="1901">
        <f>IF(AND(D165&gt;0,OR(X165="")),1,IF((X165)&gt;D165,1,0))</f>
        <v>0</v>
      </c>
    </row>
    <row r="166" spans="1:95" x14ac:dyDescent="0.3">
      <c r="A166" s="6484"/>
      <c r="B166" s="333" t="s">
        <v>99</v>
      </c>
      <c r="C166" s="724">
        <f>SUM(D166:E166)</f>
        <v>0</v>
      </c>
      <c r="D166" s="725">
        <f>SUM(F166+H166+J166+L166)</f>
        <v>0</v>
      </c>
      <c r="E166" s="3121">
        <f t="shared" si="76"/>
        <v>0</v>
      </c>
      <c r="F166" s="346"/>
      <c r="G166" s="348"/>
      <c r="H166" s="346"/>
      <c r="I166" s="348"/>
      <c r="J166" s="346"/>
      <c r="K166" s="348"/>
      <c r="L166" s="346"/>
      <c r="M166" s="481"/>
      <c r="N166" s="430"/>
      <c r="O166" s="369"/>
      <c r="P166" s="369"/>
      <c r="Q166" s="481"/>
      <c r="R166" s="430"/>
      <c r="S166" s="369"/>
      <c r="T166" s="369"/>
      <c r="U166" s="369"/>
      <c r="V166" s="347"/>
      <c r="W166" s="346"/>
      <c r="X166" s="347"/>
      <c r="Y166" t="str">
        <f>CA166&amp;CB166&amp;CC166&amp;CD166&amp;CE166&amp;CF166&amp;CG166</f>
        <v/>
      </c>
      <c r="CA166" s="3024" t="str">
        <f t="shared" si="68"/>
        <v/>
      </c>
      <c r="CB166" s="3024" t="str">
        <f t="shared" si="69"/>
        <v/>
      </c>
      <c r="CC166" s="3024" t="str">
        <f t="shared" si="70"/>
        <v/>
      </c>
      <c r="CD166" s="3024" t="str">
        <f t="shared" si="71"/>
        <v/>
      </c>
      <c r="CE166" s="3024" t="str">
        <f t="shared" si="72"/>
        <v/>
      </c>
      <c r="CF166" s="3024" t="str">
        <f t="shared" si="73"/>
        <v/>
      </c>
      <c r="CG166" s="3024" t="str">
        <f t="shared" si="74"/>
        <v/>
      </c>
      <c r="CK166" s="1901">
        <f>IF(AND(C166&gt;0,R166=""),1,IF(R166&gt;C166,1,0))</f>
        <v>0</v>
      </c>
      <c r="CL166" s="1901">
        <f>IF(AND(C166&gt;0,S166=""),1,IF(S166&gt;C166,1,0))</f>
        <v>0</v>
      </c>
      <c r="CM166" s="1901">
        <f>IF(AND(C166&gt;0,T166=""),1,IF(T166&gt;C166,1,0))</f>
        <v>0</v>
      </c>
      <c r="CN166" s="1901">
        <f>IF(AND(C166&gt;0,U166=""),1,IF(U166&gt;C166,1,0))</f>
        <v>0</v>
      </c>
      <c r="CO166" s="1901">
        <f>IF(AND(C166&gt;0,V166=""),1,IF(V166&gt;C166,1,0))</f>
        <v>0</v>
      </c>
      <c r="CP166" s="1901">
        <f>IF(AND(E166&gt;0,OR(W166="")),1,IF((W166)&gt;E166,1,0))</f>
        <v>0</v>
      </c>
      <c r="CQ166" s="1901">
        <f>IF(AND(D166&gt;0,OR(X166="")),1,IF((X166)&gt;D166,1,0))</f>
        <v>0</v>
      </c>
    </row>
    <row r="167" spans="1:95" x14ac:dyDescent="0.3">
      <c r="A167" s="1395"/>
      <c r="B167" s="777" t="s">
        <v>77</v>
      </c>
      <c r="C167" s="724">
        <f>SUM(D167:E167)</f>
        <v>0</v>
      </c>
      <c r="D167" s="725">
        <f>SUM(F167+H167+J167+L167)</f>
        <v>0</v>
      </c>
      <c r="E167" s="3121">
        <f t="shared" si="76"/>
        <v>0</v>
      </c>
      <c r="F167" s="779">
        <f t="shared" ref="F167:Q167" si="77">SUM(F164:F166)</f>
        <v>0</v>
      </c>
      <c r="G167" s="572">
        <f t="shared" si="77"/>
        <v>0</v>
      </c>
      <c r="H167" s="779">
        <f t="shared" si="77"/>
        <v>0</v>
      </c>
      <c r="I167" s="572">
        <f t="shared" si="77"/>
        <v>0</v>
      </c>
      <c r="J167" s="779">
        <f t="shared" si="77"/>
        <v>0</v>
      </c>
      <c r="K167" s="572">
        <f t="shared" si="77"/>
        <v>0</v>
      </c>
      <c r="L167" s="779">
        <f t="shared" si="77"/>
        <v>0</v>
      </c>
      <c r="M167" s="539">
        <f t="shared" si="77"/>
        <v>0</v>
      </c>
      <c r="N167" s="514">
        <f t="shared" si="77"/>
        <v>0</v>
      </c>
      <c r="O167" s="512">
        <f t="shared" si="77"/>
        <v>0</v>
      </c>
      <c r="P167" s="512">
        <f t="shared" si="77"/>
        <v>0</v>
      </c>
      <c r="Q167" s="539">
        <f t="shared" si="77"/>
        <v>0</v>
      </c>
      <c r="R167" s="514">
        <f>SUM(R164:R166)</f>
        <v>0</v>
      </c>
      <c r="S167" s="512">
        <f t="shared" ref="S167:X167" si="78">SUM(S164:S166)</f>
        <v>0</v>
      </c>
      <c r="T167" s="512">
        <f t="shared" si="78"/>
        <v>0</v>
      </c>
      <c r="U167" s="512">
        <f t="shared" si="78"/>
        <v>0</v>
      </c>
      <c r="V167" s="515">
        <f t="shared" si="78"/>
        <v>0</v>
      </c>
      <c r="W167" s="779">
        <f t="shared" si="78"/>
        <v>0</v>
      </c>
      <c r="X167" s="515">
        <f t="shared" si="78"/>
        <v>0</v>
      </c>
    </row>
    <row r="168" spans="1:95" x14ac:dyDescent="0.3">
      <c r="A168" s="6484" t="s">
        <v>1041</v>
      </c>
      <c r="B168" s="6484"/>
      <c r="C168" s="724">
        <f>SUM(D168:E168)</f>
        <v>0</v>
      </c>
      <c r="D168" s="725">
        <f>SUM(F168+H168+J168+L168)</f>
        <v>0</v>
      </c>
      <c r="E168" s="3121">
        <f>SUM(G168+I168+K168+M168)</f>
        <v>0</v>
      </c>
      <c r="F168" s="783"/>
      <c r="G168" s="508"/>
      <c r="H168" s="783"/>
      <c r="I168" s="508"/>
      <c r="J168" s="783"/>
      <c r="K168" s="508"/>
      <c r="L168" s="783"/>
      <c r="M168" s="743"/>
      <c r="N168" s="534"/>
      <c r="O168" s="531"/>
      <c r="P168" s="531"/>
      <c r="Q168" s="743"/>
      <c r="R168" s="534"/>
      <c r="S168" s="531"/>
      <c r="T168" s="531"/>
      <c r="U168" s="531"/>
      <c r="V168" s="508"/>
      <c r="W168" s="783"/>
      <c r="X168" s="508"/>
      <c r="Y168" t="str">
        <f>CA168&amp;CB168&amp;CC168&amp;CD168&amp;CE168&amp;CF168&amp;CG168</f>
        <v/>
      </c>
      <c r="CA168" s="3024" t="str">
        <f>IF(AND($C168&gt;0,R168="")," * No olvide digitar la variable Beneficiarios. Digite cero si no tiene.",IF(R168&gt;$C168," * La variable Beneficiarios no puede ser mayor al Total Ambos Sexos.",""))</f>
        <v/>
      </c>
      <c r="CB168" s="3024" t="str">
        <f>IF(AND($C168&gt;0,S168="")," * No olvide digitar la variable Niños, Niñas, Adolescentes y Jóvenes Mejor Niñez. Digite cero si no tiene.",IF(S168&gt;$C168," * La variable Niños, Niñas, Adolescentes y Jóvenes Mejor Niñez no puede ser mayor al Total Ambos Sexos.",""))</f>
        <v/>
      </c>
      <c r="CC168" s="3024" t="str">
        <f>IF(AND($C168&gt;0,T168="")," * No olvide digitar la variable Niños, Niñas, Adolescentes y Jóvenes SENAME. Digite cero si no tiene.",IF(T168&gt;$C168," * La variable Niños, Niñas, Adolescentes y Jóvenes SENAME no puede ser mayor al Total Ambos Sexos.",""))</f>
        <v/>
      </c>
      <c r="CD168" s="3024" t="str">
        <f>IF(AND($C168&gt;0,U168="")," * No olvide digitar la variable Pueblos Originarios. Digite cero si no tiene.",IF(U168&gt;$C168," * La variable Pueblos Originarios no puede ser mayor al Total Ambos Sexos.",""))</f>
        <v/>
      </c>
      <c r="CE168" s="3024" t="str">
        <f>IF(AND($C168&gt;0,V168="")," * No olvide digitar la variable Migrantes. Digite cero si no tiene.",IF(V168&gt;$C168," * La variable Migrantes no puede ser mayor al Total Ambos Sexos.",""))</f>
        <v/>
      </c>
      <c r="CF168" s="3024" t="str">
        <f>IF(AND($E168&gt;0,OR(W168=""))," * No olvide digitar la variable Trans (Masculino). Digite cero si no tiene.",IF((W168)&gt;$E168," * La variable Trans (Masculino) no puede ser mayor al Total Mujeres.",""))</f>
        <v/>
      </c>
      <c r="CG168" s="3024" t="str">
        <f>IF(AND($D168&gt;0,OR(X168=""))," * No olvide digitar la variable Trans (Femenino). Digite cero si no tiene.",IF((X168)&gt;$D168," * La variable Trans (Femenino) no puede ser mayor al Total Hombres.",""))</f>
        <v/>
      </c>
      <c r="CK168" s="1901">
        <f>IF(AND(C168&gt;0,R168=""),1,IF(R168&gt;C168,1,0))</f>
        <v>0</v>
      </c>
      <c r="CL168" s="1901">
        <f>IF(AND(C168&gt;0,S168=""),1,IF(S168&gt;C168,1,0))</f>
        <v>0</v>
      </c>
      <c r="CM168" s="1901">
        <f>IF(AND(C168&gt;0,T168=""),1,IF(T168&gt;C168,1,0))</f>
        <v>0</v>
      </c>
      <c r="CN168" s="1901">
        <f>IF(AND(C168&gt;0,U168=""),1,IF(U168&gt;C168,1,0))</f>
        <v>0</v>
      </c>
      <c r="CO168" s="1901">
        <f>IF(AND(C168&gt;0,V168=""),1,IF(V168&gt;C168,1,0))</f>
        <v>0</v>
      </c>
      <c r="CP168" s="1901">
        <f>IF(AND(E168&gt;0,OR(W168="")),1,IF((W168)&gt;E168,1,0))</f>
        <v>0</v>
      </c>
      <c r="CQ168" s="1901">
        <f>IF(AND(D168&gt;0,OR(X168="")),1,IF((X168)&gt;D168,1,0))</f>
        <v>0</v>
      </c>
    </row>
    <row r="169" spans="1:95" ht="18" customHeight="1" x14ac:dyDescent="0.3">
      <c r="A169" s="3" t="s">
        <v>1182</v>
      </c>
      <c r="B169" s="3124"/>
      <c r="C169" s="3124"/>
      <c r="D169" s="3124"/>
    </row>
    <row r="170" spans="1:95" x14ac:dyDescent="0.3">
      <c r="A170" s="6190" t="s">
        <v>1093</v>
      </c>
      <c r="B170" s="6190" t="s">
        <v>1094</v>
      </c>
      <c r="C170" s="6485" t="s">
        <v>1183</v>
      </c>
      <c r="D170" s="6265" t="s">
        <v>1184</v>
      </c>
    </row>
    <row r="171" spans="1:95" ht="18.75" customHeight="1" x14ac:dyDescent="0.3">
      <c r="A171" s="6471"/>
      <c r="B171" s="6471"/>
      <c r="C171" s="6486"/>
      <c r="D171" s="5799"/>
    </row>
    <row r="172" spans="1:95" x14ac:dyDescent="0.3">
      <c r="A172" s="3079" t="s">
        <v>1097</v>
      </c>
      <c r="B172" s="869"/>
      <c r="C172" s="870"/>
      <c r="D172" s="871"/>
    </row>
    <row r="173" spans="1:95" x14ac:dyDescent="0.3">
      <c r="A173" s="2960" t="s">
        <v>1185</v>
      </c>
      <c r="B173" s="872"/>
      <c r="C173" s="329"/>
      <c r="D173" s="330"/>
    </row>
    <row r="174" spans="1:95" x14ac:dyDescent="0.3">
      <c r="A174" s="2318" t="s">
        <v>1186</v>
      </c>
      <c r="B174" s="875"/>
      <c r="C174" s="876"/>
      <c r="D174" s="877"/>
    </row>
    <row r="175" spans="1:95" ht="18" customHeight="1" x14ac:dyDescent="0.3">
      <c r="A175" s="3" t="s">
        <v>1187</v>
      </c>
    </row>
    <row r="176" spans="1:95" x14ac:dyDescent="0.3">
      <c r="A176" s="6176" t="s">
        <v>1188</v>
      </c>
      <c r="B176" s="5944" t="s">
        <v>1171</v>
      </c>
      <c r="C176" s="6242"/>
      <c r="D176" s="6243"/>
      <c r="E176" s="6436" t="s">
        <v>101</v>
      </c>
      <c r="F176" s="6247"/>
      <c r="G176" s="6247"/>
      <c r="H176" s="6247"/>
      <c r="I176" s="6247"/>
      <c r="J176" s="6247"/>
      <c r="K176" s="6247"/>
      <c r="L176" s="3125"/>
      <c r="M176" s="6249" t="s">
        <v>581</v>
      </c>
      <c r="N176" s="6243" t="s">
        <v>580</v>
      </c>
    </row>
    <row r="177" spans="1:14" x14ac:dyDescent="0.3">
      <c r="A177" s="6082"/>
      <c r="B177" s="6466"/>
      <c r="C177" s="6467"/>
      <c r="D177" s="6468"/>
      <c r="E177" s="6436" t="s">
        <v>1189</v>
      </c>
      <c r="F177" s="6183"/>
      <c r="G177" s="6436" t="s">
        <v>1190</v>
      </c>
      <c r="H177" s="6183"/>
      <c r="I177" s="6436" t="s">
        <v>1191</v>
      </c>
      <c r="J177" s="6183"/>
      <c r="K177" s="6436" t="s">
        <v>1179</v>
      </c>
      <c r="L177" s="6247"/>
      <c r="M177" s="5766"/>
      <c r="N177" s="5759"/>
    </row>
    <row r="178" spans="1:14" x14ac:dyDescent="0.3">
      <c r="A178" s="6465"/>
      <c r="B178" s="464" t="s">
        <v>79</v>
      </c>
      <c r="C178" s="1777" t="s">
        <v>58</v>
      </c>
      <c r="D178" s="90" t="s">
        <v>59</v>
      </c>
      <c r="E178" s="767" t="s">
        <v>58</v>
      </c>
      <c r="F178" s="465" t="s">
        <v>59</v>
      </c>
      <c r="G178" s="767" t="s">
        <v>58</v>
      </c>
      <c r="H178" s="465" t="s">
        <v>59</v>
      </c>
      <c r="I178" s="767" t="s">
        <v>58</v>
      </c>
      <c r="J178" s="465" t="s">
        <v>59</v>
      </c>
      <c r="K178" s="767" t="s">
        <v>58</v>
      </c>
      <c r="L178" s="604" t="s">
        <v>59</v>
      </c>
      <c r="M178" s="5767"/>
      <c r="N178" s="6468"/>
    </row>
    <row r="179" spans="1:14" x14ac:dyDescent="0.3">
      <c r="A179" s="3079" t="s">
        <v>1192</v>
      </c>
      <c r="B179" s="756">
        <f>SUM(C179:D179)</f>
        <v>0</v>
      </c>
      <c r="C179" s="769">
        <f>SUM(E179+G179+I179+K179)</f>
        <v>0</v>
      </c>
      <c r="D179" s="621">
        <f>SUM(F179+H179+J179+L179)</f>
        <v>0</v>
      </c>
      <c r="E179" s="770"/>
      <c r="F179" s="477"/>
      <c r="G179" s="770"/>
      <c r="H179" s="477"/>
      <c r="I179" s="770"/>
      <c r="J179" s="477"/>
      <c r="K179" s="770"/>
      <c r="L179" s="559"/>
      <c r="M179" s="3126"/>
      <c r="N179" s="871"/>
    </row>
    <row r="180" spans="1:14" x14ac:dyDescent="0.3">
      <c r="A180" s="1395" t="s">
        <v>1193</v>
      </c>
      <c r="B180" s="724">
        <f t="shared" ref="B180" si="79">SUM(C180:D180)</f>
        <v>0</v>
      </c>
      <c r="C180" s="774">
        <f>SUM(E180+G180+I180+K180)</f>
        <v>0</v>
      </c>
      <c r="D180" s="345">
        <f>SUM(F180+H180+J180+L180)</f>
        <v>0</v>
      </c>
      <c r="E180" s="346"/>
      <c r="F180" s="348"/>
      <c r="G180" s="346"/>
      <c r="H180" s="348"/>
      <c r="I180" s="346"/>
      <c r="J180" s="348"/>
      <c r="K180" s="346"/>
      <c r="L180" s="390"/>
      <c r="M180" s="2004"/>
      <c r="N180" s="330"/>
    </row>
    <row r="181" spans="1:14" x14ac:dyDescent="0.3">
      <c r="A181" s="1798" t="s">
        <v>77</v>
      </c>
      <c r="B181" s="778">
        <f>SUM(B179:B180)</f>
        <v>0</v>
      </c>
      <c r="C181" s="625">
        <f t="shared" ref="C181:N181" si="80">SUM(C179:C180)</f>
        <v>0</v>
      </c>
      <c r="D181" s="3127">
        <f t="shared" si="80"/>
        <v>0</v>
      </c>
      <c r="E181" s="778">
        <f>SUM(E179:E180)</f>
        <v>0</v>
      </c>
      <c r="F181" s="3127">
        <f t="shared" si="80"/>
        <v>0</v>
      </c>
      <c r="G181" s="778">
        <f t="shared" si="80"/>
        <v>0</v>
      </c>
      <c r="H181" s="3127">
        <f t="shared" si="80"/>
        <v>0</v>
      </c>
      <c r="I181" s="778">
        <f t="shared" si="80"/>
        <v>0</v>
      </c>
      <c r="J181" s="3127">
        <f t="shared" si="80"/>
        <v>0</v>
      </c>
      <c r="K181" s="778">
        <f t="shared" si="80"/>
        <v>0</v>
      </c>
      <c r="L181" s="3127">
        <f t="shared" si="80"/>
        <v>0</v>
      </c>
      <c r="M181" s="628">
        <f t="shared" si="80"/>
        <v>0</v>
      </c>
      <c r="N181" s="626">
        <f t="shared" si="80"/>
        <v>0</v>
      </c>
    </row>
    <row r="205" spans="1:2" ht="48.75" hidden="1" customHeight="1" x14ac:dyDescent="0.3">
      <c r="A205" s="3114">
        <f>SUM(C12:C21,C23:C26,B30:B32,E30:E32,B36:B38,E36:E38,C41:C44,C49:C50,C55:C76,B80:I83,B86:D93,B97:F101,B106:F108,B114:B116,B120:E120,B124:B126,B130,C135:C138,B143:B150,B154:C155,C160:C168,B172:D174,B179:B181)</f>
        <v>0</v>
      </c>
      <c r="B205" s="3115">
        <f>SUM(CK12:CS168)</f>
        <v>0</v>
      </c>
    </row>
  </sheetData>
  <sheetProtection algorithmName="SHA-512" hashValue="GZhFsKfPelsf2AqE0+TI6T4rMdXECMnrCZl+Ij9EZI7Atn6ugLnfKg2VVVzII6F4fMrZT9UcHUXjumEA1B70Rw==" saltValue="+316mXR2LrLO1pRMpVhJhw==" spinCount="100000" sheet="1" objects="1" scenarios="1"/>
  <mergeCells count="228">
    <mergeCell ref="AV9:AV11"/>
    <mergeCell ref="A104:A105"/>
    <mergeCell ref="B104:B105"/>
    <mergeCell ref="C104:C105"/>
    <mergeCell ref="D104:D105"/>
    <mergeCell ref="E104:E105"/>
    <mergeCell ref="F104:F105"/>
    <mergeCell ref="A176:A178"/>
    <mergeCell ref="B176:D177"/>
    <mergeCell ref="E176:K176"/>
    <mergeCell ref="M176:M178"/>
    <mergeCell ref="N176:N178"/>
    <mergeCell ref="E177:F177"/>
    <mergeCell ref="G177:H177"/>
    <mergeCell ref="I177:J177"/>
    <mergeCell ref="K177:L177"/>
    <mergeCell ref="X158:X159"/>
    <mergeCell ref="O157:O159"/>
    <mergeCell ref="P157:P159"/>
    <mergeCell ref="Q157:Q159"/>
    <mergeCell ref="R157:R159"/>
    <mergeCell ref="S157:S159"/>
    <mergeCell ref="T157:T159"/>
    <mergeCell ref="D170:D171"/>
    <mergeCell ref="A160:A162"/>
    <mergeCell ref="A164:A166"/>
    <mergeCell ref="A168:B168"/>
    <mergeCell ref="A170:A171"/>
    <mergeCell ref="B170:B171"/>
    <mergeCell ref="C170:C171"/>
    <mergeCell ref="U157:U159"/>
    <mergeCell ref="V157:V159"/>
    <mergeCell ref="AP132:AP134"/>
    <mergeCell ref="H133:I133"/>
    <mergeCell ref="J133:K133"/>
    <mergeCell ref="L133:M133"/>
    <mergeCell ref="N133:O133"/>
    <mergeCell ref="P133:Q133"/>
    <mergeCell ref="R133:S133"/>
    <mergeCell ref="A132:A134"/>
    <mergeCell ref="B132:B134"/>
    <mergeCell ref="C132:E133"/>
    <mergeCell ref="F132:AM132"/>
    <mergeCell ref="T133:U133"/>
    <mergeCell ref="V133:W133"/>
    <mergeCell ref="X133:Y133"/>
    <mergeCell ref="Z133:AA133"/>
    <mergeCell ref="AB133:AC133"/>
    <mergeCell ref="AQ132:AQ134"/>
    <mergeCell ref="AR132:AR134"/>
    <mergeCell ref="AN132:AN134"/>
    <mergeCell ref="AO132:AO134"/>
    <mergeCell ref="A156:E156"/>
    <mergeCell ref="A157:A159"/>
    <mergeCell ref="B157:B159"/>
    <mergeCell ref="C157:E158"/>
    <mergeCell ref="F157:M157"/>
    <mergeCell ref="N157:N159"/>
    <mergeCell ref="A135:A138"/>
    <mergeCell ref="A140:A142"/>
    <mergeCell ref="B140:F140"/>
    <mergeCell ref="G140:G142"/>
    <mergeCell ref="H140:I141"/>
    <mergeCell ref="B141:B142"/>
    <mergeCell ref="C141:F141"/>
    <mergeCell ref="W157:X157"/>
    <mergeCell ref="F158:G158"/>
    <mergeCell ref="H158:I158"/>
    <mergeCell ref="J158:K158"/>
    <mergeCell ref="L158:M158"/>
    <mergeCell ref="W158:W159"/>
    <mergeCell ref="F133:G133"/>
    <mergeCell ref="AD133:AE133"/>
    <mergeCell ref="AF133:AG133"/>
    <mergeCell ref="AH133:AI133"/>
    <mergeCell ref="AJ133:AK133"/>
    <mergeCell ref="AL133:AM133"/>
    <mergeCell ref="G122:H122"/>
    <mergeCell ref="I122:J122"/>
    <mergeCell ref="A128:A129"/>
    <mergeCell ref="B128:B129"/>
    <mergeCell ref="C128:D128"/>
    <mergeCell ref="E128:F128"/>
    <mergeCell ref="G128:I128"/>
    <mergeCell ref="A118:A119"/>
    <mergeCell ref="B118:D118"/>
    <mergeCell ref="E118:E119"/>
    <mergeCell ref="A122:A123"/>
    <mergeCell ref="B122:D122"/>
    <mergeCell ref="E122:F122"/>
    <mergeCell ref="O111:O113"/>
    <mergeCell ref="P111:P113"/>
    <mergeCell ref="E112:F112"/>
    <mergeCell ref="G112:H112"/>
    <mergeCell ref="I112:J112"/>
    <mergeCell ref="K112:L112"/>
    <mergeCell ref="M112:N112"/>
    <mergeCell ref="A95:A96"/>
    <mergeCell ref="B95:B96"/>
    <mergeCell ref="C95:C96"/>
    <mergeCell ref="D95:D96"/>
    <mergeCell ref="E95:F95"/>
    <mergeCell ref="A111:A113"/>
    <mergeCell ref="B111:D112"/>
    <mergeCell ref="E111:M111"/>
    <mergeCell ref="A78:A79"/>
    <mergeCell ref="B78:C78"/>
    <mergeCell ref="D78:E78"/>
    <mergeCell ref="F78:G78"/>
    <mergeCell ref="H78:I78"/>
    <mergeCell ref="A55:A60"/>
    <mergeCell ref="A61:A62"/>
    <mergeCell ref="A63:A66"/>
    <mergeCell ref="A67:A68"/>
    <mergeCell ref="A69:A70"/>
    <mergeCell ref="A71:A76"/>
    <mergeCell ref="AL52:AL54"/>
    <mergeCell ref="AM52:AM54"/>
    <mergeCell ref="F53:G53"/>
    <mergeCell ref="H53:I53"/>
    <mergeCell ref="J53:K53"/>
    <mergeCell ref="L53:M53"/>
    <mergeCell ref="N53:O53"/>
    <mergeCell ref="P53:Q53"/>
    <mergeCell ref="R53:S53"/>
    <mergeCell ref="T53:U53"/>
    <mergeCell ref="A51:M51"/>
    <mergeCell ref="A52:B54"/>
    <mergeCell ref="C52:E53"/>
    <mergeCell ref="F52:AK52"/>
    <mergeCell ref="V53:W53"/>
    <mergeCell ref="X53:Y53"/>
    <mergeCell ref="R47:S47"/>
    <mergeCell ref="T47:U47"/>
    <mergeCell ref="V47:W47"/>
    <mergeCell ref="X47:Y47"/>
    <mergeCell ref="Z47:AA47"/>
    <mergeCell ref="AB47:AC47"/>
    <mergeCell ref="Z53:AA53"/>
    <mergeCell ref="AB53:AC53"/>
    <mergeCell ref="AD53:AE53"/>
    <mergeCell ref="AF53:AG53"/>
    <mergeCell ref="AH53:AI53"/>
    <mergeCell ref="AJ53:AK53"/>
    <mergeCell ref="F46:AK46"/>
    <mergeCell ref="AL46:AL48"/>
    <mergeCell ref="AM46:AM48"/>
    <mergeCell ref="AN46:AN48"/>
    <mergeCell ref="F47:G47"/>
    <mergeCell ref="H47:I47"/>
    <mergeCell ref="J47:K47"/>
    <mergeCell ref="L47:M47"/>
    <mergeCell ref="N47:O47"/>
    <mergeCell ref="P47:Q47"/>
    <mergeCell ref="AD47:AE47"/>
    <mergeCell ref="AF47:AG47"/>
    <mergeCell ref="AH47:AI47"/>
    <mergeCell ref="AJ47:AK47"/>
    <mergeCell ref="A41:A42"/>
    <mergeCell ref="A43:A44"/>
    <mergeCell ref="A46:B48"/>
    <mergeCell ref="C46:E47"/>
    <mergeCell ref="AS28:AS29"/>
    <mergeCell ref="AT28:AT29"/>
    <mergeCell ref="AU28:AU29"/>
    <mergeCell ref="A34:A35"/>
    <mergeCell ref="B34:B35"/>
    <mergeCell ref="C34:D34"/>
    <mergeCell ref="E34:G34"/>
    <mergeCell ref="H34:M34"/>
    <mergeCell ref="AJ28:AK28"/>
    <mergeCell ref="AL28:AM28"/>
    <mergeCell ref="AN28:AO28"/>
    <mergeCell ref="AP28:AP29"/>
    <mergeCell ref="AQ28:AQ29"/>
    <mergeCell ref="AR28:AR29"/>
    <mergeCell ref="X28:Y28"/>
    <mergeCell ref="Z28:AA28"/>
    <mergeCell ref="AB28:AC28"/>
    <mergeCell ref="AD28:AE28"/>
    <mergeCell ref="AF28:AG28"/>
    <mergeCell ref="AH28:AI28"/>
    <mergeCell ref="L28:M28"/>
    <mergeCell ref="N28:O28"/>
    <mergeCell ref="P28:Q28"/>
    <mergeCell ref="R28:S28"/>
    <mergeCell ref="T28:U28"/>
    <mergeCell ref="V28:W28"/>
    <mergeCell ref="A28:A29"/>
    <mergeCell ref="B28:B29"/>
    <mergeCell ref="C28:D28"/>
    <mergeCell ref="E28:G28"/>
    <mergeCell ref="H28:I28"/>
    <mergeCell ref="J28:K28"/>
    <mergeCell ref="AT10:AT11"/>
    <mergeCell ref="AU10:AU11"/>
    <mergeCell ref="A12:A22"/>
    <mergeCell ref="A23:B23"/>
    <mergeCell ref="A25:A26"/>
    <mergeCell ref="Z10:AA10"/>
    <mergeCell ref="AB10:AC10"/>
    <mergeCell ref="AD10:AE10"/>
    <mergeCell ref="AF10:AG10"/>
    <mergeCell ref="AH10:AI10"/>
    <mergeCell ref="AJ10:AK10"/>
    <mergeCell ref="N10:O10"/>
    <mergeCell ref="P10:Q10"/>
    <mergeCell ref="R10:S10"/>
    <mergeCell ref="T10:U10"/>
    <mergeCell ref="V10:W10"/>
    <mergeCell ref="X10:Y10"/>
    <mergeCell ref="AO9:AO11"/>
    <mergeCell ref="AP9:AP11"/>
    <mergeCell ref="AQ9:AQ11"/>
    <mergeCell ref="AR9:AR11"/>
    <mergeCell ref="AS9:AS11"/>
    <mergeCell ref="AT9:AU9"/>
    <mergeCell ref="A6:W6"/>
    <mergeCell ref="A9:A11"/>
    <mergeCell ref="B9:B11"/>
    <mergeCell ref="C9:E10"/>
    <mergeCell ref="F9:AM9"/>
    <mergeCell ref="AN9:AN11"/>
    <mergeCell ref="F10:G10"/>
    <mergeCell ref="H10:I10"/>
    <mergeCell ref="J10:K10"/>
    <mergeCell ref="L10:M10"/>
    <mergeCell ref="AL10:AM10"/>
  </mergeCells>
  <dataValidations count="4">
    <dataValidation type="whole" allowBlank="1" showInputMessage="1" showErrorMessage="1" sqref="F156:AS156 S157" xr:uid="{00000000-0002-0000-0600-000000000000}">
      <formula1>0</formula1>
      <formula2>1E+30</formula2>
    </dataValidation>
    <dataValidation type="whole" operator="greaterThanOrEqual" allowBlank="1" showInputMessage="1" showErrorMessage="1" sqref="B172:D174 B97:F101 B86:D93 B106:F108 E114:P116 B120:E120 E124:J126 C130:I130 F135:AR137 C143:I150 C41:C44 F49:AN50 B154:C155 F168:X168 F12:AV26 C30:AU31 C36:M37 F160:X162 F164:X166 E179:N180" xr:uid="{00000000-0002-0000-0600-000001000000}">
      <formula1>0</formula1>
    </dataValidation>
    <dataValidation type="whole" allowBlank="1" showInputMessage="1" showErrorMessage="1" sqref="F55:AM76" xr:uid="{E0D04C33-075F-4D34-82AE-F6E8F229CF5E}">
      <formula1>0</formula1>
      <formula2>9.99999999999999E+36</formula2>
    </dataValidation>
    <dataValidation type="whole" allowBlank="1" showInputMessage="1" showErrorMessage="1" sqref="B80:I83" xr:uid="{EEEC938B-B6F6-4FF2-9CB5-B8BF0112B396}">
      <formula1>0</formula1>
      <formula2>9.99999999999999E+38</formula2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CU239"/>
  <sheetViews>
    <sheetView showGridLines="0" zoomScaleNormal="100" workbookViewId="0"/>
  </sheetViews>
  <sheetFormatPr baseColWidth="10" defaultColWidth="11.44140625" defaultRowHeight="14.4" x14ac:dyDescent="0.3"/>
  <cols>
    <col min="1" max="1" width="55.44140625" customWidth="1"/>
    <col min="2" max="2" width="31.5546875" customWidth="1"/>
    <col min="3" max="46" width="15.6640625" customWidth="1"/>
    <col min="47" max="55" width="14.44140625" customWidth="1"/>
    <col min="56" max="56" width="11.44140625" customWidth="1"/>
    <col min="79" max="79" width="14" customWidth="1"/>
    <col min="80" max="80" width="11.44140625" style="19" hidden="1" customWidth="1"/>
    <col min="81" max="84" width="13.44140625" style="19" hidden="1" customWidth="1"/>
    <col min="85" max="96" width="11.44140625" style="19" hidden="1" customWidth="1"/>
    <col min="97" max="97" width="9" style="19" hidden="1" customWidth="1"/>
    <col min="98" max="98" width="11.44140625" style="19" hidden="1" customWidth="1"/>
    <col min="99" max="99" width="11.44140625" hidden="1" customWidth="1"/>
    <col min="100" max="141" width="11.44140625" customWidth="1"/>
  </cols>
  <sheetData>
    <row r="1" spans="1:98" x14ac:dyDescent="0.3">
      <c r="A1" s="50" t="s">
        <v>23</v>
      </c>
    </row>
    <row r="2" spans="1:98" x14ac:dyDescent="0.3">
      <c r="A2" s="50" t="str">
        <f>CONCATENATE("COMUNA: ",NOMBRE!B2, " (",NOMBRE!C2,NOMBRE!D2,NOMBRE!E2,NOMBRE!F2,NOMBRE!G2,")")</f>
        <v>COMUNA:  ()</v>
      </c>
    </row>
    <row r="3" spans="1:98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98" x14ac:dyDescent="0.3">
      <c r="A4" s="50" t="str">
        <f>CONCATENATE("MES: ",NOMBRE!B6, " (",NOMBRE!C6,NOMBRE!D6,")")</f>
        <v>MES:  ()</v>
      </c>
    </row>
    <row r="5" spans="1:98" x14ac:dyDescent="0.3">
      <c r="A5" s="50" t="str">
        <f>CONCATENATE("AÑO: ",NOMBRE!B7)</f>
        <v>AÑO: 2025</v>
      </c>
    </row>
    <row r="6" spans="1:98" s="9" customFormat="1" ht="18" customHeight="1" x14ac:dyDescent="0.3">
      <c r="A6" s="6539" t="s">
        <v>1194</v>
      </c>
      <c r="B6" s="6539"/>
      <c r="C6" s="6539"/>
      <c r="D6" s="6539"/>
      <c r="E6" s="6539"/>
      <c r="F6" s="6539"/>
      <c r="G6" s="6539"/>
      <c r="H6" s="6539"/>
      <c r="I6" s="6539"/>
      <c r="J6" s="6539"/>
      <c r="K6" s="6539"/>
      <c r="L6" s="6539"/>
      <c r="M6" s="6539"/>
      <c r="N6" s="6539"/>
      <c r="O6" s="6539"/>
      <c r="P6" s="6539"/>
      <c r="Q6" s="6539"/>
      <c r="R6" s="6539"/>
      <c r="S6" s="6539"/>
      <c r="T6" s="6539"/>
      <c r="U6" s="6539"/>
      <c r="V6" s="6539"/>
      <c r="W6" s="6539"/>
      <c r="X6" s="6539"/>
      <c r="Y6" s="6539"/>
      <c r="Z6" s="6539"/>
      <c r="AA6" s="6539"/>
      <c r="AB6" s="6539"/>
      <c r="AC6" s="6539"/>
      <c r="AD6" s="6539"/>
      <c r="AE6" s="7"/>
      <c r="AF6" s="7"/>
      <c r="AG6" s="7"/>
      <c r="AH6" s="2429"/>
      <c r="AI6" s="7"/>
      <c r="AJ6" s="7"/>
      <c r="AK6" s="2429"/>
      <c r="AL6" s="7"/>
      <c r="AM6" s="7"/>
      <c r="AN6" s="3128"/>
      <c r="AP6"/>
      <c r="AQ6"/>
      <c r="AR6"/>
      <c r="CA6" s="88"/>
      <c r="CB6" s="24"/>
      <c r="CC6" s="24"/>
      <c r="CD6" s="24"/>
      <c r="CE6" s="24"/>
      <c r="CF6" s="24"/>
      <c r="CG6" s="24"/>
      <c r="CH6" s="7"/>
      <c r="CI6" s="7"/>
      <c r="CJ6" s="7"/>
      <c r="CK6" s="24"/>
      <c r="CL6" s="24"/>
      <c r="CM6" s="24"/>
      <c r="CN6" s="7"/>
      <c r="CO6" s="7"/>
      <c r="CP6" s="7"/>
      <c r="CQ6" s="7"/>
      <c r="CR6" s="7"/>
      <c r="CS6" s="7"/>
      <c r="CT6" s="7"/>
    </row>
    <row r="8" spans="1:98" s="6" customFormat="1" ht="18" customHeight="1" x14ac:dyDescent="0.25">
      <c r="A8" s="3" t="s">
        <v>1195</v>
      </c>
      <c r="B8" s="1"/>
      <c r="C8" s="3129"/>
      <c r="D8" s="3129"/>
      <c r="E8" s="3129"/>
      <c r="F8" s="3129"/>
      <c r="G8" s="3129"/>
      <c r="H8" s="3129"/>
      <c r="I8" s="3129"/>
      <c r="J8" s="3129"/>
      <c r="K8" s="3129"/>
      <c r="L8" s="3129"/>
      <c r="M8" s="3129"/>
      <c r="N8" s="3129"/>
      <c r="O8" s="3129"/>
      <c r="P8" s="3129"/>
      <c r="Q8" s="3129"/>
      <c r="R8" s="3129"/>
      <c r="S8" s="3129"/>
      <c r="T8" s="3129"/>
      <c r="U8" s="3129"/>
      <c r="V8" s="3129"/>
      <c r="W8" s="3129"/>
      <c r="X8" s="3129"/>
      <c r="Y8" s="3129"/>
      <c r="Z8" s="3129"/>
      <c r="AA8" s="3129"/>
      <c r="AB8" s="3129"/>
      <c r="AC8" s="3129"/>
      <c r="AD8" s="3130"/>
      <c r="AE8" s="8"/>
      <c r="AF8" s="8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</row>
    <row r="9" spans="1:98" ht="15" customHeight="1" x14ac:dyDescent="0.3">
      <c r="A9" s="5944" t="s">
        <v>1196</v>
      </c>
      <c r="B9" s="6545" t="s">
        <v>1197</v>
      </c>
      <c r="C9" s="6542"/>
      <c r="D9" s="6542"/>
      <c r="E9" s="6542"/>
      <c r="F9" s="6542"/>
      <c r="G9" s="6542"/>
      <c r="H9" s="6542"/>
      <c r="I9" s="6542"/>
      <c r="J9" s="6542"/>
      <c r="K9" s="6542"/>
      <c r="L9" s="6542"/>
      <c r="M9" s="6542"/>
      <c r="N9" s="6542"/>
      <c r="O9" s="6542"/>
      <c r="P9" s="6542"/>
      <c r="Q9" s="6542"/>
      <c r="R9" s="6542"/>
      <c r="S9" s="6542"/>
      <c r="T9" s="6542"/>
      <c r="U9" s="6542"/>
      <c r="V9" s="6542"/>
      <c r="W9" s="6543"/>
      <c r="X9" s="6549" t="s">
        <v>1198</v>
      </c>
      <c r="Y9" s="6547"/>
      <c r="Z9" s="6547"/>
      <c r="AA9" s="6547"/>
      <c r="AB9" s="6547"/>
      <c r="AC9" s="6547"/>
      <c r="AD9" s="6547"/>
      <c r="AE9" s="6548"/>
      <c r="AF9" s="6555" t="s">
        <v>1199</v>
      </c>
      <c r="AG9" s="6552"/>
    </row>
    <row r="10" spans="1:98" ht="15" customHeight="1" x14ac:dyDescent="0.3">
      <c r="A10" s="5776"/>
      <c r="B10" s="5755" t="s">
        <v>452</v>
      </c>
      <c r="C10" s="6546" t="s">
        <v>29</v>
      </c>
      <c r="D10" s="6547"/>
      <c r="E10" s="6547"/>
      <c r="F10" s="6547"/>
      <c r="G10" s="6547"/>
      <c r="H10" s="6547"/>
      <c r="I10" s="6547"/>
      <c r="J10" s="6547"/>
      <c r="K10" s="6547"/>
      <c r="L10" s="6547"/>
      <c r="M10" s="6547"/>
      <c r="N10" s="6547"/>
      <c r="O10" s="6547"/>
      <c r="P10" s="6547"/>
      <c r="Q10" s="6547"/>
      <c r="R10" s="6547"/>
      <c r="S10" s="6547"/>
      <c r="T10" s="6548"/>
      <c r="U10" s="6544" t="s">
        <v>597</v>
      </c>
      <c r="V10" s="6545" t="s">
        <v>1200</v>
      </c>
      <c r="W10" s="6543"/>
      <c r="X10" s="6541" t="s">
        <v>1201</v>
      </c>
      <c r="Y10" s="6542"/>
      <c r="Z10" s="6542"/>
      <c r="AA10" s="6543"/>
      <c r="AB10" s="6542" t="s">
        <v>1202</v>
      </c>
      <c r="AC10" s="6542"/>
      <c r="AD10" s="6542"/>
      <c r="AE10" s="6543"/>
      <c r="AF10" s="6556"/>
      <c r="AG10" s="6557"/>
    </row>
    <row r="11" spans="1:98" ht="32.25" customHeight="1" x14ac:dyDescent="0.3">
      <c r="A11" s="6466"/>
      <c r="B11" s="6540"/>
      <c r="C11" s="1837" t="s">
        <v>343</v>
      </c>
      <c r="D11" s="1839" t="s">
        <v>326</v>
      </c>
      <c r="E11" s="1664" t="s">
        <v>94</v>
      </c>
      <c r="F11" s="1664" t="s">
        <v>1203</v>
      </c>
      <c r="G11" s="1664" t="s">
        <v>1204</v>
      </c>
      <c r="H11" s="1664" t="s">
        <v>45</v>
      </c>
      <c r="I11" s="3135" t="s">
        <v>46</v>
      </c>
      <c r="J11" s="3135" t="s">
        <v>47</v>
      </c>
      <c r="K11" s="3135" t="s">
        <v>48</v>
      </c>
      <c r="L11" s="3135" t="s">
        <v>49</v>
      </c>
      <c r="M11" s="3135" t="s">
        <v>50</v>
      </c>
      <c r="N11" s="3135" t="s">
        <v>51</v>
      </c>
      <c r="O11" s="3135" t="s">
        <v>52</v>
      </c>
      <c r="P11" s="3135" t="s">
        <v>53</v>
      </c>
      <c r="Q11" s="3135" t="s">
        <v>54</v>
      </c>
      <c r="R11" s="3135" t="s">
        <v>55</v>
      </c>
      <c r="S11" s="3135" t="s">
        <v>56</v>
      </c>
      <c r="T11" s="3136" t="s">
        <v>57</v>
      </c>
      <c r="U11" s="6239"/>
      <c r="V11" s="1824" t="s">
        <v>58</v>
      </c>
      <c r="W11" s="3136" t="s">
        <v>59</v>
      </c>
      <c r="X11" s="3133" t="s">
        <v>919</v>
      </c>
      <c r="Y11" s="3137" t="s">
        <v>1007</v>
      </c>
      <c r="Z11" s="1664" t="s">
        <v>1205</v>
      </c>
      <c r="AA11" s="3136" t="s">
        <v>1206</v>
      </c>
      <c r="AB11" s="3138" t="s">
        <v>919</v>
      </c>
      <c r="AC11" s="3137" t="s">
        <v>1007</v>
      </c>
      <c r="AD11" s="1664" t="s">
        <v>1205</v>
      </c>
      <c r="AE11" s="3136" t="s">
        <v>554</v>
      </c>
      <c r="AF11" s="1839" t="s">
        <v>1207</v>
      </c>
      <c r="AG11" s="469" t="s">
        <v>1202</v>
      </c>
    </row>
    <row r="12" spans="1:98" x14ac:dyDescent="0.3">
      <c r="A12" s="250" t="s">
        <v>1208</v>
      </c>
      <c r="B12" s="295">
        <f>SUM(C12:T12)</f>
        <v>0</v>
      </c>
      <c r="C12" s="1760"/>
      <c r="D12" s="773"/>
      <c r="E12" s="773"/>
      <c r="F12" s="773"/>
      <c r="G12" s="773"/>
      <c r="H12" s="3139"/>
      <c r="I12" s="3139"/>
      <c r="J12" s="3139"/>
      <c r="K12" s="3139"/>
      <c r="L12" s="3139"/>
      <c r="M12" s="3139"/>
      <c r="N12" s="3139"/>
      <c r="O12" s="3139"/>
      <c r="P12" s="3139"/>
      <c r="Q12" s="3139"/>
      <c r="R12" s="3139"/>
      <c r="S12" s="3139"/>
      <c r="T12" s="3140"/>
      <c r="U12" s="3085"/>
      <c r="V12" s="290"/>
      <c r="W12" s="431"/>
      <c r="X12" s="3141">
        <f>SUM(Y12+Z12+AA12)</f>
        <v>0</v>
      </c>
      <c r="Y12" s="290"/>
      <c r="Z12" s="535"/>
      <c r="AA12" s="431"/>
      <c r="AB12" s="3142">
        <f>SUM(AC12+AD12+AE12)</f>
        <v>0</v>
      </c>
      <c r="AC12" s="290"/>
      <c r="AD12" s="535"/>
      <c r="AE12" s="431"/>
      <c r="AF12" s="1338"/>
      <c r="AG12" s="350"/>
      <c r="AH12" t="str">
        <f>CB12&amp;CC12&amp;CD12</f>
        <v/>
      </c>
      <c r="CB12" s="135" t="str">
        <f>IF(V12+W12&lt;&gt;B12," * La suma por Sexo (Hombres + Mujeres) NO DEBEN ser diferente al Total","")</f>
        <v/>
      </c>
      <c r="CC12" s="135" t="str">
        <f>IF(AND(B12&gt;0,U12="")," * No olvide digitar la variable Beneficiarios. Digite CERO si no tiene",IF(U12&gt;B12," * La variable Beneficiarios No puede ser mayor al Total.",""))</f>
        <v/>
      </c>
      <c r="CD12" s="135" t="str">
        <f t="shared" ref="CD12:CD42" si="0">IF((X12+AB12)&gt;B12," * La suma del Total de Consultas Nuevas según Origen NO DEBE ser MAYOR que el total de Consultas y Controles médicos.","")</f>
        <v/>
      </c>
      <c r="CM12" s="84">
        <f t="shared" ref="CM12:CM42" si="1">IF(V12+W12&lt;&gt;B12,1,0)</f>
        <v>0</v>
      </c>
      <c r="CN12" s="84">
        <f t="shared" ref="CN12:CN42" si="2">IF(AND(B12&gt;0,U12=""),1,IF(U12&gt;B12,1,0))</f>
        <v>0</v>
      </c>
      <c r="CO12" s="84">
        <f t="shared" ref="CO12:CO42" si="3">IF((X12+AB12)&gt;B12,1,0)</f>
        <v>0</v>
      </c>
    </row>
    <row r="13" spans="1:98" x14ac:dyDescent="0.3">
      <c r="A13" s="344" t="s">
        <v>1209</v>
      </c>
      <c r="B13" s="295">
        <f>SUM(C13:T13)</f>
        <v>0</v>
      </c>
      <c r="C13" s="1114"/>
      <c r="D13" s="1278"/>
      <c r="E13" s="1278"/>
      <c r="F13" s="1278"/>
      <c r="G13" s="1278"/>
      <c r="H13" s="1278"/>
      <c r="I13" s="1278"/>
      <c r="J13" s="1278"/>
      <c r="K13" s="1278"/>
      <c r="L13" s="1278"/>
      <c r="M13" s="1278"/>
      <c r="N13" s="1278"/>
      <c r="O13" s="1278"/>
      <c r="P13" s="1278"/>
      <c r="Q13" s="1278"/>
      <c r="R13" s="1278"/>
      <c r="S13" s="1278"/>
      <c r="T13" s="1120"/>
      <c r="U13" s="1115"/>
      <c r="V13" s="1114"/>
      <c r="W13" s="1120"/>
      <c r="X13" s="3143">
        <f t="shared" ref="X13:X36" si="4">SUM(Y13+Z13+AA13)</f>
        <v>0</v>
      </c>
      <c r="Y13" s="1114"/>
      <c r="Z13" s="1278"/>
      <c r="AA13" s="1120"/>
      <c r="AB13" s="3144">
        <f t="shared" ref="AB13:AB37" si="5">SUM(AC13+AD13+AE13)</f>
        <v>0</v>
      </c>
      <c r="AC13" s="1114"/>
      <c r="AD13" s="3145"/>
      <c r="AE13" s="1120"/>
      <c r="AF13" s="1338"/>
      <c r="AG13" s="350"/>
      <c r="AH13" t="str">
        <f t="shared" ref="AH13:AH42" si="6">CB13&amp;CC13&amp;CD13</f>
        <v/>
      </c>
      <c r="CB13" s="135" t="str">
        <f t="shared" ref="CB13:CB42" si="7">IF(V13+W13&lt;&gt;B13," * La suma por Sexo (Hombres + Mujeres) NO DEBEN ser diferente al Total","")</f>
        <v/>
      </c>
      <c r="CC13" s="135" t="str">
        <f t="shared" ref="CC13:CC42" si="8">IF(AND(B13&gt;0,U13="")," * No olvide digitar la variable Beneficiarios. Digite CERO si no tiene",IF(U13&gt;B13," * La variable Beneficiarios No puede ser mayor al Total.",""))</f>
        <v/>
      </c>
      <c r="CD13" s="135" t="str">
        <f t="shared" si="0"/>
        <v/>
      </c>
      <c r="CM13" s="84">
        <f t="shared" si="1"/>
        <v>0</v>
      </c>
      <c r="CN13" s="84">
        <f t="shared" si="2"/>
        <v>0</v>
      </c>
      <c r="CO13" s="84">
        <f t="shared" si="3"/>
        <v>0</v>
      </c>
    </row>
    <row r="14" spans="1:98" x14ac:dyDescent="0.3">
      <c r="A14" s="344" t="s">
        <v>1210</v>
      </c>
      <c r="B14" s="295">
        <f>SUM(C14:D14)</f>
        <v>0</v>
      </c>
      <c r="C14" s="1114"/>
      <c r="D14" s="1278"/>
      <c r="E14" s="3146"/>
      <c r="F14" s="3146"/>
      <c r="G14" s="3146"/>
      <c r="H14" s="3146"/>
      <c r="I14" s="3146"/>
      <c r="J14" s="3146"/>
      <c r="K14" s="3146"/>
      <c r="L14" s="3146"/>
      <c r="M14" s="3146"/>
      <c r="N14" s="3146"/>
      <c r="O14" s="3146"/>
      <c r="P14" s="3146"/>
      <c r="Q14" s="3146"/>
      <c r="R14" s="3146"/>
      <c r="S14" s="3146"/>
      <c r="T14" s="3147"/>
      <c r="U14" s="1115"/>
      <c r="V14" s="1114"/>
      <c r="W14" s="1120"/>
      <c r="X14" s="3143">
        <f t="shared" si="4"/>
        <v>0</v>
      </c>
      <c r="Y14" s="1114"/>
      <c r="Z14" s="1278"/>
      <c r="AA14" s="1120"/>
      <c r="AB14" s="3144">
        <f t="shared" si="5"/>
        <v>0</v>
      </c>
      <c r="AC14" s="1114"/>
      <c r="AD14" s="3145"/>
      <c r="AE14" s="1120"/>
      <c r="AF14" s="1338"/>
      <c r="AG14" s="350"/>
      <c r="AH14" t="str">
        <f t="shared" si="6"/>
        <v/>
      </c>
      <c r="CB14" s="135" t="str">
        <f t="shared" si="7"/>
        <v/>
      </c>
      <c r="CC14" s="135" t="str">
        <f t="shared" si="8"/>
        <v/>
      </c>
      <c r="CD14" s="135" t="str">
        <f t="shared" si="0"/>
        <v/>
      </c>
      <c r="CM14" s="84">
        <f t="shared" si="1"/>
        <v>0</v>
      </c>
      <c r="CN14" s="84">
        <f t="shared" si="2"/>
        <v>0</v>
      </c>
      <c r="CO14" s="84">
        <f t="shared" si="3"/>
        <v>0</v>
      </c>
    </row>
    <row r="15" spans="1:98" x14ac:dyDescent="0.3">
      <c r="A15" s="344" t="s">
        <v>1211</v>
      </c>
      <c r="B15" s="295">
        <f t="shared" ref="B15:B34" si="9">SUM(C15:T15)</f>
        <v>0</v>
      </c>
      <c r="C15" s="1114"/>
      <c r="D15" s="1278"/>
      <c r="E15" s="1278"/>
      <c r="F15" s="1278"/>
      <c r="G15" s="1278"/>
      <c r="H15" s="1278"/>
      <c r="I15" s="1278"/>
      <c r="J15" s="1278"/>
      <c r="K15" s="1278"/>
      <c r="L15" s="1278"/>
      <c r="M15" s="1278"/>
      <c r="N15" s="1278"/>
      <c r="O15" s="1278"/>
      <c r="P15" s="1278"/>
      <c r="Q15" s="1278"/>
      <c r="R15" s="1278"/>
      <c r="S15" s="1278"/>
      <c r="T15" s="1120"/>
      <c r="U15" s="1115"/>
      <c r="V15" s="1114"/>
      <c r="W15" s="1120"/>
      <c r="X15" s="3143">
        <f t="shared" si="4"/>
        <v>0</v>
      </c>
      <c r="Y15" s="1114"/>
      <c r="Z15" s="1278"/>
      <c r="AA15" s="1120"/>
      <c r="AB15" s="3144">
        <f t="shared" si="5"/>
        <v>0</v>
      </c>
      <c r="AC15" s="1114"/>
      <c r="AD15" s="3145"/>
      <c r="AE15" s="1120"/>
      <c r="AF15" s="1338"/>
      <c r="AG15" s="350"/>
      <c r="AH15" t="str">
        <f t="shared" si="6"/>
        <v/>
      </c>
      <c r="CB15" s="135" t="str">
        <f t="shared" si="7"/>
        <v/>
      </c>
      <c r="CC15" s="135" t="str">
        <f t="shared" si="8"/>
        <v/>
      </c>
      <c r="CD15" s="135" t="str">
        <f t="shared" si="0"/>
        <v/>
      </c>
      <c r="CM15" s="84">
        <f t="shared" si="1"/>
        <v>0</v>
      </c>
      <c r="CN15" s="84">
        <f t="shared" si="2"/>
        <v>0</v>
      </c>
      <c r="CO15" s="84">
        <f t="shared" si="3"/>
        <v>0</v>
      </c>
    </row>
    <row r="16" spans="1:98" x14ac:dyDescent="0.3">
      <c r="A16" s="344" t="s">
        <v>1212</v>
      </c>
      <c r="B16" s="295">
        <f t="shared" si="9"/>
        <v>0</v>
      </c>
      <c r="C16" s="1114"/>
      <c r="D16" s="1278"/>
      <c r="E16" s="1278"/>
      <c r="F16" s="1278"/>
      <c r="G16" s="1278"/>
      <c r="H16" s="1278"/>
      <c r="I16" s="1278"/>
      <c r="J16" s="1278"/>
      <c r="K16" s="1278"/>
      <c r="L16" s="1278"/>
      <c r="M16" s="1278"/>
      <c r="N16" s="1278"/>
      <c r="O16" s="1278"/>
      <c r="P16" s="1278"/>
      <c r="Q16" s="1278"/>
      <c r="R16" s="1278"/>
      <c r="S16" s="1278"/>
      <c r="T16" s="1120"/>
      <c r="U16" s="1115"/>
      <c r="V16" s="1114"/>
      <c r="W16" s="1120"/>
      <c r="X16" s="3143">
        <f t="shared" si="4"/>
        <v>0</v>
      </c>
      <c r="Y16" s="1114"/>
      <c r="Z16" s="1278"/>
      <c r="AA16" s="1120"/>
      <c r="AB16" s="3148">
        <f t="shared" si="5"/>
        <v>0</v>
      </c>
      <c r="AC16" s="1114"/>
      <c r="AD16" s="3145"/>
      <c r="AE16" s="1120"/>
      <c r="AF16" s="1338"/>
      <c r="AG16" s="350"/>
      <c r="AH16" t="str">
        <f t="shared" si="6"/>
        <v/>
      </c>
      <c r="CB16" s="135" t="str">
        <f t="shared" si="7"/>
        <v/>
      </c>
      <c r="CC16" s="135" t="str">
        <f t="shared" si="8"/>
        <v/>
      </c>
      <c r="CD16" s="135" t="str">
        <f t="shared" si="0"/>
        <v/>
      </c>
      <c r="CM16" s="84">
        <f t="shared" si="1"/>
        <v>0</v>
      </c>
      <c r="CN16" s="84">
        <f t="shared" si="2"/>
        <v>0</v>
      </c>
      <c r="CO16" s="84">
        <f t="shared" si="3"/>
        <v>0</v>
      </c>
    </row>
    <row r="17" spans="1:93" x14ac:dyDescent="0.3">
      <c r="A17" s="344" t="s">
        <v>1434</v>
      </c>
      <c r="B17" s="295">
        <f t="shared" si="9"/>
        <v>0</v>
      </c>
      <c r="C17" s="1114"/>
      <c r="D17" s="1278"/>
      <c r="E17" s="1278"/>
      <c r="F17" s="1278"/>
      <c r="G17" s="1278"/>
      <c r="H17" s="1278"/>
      <c r="I17" s="1278"/>
      <c r="J17" s="1278"/>
      <c r="K17" s="1278"/>
      <c r="L17" s="1278"/>
      <c r="M17" s="1278"/>
      <c r="N17" s="1278"/>
      <c r="O17" s="1278"/>
      <c r="P17" s="1278"/>
      <c r="Q17" s="1278"/>
      <c r="R17" s="1278"/>
      <c r="S17" s="1278"/>
      <c r="T17" s="1120"/>
      <c r="U17" s="1115"/>
      <c r="V17" s="1114"/>
      <c r="W17" s="1120"/>
      <c r="X17" s="3143">
        <f t="shared" si="4"/>
        <v>0</v>
      </c>
      <c r="Y17" s="1114"/>
      <c r="Z17" s="1278"/>
      <c r="AA17" s="1120"/>
      <c r="AB17" s="3148">
        <f t="shared" si="5"/>
        <v>0</v>
      </c>
      <c r="AC17" s="1114"/>
      <c r="AD17" s="3145"/>
      <c r="AE17" s="1120"/>
      <c r="AF17" s="1338"/>
      <c r="AG17" s="350"/>
      <c r="AH17" t="str">
        <f t="shared" si="6"/>
        <v/>
      </c>
      <c r="CB17" s="135" t="str">
        <f t="shared" si="7"/>
        <v/>
      </c>
      <c r="CC17" s="135" t="str">
        <f t="shared" si="8"/>
        <v/>
      </c>
      <c r="CD17" s="135" t="str">
        <f t="shared" si="0"/>
        <v/>
      </c>
      <c r="CM17" s="84">
        <f t="shared" si="1"/>
        <v>0</v>
      </c>
      <c r="CN17" s="84">
        <f t="shared" si="2"/>
        <v>0</v>
      </c>
      <c r="CO17" s="84">
        <f t="shared" si="3"/>
        <v>0</v>
      </c>
    </row>
    <row r="18" spans="1:93" x14ac:dyDescent="0.3">
      <c r="A18" s="344" t="s">
        <v>4308</v>
      </c>
      <c r="B18" s="295">
        <f t="shared" si="9"/>
        <v>0</v>
      </c>
      <c r="C18" s="1114"/>
      <c r="D18" s="1278"/>
      <c r="E18" s="1278"/>
      <c r="F18" s="1278"/>
      <c r="G18" s="1278"/>
      <c r="H18" s="1278"/>
      <c r="I18" s="1278"/>
      <c r="J18" s="1278"/>
      <c r="K18" s="1278"/>
      <c r="L18" s="1278"/>
      <c r="M18" s="1278"/>
      <c r="N18" s="1278"/>
      <c r="O18" s="1278"/>
      <c r="P18" s="1278"/>
      <c r="Q18" s="1278"/>
      <c r="R18" s="1278"/>
      <c r="S18" s="1278"/>
      <c r="T18" s="1120"/>
      <c r="U18" s="1115"/>
      <c r="V18" s="1114"/>
      <c r="W18" s="1120"/>
      <c r="X18" s="3143">
        <f t="shared" si="4"/>
        <v>0</v>
      </c>
      <c r="Y18" s="1114"/>
      <c r="Z18" s="1278"/>
      <c r="AA18" s="1120"/>
      <c r="AB18" s="3148">
        <f t="shared" si="5"/>
        <v>0</v>
      </c>
      <c r="AC18" s="1114"/>
      <c r="AD18" s="3145"/>
      <c r="AE18" s="1120"/>
      <c r="AF18" s="1338"/>
      <c r="AG18" s="350"/>
      <c r="AH18" t="str">
        <f t="shared" si="6"/>
        <v/>
      </c>
      <c r="CB18" s="135" t="str">
        <f t="shared" si="7"/>
        <v/>
      </c>
      <c r="CC18" s="135" t="str">
        <f t="shared" si="8"/>
        <v/>
      </c>
      <c r="CD18" s="135" t="str">
        <f t="shared" si="0"/>
        <v/>
      </c>
      <c r="CM18" s="84">
        <f t="shared" si="1"/>
        <v>0</v>
      </c>
      <c r="CN18" s="84">
        <f t="shared" si="2"/>
        <v>0</v>
      </c>
      <c r="CO18" s="84">
        <f t="shared" si="3"/>
        <v>0</v>
      </c>
    </row>
    <row r="19" spans="1:93" x14ac:dyDescent="0.3">
      <c r="A19" s="344" t="s">
        <v>1213</v>
      </c>
      <c r="B19" s="295">
        <f t="shared" si="9"/>
        <v>0</v>
      </c>
      <c r="C19" s="1114"/>
      <c r="D19" s="1278"/>
      <c r="E19" s="1278"/>
      <c r="F19" s="1278"/>
      <c r="G19" s="1278"/>
      <c r="H19" s="1278"/>
      <c r="I19" s="1278"/>
      <c r="J19" s="1278"/>
      <c r="K19" s="1278"/>
      <c r="L19" s="1278"/>
      <c r="M19" s="1278"/>
      <c r="N19" s="1278"/>
      <c r="O19" s="1278"/>
      <c r="P19" s="1278"/>
      <c r="Q19" s="1278"/>
      <c r="R19" s="1278"/>
      <c r="S19" s="1278"/>
      <c r="T19" s="1120"/>
      <c r="U19" s="1115"/>
      <c r="V19" s="1114"/>
      <c r="W19" s="1120"/>
      <c r="X19" s="3143">
        <f t="shared" si="4"/>
        <v>0</v>
      </c>
      <c r="Y19" s="1114"/>
      <c r="Z19" s="1278"/>
      <c r="AA19" s="1120"/>
      <c r="AB19" s="3148">
        <f t="shared" si="5"/>
        <v>0</v>
      </c>
      <c r="AC19" s="1114"/>
      <c r="AD19" s="3145"/>
      <c r="AE19" s="1120"/>
      <c r="AF19" s="1338"/>
      <c r="AG19" s="350"/>
      <c r="AH19" t="str">
        <f t="shared" si="6"/>
        <v/>
      </c>
      <c r="CB19" s="135" t="str">
        <f t="shared" si="7"/>
        <v/>
      </c>
      <c r="CC19" s="135" t="str">
        <f t="shared" si="8"/>
        <v/>
      </c>
      <c r="CD19" s="135" t="str">
        <f t="shared" si="0"/>
        <v/>
      </c>
      <c r="CM19" s="84">
        <f t="shared" si="1"/>
        <v>0</v>
      </c>
      <c r="CN19" s="84">
        <f t="shared" si="2"/>
        <v>0</v>
      </c>
      <c r="CO19" s="84">
        <f t="shared" si="3"/>
        <v>0</v>
      </c>
    </row>
    <row r="20" spans="1:93" x14ac:dyDescent="0.3">
      <c r="A20" s="344" t="s">
        <v>1214</v>
      </c>
      <c r="B20" s="295">
        <f t="shared" si="9"/>
        <v>0</v>
      </c>
      <c r="C20" s="1114"/>
      <c r="D20" s="1278"/>
      <c r="E20" s="1278"/>
      <c r="F20" s="1278"/>
      <c r="G20" s="1278"/>
      <c r="H20" s="1278"/>
      <c r="I20" s="1278"/>
      <c r="J20" s="1278"/>
      <c r="K20" s="1278"/>
      <c r="L20" s="1278"/>
      <c r="M20" s="1278"/>
      <c r="N20" s="1278"/>
      <c r="O20" s="1278"/>
      <c r="P20" s="1278"/>
      <c r="Q20" s="1278"/>
      <c r="R20" s="1278"/>
      <c r="S20" s="1278"/>
      <c r="T20" s="1120"/>
      <c r="U20" s="1115"/>
      <c r="V20" s="1114"/>
      <c r="W20" s="1120"/>
      <c r="X20" s="3143">
        <f t="shared" si="4"/>
        <v>0</v>
      </c>
      <c r="Y20" s="1114"/>
      <c r="Z20" s="1278"/>
      <c r="AA20" s="1120"/>
      <c r="AB20" s="3148">
        <f t="shared" si="5"/>
        <v>0</v>
      </c>
      <c r="AC20" s="1114"/>
      <c r="AD20" s="3145"/>
      <c r="AE20" s="1120"/>
      <c r="AF20" s="1338"/>
      <c r="AG20" s="350"/>
      <c r="AH20" t="str">
        <f t="shared" si="6"/>
        <v/>
      </c>
      <c r="CB20" s="135" t="str">
        <f t="shared" si="7"/>
        <v/>
      </c>
      <c r="CC20" s="135" t="str">
        <f t="shared" si="8"/>
        <v/>
      </c>
      <c r="CD20" s="135" t="str">
        <f t="shared" si="0"/>
        <v/>
      </c>
      <c r="CM20" s="84">
        <f t="shared" si="1"/>
        <v>0</v>
      </c>
      <c r="CN20" s="84">
        <f t="shared" si="2"/>
        <v>0</v>
      </c>
      <c r="CO20" s="84">
        <f t="shared" si="3"/>
        <v>0</v>
      </c>
    </row>
    <row r="21" spans="1:93" x14ac:dyDescent="0.3">
      <c r="A21" s="344" t="s">
        <v>1215</v>
      </c>
      <c r="B21" s="295">
        <f t="shared" si="9"/>
        <v>0</v>
      </c>
      <c r="C21" s="1114"/>
      <c r="D21" s="1278"/>
      <c r="E21" s="1278"/>
      <c r="F21" s="1278"/>
      <c r="G21" s="1278"/>
      <c r="H21" s="1278"/>
      <c r="I21" s="1278"/>
      <c r="J21" s="1278"/>
      <c r="K21" s="1278"/>
      <c r="L21" s="1278"/>
      <c r="M21" s="1278"/>
      <c r="N21" s="1278"/>
      <c r="O21" s="1278"/>
      <c r="P21" s="1278"/>
      <c r="Q21" s="1278"/>
      <c r="R21" s="1278"/>
      <c r="S21" s="1278"/>
      <c r="T21" s="1120"/>
      <c r="U21" s="1115"/>
      <c r="V21" s="1114"/>
      <c r="W21" s="1120"/>
      <c r="X21" s="3143">
        <f t="shared" si="4"/>
        <v>0</v>
      </c>
      <c r="Y21" s="1114"/>
      <c r="Z21" s="1278"/>
      <c r="AA21" s="1120"/>
      <c r="AB21" s="3148">
        <f t="shared" si="5"/>
        <v>0</v>
      </c>
      <c r="AC21" s="1114"/>
      <c r="AD21" s="3145"/>
      <c r="AE21" s="1120"/>
      <c r="AF21" s="1338"/>
      <c r="AG21" s="350"/>
      <c r="AH21" t="str">
        <f t="shared" si="6"/>
        <v/>
      </c>
      <c r="CB21" s="135" t="str">
        <f t="shared" si="7"/>
        <v/>
      </c>
      <c r="CC21" s="135" t="str">
        <f t="shared" si="8"/>
        <v/>
      </c>
      <c r="CD21" s="135" t="str">
        <f t="shared" si="0"/>
        <v/>
      </c>
      <c r="CM21" s="84">
        <f t="shared" si="1"/>
        <v>0</v>
      </c>
      <c r="CN21" s="84">
        <f t="shared" si="2"/>
        <v>0</v>
      </c>
      <c r="CO21" s="84">
        <f t="shared" si="3"/>
        <v>0</v>
      </c>
    </row>
    <row r="22" spans="1:93" x14ac:dyDescent="0.3">
      <c r="A22" s="344" t="s">
        <v>1216</v>
      </c>
      <c r="B22" s="295">
        <f t="shared" si="9"/>
        <v>0</v>
      </c>
      <c r="C22" s="1114"/>
      <c r="D22" s="1278"/>
      <c r="E22" s="1278"/>
      <c r="F22" s="1278"/>
      <c r="G22" s="1278"/>
      <c r="H22" s="1278"/>
      <c r="I22" s="1278"/>
      <c r="J22" s="1278"/>
      <c r="K22" s="1278"/>
      <c r="L22" s="1278"/>
      <c r="M22" s="1278"/>
      <c r="N22" s="1278"/>
      <c r="O22" s="1278"/>
      <c r="P22" s="1278"/>
      <c r="Q22" s="1278"/>
      <c r="R22" s="1278"/>
      <c r="S22" s="1278"/>
      <c r="T22" s="1120"/>
      <c r="U22" s="1115"/>
      <c r="V22" s="1114"/>
      <c r="W22" s="1120"/>
      <c r="X22" s="3143">
        <f t="shared" si="4"/>
        <v>0</v>
      </c>
      <c r="Y22" s="1114"/>
      <c r="Z22" s="1278"/>
      <c r="AA22" s="1120"/>
      <c r="AB22" s="3148">
        <f t="shared" si="5"/>
        <v>0</v>
      </c>
      <c r="AC22" s="1114"/>
      <c r="AD22" s="3145"/>
      <c r="AE22" s="1120"/>
      <c r="AF22" s="1338"/>
      <c r="AG22" s="350"/>
      <c r="AH22" t="str">
        <f t="shared" si="6"/>
        <v/>
      </c>
      <c r="CB22" s="135" t="str">
        <f t="shared" si="7"/>
        <v/>
      </c>
      <c r="CC22" s="135" t="str">
        <f t="shared" si="8"/>
        <v/>
      </c>
      <c r="CD22" s="135" t="str">
        <f t="shared" si="0"/>
        <v/>
      </c>
      <c r="CM22" s="84">
        <f t="shared" si="1"/>
        <v>0</v>
      </c>
      <c r="CN22" s="84">
        <f t="shared" si="2"/>
        <v>0</v>
      </c>
      <c r="CO22" s="84">
        <f t="shared" si="3"/>
        <v>0</v>
      </c>
    </row>
    <row r="23" spans="1:93" x14ac:dyDescent="0.3">
      <c r="A23" s="344" t="s">
        <v>1217</v>
      </c>
      <c r="B23" s="295">
        <f t="shared" si="9"/>
        <v>0</v>
      </c>
      <c r="C23" s="1114"/>
      <c r="D23" s="1278"/>
      <c r="E23" s="1278"/>
      <c r="F23" s="1278"/>
      <c r="G23" s="1278"/>
      <c r="H23" s="1278"/>
      <c r="I23" s="1278"/>
      <c r="J23" s="1278"/>
      <c r="K23" s="1278"/>
      <c r="L23" s="1278"/>
      <c r="M23" s="1278"/>
      <c r="N23" s="1278"/>
      <c r="O23" s="1278"/>
      <c r="P23" s="1278"/>
      <c r="Q23" s="1278"/>
      <c r="R23" s="1278"/>
      <c r="S23" s="1278"/>
      <c r="T23" s="1120"/>
      <c r="U23" s="1115"/>
      <c r="V23" s="1114"/>
      <c r="W23" s="1120"/>
      <c r="X23" s="3143">
        <f t="shared" si="4"/>
        <v>0</v>
      </c>
      <c r="Y23" s="1114"/>
      <c r="Z23" s="1278"/>
      <c r="AA23" s="1120"/>
      <c r="AB23" s="3148">
        <f t="shared" si="5"/>
        <v>0</v>
      </c>
      <c r="AC23" s="1114"/>
      <c r="AD23" s="3145"/>
      <c r="AE23" s="1120"/>
      <c r="AF23" s="1338"/>
      <c r="AG23" s="350"/>
      <c r="AH23" t="str">
        <f t="shared" si="6"/>
        <v/>
      </c>
      <c r="CB23" s="135" t="str">
        <f t="shared" si="7"/>
        <v/>
      </c>
      <c r="CC23" s="135" t="str">
        <f t="shared" si="8"/>
        <v/>
      </c>
      <c r="CD23" s="135" t="str">
        <f t="shared" si="0"/>
        <v/>
      </c>
      <c r="CM23" s="84">
        <f t="shared" si="1"/>
        <v>0</v>
      </c>
      <c r="CN23" s="84">
        <f t="shared" si="2"/>
        <v>0</v>
      </c>
      <c r="CO23" s="84">
        <f t="shared" si="3"/>
        <v>0</v>
      </c>
    </row>
    <row r="24" spans="1:93" x14ac:dyDescent="0.3">
      <c r="A24" s="344" t="s">
        <v>4409</v>
      </c>
      <c r="B24" s="295">
        <f t="shared" si="9"/>
        <v>0</v>
      </c>
      <c r="C24" s="1114"/>
      <c r="D24" s="1278"/>
      <c r="E24" s="1278"/>
      <c r="F24" s="1278"/>
      <c r="G24" s="1278"/>
      <c r="H24" s="1278"/>
      <c r="I24" s="1278"/>
      <c r="J24" s="1278"/>
      <c r="K24" s="1278"/>
      <c r="L24" s="1278"/>
      <c r="M24" s="1278"/>
      <c r="N24" s="1278"/>
      <c r="O24" s="1278"/>
      <c r="P24" s="1278"/>
      <c r="Q24" s="1278"/>
      <c r="R24" s="1278"/>
      <c r="S24" s="1278"/>
      <c r="T24" s="1120"/>
      <c r="U24" s="1115"/>
      <c r="V24" s="1114"/>
      <c r="W24" s="1120"/>
      <c r="X24" s="3143">
        <f t="shared" si="4"/>
        <v>0</v>
      </c>
      <c r="Y24" s="1114"/>
      <c r="Z24" s="1278"/>
      <c r="AA24" s="1120"/>
      <c r="AB24" s="3148">
        <f t="shared" si="5"/>
        <v>0</v>
      </c>
      <c r="AC24" s="1114"/>
      <c r="AD24" s="3145"/>
      <c r="AE24" s="1120"/>
      <c r="AF24" s="1338"/>
      <c r="AG24" s="350"/>
      <c r="AH24" t="str">
        <f>CB24&amp;CC24&amp;CD24</f>
        <v/>
      </c>
      <c r="CB24" s="135" t="str">
        <f t="shared" si="7"/>
        <v/>
      </c>
      <c r="CC24" s="135" t="str">
        <f t="shared" si="8"/>
        <v/>
      </c>
      <c r="CD24" s="135" t="str">
        <f t="shared" si="0"/>
        <v/>
      </c>
      <c r="CM24" s="84">
        <f t="shared" si="1"/>
        <v>0</v>
      </c>
      <c r="CN24" s="84">
        <f t="shared" si="2"/>
        <v>0</v>
      </c>
      <c r="CO24" s="84">
        <f t="shared" si="3"/>
        <v>0</v>
      </c>
    </row>
    <row r="25" spans="1:93" x14ac:dyDescent="0.3">
      <c r="A25" s="3149" t="s">
        <v>4314</v>
      </c>
      <c r="B25" s="295">
        <f t="shared" si="9"/>
        <v>0</v>
      </c>
      <c r="C25" s="1114"/>
      <c r="D25" s="1278"/>
      <c r="E25" s="1278"/>
      <c r="F25" s="1278"/>
      <c r="G25" s="1278"/>
      <c r="H25" s="1278"/>
      <c r="I25" s="1278"/>
      <c r="J25" s="1278"/>
      <c r="K25" s="1278"/>
      <c r="L25" s="1278"/>
      <c r="M25" s="1278"/>
      <c r="N25" s="1278"/>
      <c r="O25" s="1278"/>
      <c r="P25" s="1278"/>
      <c r="Q25" s="1278"/>
      <c r="R25" s="1278"/>
      <c r="S25" s="1278"/>
      <c r="T25" s="1120"/>
      <c r="U25" s="1115"/>
      <c r="V25" s="1114"/>
      <c r="W25" s="1120"/>
      <c r="X25" s="3143">
        <f t="shared" si="4"/>
        <v>0</v>
      </c>
      <c r="Y25" s="1114"/>
      <c r="Z25" s="1278"/>
      <c r="AA25" s="1120"/>
      <c r="AB25" s="3148">
        <f t="shared" si="5"/>
        <v>0</v>
      </c>
      <c r="AC25" s="1114"/>
      <c r="AD25" s="3145"/>
      <c r="AE25" s="1120"/>
      <c r="AF25" s="1338"/>
      <c r="AG25" s="350"/>
      <c r="AH25" t="str">
        <f t="shared" si="6"/>
        <v/>
      </c>
      <c r="CB25" s="135" t="str">
        <f t="shared" si="7"/>
        <v/>
      </c>
      <c r="CC25" s="135" t="str">
        <f t="shared" si="8"/>
        <v/>
      </c>
      <c r="CD25" s="135" t="str">
        <f t="shared" si="0"/>
        <v/>
      </c>
      <c r="CM25" s="84">
        <f t="shared" si="1"/>
        <v>0</v>
      </c>
      <c r="CN25" s="84">
        <f t="shared" si="2"/>
        <v>0</v>
      </c>
      <c r="CO25" s="84">
        <f t="shared" si="3"/>
        <v>0</v>
      </c>
    </row>
    <row r="26" spans="1:93" x14ac:dyDescent="0.3">
      <c r="A26" s="344" t="s">
        <v>1218</v>
      </c>
      <c r="B26" s="295">
        <f t="shared" si="9"/>
        <v>0</v>
      </c>
      <c r="C26" s="1114"/>
      <c r="D26" s="1278"/>
      <c r="E26" s="1278"/>
      <c r="F26" s="1278"/>
      <c r="G26" s="1278"/>
      <c r="H26" s="1278"/>
      <c r="I26" s="1278"/>
      <c r="J26" s="1278"/>
      <c r="K26" s="1278"/>
      <c r="L26" s="1278"/>
      <c r="M26" s="1278"/>
      <c r="N26" s="1278"/>
      <c r="O26" s="1278"/>
      <c r="P26" s="1278"/>
      <c r="Q26" s="1278"/>
      <c r="R26" s="1278"/>
      <c r="S26" s="1278"/>
      <c r="T26" s="1120"/>
      <c r="U26" s="1115"/>
      <c r="V26" s="1114"/>
      <c r="W26" s="1120"/>
      <c r="X26" s="3143">
        <f t="shared" si="4"/>
        <v>0</v>
      </c>
      <c r="Y26" s="1114"/>
      <c r="Z26" s="1278"/>
      <c r="AA26" s="1120"/>
      <c r="AB26" s="3148">
        <f t="shared" si="5"/>
        <v>0</v>
      </c>
      <c r="AC26" s="1114"/>
      <c r="AD26" s="3145"/>
      <c r="AE26" s="1120"/>
      <c r="AF26" s="1338"/>
      <c r="AG26" s="350"/>
      <c r="AH26" t="str">
        <f t="shared" si="6"/>
        <v/>
      </c>
      <c r="CB26" s="135" t="str">
        <f t="shared" si="7"/>
        <v/>
      </c>
      <c r="CC26" s="135" t="str">
        <f t="shared" si="8"/>
        <v/>
      </c>
      <c r="CD26" s="135" t="str">
        <f t="shared" si="0"/>
        <v/>
      </c>
      <c r="CM26" s="84">
        <f t="shared" si="1"/>
        <v>0</v>
      </c>
      <c r="CN26" s="84">
        <f t="shared" si="2"/>
        <v>0</v>
      </c>
      <c r="CO26" s="84">
        <f t="shared" si="3"/>
        <v>0</v>
      </c>
    </row>
    <row r="27" spans="1:93" x14ac:dyDescent="0.3">
      <c r="A27" s="344" t="s">
        <v>1219</v>
      </c>
      <c r="B27" s="295">
        <f t="shared" si="9"/>
        <v>0</v>
      </c>
      <c r="C27" s="1114"/>
      <c r="D27" s="1278"/>
      <c r="E27" s="1278"/>
      <c r="F27" s="1278"/>
      <c r="G27" s="1278"/>
      <c r="H27" s="1278"/>
      <c r="I27" s="1278"/>
      <c r="J27" s="1278"/>
      <c r="K27" s="1278"/>
      <c r="L27" s="1278"/>
      <c r="M27" s="1278"/>
      <c r="N27" s="1278"/>
      <c r="O27" s="1278"/>
      <c r="P27" s="1278"/>
      <c r="Q27" s="1278"/>
      <c r="R27" s="1278"/>
      <c r="S27" s="1278"/>
      <c r="T27" s="1120"/>
      <c r="U27" s="1115"/>
      <c r="V27" s="1114"/>
      <c r="W27" s="1120"/>
      <c r="X27" s="3143">
        <f t="shared" si="4"/>
        <v>0</v>
      </c>
      <c r="Y27" s="1114"/>
      <c r="Z27" s="1278"/>
      <c r="AA27" s="1120"/>
      <c r="AB27" s="3148">
        <f t="shared" si="5"/>
        <v>0</v>
      </c>
      <c r="AC27" s="1114"/>
      <c r="AD27" s="3145"/>
      <c r="AE27" s="1120"/>
      <c r="AF27" s="1338"/>
      <c r="AG27" s="350"/>
      <c r="AH27" t="str">
        <f t="shared" si="6"/>
        <v/>
      </c>
      <c r="CB27" s="135" t="str">
        <f t="shared" si="7"/>
        <v/>
      </c>
      <c r="CC27" s="135" t="str">
        <f t="shared" si="8"/>
        <v/>
      </c>
      <c r="CD27" s="135" t="str">
        <f t="shared" si="0"/>
        <v/>
      </c>
      <c r="CM27" s="84">
        <f t="shared" si="1"/>
        <v>0</v>
      </c>
      <c r="CN27" s="84">
        <f t="shared" si="2"/>
        <v>0</v>
      </c>
      <c r="CO27" s="84">
        <f t="shared" si="3"/>
        <v>0</v>
      </c>
    </row>
    <row r="28" spans="1:93" x14ac:dyDescent="0.3">
      <c r="A28" s="344" t="s">
        <v>4307</v>
      </c>
      <c r="B28" s="295">
        <f t="shared" si="9"/>
        <v>0</v>
      </c>
      <c r="C28" s="1114"/>
      <c r="D28" s="1278"/>
      <c r="E28" s="1278"/>
      <c r="F28" s="1278"/>
      <c r="G28" s="1278"/>
      <c r="H28" s="1278"/>
      <c r="I28" s="1278"/>
      <c r="J28" s="1278"/>
      <c r="K28" s="1278"/>
      <c r="L28" s="1278"/>
      <c r="M28" s="1278"/>
      <c r="N28" s="1278"/>
      <c r="O28" s="1278"/>
      <c r="P28" s="1278"/>
      <c r="Q28" s="1278"/>
      <c r="R28" s="1278"/>
      <c r="S28" s="1278"/>
      <c r="T28" s="1120"/>
      <c r="U28" s="1115"/>
      <c r="V28" s="1114"/>
      <c r="W28" s="1120"/>
      <c r="X28" s="3143">
        <f t="shared" si="4"/>
        <v>0</v>
      </c>
      <c r="Y28" s="1114"/>
      <c r="Z28" s="1278"/>
      <c r="AA28" s="1120"/>
      <c r="AB28" s="3148">
        <f t="shared" si="5"/>
        <v>0</v>
      </c>
      <c r="AC28" s="1114"/>
      <c r="AD28" s="3145"/>
      <c r="AE28" s="1120"/>
      <c r="AF28" s="1338"/>
      <c r="AG28" s="350"/>
      <c r="AH28" t="str">
        <f>CB28&amp;CC28&amp;CD28</f>
        <v/>
      </c>
      <c r="CB28" s="135" t="str">
        <f t="shared" si="7"/>
        <v/>
      </c>
      <c r="CC28" s="135" t="str">
        <f t="shared" si="8"/>
        <v/>
      </c>
      <c r="CD28" s="135" t="str">
        <f t="shared" si="0"/>
        <v/>
      </c>
      <c r="CM28" s="84">
        <f t="shared" si="1"/>
        <v>0</v>
      </c>
      <c r="CN28" s="84">
        <f t="shared" si="2"/>
        <v>0</v>
      </c>
      <c r="CO28" s="84">
        <f t="shared" si="3"/>
        <v>0</v>
      </c>
    </row>
    <row r="29" spans="1:93" x14ac:dyDescent="0.3">
      <c r="A29" s="344" t="s">
        <v>4309</v>
      </c>
      <c r="B29" s="295">
        <f t="shared" si="9"/>
        <v>0</v>
      </c>
      <c r="C29" s="1114"/>
      <c r="D29" s="1278"/>
      <c r="E29" s="1278"/>
      <c r="F29" s="1278"/>
      <c r="G29" s="1278"/>
      <c r="H29" s="1278"/>
      <c r="I29" s="1278"/>
      <c r="J29" s="1278"/>
      <c r="K29" s="1278"/>
      <c r="L29" s="1278"/>
      <c r="M29" s="1278"/>
      <c r="N29" s="1278"/>
      <c r="O29" s="1278"/>
      <c r="P29" s="1278"/>
      <c r="Q29" s="1278"/>
      <c r="R29" s="1278"/>
      <c r="S29" s="1278"/>
      <c r="T29" s="1120"/>
      <c r="U29" s="1115"/>
      <c r="V29" s="1114"/>
      <c r="W29" s="1120"/>
      <c r="X29" s="3143">
        <f t="shared" si="4"/>
        <v>0</v>
      </c>
      <c r="Y29" s="1114"/>
      <c r="Z29" s="1278"/>
      <c r="AA29" s="1120"/>
      <c r="AB29" s="3148">
        <f t="shared" si="5"/>
        <v>0</v>
      </c>
      <c r="AC29" s="1114"/>
      <c r="AD29" s="3145"/>
      <c r="AE29" s="1120"/>
      <c r="AF29" s="1338"/>
      <c r="AG29" s="350"/>
      <c r="AH29" t="str">
        <f t="shared" si="6"/>
        <v/>
      </c>
      <c r="CB29" s="135" t="str">
        <f t="shared" si="7"/>
        <v/>
      </c>
      <c r="CC29" s="135" t="str">
        <f t="shared" si="8"/>
        <v/>
      </c>
      <c r="CD29" s="135" t="str">
        <f t="shared" si="0"/>
        <v/>
      </c>
      <c r="CM29" s="84">
        <f t="shared" si="1"/>
        <v>0</v>
      </c>
      <c r="CN29" s="84">
        <f t="shared" si="2"/>
        <v>0</v>
      </c>
      <c r="CO29" s="84">
        <f t="shared" si="3"/>
        <v>0</v>
      </c>
    </row>
    <row r="30" spans="1:93" x14ac:dyDescent="0.3">
      <c r="A30" s="344" t="s">
        <v>3790</v>
      </c>
      <c r="B30" s="295">
        <f t="shared" si="9"/>
        <v>0</v>
      </c>
      <c r="C30" s="1114"/>
      <c r="D30" s="1278"/>
      <c r="E30" s="1278"/>
      <c r="F30" s="1278"/>
      <c r="G30" s="1278"/>
      <c r="H30" s="1278"/>
      <c r="I30" s="1278"/>
      <c r="J30" s="1278"/>
      <c r="K30" s="1278"/>
      <c r="L30" s="1278"/>
      <c r="M30" s="1278"/>
      <c r="N30" s="1278"/>
      <c r="O30" s="1278"/>
      <c r="P30" s="1278"/>
      <c r="Q30" s="1278"/>
      <c r="R30" s="1278"/>
      <c r="S30" s="1278"/>
      <c r="T30" s="1120"/>
      <c r="U30" s="1115"/>
      <c r="V30" s="1114"/>
      <c r="W30" s="1120"/>
      <c r="X30" s="3143">
        <f t="shared" si="4"/>
        <v>0</v>
      </c>
      <c r="Y30" s="1114"/>
      <c r="Z30" s="1278"/>
      <c r="AA30" s="1120"/>
      <c r="AB30" s="3148">
        <f t="shared" si="5"/>
        <v>0</v>
      </c>
      <c r="AC30" s="1114"/>
      <c r="AD30" s="3145"/>
      <c r="AE30" s="1120"/>
      <c r="AF30" s="1338"/>
      <c r="AG30" s="350"/>
      <c r="AH30" t="str">
        <f t="shared" si="6"/>
        <v/>
      </c>
      <c r="CB30" s="135" t="str">
        <f t="shared" si="7"/>
        <v/>
      </c>
      <c r="CC30" s="135" t="str">
        <f t="shared" si="8"/>
        <v/>
      </c>
      <c r="CD30" s="135" t="str">
        <f t="shared" si="0"/>
        <v/>
      </c>
      <c r="CM30" s="84">
        <f t="shared" si="1"/>
        <v>0</v>
      </c>
      <c r="CN30" s="84">
        <f t="shared" si="2"/>
        <v>0</v>
      </c>
      <c r="CO30" s="84">
        <f t="shared" si="3"/>
        <v>0</v>
      </c>
    </row>
    <row r="31" spans="1:93" x14ac:dyDescent="0.3">
      <c r="A31" s="3150" t="s">
        <v>4410</v>
      </c>
      <c r="B31" s="295">
        <f t="shared" si="9"/>
        <v>0</v>
      </c>
      <c r="C31" s="1114"/>
      <c r="D31" s="1278"/>
      <c r="E31" s="1278"/>
      <c r="F31" s="1278"/>
      <c r="G31" s="1278"/>
      <c r="H31" s="1278"/>
      <c r="I31" s="1278"/>
      <c r="J31" s="1278"/>
      <c r="K31" s="1278"/>
      <c r="L31" s="1278"/>
      <c r="M31" s="1278"/>
      <c r="N31" s="1278"/>
      <c r="O31" s="1278"/>
      <c r="P31" s="1278"/>
      <c r="Q31" s="1278"/>
      <c r="R31" s="1278"/>
      <c r="S31" s="1278"/>
      <c r="T31" s="1120"/>
      <c r="U31" s="1115"/>
      <c r="V31" s="1114"/>
      <c r="W31" s="1120"/>
      <c r="X31" s="3143">
        <f t="shared" si="4"/>
        <v>0</v>
      </c>
      <c r="Y31" s="1114"/>
      <c r="Z31" s="1278"/>
      <c r="AA31" s="1120"/>
      <c r="AB31" s="3148">
        <f t="shared" si="5"/>
        <v>0</v>
      </c>
      <c r="AC31" s="1114"/>
      <c r="AD31" s="3145"/>
      <c r="AE31" s="1120"/>
      <c r="AF31" s="1338"/>
      <c r="AG31" s="350"/>
      <c r="AH31" t="str">
        <f t="shared" si="6"/>
        <v/>
      </c>
      <c r="CB31" s="135" t="str">
        <f t="shared" si="7"/>
        <v/>
      </c>
      <c r="CC31" s="135" t="str">
        <f t="shared" si="8"/>
        <v/>
      </c>
      <c r="CD31" s="135" t="str">
        <f t="shared" si="0"/>
        <v/>
      </c>
      <c r="CM31" s="84">
        <f t="shared" si="1"/>
        <v>0</v>
      </c>
      <c r="CN31" s="84">
        <f t="shared" si="2"/>
        <v>0</v>
      </c>
      <c r="CO31" s="84">
        <f t="shared" si="3"/>
        <v>0</v>
      </c>
    </row>
    <row r="32" spans="1:93" x14ac:dyDescent="0.3">
      <c r="A32" s="344" t="s">
        <v>1220</v>
      </c>
      <c r="B32" s="295">
        <f t="shared" si="9"/>
        <v>0</v>
      </c>
      <c r="C32" s="1114"/>
      <c r="D32" s="1278"/>
      <c r="E32" s="1278"/>
      <c r="F32" s="1278"/>
      <c r="G32" s="1278"/>
      <c r="H32" s="1278"/>
      <c r="I32" s="1278"/>
      <c r="J32" s="1278"/>
      <c r="K32" s="1278"/>
      <c r="L32" s="1278"/>
      <c r="M32" s="1278"/>
      <c r="N32" s="1278"/>
      <c r="O32" s="1278"/>
      <c r="P32" s="1278"/>
      <c r="Q32" s="1278"/>
      <c r="R32" s="1278"/>
      <c r="S32" s="1278"/>
      <c r="T32" s="1120"/>
      <c r="U32" s="1115"/>
      <c r="V32" s="1114"/>
      <c r="W32" s="1120"/>
      <c r="X32" s="3143">
        <f t="shared" si="4"/>
        <v>0</v>
      </c>
      <c r="Y32" s="1114"/>
      <c r="Z32" s="1278"/>
      <c r="AA32" s="1120"/>
      <c r="AB32" s="3148">
        <f t="shared" si="5"/>
        <v>0</v>
      </c>
      <c r="AC32" s="1114"/>
      <c r="AD32" s="3145"/>
      <c r="AE32" s="1120"/>
      <c r="AF32" s="1338"/>
      <c r="AG32" s="350"/>
      <c r="AH32" t="str">
        <f t="shared" si="6"/>
        <v/>
      </c>
      <c r="CB32" s="135" t="str">
        <f t="shared" si="7"/>
        <v/>
      </c>
      <c r="CC32" s="135" t="str">
        <f t="shared" si="8"/>
        <v/>
      </c>
      <c r="CD32" s="135" t="str">
        <f t="shared" si="0"/>
        <v/>
      </c>
      <c r="CM32" s="84">
        <f t="shared" si="1"/>
        <v>0</v>
      </c>
      <c r="CN32" s="84">
        <f t="shared" si="2"/>
        <v>0</v>
      </c>
      <c r="CO32" s="84">
        <f t="shared" si="3"/>
        <v>0</v>
      </c>
    </row>
    <row r="33" spans="1:93" x14ac:dyDescent="0.3">
      <c r="A33" s="344" t="s">
        <v>4417</v>
      </c>
      <c r="B33" s="295">
        <f t="shared" si="9"/>
        <v>0</v>
      </c>
      <c r="C33" s="1114"/>
      <c r="D33" s="1278"/>
      <c r="E33" s="1278"/>
      <c r="F33" s="1278"/>
      <c r="G33" s="1278"/>
      <c r="H33" s="1278"/>
      <c r="I33" s="1278"/>
      <c r="J33" s="1278"/>
      <c r="K33" s="1278"/>
      <c r="L33" s="1278"/>
      <c r="M33" s="1278"/>
      <c r="N33" s="1278"/>
      <c r="O33" s="1278"/>
      <c r="P33" s="1278"/>
      <c r="Q33" s="1278"/>
      <c r="R33" s="1278"/>
      <c r="S33" s="1278"/>
      <c r="T33" s="1120"/>
      <c r="U33" s="1115"/>
      <c r="V33" s="1114"/>
      <c r="W33" s="1120"/>
      <c r="X33" s="3143">
        <f t="shared" si="4"/>
        <v>0</v>
      </c>
      <c r="Y33" s="1114"/>
      <c r="Z33" s="1278"/>
      <c r="AA33" s="1120"/>
      <c r="AB33" s="3148">
        <f t="shared" si="5"/>
        <v>0</v>
      </c>
      <c r="AC33" s="1114"/>
      <c r="AD33" s="3145"/>
      <c r="AE33" s="1120"/>
      <c r="AF33" s="1338"/>
      <c r="AG33" s="350"/>
      <c r="AH33" t="str">
        <f t="shared" si="6"/>
        <v/>
      </c>
      <c r="CB33" s="135" t="str">
        <f t="shared" si="7"/>
        <v/>
      </c>
      <c r="CC33" s="135" t="str">
        <f t="shared" si="8"/>
        <v/>
      </c>
      <c r="CD33" s="135" t="str">
        <f t="shared" si="0"/>
        <v/>
      </c>
      <c r="CM33" s="84">
        <f t="shared" si="1"/>
        <v>0</v>
      </c>
      <c r="CN33" s="84">
        <f t="shared" si="2"/>
        <v>0</v>
      </c>
      <c r="CO33" s="84">
        <f t="shared" si="3"/>
        <v>0</v>
      </c>
    </row>
    <row r="34" spans="1:93" x14ac:dyDescent="0.3">
      <c r="A34" s="344" t="s">
        <v>1221</v>
      </c>
      <c r="B34" s="295">
        <f t="shared" si="9"/>
        <v>0</v>
      </c>
      <c r="C34" s="1114"/>
      <c r="D34" s="1278"/>
      <c r="E34" s="1278"/>
      <c r="F34" s="1278"/>
      <c r="G34" s="1278"/>
      <c r="H34" s="1278"/>
      <c r="I34" s="1278"/>
      <c r="J34" s="1278"/>
      <c r="K34" s="1278"/>
      <c r="L34" s="1278"/>
      <c r="M34" s="1278"/>
      <c r="N34" s="1278"/>
      <c r="O34" s="1278"/>
      <c r="P34" s="1278"/>
      <c r="Q34" s="1278"/>
      <c r="R34" s="1278"/>
      <c r="S34" s="1278"/>
      <c r="T34" s="1120"/>
      <c r="U34" s="1115"/>
      <c r="V34" s="1114"/>
      <c r="W34" s="1120"/>
      <c r="X34" s="3143">
        <f t="shared" si="4"/>
        <v>0</v>
      </c>
      <c r="Y34" s="1114"/>
      <c r="Z34" s="1278"/>
      <c r="AA34" s="1120"/>
      <c r="AB34" s="3148">
        <f t="shared" si="5"/>
        <v>0</v>
      </c>
      <c r="AC34" s="1114"/>
      <c r="AD34" s="3145"/>
      <c r="AE34" s="1120"/>
      <c r="AF34" s="1338"/>
      <c r="AG34" s="350"/>
      <c r="AH34" t="str">
        <f t="shared" si="6"/>
        <v/>
      </c>
      <c r="CB34" s="135" t="str">
        <f t="shared" si="7"/>
        <v/>
      </c>
      <c r="CC34" s="135" t="str">
        <f t="shared" si="8"/>
        <v/>
      </c>
      <c r="CD34" s="135" t="str">
        <f t="shared" si="0"/>
        <v/>
      </c>
      <c r="CM34" s="84">
        <f t="shared" si="1"/>
        <v>0</v>
      </c>
      <c r="CN34" s="84">
        <f t="shared" si="2"/>
        <v>0</v>
      </c>
      <c r="CO34" s="84">
        <f t="shared" si="3"/>
        <v>0</v>
      </c>
    </row>
    <row r="35" spans="1:93" x14ac:dyDescent="0.3">
      <c r="A35" s="344" t="s">
        <v>1222</v>
      </c>
      <c r="B35" s="295">
        <f>SUM(P35:T35)</f>
        <v>0</v>
      </c>
      <c r="C35" s="3151"/>
      <c r="D35" s="3146"/>
      <c r="E35" s="3146"/>
      <c r="F35" s="3146"/>
      <c r="G35" s="3146"/>
      <c r="H35" s="3146"/>
      <c r="I35" s="3146"/>
      <c r="J35" s="3146"/>
      <c r="K35" s="3146"/>
      <c r="L35" s="3146"/>
      <c r="M35" s="3146"/>
      <c r="N35" s="3146"/>
      <c r="O35" s="3146"/>
      <c r="P35" s="1278"/>
      <c r="Q35" s="1278"/>
      <c r="R35" s="1278"/>
      <c r="S35" s="1278"/>
      <c r="T35" s="1120"/>
      <c r="U35" s="1115"/>
      <c r="V35" s="1114"/>
      <c r="W35" s="1120"/>
      <c r="X35" s="3143">
        <f>SUM(Y35+Z35+AA35)</f>
        <v>0</v>
      </c>
      <c r="Y35" s="1114"/>
      <c r="Z35" s="1278"/>
      <c r="AA35" s="1120"/>
      <c r="AB35" s="3148">
        <f t="shared" si="5"/>
        <v>0</v>
      </c>
      <c r="AC35" s="1114"/>
      <c r="AD35" s="3145"/>
      <c r="AE35" s="1120"/>
      <c r="AF35" s="1338"/>
      <c r="AG35" s="350"/>
      <c r="AH35" t="str">
        <f t="shared" si="6"/>
        <v/>
      </c>
      <c r="CB35" s="135" t="str">
        <f t="shared" si="7"/>
        <v/>
      </c>
      <c r="CC35" s="135" t="str">
        <f t="shared" si="8"/>
        <v/>
      </c>
      <c r="CD35" s="135" t="str">
        <f t="shared" si="0"/>
        <v/>
      </c>
      <c r="CM35" s="84">
        <f t="shared" si="1"/>
        <v>0</v>
      </c>
      <c r="CN35" s="84">
        <f t="shared" si="2"/>
        <v>0</v>
      </c>
      <c r="CO35" s="84">
        <f t="shared" si="3"/>
        <v>0</v>
      </c>
    </row>
    <row r="36" spans="1:93" x14ac:dyDescent="0.3">
      <c r="A36" s="344" t="s">
        <v>4311</v>
      </c>
      <c r="B36" s="295">
        <f t="shared" ref="B36:B62" si="10">SUM(C36:T36)</f>
        <v>0</v>
      </c>
      <c r="C36" s="1114"/>
      <c r="D36" s="1278"/>
      <c r="E36" s="1278"/>
      <c r="F36" s="1278"/>
      <c r="G36" s="3152"/>
      <c r="H36" s="3152"/>
      <c r="I36" s="3152"/>
      <c r="J36" s="3152"/>
      <c r="K36" s="3152"/>
      <c r="L36" s="3152"/>
      <c r="M36" s="1278"/>
      <c r="N36" s="1278"/>
      <c r="O36" s="1278"/>
      <c r="P36" s="1278"/>
      <c r="Q36" s="1278"/>
      <c r="R36" s="1278"/>
      <c r="S36" s="1278"/>
      <c r="T36" s="1120"/>
      <c r="U36" s="1115"/>
      <c r="V36" s="1114"/>
      <c r="W36" s="1120"/>
      <c r="X36" s="3143">
        <f t="shared" si="4"/>
        <v>0</v>
      </c>
      <c r="Y36" s="1114"/>
      <c r="Z36" s="1278"/>
      <c r="AA36" s="1120"/>
      <c r="AB36" s="3148">
        <f t="shared" si="5"/>
        <v>0</v>
      </c>
      <c r="AC36" s="1114"/>
      <c r="AD36" s="3145"/>
      <c r="AE36" s="1120"/>
      <c r="AF36" s="1338"/>
      <c r="AG36" s="350"/>
      <c r="AH36" t="str">
        <f t="shared" si="6"/>
        <v/>
      </c>
      <c r="CB36" s="135" t="str">
        <f t="shared" si="7"/>
        <v/>
      </c>
      <c r="CC36" s="135" t="str">
        <f t="shared" si="8"/>
        <v/>
      </c>
      <c r="CD36" s="135" t="str">
        <f t="shared" si="0"/>
        <v/>
      </c>
      <c r="CM36" s="84">
        <f t="shared" si="1"/>
        <v>0</v>
      </c>
      <c r="CN36" s="84">
        <f t="shared" si="2"/>
        <v>0</v>
      </c>
      <c r="CO36" s="84">
        <f t="shared" si="3"/>
        <v>0</v>
      </c>
    </row>
    <row r="37" spans="1:93" x14ac:dyDescent="0.3">
      <c r="A37" s="3150" t="s">
        <v>4411</v>
      </c>
      <c r="B37" s="295">
        <f t="shared" si="10"/>
        <v>0</v>
      </c>
      <c r="C37" s="3153"/>
      <c r="D37" s="3152"/>
      <c r="E37" s="3152"/>
      <c r="F37" s="3152"/>
      <c r="G37" s="3152"/>
      <c r="H37" s="1278"/>
      <c r="I37" s="1278"/>
      <c r="J37" s="1278"/>
      <c r="K37" s="1278"/>
      <c r="L37" s="1278"/>
      <c r="M37" s="1278"/>
      <c r="N37" s="1278"/>
      <c r="O37" s="1278"/>
      <c r="P37" s="1278"/>
      <c r="Q37" s="1278"/>
      <c r="R37" s="1278"/>
      <c r="S37" s="1278"/>
      <c r="T37" s="1120"/>
      <c r="U37" s="1115"/>
      <c r="V37" s="1114"/>
      <c r="W37" s="1120"/>
      <c r="X37" s="3143">
        <f>SUM(Y37+Z37+AA37)</f>
        <v>0</v>
      </c>
      <c r="Y37" s="1114"/>
      <c r="Z37" s="1278"/>
      <c r="AA37" s="1120"/>
      <c r="AB37" s="3148">
        <f t="shared" si="5"/>
        <v>0</v>
      </c>
      <c r="AC37" s="1114"/>
      <c r="AD37" s="3145"/>
      <c r="AE37" s="1120"/>
      <c r="AF37" s="1338"/>
      <c r="AG37" s="350"/>
      <c r="AH37" t="str">
        <f t="shared" si="6"/>
        <v/>
      </c>
      <c r="CB37" s="135" t="str">
        <f t="shared" si="7"/>
        <v/>
      </c>
      <c r="CC37" s="135" t="str">
        <f t="shared" si="8"/>
        <v/>
      </c>
      <c r="CD37" s="135" t="str">
        <f t="shared" si="0"/>
        <v/>
      </c>
      <c r="CM37" s="84">
        <f t="shared" si="1"/>
        <v>0</v>
      </c>
      <c r="CN37" s="84">
        <f t="shared" si="2"/>
        <v>0</v>
      </c>
      <c r="CO37" s="84">
        <f t="shared" si="3"/>
        <v>0</v>
      </c>
    </row>
    <row r="38" spans="1:93" x14ac:dyDescent="0.3">
      <c r="A38" s="344" t="s">
        <v>1223</v>
      </c>
      <c r="B38" s="295">
        <f t="shared" si="10"/>
        <v>0</v>
      </c>
      <c r="C38" s="3153"/>
      <c r="D38" s="3152"/>
      <c r="E38" s="3152"/>
      <c r="F38" s="3152"/>
      <c r="G38" s="3152"/>
      <c r="H38" s="3152"/>
      <c r="I38" s="3152"/>
      <c r="J38" s="3152"/>
      <c r="K38" s="3152"/>
      <c r="L38" s="3152"/>
      <c r="M38" s="1278"/>
      <c r="N38" s="1278"/>
      <c r="O38" s="1278"/>
      <c r="P38" s="1278"/>
      <c r="Q38" s="1278"/>
      <c r="R38" s="1278"/>
      <c r="S38" s="1278"/>
      <c r="T38" s="1120"/>
      <c r="U38" s="1115"/>
      <c r="V38" s="1114"/>
      <c r="W38" s="1120"/>
      <c r="X38" s="3143">
        <f>SUM(Y38+Z38+AA38)</f>
        <v>0</v>
      </c>
      <c r="Y38" s="1114"/>
      <c r="Z38" s="1278"/>
      <c r="AA38" s="1120"/>
      <c r="AB38" s="3148">
        <f>SUM(AC38+AD38+AE38)</f>
        <v>0</v>
      </c>
      <c r="AC38" s="1114"/>
      <c r="AD38" s="3145"/>
      <c r="AE38" s="1120"/>
      <c r="AF38" s="1338"/>
      <c r="AG38" s="350"/>
      <c r="AH38" t="str">
        <f t="shared" si="6"/>
        <v/>
      </c>
      <c r="CB38" s="135" t="str">
        <f t="shared" si="7"/>
        <v/>
      </c>
      <c r="CC38" s="135" t="str">
        <f t="shared" si="8"/>
        <v/>
      </c>
      <c r="CD38" s="135" t="str">
        <f t="shared" si="0"/>
        <v/>
      </c>
      <c r="CM38" s="84">
        <f t="shared" si="1"/>
        <v>0</v>
      </c>
      <c r="CN38" s="84">
        <f t="shared" si="2"/>
        <v>0</v>
      </c>
      <c r="CO38" s="84">
        <f t="shared" si="3"/>
        <v>0</v>
      </c>
    </row>
    <row r="39" spans="1:93" x14ac:dyDescent="0.3">
      <c r="A39" s="344" t="s">
        <v>1224</v>
      </c>
      <c r="B39" s="295">
        <f t="shared" si="10"/>
        <v>0</v>
      </c>
      <c r="C39" s="3153"/>
      <c r="D39" s="3152"/>
      <c r="E39" s="3152"/>
      <c r="F39" s="3152"/>
      <c r="G39" s="1278"/>
      <c r="H39" s="1278"/>
      <c r="I39" s="1278"/>
      <c r="J39" s="1278"/>
      <c r="K39" s="1278"/>
      <c r="L39" s="1278"/>
      <c r="M39" s="1278"/>
      <c r="N39" s="1278"/>
      <c r="O39" s="1278"/>
      <c r="P39" s="1278"/>
      <c r="Q39" s="1278"/>
      <c r="R39" s="1278"/>
      <c r="S39" s="1278"/>
      <c r="T39" s="1120"/>
      <c r="U39" s="1115"/>
      <c r="V39" s="1114"/>
      <c r="W39" s="1120"/>
      <c r="X39" s="3143">
        <f>SUM(Y39+Z39+AA39)</f>
        <v>0</v>
      </c>
      <c r="Y39" s="1114"/>
      <c r="Z39" s="1278"/>
      <c r="AA39" s="1120"/>
      <c r="AB39" s="3148">
        <f>SUM(AC39+AD39+AE39)</f>
        <v>0</v>
      </c>
      <c r="AC39" s="1114"/>
      <c r="AD39" s="3145"/>
      <c r="AE39" s="1120"/>
      <c r="AF39" s="1338"/>
      <c r="AG39" s="350"/>
      <c r="AH39" t="str">
        <f t="shared" si="6"/>
        <v/>
      </c>
      <c r="CB39" s="135" t="str">
        <f t="shared" si="7"/>
        <v/>
      </c>
      <c r="CC39" s="135" t="str">
        <f t="shared" si="8"/>
        <v/>
      </c>
      <c r="CD39" s="135" t="str">
        <f t="shared" si="0"/>
        <v/>
      </c>
      <c r="CM39" s="84">
        <f t="shared" si="1"/>
        <v>0</v>
      </c>
      <c r="CN39" s="84">
        <f t="shared" si="2"/>
        <v>0</v>
      </c>
      <c r="CO39" s="84">
        <f t="shared" si="3"/>
        <v>0</v>
      </c>
    </row>
    <row r="40" spans="1:93" x14ac:dyDescent="0.3">
      <c r="A40" s="344" t="s">
        <v>1225</v>
      </c>
      <c r="B40" s="295">
        <f t="shared" si="10"/>
        <v>0</v>
      </c>
      <c r="C40" s="3153"/>
      <c r="D40" s="3152"/>
      <c r="E40" s="3152"/>
      <c r="F40" s="3152"/>
      <c r="G40" s="1278"/>
      <c r="H40" s="1278"/>
      <c r="I40" s="1278"/>
      <c r="J40" s="1278"/>
      <c r="K40" s="1278"/>
      <c r="L40" s="1278"/>
      <c r="M40" s="1278"/>
      <c r="N40" s="1278"/>
      <c r="O40" s="1278"/>
      <c r="P40" s="1278"/>
      <c r="Q40" s="1278"/>
      <c r="R40" s="1278"/>
      <c r="S40" s="1278"/>
      <c r="T40" s="1120"/>
      <c r="U40" s="1115"/>
      <c r="V40" s="1114"/>
      <c r="W40" s="1120"/>
      <c r="X40" s="3143">
        <f>SUM(Y40+Z40+AA40)</f>
        <v>0</v>
      </c>
      <c r="Y40" s="1114"/>
      <c r="Z40" s="1278"/>
      <c r="AA40" s="1120"/>
      <c r="AB40" s="3148">
        <f>SUM(AC40+AD40+AE40)</f>
        <v>0</v>
      </c>
      <c r="AC40" s="1114"/>
      <c r="AD40" s="3145"/>
      <c r="AE40" s="1120"/>
      <c r="AF40" s="1338"/>
      <c r="AG40" s="350"/>
      <c r="AH40" t="str">
        <f t="shared" si="6"/>
        <v/>
      </c>
      <c r="CB40" s="135" t="str">
        <f t="shared" si="7"/>
        <v/>
      </c>
      <c r="CC40" s="135" t="str">
        <f t="shared" si="8"/>
        <v/>
      </c>
      <c r="CD40" s="135" t="str">
        <f t="shared" si="0"/>
        <v/>
      </c>
      <c r="CM40" s="84">
        <f t="shared" si="1"/>
        <v>0</v>
      </c>
      <c r="CN40" s="84">
        <f t="shared" si="2"/>
        <v>0</v>
      </c>
      <c r="CO40" s="84">
        <f t="shared" si="3"/>
        <v>0</v>
      </c>
    </row>
    <row r="41" spans="1:93" x14ac:dyDescent="0.3">
      <c r="A41" s="344" t="s">
        <v>1226</v>
      </c>
      <c r="B41" s="295">
        <f t="shared" si="10"/>
        <v>0</v>
      </c>
      <c r="C41" s="3153"/>
      <c r="D41" s="3152"/>
      <c r="E41" s="3152"/>
      <c r="F41" s="3152"/>
      <c r="G41" s="1278"/>
      <c r="H41" s="1278"/>
      <c r="I41" s="1278"/>
      <c r="J41" s="1278"/>
      <c r="K41" s="1278"/>
      <c r="L41" s="1278"/>
      <c r="M41" s="1278"/>
      <c r="N41" s="1278"/>
      <c r="O41" s="1278"/>
      <c r="P41" s="1278"/>
      <c r="Q41" s="1278"/>
      <c r="R41" s="1278"/>
      <c r="S41" s="1278"/>
      <c r="T41" s="1120"/>
      <c r="U41" s="1115"/>
      <c r="V41" s="1114"/>
      <c r="W41" s="1120"/>
      <c r="X41" s="3143">
        <f>SUM(Y41+Z41+AA41)</f>
        <v>0</v>
      </c>
      <c r="Y41" s="1114"/>
      <c r="Z41" s="1278"/>
      <c r="AA41" s="1120"/>
      <c r="AB41" s="3148">
        <f>SUM(AC41+AD41+AE41)</f>
        <v>0</v>
      </c>
      <c r="AC41" s="1114"/>
      <c r="AD41" s="3145"/>
      <c r="AE41" s="1120"/>
      <c r="AF41" s="1338"/>
      <c r="AG41" s="350"/>
      <c r="AH41" t="str">
        <f t="shared" si="6"/>
        <v/>
      </c>
      <c r="CB41" s="135" t="str">
        <f t="shared" si="7"/>
        <v/>
      </c>
      <c r="CC41" s="135" t="str">
        <f t="shared" si="8"/>
        <v/>
      </c>
      <c r="CD41" s="135" t="str">
        <f t="shared" si="0"/>
        <v/>
      </c>
      <c r="CM41" s="84">
        <f t="shared" si="1"/>
        <v>0</v>
      </c>
      <c r="CN41" s="84">
        <f t="shared" si="2"/>
        <v>0</v>
      </c>
      <c r="CO41" s="84">
        <f t="shared" si="3"/>
        <v>0</v>
      </c>
    </row>
    <row r="42" spans="1:93" x14ac:dyDescent="0.3">
      <c r="A42" s="344" t="s">
        <v>1227</v>
      </c>
      <c r="B42" s="295">
        <f t="shared" si="10"/>
        <v>0</v>
      </c>
      <c r="C42" s="1114"/>
      <c r="D42" s="1278"/>
      <c r="E42" s="1278"/>
      <c r="F42" s="1278"/>
      <c r="G42" s="1278"/>
      <c r="H42" s="1278"/>
      <c r="I42" s="1278"/>
      <c r="J42" s="1278"/>
      <c r="K42" s="1278"/>
      <c r="L42" s="1278"/>
      <c r="M42" s="1278"/>
      <c r="N42" s="1278"/>
      <c r="O42" s="1278"/>
      <c r="P42" s="1278"/>
      <c r="Q42" s="1278"/>
      <c r="R42" s="1278"/>
      <c r="S42" s="1278"/>
      <c r="T42" s="1120"/>
      <c r="U42" s="1115"/>
      <c r="V42" s="1114"/>
      <c r="W42" s="1120"/>
      <c r="X42" s="3143">
        <f t="shared" ref="X42:X63" si="11">SUM(Y42+Z42+AA42)</f>
        <v>0</v>
      </c>
      <c r="Y42" s="1114"/>
      <c r="Z42" s="1278"/>
      <c r="AA42" s="1120"/>
      <c r="AB42" s="3148">
        <f>SUM(AC42+AD42+AE42)</f>
        <v>0</v>
      </c>
      <c r="AC42" s="1114"/>
      <c r="AD42" s="3145"/>
      <c r="AE42" s="1120"/>
      <c r="AF42" s="1338"/>
      <c r="AG42" s="350"/>
      <c r="AH42" t="str">
        <f t="shared" si="6"/>
        <v/>
      </c>
      <c r="CB42" s="135" t="str">
        <f t="shared" si="7"/>
        <v/>
      </c>
      <c r="CC42" s="135" t="str">
        <f t="shared" si="8"/>
        <v/>
      </c>
      <c r="CD42" s="135" t="str">
        <f t="shared" si="0"/>
        <v/>
      </c>
      <c r="CM42" s="84">
        <f t="shared" si="1"/>
        <v>0</v>
      </c>
      <c r="CN42" s="84">
        <f t="shared" si="2"/>
        <v>0</v>
      </c>
      <c r="CO42" s="84">
        <f t="shared" si="3"/>
        <v>0</v>
      </c>
    </row>
    <row r="43" spans="1:93" x14ac:dyDescent="0.3">
      <c r="A43" s="3154" t="s">
        <v>1228</v>
      </c>
      <c r="B43" s="295">
        <f t="shared" si="10"/>
        <v>0</v>
      </c>
      <c r="C43" s="1114"/>
      <c r="D43" s="1278"/>
      <c r="E43" s="1278"/>
      <c r="F43" s="1278"/>
      <c r="G43" s="1278"/>
      <c r="H43" s="1278"/>
      <c r="I43" s="1278"/>
      <c r="J43" s="1278"/>
      <c r="K43" s="1278"/>
      <c r="L43" s="1278"/>
      <c r="M43" s="1278"/>
      <c r="N43" s="1278"/>
      <c r="O43" s="1278"/>
      <c r="P43" s="1278"/>
      <c r="Q43" s="1278"/>
      <c r="R43" s="1278"/>
      <c r="S43" s="1278"/>
      <c r="T43" s="1120"/>
      <c r="U43" s="1115"/>
      <c r="V43" s="1114"/>
      <c r="W43" s="1120"/>
      <c r="X43" s="3143">
        <f t="shared" si="11"/>
        <v>0</v>
      </c>
      <c r="Y43" s="1114"/>
      <c r="Z43" s="1278"/>
      <c r="AA43" s="1120"/>
      <c r="AB43" s="3148">
        <f t="shared" ref="AB43:AB66" si="12">SUM(AC43+AD43+AE43)</f>
        <v>0</v>
      </c>
      <c r="AC43" s="1114"/>
      <c r="AD43" s="3145"/>
      <c r="AE43" s="1120"/>
      <c r="AF43" s="1338"/>
      <c r="AG43" s="350"/>
      <c r="AH43" t="str">
        <f t="shared" ref="AH43:AH66" si="13">CB43&amp;CC43&amp;CD43</f>
        <v/>
      </c>
      <c r="CB43" s="135" t="str">
        <f t="shared" ref="CB43:CB66" si="14">IF(V43+W43&lt;&gt;B43," * La suma por Sexo (Hombres + Mujeres) NO DEBEN ser diferente al Total","")</f>
        <v/>
      </c>
      <c r="CC43" s="135" t="str">
        <f t="shared" ref="CC43:CC66" si="15">IF(AND(B43&gt;0,U43="")," * No olvide digitar la variable Beneficiarios. Digite CERO si no tiene",IF(U43&gt;B43," * La variable Beneficiarios No puede ser mayor al Total.",""))</f>
        <v/>
      </c>
      <c r="CD43" s="135" t="str">
        <f t="shared" ref="CD43:CD66" si="16">IF((X43+AB43)&gt;B43," * La suma del Total de Consultas Nuevas según Origen NO DEBE ser MAYOR que el total de Consultas y Controles médicos.","")</f>
        <v/>
      </c>
      <c r="CM43" s="84">
        <f t="shared" ref="CM43:CM66" si="17">IF(V43+W43&lt;&gt;B43,1,0)</f>
        <v>0</v>
      </c>
      <c r="CN43" s="84">
        <f t="shared" ref="CN43:CN66" si="18">IF(AND(B43&gt;0,U43=""),1,IF(U43&gt;B43,1,0))</f>
        <v>0</v>
      </c>
      <c r="CO43" s="84">
        <f t="shared" ref="CO43:CO66" si="19">IF((X43+AB43)&gt;B43,1,0)</f>
        <v>0</v>
      </c>
    </row>
    <row r="44" spans="1:93" x14ac:dyDescent="0.3">
      <c r="A44" s="344" t="s">
        <v>4312</v>
      </c>
      <c r="B44" s="295">
        <f t="shared" si="10"/>
        <v>0</v>
      </c>
      <c r="C44" s="1114"/>
      <c r="D44" s="1278"/>
      <c r="E44" s="1278"/>
      <c r="F44" s="1278"/>
      <c r="G44" s="1278"/>
      <c r="H44" s="1278"/>
      <c r="I44" s="1278"/>
      <c r="J44" s="1278"/>
      <c r="K44" s="1278"/>
      <c r="L44" s="1278"/>
      <c r="M44" s="1278"/>
      <c r="N44" s="1278"/>
      <c r="O44" s="1278"/>
      <c r="P44" s="1278"/>
      <c r="Q44" s="1278"/>
      <c r="R44" s="1278"/>
      <c r="S44" s="1278"/>
      <c r="T44" s="1120"/>
      <c r="U44" s="1115"/>
      <c r="V44" s="1114"/>
      <c r="W44" s="1120"/>
      <c r="X44" s="3143">
        <f t="shared" si="11"/>
        <v>0</v>
      </c>
      <c r="Y44" s="1114"/>
      <c r="Z44" s="1278"/>
      <c r="AA44" s="1120"/>
      <c r="AB44" s="3148">
        <f t="shared" si="12"/>
        <v>0</v>
      </c>
      <c r="AC44" s="1114"/>
      <c r="AD44" s="3145"/>
      <c r="AE44" s="1120"/>
      <c r="AF44" s="1338"/>
      <c r="AG44" s="350"/>
      <c r="AH44" t="str">
        <f t="shared" si="13"/>
        <v/>
      </c>
      <c r="CB44" s="135" t="str">
        <f t="shared" si="14"/>
        <v/>
      </c>
      <c r="CC44" s="135" t="str">
        <f t="shared" si="15"/>
        <v/>
      </c>
      <c r="CD44" s="135" t="str">
        <f t="shared" si="16"/>
        <v/>
      </c>
      <c r="CM44" s="84">
        <f t="shared" si="17"/>
        <v>0</v>
      </c>
      <c r="CN44" s="84">
        <f t="shared" si="18"/>
        <v>0</v>
      </c>
      <c r="CO44" s="84">
        <f t="shared" si="19"/>
        <v>0</v>
      </c>
    </row>
    <row r="45" spans="1:93" x14ac:dyDescent="0.3">
      <c r="A45" s="24" t="s">
        <v>1229</v>
      </c>
      <c r="B45" s="295">
        <f t="shared" si="10"/>
        <v>0</v>
      </c>
      <c r="C45" s="3153"/>
      <c r="D45" s="3152"/>
      <c r="E45" s="3152"/>
      <c r="F45" s="3152"/>
      <c r="G45" s="3152"/>
      <c r="H45" s="1278"/>
      <c r="I45" s="1278"/>
      <c r="J45" s="1278"/>
      <c r="K45" s="1278"/>
      <c r="L45" s="1278"/>
      <c r="M45" s="1278"/>
      <c r="N45" s="1278"/>
      <c r="O45" s="1278"/>
      <c r="P45" s="1278"/>
      <c r="Q45" s="1278"/>
      <c r="R45" s="1278"/>
      <c r="S45" s="1278"/>
      <c r="T45" s="1120"/>
      <c r="U45" s="1115"/>
      <c r="V45" s="1114"/>
      <c r="W45" s="1120"/>
      <c r="X45" s="3143">
        <f t="shared" si="11"/>
        <v>0</v>
      </c>
      <c r="Y45" s="1114"/>
      <c r="Z45" s="1278"/>
      <c r="AA45" s="1120"/>
      <c r="AB45" s="3148">
        <f t="shared" si="12"/>
        <v>0</v>
      </c>
      <c r="AC45" s="1114"/>
      <c r="AD45" s="3145"/>
      <c r="AE45" s="1120"/>
      <c r="AF45" s="1338"/>
      <c r="AG45" s="350"/>
      <c r="AH45" t="str">
        <f t="shared" si="13"/>
        <v/>
      </c>
      <c r="CB45" s="135" t="str">
        <f t="shared" si="14"/>
        <v/>
      </c>
      <c r="CC45" s="135" t="str">
        <f t="shared" si="15"/>
        <v/>
      </c>
      <c r="CD45" s="135" t="str">
        <f t="shared" si="16"/>
        <v/>
      </c>
      <c r="CM45" s="84">
        <f t="shared" si="17"/>
        <v>0</v>
      </c>
      <c r="CN45" s="84">
        <f t="shared" si="18"/>
        <v>0</v>
      </c>
      <c r="CO45" s="84">
        <f t="shared" si="19"/>
        <v>0</v>
      </c>
    </row>
    <row r="46" spans="1:93" x14ac:dyDescent="0.3">
      <c r="A46" s="499" t="s">
        <v>1230</v>
      </c>
      <c r="B46" s="295">
        <f t="shared" si="10"/>
        <v>0</v>
      </c>
      <c r="C46" s="3153"/>
      <c r="D46" s="3152"/>
      <c r="E46" s="3152"/>
      <c r="F46" s="3152"/>
      <c r="G46" s="3152"/>
      <c r="H46" s="1278"/>
      <c r="I46" s="1278"/>
      <c r="J46" s="1278"/>
      <c r="K46" s="1278"/>
      <c r="L46" s="1278"/>
      <c r="M46" s="1278"/>
      <c r="N46" s="1278"/>
      <c r="O46" s="1278"/>
      <c r="P46" s="1278"/>
      <c r="Q46" s="1278"/>
      <c r="R46" s="1278"/>
      <c r="S46" s="1278"/>
      <c r="T46" s="1120"/>
      <c r="U46" s="1115"/>
      <c r="V46" s="1114"/>
      <c r="W46" s="1120"/>
      <c r="X46" s="3143">
        <f t="shared" si="11"/>
        <v>0</v>
      </c>
      <c r="Y46" s="1114"/>
      <c r="Z46" s="1278"/>
      <c r="AA46" s="1120"/>
      <c r="AB46" s="3148">
        <f t="shared" si="12"/>
        <v>0</v>
      </c>
      <c r="AC46" s="1114"/>
      <c r="AD46" s="3145"/>
      <c r="AE46" s="1120"/>
      <c r="AF46" s="1338"/>
      <c r="AG46" s="350"/>
      <c r="AH46" t="str">
        <f t="shared" si="13"/>
        <v/>
      </c>
      <c r="CB46" s="135" t="str">
        <f t="shared" si="14"/>
        <v/>
      </c>
      <c r="CC46" s="135" t="str">
        <f t="shared" si="15"/>
        <v/>
      </c>
      <c r="CD46" s="135" t="str">
        <f t="shared" si="16"/>
        <v/>
      </c>
      <c r="CM46" s="84">
        <f t="shared" si="17"/>
        <v>0</v>
      </c>
      <c r="CN46" s="84">
        <f t="shared" si="18"/>
        <v>0</v>
      </c>
      <c r="CO46" s="84">
        <f t="shared" si="19"/>
        <v>0</v>
      </c>
    </row>
    <row r="47" spans="1:93" x14ac:dyDescent="0.3">
      <c r="A47" s="344" t="s">
        <v>4313</v>
      </c>
      <c r="B47" s="295">
        <f t="shared" si="10"/>
        <v>0</v>
      </c>
      <c r="C47" s="3153"/>
      <c r="D47" s="3152"/>
      <c r="E47" s="3152"/>
      <c r="F47" s="3152"/>
      <c r="G47" s="3152"/>
      <c r="H47" s="3152"/>
      <c r="I47" s="3152"/>
      <c r="J47" s="3152"/>
      <c r="K47" s="3152"/>
      <c r="L47" s="3152"/>
      <c r="M47" s="1278"/>
      <c r="N47" s="1278"/>
      <c r="O47" s="1278"/>
      <c r="P47" s="1278"/>
      <c r="Q47" s="1278"/>
      <c r="R47" s="1278"/>
      <c r="S47" s="1278"/>
      <c r="T47" s="1120"/>
      <c r="U47" s="1115"/>
      <c r="V47" s="1114"/>
      <c r="W47" s="1120"/>
      <c r="X47" s="3143">
        <f t="shared" si="11"/>
        <v>0</v>
      </c>
      <c r="Y47" s="1114"/>
      <c r="Z47" s="1278"/>
      <c r="AA47" s="1120"/>
      <c r="AB47" s="3148">
        <f t="shared" si="12"/>
        <v>0</v>
      </c>
      <c r="AC47" s="1114"/>
      <c r="AD47" s="3145"/>
      <c r="AE47" s="1120"/>
      <c r="AF47" s="1338"/>
      <c r="AG47" s="350"/>
      <c r="AH47" t="str">
        <f t="shared" si="13"/>
        <v/>
      </c>
      <c r="CB47" s="135" t="str">
        <f t="shared" si="14"/>
        <v/>
      </c>
      <c r="CC47" s="135" t="str">
        <f t="shared" si="15"/>
        <v/>
      </c>
      <c r="CD47" s="135" t="str">
        <f t="shared" si="16"/>
        <v/>
      </c>
      <c r="CM47" s="84">
        <f t="shared" si="17"/>
        <v>0</v>
      </c>
      <c r="CN47" s="84">
        <f t="shared" si="18"/>
        <v>0</v>
      </c>
      <c r="CO47" s="84">
        <f t="shared" si="19"/>
        <v>0</v>
      </c>
    </row>
    <row r="48" spans="1:93" x14ac:dyDescent="0.3">
      <c r="A48" s="344" t="s">
        <v>4315</v>
      </c>
      <c r="B48" s="295">
        <f t="shared" si="10"/>
        <v>0</v>
      </c>
      <c r="C48" s="3153"/>
      <c r="D48" s="3152"/>
      <c r="E48" s="3152"/>
      <c r="F48" s="3152"/>
      <c r="G48" s="3152"/>
      <c r="H48" s="1278"/>
      <c r="I48" s="1278"/>
      <c r="J48" s="1278"/>
      <c r="K48" s="1278"/>
      <c r="L48" s="1278"/>
      <c r="M48" s="1278"/>
      <c r="N48" s="1278"/>
      <c r="O48" s="1278"/>
      <c r="P48" s="1278"/>
      <c r="Q48" s="1278"/>
      <c r="R48" s="1278"/>
      <c r="S48" s="1278"/>
      <c r="T48" s="1120"/>
      <c r="U48" s="3085"/>
      <c r="V48" s="290"/>
      <c r="W48" s="431"/>
      <c r="X48" s="3141">
        <f t="shared" si="11"/>
        <v>0</v>
      </c>
      <c r="Y48" s="1114"/>
      <c r="Z48" s="1278"/>
      <c r="AA48" s="1120"/>
      <c r="AB48" s="3148">
        <f t="shared" si="12"/>
        <v>0</v>
      </c>
      <c r="AC48" s="1114"/>
      <c r="AD48" s="3145"/>
      <c r="AE48" s="1120"/>
      <c r="AF48" s="1338"/>
      <c r="AG48" s="350"/>
      <c r="AH48" t="str">
        <f t="shared" si="13"/>
        <v/>
      </c>
      <c r="CB48" s="135" t="str">
        <f t="shared" si="14"/>
        <v/>
      </c>
      <c r="CC48" s="135" t="str">
        <f t="shared" si="15"/>
        <v/>
      </c>
      <c r="CD48" s="135" t="str">
        <f t="shared" si="16"/>
        <v/>
      </c>
      <c r="CM48" s="84">
        <f t="shared" si="17"/>
        <v>0</v>
      </c>
      <c r="CN48" s="84">
        <f t="shared" si="18"/>
        <v>0</v>
      </c>
      <c r="CO48" s="84">
        <f t="shared" si="19"/>
        <v>0</v>
      </c>
    </row>
    <row r="49" spans="1:93" x14ac:dyDescent="0.3">
      <c r="A49" s="344" t="s">
        <v>1231</v>
      </c>
      <c r="B49" s="295">
        <f t="shared" si="10"/>
        <v>0</v>
      </c>
      <c r="C49" s="1114"/>
      <c r="D49" s="1278"/>
      <c r="E49" s="1278"/>
      <c r="F49" s="1278"/>
      <c r="G49" s="1278"/>
      <c r="H49" s="1278"/>
      <c r="I49" s="1278"/>
      <c r="J49" s="1278"/>
      <c r="K49" s="1278"/>
      <c r="L49" s="1278"/>
      <c r="M49" s="1278"/>
      <c r="N49" s="1278"/>
      <c r="O49" s="1278"/>
      <c r="P49" s="1278"/>
      <c r="Q49" s="1278"/>
      <c r="R49" s="1278"/>
      <c r="S49" s="1278"/>
      <c r="T49" s="1120"/>
      <c r="U49" s="1115"/>
      <c r="V49" s="1114"/>
      <c r="W49" s="1120"/>
      <c r="X49" s="3143">
        <f t="shared" si="11"/>
        <v>0</v>
      </c>
      <c r="Y49" s="1114"/>
      <c r="Z49" s="1278"/>
      <c r="AA49" s="1120"/>
      <c r="AB49" s="3148">
        <f t="shared" si="12"/>
        <v>0</v>
      </c>
      <c r="AC49" s="1114"/>
      <c r="AD49" s="3145"/>
      <c r="AE49" s="1120"/>
      <c r="AF49" s="1338"/>
      <c r="AG49" s="350"/>
      <c r="AH49" t="str">
        <f t="shared" si="13"/>
        <v/>
      </c>
      <c r="CB49" s="135" t="str">
        <f t="shared" si="14"/>
        <v/>
      </c>
      <c r="CC49" s="135" t="str">
        <f t="shared" si="15"/>
        <v/>
      </c>
      <c r="CD49" s="135" t="str">
        <f t="shared" si="16"/>
        <v/>
      </c>
      <c r="CM49" s="84">
        <f t="shared" si="17"/>
        <v>0</v>
      </c>
      <c r="CN49" s="84">
        <f t="shared" si="18"/>
        <v>0</v>
      </c>
      <c r="CO49" s="84">
        <f t="shared" si="19"/>
        <v>0</v>
      </c>
    </row>
    <row r="50" spans="1:93" x14ac:dyDescent="0.3">
      <c r="A50" s="344" t="s">
        <v>1232</v>
      </c>
      <c r="B50" s="295">
        <f t="shared" si="10"/>
        <v>0</v>
      </c>
      <c r="C50" s="1114"/>
      <c r="D50" s="1278"/>
      <c r="E50" s="1278"/>
      <c r="F50" s="1278"/>
      <c r="G50" s="1278"/>
      <c r="H50" s="1278"/>
      <c r="I50" s="1278"/>
      <c r="J50" s="1278"/>
      <c r="K50" s="1278"/>
      <c r="L50" s="1278"/>
      <c r="M50" s="1278"/>
      <c r="N50" s="1278"/>
      <c r="O50" s="1278"/>
      <c r="P50" s="1278"/>
      <c r="Q50" s="1278"/>
      <c r="R50" s="1278"/>
      <c r="S50" s="1278"/>
      <c r="T50" s="1120"/>
      <c r="U50" s="1115"/>
      <c r="V50" s="1114"/>
      <c r="W50" s="1120"/>
      <c r="X50" s="3143">
        <f t="shared" si="11"/>
        <v>0</v>
      </c>
      <c r="Y50" s="1114"/>
      <c r="Z50" s="1278"/>
      <c r="AA50" s="1120"/>
      <c r="AB50" s="3148">
        <f t="shared" si="12"/>
        <v>0</v>
      </c>
      <c r="AC50" s="1114"/>
      <c r="AD50" s="3145"/>
      <c r="AE50" s="1120"/>
      <c r="AF50" s="1338"/>
      <c r="AG50" s="350"/>
      <c r="AH50" t="str">
        <f t="shared" si="13"/>
        <v/>
      </c>
      <c r="CB50" s="135" t="str">
        <f t="shared" si="14"/>
        <v/>
      </c>
      <c r="CC50" s="135" t="str">
        <f t="shared" si="15"/>
        <v/>
      </c>
      <c r="CD50" s="135" t="str">
        <f t="shared" si="16"/>
        <v/>
      </c>
      <c r="CM50" s="84">
        <f t="shared" si="17"/>
        <v>0</v>
      </c>
      <c r="CN50" s="84">
        <f t="shared" si="18"/>
        <v>0</v>
      </c>
      <c r="CO50" s="84">
        <f t="shared" si="19"/>
        <v>0</v>
      </c>
    </row>
    <row r="51" spans="1:93" x14ac:dyDescent="0.3">
      <c r="A51" s="344" t="s">
        <v>1233</v>
      </c>
      <c r="B51" s="295">
        <f t="shared" si="10"/>
        <v>0</v>
      </c>
      <c r="C51" s="1114"/>
      <c r="D51" s="1278"/>
      <c r="E51" s="1278"/>
      <c r="F51" s="1278"/>
      <c r="G51" s="1278"/>
      <c r="H51" s="1278"/>
      <c r="I51" s="1278"/>
      <c r="J51" s="1278"/>
      <c r="K51" s="1278"/>
      <c r="L51" s="1278"/>
      <c r="M51" s="1278"/>
      <c r="N51" s="1278"/>
      <c r="O51" s="1278"/>
      <c r="P51" s="1278"/>
      <c r="Q51" s="1278"/>
      <c r="R51" s="1278"/>
      <c r="S51" s="1278"/>
      <c r="T51" s="1120"/>
      <c r="U51" s="1115"/>
      <c r="V51" s="1114"/>
      <c r="W51" s="1120"/>
      <c r="X51" s="3143">
        <f t="shared" si="11"/>
        <v>0</v>
      </c>
      <c r="Y51" s="1114"/>
      <c r="Z51" s="1278"/>
      <c r="AA51" s="1120"/>
      <c r="AB51" s="3148">
        <f t="shared" si="12"/>
        <v>0</v>
      </c>
      <c r="AC51" s="1114"/>
      <c r="AD51" s="3145"/>
      <c r="AE51" s="1120"/>
      <c r="AF51" s="1338"/>
      <c r="AG51" s="350"/>
      <c r="AH51" t="str">
        <f t="shared" si="13"/>
        <v/>
      </c>
      <c r="CB51" s="135" t="str">
        <f t="shared" si="14"/>
        <v/>
      </c>
      <c r="CC51" s="135" t="str">
        <f t="shared" si="15"/>
        <v/>
      </c>
      <c r="CD51" s="135" t="str">
        <f t="shared" si="16"/>
        <v/>
      </c>
      <c r="CM51" s="84">
        <f t="shared" si="17"/>
        <v>0</v>
      </c>
      <c r="CN51" s="84">
        <f t="shared" si="18"/>
        <v>0</v>
      </c>
      <c r="CO51" s="84">
        <f t="shared" si="19"/>
        <v>0</v>
      </c>
    </row>
    <row r="52" spans="1:93" x14ac:dyDescent="0.3">
      <c r="A52" s="344" t="s">
        <v>1234</v>
      </c>
      <c r="B52" s="295">
        <f t="shared" si="10"/>
        <v>0</v>
      </c>
      <c r="C52" s="1114"/>
      <c r="D52" s="1278"/>
      <c r="E52" s="1278"/>
      <c r="F52" s="1278"/>
      <c r="G52" s="1278"/>
      <c r="H52" s="1278"/>
      <c r="I52" s="1278"/>
      <c r="J52" s="1278"/>
      <c r="K52" s="1278"/>
      <c r="L52" s="1278"/>
      <c r="M52" s="1278"/>
      <c r="N52" s="1278"/>
      <c r="O52" s="1278"/>
      <c r="P52" s="1278"/>
      <c r="Q52" s="1278"/>
      <c r="R52" s="1278"/>
      <c r="S52" s="1278"/>
      <c r="T52" s="1120"/>
      <c r="U52" s="1115"/>
      <c r="V52" s="1114"/>
      <c r="W52" s="1120"/>
      <c r="X52" s="3143">
        <f t="shared" si="11"/>
        <v>0</v>
      </c>
      <c r="Y52" s="1114"/>
      <c r="Z52" s="1278"/>
      <c r="AA52" s="1120"/>
      <c r="AB52" s="3148">
        <f t="shared" si="12"/>
        <v>0</v>
      </c>
      <c r="AC52" s="1114"/>
      <c r="AD52" s="3145"/>
      <c r="AE52" s="1120"/>
      <c r="AF52" s="1338"/>
      <c r="AG52" s="350"/>
      <c r="AH52" t="str">
        <f t="shared" si="13"/>
        <v/>
      </c>
      <c r="CB52" s="135" t="str">
        <f t="shared" si="14"/>
        <v/>
      </c>
      <c r="CC52" s="135" t="str">
        <f t="shared" si="15"/>
        <v/>
      </c>
      <c r="CD52" s="135" t="str">
        <f t="shared" si="16"/>
        <v/>
      </c>
      <c r="CM52" s="84">
        <f t="shared" si="17"/>
        <v>0</v>
      </c>
      <c r="CN52" s="84">
        <f t="shared" si="18"/>
        <v>0</v>
      </c>
      <c r="CO52" s="84">
        <f t="shared" si="19"/>
        <v>0</v>
      </c>
    </row>
    <row r="53" spans="1:93" x14ac:dyDescent="0.3">
      <c r="A53" s="344" t="s">
        <v>1235</v>
      </c>
      <c r="B53" s="295">
        <f t="shared" si="10"/>
        <v>0</v>
      </c>
      <c r="C53" s="1114"/>
      <c r="D53" s="1278"/>
      <c r="E53" s="1278"/>
      <c r="F53" s="1278"/>
      <c r="G53" s="1278"/>
      <c r="H53" s="1278"/>
      <c r="I53" s="1278"/>
      <c r="J53" s="1278"/>
      <c r="K53" s="1278"/>
      <c r="L53" s="1278"/>
      <c r="M53" s="1278"/>
      <c r="N53" s="1278"/>
      <c r="O53" s="1278"/>
      <c r="P53" s="1278"/>
      <c r="Q53" s="1278"/>
      <c r="R53" s="1278"/>
      <c r="S53" s="1278"/>
      <c r="T53" s="1120"/>
      <c r="U53" s="1115"/>
      <c r="V53" s="1114"/>
      <c r="W53" s="1120"/>
      <c r="X53" s="3143">
        <f t="shared" si="11"/>
        <v>0</v>
      </c>
      <c r="Y53" s="1114"/>
      <c r="Z53" s="1278"/>
      <c r="AA53" s="1120"/>
      <c r="AB53" s="3148">
        <f t="shared" si="12"/>
        <v>0</v>
      </c>
      <c r="AC53" s="1114"/>
      <c r="AD53" s="3145"/>
      <c r="AE53" s="1120"/>
      <c r="AF53" s="1338"/>
      <c r="AG53" s="350"/>
      <c r="AH53" t="str">
        <f t="shared" si="13"/>
        <v/>
      </c>
      <c r="CB53" s="135" t="str">
        <f t="shared" si="14"/>
        <v/>
      </c>
      <c r="CC53" s="135" t="str">
        <f t="shared" si="15"/>
        <v/>
      </c>
      <c r="CD53" s="135" t="str">
        <f t="shared" si="16"/>
        <v/>
      </c>
      <c r="CM53" s="84">
        <f t="shared" si="17"/>
        <v>0</v>
      </c>
      <c r="CN53" s="84">
        <f t="shared" si="18"/>
        <v>0</v>
      </c>
      <c r="CO53" s="84">
        <f t="shared" si="19"/>
        <v>0</v>
      </c>
    </row>
    <row r="54" spans="1:93" x14ac:dyDescent="0.3">
      <c r="A54" s="250" t="s">
        <v>1236</v>
      </c>
      <c r="B54" s="295">
        <f t="shared" si="10"/>
        <v>0</v>
      </c>
      <c r="C54" s="1114"/>
      <c r="D54" s="1278"/>
      <c r="E54" s="1278"/>
      <c r="F54" s="1278"/>
      <c r="G54" s="1278"/>
      <c r="H54" s="1278"/>
      <c r="I54" s="1278"/>
      <c r="J54" s="1278"/>
      <c r="K54" s="1278"/>
      <c r="L54" s="1278"/>
      <c r="M54" s="1278"/>
      <c r="N54" s="1278"/>
      <c r="O54" s="1278"/>
      <c r="P54" s="1278"/>
      <c r="Q54" s="1278"/>
      <c r="R54" s="1278"/>
      <c r="S54" s="1278"/>
      <c r="T54" s="1120"/>
      <c r="U54" s="1115"/>
      <c r="V54" s="1114"/>
      <c r="W54" s="1120"/>
      <c r="X54" s="3143">
        <f t="shared" si="11"/>
        <v>0</v>
      </c>
      <c r="Y54" s="1114"/>
      <c r="Z54" s="1278"/>
      <c r="AA54" s="1120"/>
      <c r="AB54" s="3148">
        <f t="shared" si="12"/>
        <v>0</v>
      </c>
      <c r="AC54" s="1114"/>
      <c r="AD54" s="3145"/>
      <c r="AE54" s="1120"/>
      <c r="AF54" s="1338"/>
      <c r="AG54" s="350"/>
      <c r="AH54" t="str">
        <f t="shared" si="13"/>
        <v/>
      </c>
      <c r="CB54" s="135" t="str">
        <f t="shared" si="14"/>
        <v/>
      </c>
      <c r="CC54" s="135" t="str">
        <f t="shared" si="15"/>
        <v/>
      </c>
      <c r="CD54" s="135" t="str">
        <f t="shared" si="16"/>
        <v/>
      </c>
      <c r="CM54" s="84">
        <f t="shared" si="17"/>
        <v>0</v>
      </c>
      <c r="CN54" s="84">
        <f t="shared" si="18"/>
        <v>0</v>
      </c>
      <c r="CO54" s="84">
        <f t="shared" si="19"/>
        <v>0</v>
      </c>
    </row>
    <row r="55" spans="1:93" x14ac:dyDescent="0.3">
      <c r="A55" s="499" t="s">
        <v>1427</v>
      </c>
      <c r="B55" s="295">
        <f t="shared" si="10"/>
        <v>0</v>
      </c>
      <c r="C55" s="1114"/>
      <c r="D55" s="1278"/>
      <c r="E55" s="1278"/>
      <c r="F55" s="1278"/>
      <c r="G55" s="1278"/>
      <c r="H55" s="1278"/>
      <c r="I55" s="1278"/>
      <c r="J55" s="1278"/>
      <c r="K55" s="1278"/>
      <c r="L55" s="1278"/>
      <c r="M55" s="1278"/>
      <c r="N55" s="1278"/>
      <c r="O55" s="1278"/>
      <c r="P55" s="1278"/>
      <c r="Q55" s="1278"/>
      <c r="R55" s="1278"/>
      <c r="S55" s="1278"/>
      <c r="T55" s="1120"/>
      <c r="U55" s="1115"/>
      <c r="V55" s="1114"/>
      <c r="W55" s="1120"/>
      <c r="X55" s="3143">
        <f t="shared" si="11"/>
        <v>0</v>
      </c>
      <c r="Y55" s="1114"/>
      <c r="Z55" s="1278"/>
      <c r="AA55" s="1120"/>
      <c r="AB55" s="3148">
        <f t="shared" si="12"/>
        <v>0</v>
      </c>
      <c r="AC55" s="1114"/>
      <c r="AD55" s="3145"/>
      <c r="AE55" s="1120"/>
      <c r="AF55" s="1338"/>
      <c r="AG55" s="350"/>
      <c r="AH55" t="str">
        <f t="shared" si="13"/>
        <v/>
      </c>
      <c r="CB55" s="135" t="str">
        <f t="shared" si="14"/>
        <v/>
      </c>
      <c r="CC55" s="135" t="str">
        <f t="shared" si="15"/>
        <v/>
      </c>
      <c r="CD55" s="135" t="str">
        <f t="shared" si="16"/>
        <v/>
      </c>
      <c r="CM55" s="84">
        <f t="shared" si="17"/>
        <v>0</v>
      </c>
      <c r="CN55" s="84">
        <f t="shared" si="18"/>
        <v>0</v>
      </c>
      <c r="CO55" s="84">
        <f t="shared" si="19"/>
        <v>0</v>
      </c>
    </row>
    <row r="56" spans="1:93" x14ac:dyDescent="0.3">
      <c r="A56" s="499" t="s">
        <v>4306</v>
      </c>
      <c r="B56" s="295">
        <f t="shared" si="10"/>
        <v>0</v>
      </c>
      <c r="C56" s="1114"/>
      <c r="D56" s="1278"/>
      <c r="E56" s="1278"/>
      <c r="F56" s="1278"/>
      <c r="G56" s="1278"/>
      <c r="H56" s="1278"/>
      <c r="I56" s="1278"/>
      <c r="J56" s="1278"/>
      <c r="K56" s="1278"/>
      <c r="L56" s="1278"/>
      <c r="M56" s="1278"/>
      <c r="N56" s="1278"/>
      <c r="O56" s="1278"/>
      <c r="P56" s="1278"/>
      <c r="Q56" s="1278"/>
      <c r="R56" s="1278"/>
      <c r="S56" s="1278"/>
      <c r="T56" s="1120"/>
      <c r="U56" s="1115"/>
      <c r="V56" s="1114"/>
      <c r="W56" s="1120"/>
      <c r="X56" s="3143">
        <f t="shared" si="11"/>
        <v>0</v>
      </c>
      <c r="Y56" s="1114"/>
      <c r="Z56" s="1278"/>
      <c r="AA56" s="1120"/>
      <c r="AB56" s="3148">
        <f t="shared" si="12"/>
        <v>0</v>
      </c>
      <c r="AC56" s="1114"/>
      <c r="AD56" s="3145"/>
      <c r="AE56" s="1120"/>
      <c r="AF56" s="1338"/>
      <c r="AG56" s="350"/>
      <c r="AH56" t="str">
        <f t="shared" si="13"/>
        <v/>
      </c>
      <c r="CB56" s="135" t="str">
        <f t="shared" si="14"/>
        <v/>
      </c>
      <c r="CC56" s="135" t="str">
        <f t="shared" si="15"/>
        <v/>
      </c>
      <c r="CD56" s="135" t="str">
        <f t="shared" si="16"/>
        <v/>
      </c>
      <c r="CM56" s="84">
        <f t="shared" si="17"/>
        <v>0</v>
      </c>
      <c r="CN56" s="84">
        <f t="shared" si="18"/>
        <v>0</v>
      </c>
      <c r="CO56" s="84">
        <f t="shared" si="19"/>
        <v>0</v>
      </c>
    </row>
    <row r="57" spans="1:93" x14ac:dyDescent="0.3">
      <c r="A57" s="3150" t="s">
        <v>4319</v>
      </c>
      <c r="B57" s="295">
        <f t="shared" si="10"/>
        <v>0</v>
      </c>
      <c r="C57" s="1114"/>
      <c r="D57" s="1278"/>
      <c r="E57" s="1278"/>
      <c r="F57" s="1278"/>
      <c r="G57" s="1278"/>
      <c r="H57" s="1278"/>
      <c r="I57" s="1278"/>
      <c r="J57" s="1278"/>
      <c r="K57" s="1278"/>
      <c r="L57" s="1278"/>
      <c r="M57" s="1278"/>
      <c r="N57" s="1278"/>
      <c r="O57" s="1278"/>
      <c r="P57" s="1278"/>
      <c r="Q57" s="1278"/>
      <c r="R57" s="1278"/>
      <c r="S57" s="1278"/>
      <c r="T57" s="1120"/>
      <c r="U57" s="1115"/>
      <c r="V57" s="1114"/>
      <c r="W57" s="1120"/>
      <c r="X57" s="3143">
        <f t="shared" si="11"/>
        <v>0</v>
      </c>
      <c r="Y57" s="1114"/>
      <c r="Z57" s="1278"/>
      <c r="AA57" s="1120"/>
      <c r="AB57" s="3148">
        <f t="shared" si="12"/>
        <v>0</v>
      </c>
      <c r="AC57" s="1114"/>
      <c r="AD57" s="3145"/>
      <c r="AE57" s="1120"/>
      <c r="AF57" s="1338"/>
      <c r="AG57" s="350"/>
      <c r="AH57" t="str">
        <f t="shared" si="13"/>
        <v/>
      </c>
      <c r="CB57" s="135" t="str">
        <f t="shared" si="14"/>
        <v/>
      </c>
      <c r="CC57" s="135" t="str">
        <f t="shared" si="15"/>
        <v/>
      </c>
      <c r="CD57" s="135" t="str">
        <f t="shared" si="16"/>
        <v/>
      </c>
      <c r="CM57" s="84">
        <f t="shared" si="17"/>
        <v>0</v>
      </c>
      <c r="CN57" s="84">
        <f t="shared" si="18"/>
        <v>0</v>
      </c>
      <c r="CO57" s="84">
        <f t="shared" si="19"/>
        <v>0</v>
      </c>
    </row>
    <row r="58" spans="1:93" x14ac:dyDescent="0.3">
      <c r="A58" s="344" t="s">
        <v>1237</v>
      </c>
      <c r="B58" s="295">
        <f t="shared" si="10"/>
        <v>0</v>
      </c>
      <c r="C58" s="1114"/>
      <c r="D58" s="1278"/>
      <c r="E58" s="1278"/>
      <c r="F58" s="1278"/>
      <c r="G58" s="1278"/>
      <c r="H58" s="1278"/>
      <c r="I58" s="1278"/>
      <c r="J58" s="1278"/>
      <c r="K58" s="1278"/>
      <c r="L58" s="1278"/>
      <c r="M58" s="1278"/>
      <c r="N58" s="1278"/>
      <c r="O58" s="1278"/>
      <c r="P58" s="1278"/>
      <c r="Q58" s="1278"/>
      <c r="R58" s="1278"/>
      <c r="S58" s="1278"/>
      <c r="T58" s="1120"/>
      <c r="U58" s="1115"/>
      <c r="V58" s="1114"/>
      <c r="W58" s="1120"/>
      <c r="X58" s="3143">
        <f t="shared" si="11"/>
        <v>0</v>
      </c>
      <c r="Y58" s="1114"/>
      <c r="Z58" s="1278"/>
      <c r="AA58" s="1120"/>
      <c r="AB58" s="3148">
        <f t="shared" si="12"/>
        <v>0</v>
      </c>
      <c r="AC58" s="1114"/>
      <c r="AD58" s="3145"/>
      <c r="AE58" s="1120"/>
      <c r="AF58" s="1338"/>
      <c r="AG58" s="350"/>
      <c r="AH58" t="str">
        <f t="shared" si="13"/>
        <v/>
      </c>
      <c r="CB58" s="135" t="str">
        <f t="shared" si="14"/>
        <v/>
      </c>
      <c r="CC58" s="135" t="str">
        <f t="shared" si="15"/>
        <v/>
      </c>
      <c r="CD58" s="135" t="str">
        <f t="shared" si="16"/>
        <v/>
      </c>
      <c r="CM58" s="84">
        <f t="shared" si="17"/>
        <v>0</v>
      </c>
      <c r="CN58" s="84">
        <f t="shared" si="18"/>
        <v>0</v>
      </c>
      <c r="CO58" s="84">
        <f t="shared" si="19"/>
        <v>0</v>
      </c>
    </row>
    <row r="59" spans="1:93" x14ac:dyDescent="0.3">
      <c r="A59" s="344" t="s">
        <v>1238</v>
      </c>
      <c r="B59" s="295">
        <f t="shared" si="10"/>
        <v>0</v>
      </c>
      <c r="C59" s="1114"/>
      <c r="D59" s="1278"/>
      <c r="E59" s="1278"/>
      <c r="F59" s="1278"/>
      <c r="G59" s="1278"/>
      <c r="H59" s="1278"/>
      <c r="I59" s="1278"/>
      <c r="J59" s="1278"/>
      <c r="K59" s="1278"/>
      <c r="L59" s="1278"/>
      <c r="M59" s="1278"/>
      <c r="N59" s="1278"/>
      <c r="O59" s="1278"/>
      <c r="P59" s="1278"/>
      <c r="Q59" s="1278"/>
      <c r="R59" s="1278"/>
      <c r="S59" s="1278"/>
      <c r="T59" s="1120"/>
      <c r="U59" s="1115"/>
      <c r="V59" s="1114"/>
      <c r="W59" s="1120"/>
      <c r="X59" s="3143">
        <f t="shared" si="11"/>
        <v>0</v>
      </c>
      <c r="Y59" s="1114"/>
      <c r="Z59" s="1278"/>
      <c r="AA59" s="1120"/>
      <c r="AB59" s="3148">
        <f t="shared" si="12"/>
        <v>0</v>
      </c>
      <c r="AC59" s="1114"/>
      <c r="AD59" s="3145"/>
      <c r="AE59" s="1120"/>
      <c r="AF59" s="1338"/>
      <c r="AG59" s="350"/>
      <c r="AH59" t="str">
        <f t="shared" si="13"/>
        <v/>
      </c>
      <c r="CB59" s="135" t="str">
        <f t="shared" si="14"/>
        <v/>
      </c>
      <c r="CC59" s="135" t="str">
        <f t="shared" si="15"/>
        <v/>
      </c>
      <c r="CD59" s="135" t="str">
        <f t="shared" si="16"/>
        <v/>
      </c>
      <c r="CM59" s="84">
        <f t="shared" si="17"/>
        <v>0</v>
      </c>
      <c r="CN59" s="84">
        <f t="shared" si="18"/>
        <v>0</v>
      </c>
      <c r="CO59" s="84">
        <f t="shared" si="19"/>
        <v>0</v>
      </c>
    </row>
    <row r="60" spans="1:93" x14ac:dyDescent="0.3">
      <c r="A60" s="344" t="s">
        <v>1428</v>
      </c>
      <c r="B60" s="295">
        <f t="shared" si="10"/>
        <v>0</v>
      </c>
      <c r="C60" s="1114"/>
      <c r="D60" s="1278"/>
      <c r="E60" s="1278"/>
      <c r="F60" s="1278"/>
      <c r="G60" s="1278"/>
      <c r="H60" s="1278"/>
      <c r="I60" s="1278"/>
      <c r="J60" s="1278"/>
      <c r="K60" s="1278"/>
      <c r="L60" s="1278"/>
      <c r="M60" s="1278"/>
      <c r="N60" s="1278"/>
      <c r="O60" s="1278"/>
      <c r="P60" s="1278"/>
      <c r="Q60" s="1278"/>
      <c r="R60" s="1278"/>
      <c r="S60" s="1278"/>
      <c r="T60" s="1120"/>
      <c r="U60" s="1115"/>
      <c r="V60" s="1114"/>
      <c r="W60" s="1120"/>
      <c r="X60" s="3143">
        <f t="shared" si="11"/>
        <v>0</v>
      </c>
      <c r="Y60" s="1114"/>
      <c r="Z60" s="1278"/>
      <c r="AA60" s="1120"/>
      <c r="AB60" s="3148">
        <f t="shared" si="12"/>
        <v>0</v>
      </c>
      <c r="AC60" s="1114"/>
      <c r="AD60" s="3145"/>
      <c r="AE60" s="1120"/>
      <c r="AF60" s="1338"/>
      <c r="AG60" s="350"/>
      <c r="AH60" t="str">
        <f t="shared" si="13"/>
        <v/>
      </c>
      <c r="CB60" s="135" t="str">
        <f t="shared" si="14"/>
        <v/>
      </c>
      <c r="CC60" s="135" t="str">
        <f t="shared" si="15"/>
        <v/>
      </c>
      <c r="CD60" s="135" t="str">
        <f t="shared" si="16"/>
        <v/>
      </c>
      <c r="CM60" s="84">
        <f t="shared" si="17"/>
        <v>0</v>
      </c>
      <c r="CN60" s="84">
        <f t="shared" si="18"/>
        <v>0</v>
      </c>
      <c r="CO60" s="84">
        <f t="shared" si="19"/>
        <v>0</v>
      </c>
    </row>
    <row r="61" spans="1:93" x14ac:dyDescent="0.3">
      <c r="A61" s="344" t="s">
        <v>1431</v>
      </c>
      <c r="B61" s="295">
        <f t="shared" si="10"/>
        <v>0</v>
      </c>
      <c r="C61" s="1114"/>
      <c r="D61" s="1278"/>
      <c r="E61" s="1278"/>
      <c r="F61" s="1278"/>
      <c r="G61" s="1278"/>
      <c r="H61" s="1278"/>
      <c r="I61" s="1278"/>
      <c r="J61" s="1278"/>
      <c r="K61" s="1278"/>
      <c r="L61" s="1278"/>
      <c r="M61" s="1278"/>
      <c r="N61" s="1278"/>
      <c r="O61" s="1278"/>
      <c r="P61" s="1278"/>
      <c r="Q61" s="1278"/>
      <c r="R61" s="1278"/>
      <c r="S61" s="1278"/>
      <c r="T61" s="1120"/>
      <c r="U61" s="1115"/>
      <c r="V61" s="1114"/>
      <c r="W61" s="1120"/>
      <c r="X61" s="3143">
        <f t="shared" si="11"/>
        <v>0</v>
      </c>
      <c r="Y61" s="1114"/>
      <c r="Z61" s="1278"/>
      <c r="AA61" s="1120"/>
      <c r="AB61" s="3148">
        <f t="shared" si="12"/>
        <v>0</v>
      </c>
      <c r="AC61" s="1114"/>
      <c r="AD61" s="3145"/>
      <c r="AE61" s="1120"/>
      <c r="AF61" s="1338"/>
      <c r="AG61" s="350"/>
      <c r="AH61" t="str">
        <f t="shared" si="13"/>
        <v/>
      </c>
      <c r="CB61" s="135" t="str">
        <f t="shared" si="14"/>
        <v/>
      </c>
      <c r="CC61" s="135" t="str">
        <f t="shared" si="15"/>
        <v/>
      </c>
      <c r="CD61" s="135" t="str">
        <f t="shared" si="16"/>
        <v/>
      </c>
      <c r="CM61" s="84">
        <f t="shared" si="17"/>
        <v>0</v>
      </c>
      <c r="CN61" s="84">
        <f t="shared" si="18"/>
        <v>0</v>
      </c>
      <c r="CO61" s="84">
        <f t="shared" si="19"/>
        <v>0</v>
      </c>
    </row>
    <row r="62" spans="1:93" x14ac:dyDescent="0.3">
      <c r="A62" s="344" t="s">
        <v>1239</v>
      </c>
      <c r="B62" s="295">
        <f t="shared" si="10"/>
        <v>0</v>
      </c>
      <c r="C62" s="1114"/>
      <c r="D62" s="1278"/>
      <c r="E62" s="1278"/>
      <c r="F62" s="1278"/>
      <c r="G62" s="1278"/>
      <c r="H62" s="1278"/>
      <c r="I62" s="1278"/>
      <c r="J62" s="1278"/>
      <c r="K62" s="1278"/>
      <c r="L62" s="1278"/>
      <c r="M62" s="1278"/>
      <c r="N62" s="1278"/>
      <c r="O62" s="1278"/>
      <c r="P62" s="1278"/>
      <c r="Q62" s="1278"/>
      <c r="R62" s="1278"/>
      <c r="S62" s="1278"/>
      <c r="T62" s="1120"/>
      <c r="U62" s="1115"/>
      <c r="V62" s="1114"/>
      <c r="W62" s="1120"/>
      <c r="X62" s="3143">
        <f t="shared" si="11"/>
        <v>0</v>
      </c>
      <c r="Y62" s="1114"/>
      <c r="Z62" s="1278"/>
      <c r="AA62" s="1120"/>
      <c r="AB62" s="3148">
        <f t="shared" si="12"/>
        <v>0</v>
      </c>
      <c r="AC62" s="1114"/>
      <c r="AD62" s="3145"/>
      <c r="AE62" s="1120"/>
      <c r="AF62" s="1338"/>
      <c r="AG62" s="350"/>
      <c r="AH62" t="str">
        <f t="shared" si="13"/>
        <v/>
      </c>
      <c r="CB62" s="135" t="str">
        <f t="shared" si="14"/>
        <v/>
      </c>
      <c r="CC62" s="135" t="str">
        <f t="shared" si="15"/>
        <v/>
      </c>
      <c r="CD62" s="135" t="str">
        <f t="shared" si="16"/>
        <v/>
      </c>
      <c r="CM62" s="84">
        <f t="shared" si="17"/>
        <v>0</v>
      </c>
      <c r="CN62" s="84">
        <f t="shared" si="18"/>
        <v>0</v>
      </c>
      <c r="CO62" s="84">
        <f t="shared" si="19"/>
        <v>0</v>
      </c>
    </row>
    <row r="63" spans="1:93" x14ac:dyDescent="0.3">
      <c r="A63" s="344" t="s">
        <v>1240</v>
      </c>
      <c r="B63" s="295">
        <f>SUM(C63:T63)</f>
        <v>0</v>
      </c>
      <c r="C63" s="1114"/>
      <c r="D63" s="1278"/>
      <c r="E63" s="1278"/>
      <c r="F63" s="1278"/>
      <c r="G63" s="1278"/>
      <c r="H63" s="1278"/>
      <c r="I63" s="1278"/>
      <c r="J63" s="1278"/>
      <c r="K63" s="1278"/>
      <c r="L63" s="1278"/>
      <c r="M63" s="1278"/>
      <c r="N63" s="1278"/>
      <c r="O63" s="1278"/>
      <c r="P63" s="1278"/>
      <c r="Q63" s="1278"/>
      <c r="R63" s="1278"/>
      <c r="S63" s="1278"/>
      <c r="T63" s="1120"/>
      <c r="U63" s="1115"/>
      <c r="V63" s="1114"/>
      <c r="W63" s="1120"/>
      <c r="X63" s="3143">
        <f t="shared" si="11"/>
        <v>0</v>
      </c>
      <c r="Y63" s="1114"/>
      <c r="Z63" s="1278"/>
      <c r="AA63" s="1120"/>
      <c r="AB63" s="3148">
        <f t="shared" si="12"/>
        <v>0</v>
      </c>
      <c r="AC63" s="1114"/>
      <c r="AD63" s="3145"/>
      <c r="AE63" s="1120"/>
      <c r="AF63" s="1338"/>
      <c r="AG63" s="350"/>
      <c r="AH63" t="str">
        <f t="shared" si="13"/>
        <v/>
      </c>
      <c r="CB63" s="135" t="str">
        <f t="shared" si="14"/>
        <v/>
      </c>
      <c r="CC63" s="135" t="str">
        <f t="shared" si="15"/>
        <v/>
      </c>
      <c r="CD63" s="135" t="str">
        <f t="shared" si="16"/>
        <v/>
      </c>
      <c r="CM63" s="84">
        <f t="shared" si="17"/>
        <v>0</v>
      </c>
      <c r="CN63" s="84">
        <f t="shared" si="18"/>
        <v>0</v>
      </c>
      <c r="CO63" s="84">
        <f t="shared" si="19"/>
        <v>0</v>
      </c>
    </row>
    <row r="64" spans="1:93" x14ac:dyDescent="0.3">
      <c r="A64" s="344" t="s">
        <v>1241</v>
      </c>
      <c r="B64" s="295">
        <f>SUM(C64:T64)</f>
        <v>0</v>
      </c>
      <c r="C64" s="1114"/>
      <c r="D64" s="1278"/>
      <c r="E64" s="1278"/>
      <c r="F64" s="1278"/>
      <c r="G64" s="1278"/>
      <c r="H64" s="1278"/>
      <c r="I64" s="1278"/>
      <c r="J64" s="1278"/>
      <c r="K64" s="1278"/>
      <c r="L64" s="1278"/>
      <c r="M64" s="1278"/>
      <c r="N64" s="1278"/>
      <c r="O64" s="1278"/>
      <c r="P64" s="1278"/>
      <c r="Q64" s="1278"/>
      <c r="R64" s="1278"/>
      <c r="S64" s="1278"/>
      <c r="T64" s="1120"/>
      <c r="U64" s="1115"/>
      <c r="V64" s="1114"/>
      <c r="W64" s="1120"/>
      <c r="X64" s="3143">
        <f>SUM(Y64+Z64+AA64)</f>
        <v>0</v>
      </c>
      <c r="Y64" s="1114"/>
      <c r="Z64" s="1278"/>
      <c r="AA64" s="1120"/>
      <c r="AB64" s="3148">
        <f t="shared" si="12"/>
        <v>0</v>
      </c>
      <c r="AC64" s="1114"/>
      <c r="AD64" s="3145"/>
      <c r="AE64" s="1120"/>
      <c r="AF64" s="1338"/>
      <c r="AG64" s="350"/>
      <c r="AH64" t="str">
        <f t="shared" si="13"/>
        <v/>
      </c>
      <c r="CB64" s="135" t="str">
        <f t="shared" si="14"/>
        <v/>
      </c>
      <c r="CC64" s="135" t="str">
        <f t="shared" si="15"/>
        <v/>
      </c>
      <c r="CD64" s="135" t="str">
        <f t="shared" si="16"/>
        <v/>
      </c>
      <c r="CM64" s="84">
        <f t="shared" si="17"/>
        <v>0</v>
      </c>
      <c r="CN64" s="84">
        <f t="shared" si="18"/>
        <v>0</v>
      </c>
      <c r="CO64" s="84">
        <f t="shared" si="19"/>
        <v>0</v>
      </c>
    </row>
    <row r="65" spans="1:98" x14ac:dyDescent="0.3">
      <c r="A65" s="250" t="s">
        <v>1242</v>
      </c>
      <c r="B65" s="295">
        <f>SUM(C65:T65)</f>
        <v>0</v>
      </c>
      <c r="C65" s="1114"/>
      <c r="D65" s="1278"/>
      <c r="E65" s="1278"/>
      <c r="F65" s="1278"/>
      <c r="G65" s="1278"/>
      <c r="H65" s="1278"/>
      <c r="I65" s="1278"/>
      <c r="J65" s="1278"/>
      <c r="K65" s="1278"/>
      <c r="L65" s="1278"/>
      <c r="M65" s="1278"/>
      <c r="N65" s="1278"/>
      <c r="O65" s="1278"/>
      <c r="P65" s="1278"/>
      <c r="Q65" s="1278"/>
      <c r="R65" s="1278"/>
      <c r="S65" s="1278"/>
      <c r="T65" s="1120"/>
      <c r="U65" s="3085"/>
      <c r="V65" s="245"/>
      <c r="W65" s="431"/>
      <c r="X65" s="3141">
        <f>SUM(Y65+Z65+AA65)</f>
        <v>0</v>
      </c>
      <c r="Y65" s="1114"/>
      <c r="Z65" s="1278"/>
      <c r="AA65" s="1120"/>
      <c r="AB65" s="3155">
        <f t="shared" si="12"/>
        <v>0</v>
      </c>
      <c r="AC65" s="1114"/>
      <c r="AD65" s="3145"/>
      <c r="AE65" s="1120"/>
      <c r="AF65" s="1338"/>
      <c r="AG65" s="350"/>
      <c r="AH65" t="str">
        <f t="shared" si="13"/>
        <v/>
      </c>
      <c r="CB65" s="135" t="str">
        <f t="shared" si="14"/>
        <v/>
      </c>
      <c r="CC65" s="135" t="str">
        <f t="shared" si="15"/>
        <v/>
      </c>
      <c r="CD65" s="135" t="str">
        <f t="shared" si="16"/>
        <v/>
      </c>
      <c r="CM65" s="84">
        <f t="shared" si="17"/>
        <v>0</v>
      </c>
      <c r="CN65" s="84">
        <f t="shared" si="18"/>
        <v>0</v>
      </c>
      <c r="CO65" s="84">
        <f t="shared" si="19"/>
        <v>0</v>
      </c>
    </row>
    <row r="66" spans="1:98" x14ac:dyDescent="0.3">
      <c r="A66" s="3149" t="s">
        <v>1243</v>
      </c>
      <c r="B66" s="353">
        <f>SUM(C66:T66)</f>
        <v>0</v>
      </c>
      <c r="C66" s="1139"/>
      <c r="D66" s="1283"/>
      <c r="E66" s="1283"/>
      <c r="F66" s="1283"/>
      <c r="G66" s="1283"/>
      <c r="H66" s="1283"/>
      <c r="I66" s="1283"/>
      <c r="J66" s="1283"/>
      <c r="K66" s="1283"/>
      <c r="L66" s="1283"/>
      <c r="M66" s="1283"/>
      <c r="N66" s="1283"/>
      <c r="O66" s="1283"/>
      <c r="P66" s="1283"/>
      <c r="Q66" s="1283"/>
      <c r="R66" s="1283"/>
      <c r="S66" s="1283"/>
      <c r="T66" s="1351"/>
      <c r="U66" s="388"/>
      <c r="V66" s="1154"/>
      <c r="W66" s="1351"/>
      <c r="X66" s="3156">
        <f>SUM(Y66+Z66+AA66)</f>
        <v>0</v>
      </c>
      <c r="Y66" s="1139"/>
      <c r="Z66" s="1283"/>
      <c r="AA66" s="1351"/>
      <c r="AB66" s="3157">
        <f t="shared" si="12"/>
        <v>0</v>
      </c>
      <c r="AC66" s="1139"/>
      <c r="AD66" s="1152"/>
      <c r="AE66" s="1351"/>
      <c r="AF66" s="564"/>
      <c r="AG66" s="389"/>
      <c r="AH66" t="str">
        <f t="shared" si="13"/>
        <v/>
      </c>
      <c r="CB66" s="135" t="str">
        <f t="shared" si="14"/>
        <v/>
      </c>
      <c r="CC66" s="135" t="str">
        <f t="shared" si="15"/>
        <v/>
      </c>
      <c r="CD66" s="135" t="str">
        <f t="shared" si="16"/>
        <v/>
      </c>
      <c r="CM66" s="84">
        <f t="shared" si="17"/>
        <v>0</v>
      </c>
      <c r="CN66" s="84">
        <f t="shared" si="18"/>
        <v>0</v>
      </c>
      <c r="CO66" s="84">
        <f t="shared" si="19"/>
        <v>0</v>
      </c>
    </row>
    <row r="67" spans="1:98" x14ac:dyDescent="0.3">
      <c r="A67" s="1797" t="s">
        <v>77</v>
      </c>
      <c r="B67" s="3158">
        <f t="shared" ref="B67:AG67" si="20">SUM(B12:B66)</f>
        <v>0</v>
      </c>
      <c r="C67" s="3159">
        <f t="shared" si="20"/>
        <v>0</v>
      </c>
      <c r="D67" s="301">
        <f t="shared" si="20"/>
        <v>0</v>
      </c>
      <c r="E67" s="301">
        <f t="shared" si="20"/>
        <v>0</v>
      </c>
      <c r="F67" s="301">
        <f t="shared" si="20"/>
        <v>0</v>
      </c>
      <c r="G67" s="301">
        <f t="shared" si="20"/>
        <v>0</v>
      </c>
      <c r="H67" s="301">
        <f t="shared" si="20"/>
        <v>0</v>
      </c>
      <c r="I67" s="301">
        <f t="shared" si="20"/>
        <v>0</v>
      </c>
      <c r="J67" s="301">
        <f t="shared" si="20"/>
        <v>0</v>
      </c>
      <c r="K67" s="301">
        <f t="shared" si="20"/>
        <v>0</v>
      </c>
      <c r="L67" s="301">
        <f t="shared" si="20"/>
        <v>0</v>
      </c>
      <c r="M67" s="301">
        <f t="shared" si="20"/>
        <v>0</v>
      </c>
      <c r="N67" s="301">
        <f t="shared" si="20"/>
        <v>0</v>
      </c>
      <c r="O67" s="301">
        <f t="shared" si="20"/>
        <v>0</v>
      </c>
      <c r="P67" s="301">
        <f t="shared" si="20"/>
        <v>0</v>
      </c>
      <c r="Q67" s="301">
        <f t="shared" si="20"/>
        <v>0</v>
      </c>
      <c r="R67" s="301">
        <f t="shared" si="20"/>
        <v>0</v>
      </c>
      <c r="S67" s="301">
        <f t="shared" si="20"/>
        <v>0</v>
      </c>
      <c r="T67" s="306">
        <f t="shared" si="20"/>
        <v>0</v>
      </c>
      <c r="U67" s="3160">
        <f t="shared" si="20"/>
        <v>0</v>
      </c>
      <c r="V67" s="3161">
        <f t="shared" si="20"/>
        <v>0</v>
      </c>
      <c r="W67" s="306">
        <f t="shared" si="20"/>
        <v>0</v>
      </c>
      <c r="X67" s="3162">
        <f t="shared" si="20"/>
        <v>0</v>
      </c>
      <c r="Y67" s="3161">
        <f t="shared" si="20"/>
        <v>0</v>
      </c>
      <c r="Z67" s="301">
        <f t="shared" si="20"/>
        <v>0</v>
      </c>
      <c r="AA67" s="3163">
        <f t="shared" si="20"/>
        <v>0</v>
      </c>
      <c r="AB67" s="3164">
        <f t="shared" si="20"/>
        <v>0</v>
      </c>
      <c r="AC67" s="3161">
        <f t="shared" si="20"/>
        <v>0</v>
      </c>
      <c r="AD67" s="301">
        <f t="shared" si="20"/>
        <v>0</v>
      </c>
      <c r="AE67" s="306">
        <f t="shared" si="20"/>
        <v>0</v>
      </c>
      <c r="AF67" s="1745">
        <f t="shared" si="20"/>
        <v>0</v>
      </c>
      <c r="AG67" s="931">
        <f t="shared" si="20"/>
        <v>0</v>
      </c>
    </row>
    <row r="68" spans="1:98" s="6" customFormat="1" ht="18" customHeight="1" x14ac:dyDescent="0.25">
      <c r="A68" s="3165" t="s">
        <v>1244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</row>
    <row r="69" spans="1:98" ht="31.5" customHeight="1" x14ac:dyDescent="0.3">
      <c r="A69" s="6190" t="s">
        <v>1245</v>
      </c>
      <c r="B69" s="6550" t="s">
        <v>1246</v>
      </c>
      <c r="C69" s="6551"/>
      <c r="D69" s="6551"/>
      <c r="E69" s="6552"/>
      <c r="F69" s="6550" t="s">
        <v>1247</v>
      </c>
      <c r="G69" s="6551"/>
      <c r="H69" s="6551"/>
      <c r="I69" s="6552"/>
      <c r="J69" s="6551" t="s">
        <v>1248</v>
      </c>
      <c r="K69" s="6551"/>
      <c r="L69" s="6551"/>
      <c r="M69" s="6552"/>
      <c r="N69" s="6553" t="s">
        <v>1249</v>
      </c>
      <c r="O69" s="6554"/>
      <c r="P69" s="6218"/>
      <c r="Q69" s="5944" t="s">
        <v>1250</v>
      </c>
      <c r="R69" s="6243"/>
      <c r="S69" s="5944" t="s">
        <v>1251</v>
      </c>
      <c r="T69" s="6243"/>
      <c r="U69" s="5944" t="s">
        <v>1252</v>
      </c>
      <c r="V69" s="6243"/>
      <c r="W69" s="6190" t="s">
        <v>1253</v>
      </c>
      <c r="X69" s="5944" t="s">
        <v>1254</v>
      </c>
      <c r="Y69" s="6243"/>
      <c r="Z69" s="5944" t="s">
        <v>1255</v>
      </c>
      <c r="AA69" s="6243"/>
      <c r="AB69" s="6436" t="s">
        <v>1256</v>
      </c>
      <c r="AC69" s="6183"/>
      <c r="AD69" s="6190" t="s">
        <v>1257</v>
      </c>
      <c r="AE69" s="6561" t="s">
        <v>1258</v>
      </c>
      <c r="AF69" s="6562"/>
      <c r="AG69" s="6474" t="s">
        <v>1259</v>
      </c>
      <c r="AH69" s="6474"/>
      <c r="AI69" s="6474"/>
    </row>
    <row r="70" spans="1:98" ht="34.5" customHeight="1" x14ac:dyDescent="0.3">
      <c r="A70" s="6471"/>
      <c r="B70" s="3132" t="s">
        <v>919</v>
      </c>
      <c r="C70" s="3166" t="s">
        <v>1007</v>
      </c>
      <c r="D70" s="3167" t="s">
        <v>1260</v>
      </c>
      <c r="E70" s="2919" t="s">
        <v>554</v>
      </c>
      <c r="F70" s="3168" t="s">
        <v>919</v>
      </c>
      <c r="G70" s="3166" t="s">
        <v>1007</v>
      </c>
      <c r="H70" s="3167" t="s">
        <v>1260</v>
      </c>
      <c r="I70" s="2919" t="s">
        <v>554</v>
      </c>
      <c r="J70" s="3132" t="s">
        <v>919</v>
      </c>
      <c r="K70" s="3166" t="s">
        <v>1007</v>
      </c>
      <c r="L70" s="3167" t="s">
        <v>1260</v>
      </c>
      <c r="M70" s="3167" t="s">
        <v>554</v>
      </c>
      <c r="N70" s="3033" t="s">
        <v>919</v>
      </c>
      <c r="O70" s="3169" t="s">
        <v>1261</v>
      </c>
      <c r="P70" s="3134" t="s">
        <v>1108</v>
      </c>
      <c r="Q70" s="767" t="s">
        <v>1262</v>
      </c>
      <c r="R70" s="469" t="s">
        <v>1263</v>
      </c>
      <c r="S70" s="767" t="s">
        <v>1262</v>
      </c>
      <c r="T70" s="469" t="s">
        <v>1263</v>
      </c>
      <c r="U70" s="767" t="s">
        <v>1264</v>
      </c>
      <c r="V70" s="469" t="s">
        <v>1265</v>
      </c>
      <c r="W70" s="6471"/>
      <c r="X70" s="767" t="s">
        <v>1262</v>
      </c>
      <c r="Y70" s="469" t="s">
        <v>1263</v>
      </c>
      <c r="Z70" s="1799" t="s">
        <v>1266</v>
      </c>
      <c r="AA70" s="1799" t="s">
        <v>1267</v>
      </c>
      <c r="AB70" s="1798" t="s">
        <v>1268</v>
      </c>
      <c r="AC70" s="1798" t="s">
        <v>1269</v>
      </c>
      <c r="AD70" s="6471"/>
      <c r="AE70" s="3170" t="s">
        <v>1261</v>
      </c>
      <c r="AF70" s="3171" t="s">
        <v>1108</v>
      </c>
      <c r="AG70" s="853" t="s">
        <v>1270</v>
      </c>
      <c r="AH70" s="3172" t="s">
        <v>1271</v>
      </c>
      <c r="AI70" s="852" t="s">
        <v>1272</v>
      </c>
    </row>
    <row r="71" spans="1:98" x14ac:dyDescent="0.3">
      <c r="A71" s="250" t="s">
        <v>1208</v>
      </c>
      <c r="B71" s="3173">
        <f>SUM(C71:E71)</f>
        <v>0</v>
      </c>
      <c r="C71" s="669"/>
      <c r="D71" s="791"/>
      <c r="E71" s="791"/>
      <c r="F71" s="3173">
        <f>SUM(G71:I71)</f>
        <v>0</v>
      </c>
      <c r="G71" s="669"/>
      <c r="H71" s="791"/>
      <c r="I71" s="791"/>
      <c r="J71" s="3173">
        <f>SUM(K71:M71)</f>
        <v>0</v>
      </c>
      <c r="K71" s="669"/>
      <c r="L71" s="791"/>
      <c r="M71" s="3174"/>
      <c r="N71" s="3175">
        <f>SUM(O71:P71)</f>
        <v>0</v>
      </c>
      <c r="O71" s="704"/>
      <c r="P71" s="66"/>
      <c r="Q71" s="351"/>
      <c r="R71" s="350"/>
      <c r="S71" s="770"/>
      <c r="T71" s="771"/>
      <c r="U71" s="477"/>
      <c r="V71" s="771"/>
      <c r="W71" s="561"/>
      <c r="X71" s="351"/>
      <c r="Y71" s="350"/>
      <c r="Z71" s="637"/>
      <c r="AA71" s="637"/>
      <c r="AB71" s="637"/>
      <c r="AC71" s="637"/>
      <c r="AD71" s="637"/>
      <c r="AE71" s="3176"/>
      <c r="AF71" s="3177"/>
      <c r="AG71" s="770"/>
      <c r="AH71" s="773"/>
      <c r="AI71" s="107"/>
    </row>
    <row r="72" spans="1:98" x14ac:dyDescent="0.3">
      <c r="A72" s="344" t="s">
        <v>1209</v>
      </c>
      <c r="B72" s="3178">
        <f>SUM(C72:E72)</f>
        <v>0</v>
      </c>
      <c r="C72" s="192"/>
      <c r="D72" s="594"/>
      <c r="E72" s="594"/>
      <c r="F72" s="3178">
        <f t="shared" ref="F72:F125" si="21">SUM(G72:I72)</f>
        <v>0</v>
      </c>
      <c r="G72" s="192"/>
      <c r="H72" s="594"/>
      <c r="I72" s="594"/>
      <c r="J72" s="3178">
        <f>SUM(K72:M72)</f>
        <v>0</v>
      </c>
      <c r="K72" s="192"/>
      <c r="L72" s="594"/>
      <c r="M72" s="1123"/>
      <c r="N72" s="3179">
        <f t="shared" ref="N72:N125" si="22">SUM(O72:P72)</f>
        <v>0</v>
      </c>
      <c r="O72" s="482"/>
      <c r="P72" s="64"/>
      <c r="Q72" s="351"/>
      <c r="R72" s="350"/>
      <c r="S72" s="346"/>
      <c r="T72" s="350"/>
      <c r="U72" s="348"/>
      <c r="V72" s="350"/>
      <c r="W72" s="561"/>
      <c r="X72" s="351"/>
      <c r="Y72" s="350"/>
      <c r="Z72" s="637"/>
      <c r="AA72" s="637"/>
      <c r="AB72" s="637"/>
      <c r="AC72" s="637"/>
      <c r="AD72" s="637"/>
      <c r="AE72" s="3176"/>
      <c r="AF72" s="3177"/>
      <c r="AG72" s="290"/>
      <c r="AH72" s="535"/>
      <c r="AI72" s="107"/>
    </row>
    <row r="73" spans="1:98" x14ac:dyDescent="0.3">
      <c r="A73" s="344" t="s">
        <v>1210</v>
      </c>
      <c r="B73" s="3179">
        <f t="shared" ref="B73:B125" si="23">SUM(C73:E73)</f>
        <v>0</v>
      </c>
      <c r="C73" s="346"/>
      <c r="D73" s="369"/>
      <c r="E73" s="369"/>
      <c r="F73" s="3179">
        <f t="shared" si="21"/>
        <v>0</v>
      </c>
      <c r="G73" s="346"/>
      <c r="H73" s="369"/>
      <c r="I73" s="369"/>
      <c r="J73" s="3179">
        <f>SUM(K73:M73)</f>
        <v>0</v>
      </c>
      <c r="K73" s="346"/>
      <c r="L73" s="369"/>
      <c r="M73" s="349"/>
      <c r="N73" s="3179">
        <f t="shared" si="22"/>
        <v>0</v>
      </c>
      <c r="O73" s="348"/>
      <c r="P73" s="561"/>
      <c r="Q73" s="351"/>
      <c r="R73" s="350"/>
      <c r="S73" s="346"/>
      <c r="T73" s="350"/>
      <c r="U73" s="348"/>
      <c r="V73" s="350"/>
      <c r="W73" s="561"/>
      <c r="X73" s="351"/>
      <c r="Y73" s="350"/>
      <c r="Z73" s="637"/>
      <c r="AA73" s="637"/>
      <c r="AB73" s="637"/>
      <c r="AC73" s="637"/>
      <c r="AD73" s="637"/>
      <c r="AE73" s="3176"/>
      <c r="AF73" s="3177"/>
      <c r="AG73" s="290"/>
      <c r="AH73" s="535"/>
      <c r="AI73" s="107"/>
    </row>
    <row r="74" spans="1:98" x14ac:dyDescent="0.3">
      <c r="A74" s="344" t="s">
        <v>1211</v>
      </c>
      <c r="B74" s="3179">
        <f t="shared" si="23"/>
        <v>0</v>
      </c>
      <c r="C74" s="346"/>
      <c r="D74" s="369"/>
      <c r="E74" s="369"/>
      <c r="F74" s="3179">
        <f>SUM(G74:I74)</f>
        <v>0</v>
      </c>
      <c r="G74" s="346"/>
      <c r="H74" s="369"/>
      <c r="I74" s="369"/>
      <c r="J74" s="3179">
        <f>SUM(K74:M74)</f>
        <v>0</v>
      </c>
      <c r="K74" s="346"/>
      <c r="L74" s="369"/>
      <c r="M74" s="349"/>
      <c r="N74" s="3179">
        <f t="shared" si="22"/>
        <v>0</v>
      </c>
      <c r="O74" s="348"/>
      <c r="P74" s="561"/>
      <c r="Q74" s="351"/>
      <c r="R74" s="350"/>
      <c r="S74" s="346"/>
      <c r="T74" s="350"/>
      <c r="U74" s="348"/>
      <c r="V74" s="350"/>
      <c r="W74" s="561"/>
      <c r="X74" s="351"/>
      <c r="Y74" s="350"/>
      <c r="Z74" s="637"/>
      <c r="AA74" s="637"/>
      <c r="AB74" s="637"/>
      <c r="AC74" s="637"/>
      <c r="AD74" s="637"/>
      <c r="AE74" s="3176"/>
      <c r="AF74" s="3177"/>
      <c r="AG74" s="290"/>
      <c r="AH74" s="535"/>
      <c r="AI74" s="107"/>
    </row>
    <row r="75" spans="1:98" x14ac:dyDescent="0.3">
      <c r="A75" s="344" t="s">
        <v>1212</v>
      </c>
      <c r="B75" s="3179">
        <f>SUM(C75:E75)</f>
        <v>0</v>
      </c>
      <c r="C75" s="346"/>
      <c r="D75" s="369"/>
      <c r="E75" s="369"/>
      <c r="F75" s="3179">
        <f t="shared" si="21"/>
        <v>0</v>
      </c>
      <c r="G75" s="346"/>
      <c r="H75" s="369"/>
      <c r="I75" s="369"/>
      <c r="J75" s="3179">
        <f t="shared" ref="J75:J125" si="24">SUM(K75:M75)</f>
        <v>0</v>
      </c>
      <c r="K75" s="346"/>
      <c r="L75" s="369"/>
      <c r="M75" s="349"/>
      <c r="N75" s="3179">
        <f t="shared" si="22"/>
        <v>0</v>
      </c>
      <c r="O75" s="348"/>
      <c r="P75" s="561"/>
      <c r="Q75" s="351"/>
      <c r="R75" s="350"/>
      <c r="S75" s="346"/>
      <c r="T75" s="350"/>
      <c r="U75" s="348"/>
      <c r="V75" s="350"/>
      <c r="W75" s="561"/>
      <c r="X75" s="351"/>
      <c r="Y75" s="350"/>
      <c r="Z75" s="637"/>
      <c r="AA75" s="637"/>
      <c r="AB75" s="637"/>
      <c r="AC75" s="637"/>
      <c r="AD75" s="637"/>
      <c r="AE75" s="3176"/>
      <c r="AF75" s="3177"/>
      <c r="AG75" s="290"/>
      <c r="AH75" s="535"/>
      <c r="AI75" s="107"/>
    </row>
    <row r="76" spans="1:98" x14ac:dyDescent="0.3">
      <c r="A76" s="344" t="s">
        <v>4305</v>
      </c>
      <c r="B76" s="3179">
        <f t="shared" si="23"/>
        <v>0</v>
      </c>
      <c r="C76" s="346"/>
      <c r="D76" s="369"/>
      <c r="E76" s="369"/>
      <c r="F76" s="3179">
        <f t="shared" si="21"/>
        <v>0</v>
      </c>
      <c r="G76" s="346"/>
      <c r="H76" s="369"/>
      <c r="I76" s="369"/>
      <c r="J76" s="3179">
        <f t="shared" si="24"/>
        <v>0</v>
      </c>
      <c r="K76" s="346"/>
      <c r="L76" s="369"/>
      <c r="M76" s="349"/>
      <c r="N76" s="3179">
        <f t="shared" si="22"/>
        <v>0</v>
      </c>
      <c r="O76" s="348"/>
      <c r="P76" s="561"/>
      <c r="Q76" s="351"/>
      <c r="R76" s="350"/>
      <c r="S76" s="346"/>
      <c r="T76" s="350"/>
      <c r="U76" s="348"/>
      <c r="V76" s="350"/>
      <c r="W76" s="561"/>
      <c r="X76" s="351"/>
      <c r="Y76" s="350"/>
      <c r="Z76" s="637"/>
      <c r="AA76" s="637"/>
      <c r="AB76" s="637"/>
      <c r="AC76" s="637"/>
      <c r="AD76" s="637"/>
      <c r="AE76" s="3176"/>
      <c r="AF76" s="3177"/>
      <c r="AG76" s="290"/>
      <c r="AH76" s="535"/>
      <c r="AI76" s="107"/>
    </row>
    <row r="77" spans="1:98" x14ac:dyDescent="0.3">
      <c r="A77" s="3150" t="s">
        <v>4308</v>
      </c>
      <c r="B77" s="3179">
        <f t="shared" si="23"/>
        <v>0</v>
      </c>
      <c r="C77" s="346"/>
      <c r="D77" s="369"/>
      <c r="E77" s="369"/>
      <c r="F77" s="3179">
        <f t="shared" si="21"/>
        <v>0</v>
      </c>
      <c r="G77" s="346"/>
      <c r="H77" s="369"/>
      <c r="I77" s="369"/>
      <c r="J77" s="3179">
        <f t="shared" si="24"/>
        <v>0</v>
      </c>
      <c r="K77" s="346"/>
      <c r="L77" s="369"/>
      <c r="M77" s="349"/>
      <c r="N77" s="3179">
        <f t="shared" si="22"/>
        <v>0</v>
      </c>
      <c r="O77" s="348"/>
      <c r="P77" s="561"/>
      <c r="Q77" s="351"/>
      <c r="R77" s="350"/>
      <c r="S77" s="346"/>
      <c r="T77" s="350"/>
      <c r="U77" s="348"/>
      <c r="V77" s="350"/>
      <c r="W77" s="561"/>
      <c r="X77" s="351"/>
      <c r="Y77" s="350"/>
      <c r="Z77" s="637"/>
      <c r="AA77" s="637"/>
      <c r="AB77" s="637"/>
      <c r="AC77" s="637"/>
      <c r="AD77" s="637"/>
      <c r="AE77" s="3176"/>
      <c r="AF77" s="3177"/>
      <c r="AG77" s="290"/>
      <c r="AH77" s="535"/>
      <c r="AI77" s="107"/>
    </row>
    <row r="78" spans="1:98" x14ac:dyDescent="0.3">
      <c r="A78" s="344" t="s">
        <v>1213</v>
      </c>
      <c r="B78" s="3179">
        <f t="shared" si="23"/>
        <v>0</v>
      </c>
      <c r="C78" s="346"/>
      <c r="D78" s="369"/>
      <c r="E78" s="369"/>
      <c r="F78" s="3179">
        <f t="shared" si="21"/>
        <v>0</v>
      </c>
      <c r="G78" s="346"/>
      <c r="H78" s="369"/>
      <c r="I78" s="369"/>
      <c r="J78" s="3179">
        <f t="shared" si="24"/>
        <v>0</v>
      </c>
      <c r="K78" s="346"/>
      <c r="L78" s="369"/>
      <c r="M78" s="349"/>
      <c r="N78" s="3179">
        <f t="shared" si="22"/>
        <v>0</v>
      </c>
      <c r="O78" s="348"/>
      <c r="P78" s="561"/>
      <c r="Q78" s="351"/>
      <c r="R78" s="350"/>
      <c r="S78" s="346"/>
      <c r="T78" s="350"/>
      <c r="U78" s="348"/>
      <c r="V78" s="350"/>
      <c r="W78" s="561"/>
      <c r="X78" s="351"/>
      <c r="Y78" s="350"/>
      <c r="Z78" s="637"/>
      <c r="AA78" s="637"/>
      <c r="AB78" s="637"/>
      <c r="AC78" s="637"/>
      <c r="AD78" s="637"/>
      <c r="AE78" s="3176"/>
      <c r="AF78" s="3177"/>
      <c r="AG78" s="290"/>
      <c r="AH78" s="535"/>
      <c r="AI78" s="107"/>
    </row>
    <row r="79" spans="1:98" x14ac:dyDescent="0.3">
      <c r="A79" s="344" t="s">
        <v>1214</v>
      </c>
      <c r="B79" s="3179">
        <f t="shared" si="23"/>
        <v>0</v>
      </c>
      <c r="C79" s="346"/>
      <c r="D79" s="369"/>
      <c r="E79" s="369"/>
      <c r="F79" s="3179">
        <f t="shared" si="21"/>
        <v>0</v>
      </c>
      <c r="G79" s="346"/>
      <c r="H79" s="369"/>
      <c r="I79" s="369"/>
      <c r="J79" s="3179">
        <f t="shared" si="24"/>
        <v>0</v>
      </c>
      <c r="K79" s="346"/>
      <c r="L79" s="369"/>
      <c r="M79" s="349"/>
      <c r="N79" s="3179">
        <f t="shared" si="22"/>
        <v>0</v>
      </c>
      <c r="O79" s="348"/>
      <c r="P79" s="561"/>
      <c r="Q79" s="351"/>
      <c r="R79" s="350"/>
      <c r="S79" s="346"/>
      <c r="T79" s="350"/>
      <c r="U79" s="348"/>
      <c r="V79" s="350"/>
      <c r="W79" s="561"/>
      <c r="X79" s="351"/>
      <c r="Y79" s="350"/>
      <c r="Z79" s="637"/>
      <c r="AA79" s="637"/>
      <c r="AB79" s="637"/>
      <c r="AC79" s="637"/>
      <c r="AD79" s="637"/>
      <c r="AE79" s="3176"/>
      <c r="AF79" s="3177"/>
      <c r="AG79" s="290"/>
      <c r="AH79" s="535"/>
      <c r="AI79" s="107"/>
    </row>
    <row r="80" spans="1:98" x14ac:dyDescent="0.3">
      <c r="A80" s="344" t="s">
        <v>1215</v>
      </c>
      <c r="B80" s="3179">
        <f t="shared" si="23"/>
        <v>0</v>
      </c>
      <c r="C80" s="346"/>
      <c r="D80" s="369"/>
      <c r="E80" s="369"/>
      <c r="F80" s="3179">
        <f t="shared" si="21"/>
        <v>0</v>
      </c>
      <c r="G80" s="346"/>
      <c r="H80" s="369"/>
      <c r="I80" s="369"/>
      <c r="J80" s="3179">
        <f t="shared" si="24"/>
        <v>0</v>
      </c>
      <c r="K80" s="346"/>
      <c r="L80" s="369"/>
      <c r="M80" s="349"/>
      <c r="N80" s="3179">
        <f t="shared" si="22"/>
        <v>0</v>
      </c>
      <c r="O80" s="348"/>
      <c r="P80" s="561"/>
      <c r="Q80" s="351"/>
      <c r="R80" s="350"/>
      <c r="S80" s="346"/>
      <c r="T80" s="350"/>
      <c r="U80" s="348"/>
      <c r="V80" s="350"/>
      <c r="W80" s="561"/>
      <c r="X80" s="351"/>
      <c r="Y80" s="350"/>
      <c r="Z80" s="637"/>
      <c r="AA80" s="637"/>
      <c r="AB80" s="637"/>
      <c r="AC80" s="637"/>
      <c r="AD80" s="637"/>
      <c r="AE80" s="3176"/>
      <c r="AF80" s="3177"/>
      <c r="AG80" s="290"/>
      <c r="AH80" s="535"/>
      <c r="AI80" s="107"/>
    </row>
    <row r="81" spans="1:35" x14ac:dyDescent="0.3">
      <c r="A81" s="344" t="s">
        <v>1216</v>
      </c>
      <c r="B81" s="3179">
        <f t="shared" si="23"/>
        <v>0</v>
      </c>
      <c r="C81" s="346"/>
      <c r="D81" s="369"/>
      <c r="E81" s="369"/>
      <c r="F81" s="3179">
        <f t="shared" si="21"/>
        <v>0</v>
      </c>
      <c r="G81" s="346"/>
      <c r="H81" s="369"/>
      <c r="I81" s="369"/>
      <c r="J81" s="3179">
        <f t="shared" si="24"/>
        <v>0</v>
      </c>
      <c r="K81" s="346"/>
      <c r="L81" s="369"/>
      <c r="M81" s="349"/>
      <c r="N81" s="3179">
        <f t="shared" si="22"/>
        <v>0</v>
      </c>
      <c r="O81" s="348"/>
      <c r="P81" s="561"/>
      <c r="Q81" s="351"/>
      <c r="R81" s="350"/>
      <c r="S81" s="346"/>
      <c r="T81" s="350"/>
      <c r="U81" s="348"/>
      <c r="V81" s="350"/>
      <c r="W81" s="561"/>
      <c r="X81" s="351"/>
      <c r="Y81" s="350"/>
      <c r="Z81" s="637"/>
      <c r="AA81" s="637"/>
      <c r="AB81" s="637"/>
      <c r="AC81" s="637"/>
      <c r="AD81" s="637"/>
      <c r="AE81" s="3176"/>
      <c r="AF81" s="3177"/>
      <c r="AG81" s="290"/>
      <c r="AH81" s="535"/>
      <c r="AI81" s="107"/>
    </row>
    <row r="82" spans="1:35" x14ac:dyDescent="0.3">
      <c r="A82" s="344" t="s">
        <v>1217</v>
      </c>
      <c r="B82" s="3179">
        <f t="shared" si="23"/>
        <v>0</v>
      </c>
      <c r="C82" s="346"/>
      <c r="D82" s="369"/>
      <c r="E82" s="369"/>
      <c r="F82" s="3179">
        <f t="shared" si="21"/>
        <v>0</v>
      </c>
      <c r="G82" s="346"/>
      <c r="H82" s="369"/>
      <c r="I82" s="369"/>
      <c r="J82" s="3179">
        <f t="shared" si="24"/>
        <v>0</v>
      </c>
      <c r="K82" s="346"/>
      <c r="L82" s="369"/>
      <c r="M82" s="349"/>
      <c r="N82" s="3179">
        <f t="shared" si="22"/>
        <v>0</v>
      </c>
      <c r="O82" s="348"/>
      <c r="P82" s="561"/>
      <c r="Q82" s="351"/>
      <c r="R82" s="350"/>
      <c r="S82" s="346"/>
      <c r="T82" s="350"/>
      <c r="U82" s="348"/>
      <c r="V82" s="350"/>
      <c r="W82" s="561"/>
      <c r="X82" s="351"/>
      <c r="Y82" s="350"/>
      <c r="Z82" s="637"/>
      <c r="AA82" s="637"/>
      <c r="AB82" s="637"/>
      <c r="AC82" s="637"/>
      <c r="AD82" s="637"/>
      <c r="AE82" s="3176"/>
      <c r="AF82" s="3177"/>
      <c r="AG82" s="290"/>
      <c r="AH82" s="535"/>
      <c r="AI82" s="107"/>
    </row>
    <row r="83" spans="1:35" x14ac:dyDescent="0.3">
      <c r="A83" s="344" t="s">
        <v>4409</v>
      </c>
      <c r="B83" s="3179">
        <f t="shared" si="23"/>
        <v>0</v>
      </c>
      <c r="C83" s="346"/>
      <c r="D83" s="369"/>
      <c r="E83" s="369"/>
      <c r="F83" s="3179">
        <f t="shared" si="21"/>
        <v>0</v>
      </c>
      <c r="G83" s="346"/>
      <c r="H83" s="369"/>
      <c r="I83" s="369"/>
      <c r="J83" s="3179">
        <f t="shared" si="24"/>
        <v>0</v>
      </c>
      <c r="K83" s="346"/>
      <c r="L83" s="369"/>
      <c r="M83" s="349"/>
      <c r="N83" s="3179">
        <f t="shared" si="22"/>
        <v>0</v>
      </c>
      <c r="O83" s="348"/>
      <c r="P83" s="561"/>
      <c r="Q83" s="351"/>
      <c r="R83" s="350"/>
      <c r="S83" s="346"/>
      <c r="T83" s="350"/>
      <c r="U83" s="348"/>
      <c r="V83" s="350"/>
      <c r="W83" s="561"/>
      <c r="X83" s="351"/>
      <c r="Y83" s="350"/>
      <c r="Z83" s="637"/>
      <c r="AA83" s="637"/>
      <c r="AB83" s="637"/>
      <c r="AC83" s="637"/>
      <c r="AD83" s="637"/>
      <c r="AE83" s="3176"/>
      <c r="AF83" s="3177"/>
      <c r="AG83" s="290"/>
      <c r="AH83" s="535"/>
      <c r="AI83" s="107"/>
    </row>
    <row r="84" spans="1:35" x14ac:dyDescent="0.3">
      <c r="A84" s="3149" t="s">
        <v>4314</v>
      </c>
      <c r="B84" s="3179">
        <f t="shared" si="23"/>
        <v>0</v>
      </c>
      <c r="C84" s="346"/>
      <c r="D84" s="369"/>
      <c r="E84" s="369"/>
      <c r="F84" s="3179">
        <f t="shared" si="21"/>
        <v>0</v>
      </c>
      <c r="G84" s="346"/>
      <c r="H84" s="369"/>
      <c r="I84" s="369"/>
      <c r="J84" s="3179">
        <f t="shared" si="24"/>
        <v>0</v>
      </c>
      <c r="K84" s="346"/>
      <c r="L84" s="369"/>
      <c r="M84" s="349"/>
      <c r="N84" s="3179">
        <f t="shared" si="22"/>
        <v>0</v>
      </c>
      <c r="O84" s="348"/>
      <c r="P84" s="561"/>
      <c r="Q84" s="351"/>
      <c r="R84" s="350"/>
      <c r="S84" s="346"/>
      <c r="T84" s="350"/>
      <c r="U84" s="348"/>
      <c r="V84" s="350"/>
      <c r="W84" s="561"/>
      <c r="X84" s="351"/>
      <c r="Y84" s="350"/>
      <c r="Z84" s="637"/>
      <c r="AA84" s="637"/>
      <c r="AB84" s="637"/>
      <c r="AC84" s="637"/>
      <c r="AD84" s="637"/>
      <c r="AE84" s="3176"/>
      <c r="AF84" s="3177"/>
      <c r="AG84" s="290"/>
      <c r="AH84" s="535"/>
      <c r="AI84" s="107"/>
    </row>
    <row r="85" spans="1:35" x14ac:dyDescent="0.3">
      <c r="A85" s="344" t="s">
        <v>1218</v>
      </c>
      <c r="B85" s="3179">
        <f t="shared" si="23"/>
        <v>0</v>
      </c>
      <c r="C85" s="346"/>
      <c r="D85" s="369"/>
      <c r="E85" s="369"/>
      <c r="F85" s="3179">
        <f t="shared" si="21"/>
        <v>0</v>
      </c>
      <c r="G85" s="346"/>
      <c r="H85" s="369"/>
      <c r="I85" s="369"/>
      <c r="J85" s="3179">
        <f t="shared" si="24"/>
        <v>0</v>
      </c>
      <c r="K85" s="346"/>
      <c r="L85" s="369"/>
      <c r="M85" s="349"/>
      <c r="N85" s="3179">
        <f t="shared" si="22"/>
        <v>0</v>
      </c>
      <c r="O85" s="348"/>
      <c r="P85" s="561"/>
      <c r="Q85" s="351"/>
      <c r="R85" s="350"/>
      <c r="S85" s="346"/>
      <c r="T85" s="350"/>
      <c r="U85" s="348"/>
      <c r="V85" s="350"/>
      <c r="W85" s="561"/>
      <c r="X85" s="351"/>
      <c r="Y85" s="350"/>
      <c r="Z85" s="637"/>
      <c r="AA85" s="637"/>
      <c r="AB85" s="637"/>
      <c r="AC85" s="637"/>
      <c r="AD85" s="637"/>
      <c r="AE85" s="3176"/>
      <c r="AF85" s="3177"/>
      <c r="AG85" s="290"/>
      <c r="AH85" s="535"/>
      <c r="AI85" s="107"/>
    </row>
    <row r="86" spans="1:35" x14ac:dyDescent="0.3">
      <c r="A86" s="344" t="s">
        <v>1219</v>
      </c>
      <c r="B86" s="3179">
        <f t="shared" si="23"/>
        <v>0</v>
      </c>
      <c r="C86" s="346"/>
      <c r="D86" s="369"/>
      <c r="E86" s="369"/>
      <c r="F86" s="3179">
        <f t="shared" si="21"/>
        <v>0</v>
      </c>
      <c r="G86" s="346"/>
      <c r="H86" s="369"/>
      <c r="I86" s="369"/>
      <c r="J86" s="3179">
        <f t="shared" si="24"/>
        <v>0</v>
      </c>
      <c r="K86" s="346"/>
      <c r="L86" s="369"/>
      <c r="M86" s="349"/>
      <c r="N86" s="3179">
        <f t="shared" si="22"/>
        <v>0</v>
      </c>
      <c r="O86" s="348"/>
      <c r="P86" s="561"/>
      <c r="Q86" s="351"/>
      <c r="R86" s="350"/>
      <c r="S86" s="346"/>
      <c r="T86" s="350"/>
      <c r="U86" s="348"/>
      <c r="V86" s="350"/>
      <c r="W86" s="561"/>
      <c r="X86" s="351"/>
      <c r="Y86" s="350"/>
      <c r="Z86" s="637"/>
      <c r="AA86" s="637"/>
      <c r="AB86" s="637"/>
      <c r="AC86" s="637"/>
      <c r="AD86" s="637"/>
      <c r="AE86" s="3176"/>
      <c r="AF86" s="3177"/>
      <c r="AG86" s="290"/>
      <c r="AH86" s="535"/>
      <c r="AI86" s="107"/>
    </row>
    <row r="87" spans="1:35" x14ac:dyDescent="0.3">
      <c r="A87" s="344" t="s">
        <v>4307</v>
      </c>
      <c r="B87" s="3179">
        <f t="shared" si="23"/>
        <v>0</v>
      </c>
      <c r="C87" s="346"/>
      <c r="D87" s="369"/>
      <c r="E87" s="369"/>
      <c r="F87" s="3179">
        <f t="shared" si="21"/>
        <v>0</v>
      </c>
      <c r="G87" s="346"/>
      <c r="H87" s="369"/>
      <c r="I87" s="369"/>
      <c r="J87" s="3179">
        <f t="shared" si="24"/>
        <v>0</v>
      </c>
      <c r="K87" s="346"/>
      <c r="L87" s="369"/>
      <c r="M87" s="349"/>
      <c r="N87" s="3179">
        <f t="shared" si="22"/>
        <v>0</v>
      </c>
      <c r="O87" s="348"/>
      <c r="P87" s="561"/>
      <c r="Q87" s="351"/>
      <c r="R87" s="350"/>
      <c r="S87" s="346"/>
      <c r="T87" s="350"/>
      <c r="U87" s="348"/>
      <c r="V87" s="350"/>
      <c r="W87" s="561"/>
      <c r="X87" s="351"/>
      <c r="Y87" s="350"/>
      <c r="Z87" s="637"/>
      <c r="AA87" s="637"/>
      <c r="AB87" s="637"/>
      <c r="AC87" s="637"/>
      <c r="AD87" s="637"/>
      <c r="AE87" s="3176"/>
      <c r="AF87" s="3177"/>
      <c r="AG87" s="290"/>
      <c r="AH87" s="535"/>
      <c r="AI87" s="107"/>
    </row>
    <row r="88" spans="1:35" x14ac:dyDescent="0.3">
      <c r="A88" s="3150" t="s">
        <v>4309</v>
      </c>
      <c r="B88" s="3179">
        <f t="shared" si="23"/>
        <v>0</v>
      </c>
      <c r="C88" s="346"/>
      <c r="D88" s="369"/>
      <c r="E88" s="369"/>
      <c r="F88" s="3179">
        <f t="shared" si="21"/>
        <v>0</v>
      </c>
      <c r="G88" s="346"/>
      <c r="H88" s="369"/>
      <c r="I88" s="369"/>
      <c r="J88" s="3179">
        <f t="shared" si="24"/>
        <v>0</v>
      </c>
      <c r="K88" s="346"/>
      <c r="L88" s="369"/>
      <c r="M88" s="349"/>
      <c r="N88" s="3179">
        <f t="shared" si="22"/>
        <v>0</v>
      </c>
      <c r="O88" s="348"/>
      <c r="P88" s="561"/>
      <c r="Q88" s="351"/>
      <c r="R88" s="350"/>
      <c r="S88" s="346"/>
      <c r="T88" s="350"/>
      <c r="U88" s="348"/>
      <c r="V88" s="350"/>
      <c r="W88" s="561"/>
      <c r="X88" s="351"/>
      <c r="Y88" s="350"/>
      <c r="Z88" s="637"/>
      <c r="AA88" s="637"/>
      <c r="AB88" s="637"/>
      <c r="AC88" s="637"/>
      <c r="AD88" s="637"/>
      <c r="AE88" s="3176"/>
      <c r="AF88" s="3177"/>
      <c r="AG88" s="290"/>
      <c r="AH88" s="535"/>
      <c r="AI88" s="107"/>
    </row>
    <row r="89" spans="1:35" x14ac:dyDescent="0.3">
      <c r="A89" s="344" t="s">
        <v>4310</v>
      </c>
      <c r="B89" s="3179">
        <f t="shared" si="23"/>
        <v>0</v>
      </c>
      <c r="C89" s="346"/>
      <c r="D89" s="369"/>
      <c r="E89" s="369"/>
      <c r="F89" s="3179">
        <f t="shared" si="21"/>
        <v>0</v>
      </c>
      <c r="G89" s="346"/>
      <c r="H89" s="369"/>
      <c r="I89" s="369"/>
      <c r="J89" s="3179">
        <f t="shared" si="24"/>
        <v>0</v>
      </c>
      <c r="K89" s="346"/>
      <c r="L89" s="369"/>
      <c r="M89" s="349"/>
      <c r="N89" s="3179">
        <f t="shared" si="22"/>
        <v>0</v>
      </c>
      <c r="O89" s="348"/>
      <c r="P89" s="561"/>
      <c r="Q89" s="351"/>
      <c r="R89" s="350"/>
      <c r="S89" s="346"/>
      <c r="T89" s="350"/>
      <c r="U89" s="348"/>
      <c r="V89" s="350"/>
      <c r="W89" s="561"/>
      <c r="X89" s="351"/>
      <c r="Y89" s="350"/>
      <c r="Z89" s="637"/>
      <c r="AA89" s="637"/>
      <c r="AB89" s="637"/>
      <c r="AC89" s="637"/>
      <c r="AD89" s="637"/>
      <c r="AE89" s="3176"/>
      <c r="AF89" s="3177"/>
      <c r="AG89" s="290"/>
      <c r="AH89" s="535"/>
      <c r="AI89" s="107"/>
    </row>
    <row r="90" spans="1:35" x14ac:dyDescent="0.3">
      <c r="A90" s="344" t="s">
        <v>4410</v>
      </c>
      <c r="B90" s="3179">
        <f t="shared" si="23"/>
        <v>0</v>
      </c>
      <c r="C90" s="346"/>
      <c r="D90" s="369"/>
      <c r="E90" s="369"/>
      <c r="F90" s="3179">
        <f t="shared" si="21"/>
        <v>0</v>
      </c>
      <c r="G90" s="346"/>
      <c r="H90" s="369"/>
      <c r="I90" s="369"/>
      <c r="J90" s="3179">
        <f t="shared" si="24"/>
        <v>0</v>
      </c>
      <c r="K90" s="346"/>
      <c r="L90" s="369"/>
      <c r="M90" s="349"/>
      <c r="N90" s="3179">
        <f t="shared" si="22"/>
        <v>0</v>
      </c>
      <c r="O90" s="348"/>
      <c r="P90" s="561"/>
      <c r="Q90" s="351"/>
      <c r="R90" s="350"/>
      <c r="S90" s="346"/>
      <c r="T90" s="350"/>
      <c r="U90" s="348"/>
      <c r="V90" s="350"/>
      <c r="W90" s="561"/>
      <c r="X90" s="351"/>
      <c r="Y90" s="350"/>
      <c r="Z90" s="637"/>
      <c r="AA90" s="637"/>
      <c r="AB90" s="637"/>
      <c r="AC90" s="637"/>
      <c r="AD90" s="637"/>
      <c r="AE90" s="3176"/>
      <c r="AF90" s="3177"/>
      <c r="AG90" s="290"/>
      <c r="AH90" s="535"/>
      <c r="AI90" s="107"/>
    </row>
    <row r="91" spans="1:35" x14ac:dyDescent="0.3">
      <c r="A91" s="344" t="s">
        <v>1220</v>
      </c>
      <c r="B91" s="3179">
        <f t="shared" si="23"/>
        <v>0</v>
      </c>
      <c r="C91" s="346"/>
      <c r="D91" s="369"/>
      <c r="E91" s="369"/>
      <c r="F91" s="3179">
        <f t="shared" si="21"/>
        <v>0</v>
      </c>
      <c r="G91" s="346"/>
      <c r="H91" s="369"/>
      <c r="I91" s="369"/>
      <c r="J91" s="3179">
        <f t="shared" si="24"/>
        <v>0</v>
      </c>
      <c r="K91" s="346"/>
      <c r="L91" s="369"/>
      <c r="M91" s="349"/>
      <c r="N91" s="3179">
        <f t="shared" si="22"/>
        <v>0</v>
      </c>
      <c r="O91" s="348"/>
      <c r="P91" s="561"/>
      <c r="Q91" s="351"/>
      <c r="R91" s="350"/>
      <c r="S91" s="346"/>
      <c r="T91" s="350"/>
      <c r="U91" s="348"/>
      <c r="V91" s="350"/>
      <c r="W91" s="561"/>
      <c r="X91" s="351"/>
      <c r="Y91" s="350"/>
      <c r="Z91" s="637"/>
      <c r="AA91" s="637"/>
      <c r="AB91" s="637"/>
      <c r="AC91" s="637"/>
      <c r="AD91" s="637"/>
      <c r="AE91" s="3176"/>
      <c r="AF91" s="3177"/>
      <c r="AG91" s="290"/>
      <c r="AH91" s="535"/>
      <c r="AI91" s="107"/>
    </row>
    <row r="92" spans="1:35" x14ac:dyDescent="0.3">
      <c r="A92" s="344" t="s">
        <v>4417</v>
      </c>
      <c r="B92" s="3179">
        <f t="shared" si="23"/>
        <v>0</v>
      </c>
      <c r="C92" s="346"/>
      <c r="D92" s="369"/>
      <c r="E92" s="369"/>
      <c r="F92" s="3179">
        <f t="shared" si="21"/>
        <v>0</v>
      </c>
      <c r="G92" s="346"/>
      <c r="H92" s="369"/>
      <c r="I92" s="369"/>
      <c r="J92" s="3179">
        <f t="shared" si="24"/>
        <v>0</v>
      </c>
      <c r="K92" s="346"/>
      <c r="L92" s="369"/>
      <c r="M92" s="349"/>
      <c r="N92" s="3179">
        <f t="shared" si="22"/>
        <v>0</v>
      </c>
      <c r="O92" s="348"/>
      <c r="P92" s="561"/>
      <c r="Q92" s="351"/>
      <c r="R92" s="350"/>
      <c r="S92" s="346"/>
      <c r="T92" s="350"/>
      <c r="U92" s="348"/>
      <c r="V92" s="350"/>
      <c r="W92" s="561"/>
      <c r="X92" s="351"/>
      <c r="Y92" s="350"/>
      <c r="Z92" s="637"/>
      <c r="AA92" s="637"/>
      <c r="AB92" s="637"/>
      <c r="AC92" s="637"/>
      <c r="AD92" s="637"/>
      <c r="AE92" s="3176"/>
      <c r="AF92" s="3177"/>
      <c r="AG92" s="290"/>
      <c r="AH92" s="535"/>
      <c r="AI92" s="107"/>
    </row>
    <row r="93" spans="1:35" x14ac:dyDescent="0.3">
      <c r="A93" s="344" t="s">
        <v>1221</v>
      </c>
      <c r="B93" s="3179">
        <f t="shared" si="23"/>
        <v>0</v>
      </c>
      <c r="C93" s="346"/>
      <c r="D93" s="369"/>
      <c r="E93" s="369"/>
      <c r="F93" s="3179">
        <f t="shared" si="21"/>
        <v>0</v>
      </c>
      <c r="G93" s="346"/>
      <c r="H93" s="369"/>
      <c r="I93" s="369"/>
      <c r="J93" s="3179">
        <f t="shared" si="24"/>
        <v>0</v>
      </c>
      <c r="K93" s="346"/>
      <c r="L93" s="369"/>
      <c r="M93" s="349"/>
      <c r="N93" s="3179">
        <f t="shared" si="22"/>
        <v>0</v>
      </c>
      <c r="O93" s="348"/>
      <c r="P93" s="561"/>
      <c r="Q93" s="351"/>
      <c r="R93" s="350"/>
      <c r="S93" s="346"/>
      <c r="T93" s="350"/>
      <c r="U93" s="348"/>
      <c r="V93" s="350"/>
      <c r="W93" s="561"/>
      <c r="X93" s="351"/>
      <c r="Y93" s="350"/>
      <c r="Z93" s="637"/>
      <c r="AA93" s="637"/>
      <c r="AB93" s="637"/>
      <c r="AC93" s="637"/>
      <c r="AD93" s="637"/>
      <c r="AE93" s="3176"/>
      <c r="AF93" s="3177"/>
      <c r="AG93" s="290"/>
      <c r="AH93" s="535"/>
      <c r="AI93" s="107"/>
    </row>
    <row r="94" spans="1:35" x14ac:dyDescent="0.3">
      <c r="A94" s="344" t="s">
        <v>1222</v>
      </c>
      <c r="B94" s="3179">
        <f t="shared" si="23"/>
        <v>0</v>
      </c>
      <c r="C94" s="346"/>
      <c r="D94" s="369"/>
      <c r="E94" s="369"/>
      <c r="F94" s="3179">
        <f t="shared" si="21"/>
        <v>0</v>
      </c>
      <c r="G94" s="346"/>
      <c r="H94" s="369"/>
      <c r="I94" s="369"/>
      <c r="J94" s="3179">
        <f t="shared" si="24"/>
        <v>0</v>
      </c>
      <c r="K94" s="346"/>
      <c r="L94" s="369"/>
      <c r="M94" s="349"/>
      <c r="N94" s="3179">
        <f t="shared" si="22"/>
        <v>0</v>
      </c>
      <c r="O94" s="348"/>
      <c r="P94" s="561"/>
      <c r="Q94" s="351"/>
      <c r="R94" s="350"/>
      <c r="S94" s="346"/>
      <c r="T94" s="350"/>
      <c r="U94" s="348"/>
      <c r="V94" s="350"/>
      <c r="W94" s="561"/>
      <c r="X94" s="351"/>
      <c r="Y94" s="350"/>
      <c r="Z94" s="637"/>
      <c r="AA94" s="637"/>
      <c r="AB94" s="637"/>
      <c r="AC94" s="637"/>
      <c r="AD94" s="637"/>
      <c r="AE94" s="3176"/>
      <c r="AF94" s="3177"/>
      <c r="AG94" s="290"/>
      <c r="AH94" s="535"/>
      <c r="AI94" s="107"/>
    </row>
    <row r="95" spans="1:35" x14ac:dyDescent="0.3">
      <c r="A95" s="344" t="s">
        <v>4311</v>
      </c>
      <c r="B95" s="3179">
        <f t="shared" si="23"/>
        <v>0</v>
      </c>
      <c r="C95" s="346"/>
      <c r="D95" s="369"/>
      <c r="E95" s="369"/>
      <c r="F95" s="3179">
        <f t="shared" si="21"/>
        <v>0</v>
      </c>
      <c r="G95" s="346"/>
      <c r="H95" s="369"/>
      <c r="I95" s="369"/>
      <c r="J95" s="3179">
        <f t="shared" si="24"/>
        <v>0</v>
      </c>
      <c r="K95" s="346"/>
      <c r="L95" s="369"/>
      <c r="M95" s="349"/>
      <c r="N95" s="3179">
        <f t="shared" si="22"/>
        <v>0</v>
      </c>
      <c r="O95" s="348"/>
      <c r="P95" s="561"/>
      <c r="Q95" s="351"/>
      <c r="R95" s="350"/>
      <c r="S95" s="346"/>
      <c r="T95" s="350"/>
      <c r="U95" s="348"/>
      <c r="V95" s="350"/>
      <c r="W95" s="561"/>
      <c r="X95" s="351"/>
      <c r="Y95" s="350"/>
      <c r="Z95" s="637"/>
      <c r="AA95" s="637"/>
      <c r="AB95" s="637"/>
      <c r="AC95" s="637"/>
      <c r="AD95" s="637"/>
      <c r="AE95" s="3176"/>
      <c r="AF95" s="3177"/>
      <c r="AG95" s="290"/>
      <c r="AH95" s="535"/>
      <c r="AI95" s="107"/>
    </row>
    <row r="96" spans="1:35" x14ac:dyDescent="0.3">
      <c r="A96" s="3150" t="s">
        <v>4411</v>
      </c>
      <c r="B96" s="3179">
        <f t="shared" si="23"/>
        <v>0</v>
      </c>
      <c r="C96" s="346"/>
      <c r="D96" s="369"/>
      <c r="E96" s="369"/>
      <c r="F96" s="3179">
        <f t="shared" si="21"/>
        <v>0</v>
      </c>
      <c r="G96" s="346"/>
      <c r="H96" s="369"/>
      <c r="I96" s="369"/>
      <c r="J96" s="3179">
        <f t="shared" si="24"/>
        <v>0</v>
      </c>
      <c r="K96" s="346"/>
      <c r="L96" s="369"/>
      <c r="M96" s="349"/>
      <c r="N96" s="3179">
        <f t="shared" si="22"/>
        <v>0</v>
      </c>
      <c r="O96" s="348"/>
      <c r="P96" s="561"/>
      <c r="Q96" s="351"/>
      <c r="R96" s="350"/>
      <c r="S96" s="346"/>
      <c r="T96" s="350"/>
      <c r="U96" s="348"/>
      <c r="V96" s="350"/>
      <c r="W96" s="561"/>
      <c r="X96" s="351"/>
      <c r="Y96" s="350"/>
      <c r="Z96" s="637"/>
      <c r="AA96" s="637"/>
      <c r="AB96" s="637"/>
      <c r="AC96" s="637"/>
      <c r="AD96" s="637"/>
      <c r="AE96" s="3176"/>
      <c r="AF96" s="3177"/>
      <c r="AG96" s="290"/>
      <c r="AH96" s="535"/>
      <c r="AI96" s="107"/>
    </row>
    <row r="97" spans="1:35" x14ac:dyDescent="0.3">
      <c r="A97" s="344" t="s">
        <v>1223</v>
      </c>
      <c r="B97" s="3179">
        <f t="shared" si="23"/>
        <v>0</v>
      </c>
      <c r="C97" s="346"/>
      <c r="D97" s="369"/>
      <c r="E97" s="369"/>
      <c r="F97" s="3179">
        <f t="shared" si="21"/>
        <v>0</v>
      </c>
      <c r="G97" s="346"/>
      <c r="H97" s="369"/>
      <c r="I97" s="369"/>
      <c r="J97" s="3179">
        <f t="shared" si="24"/>
        <v>0</v>
      </c>
      <c r="K97" s="346"/>
      <c r="L97" s="369"/>
      <c r="M97" s="349"/>
      <c r="N97" s="3179">
        <f t="shared" si="22"/>
        <v>0</v>
      </c>
      <c r="O97" s="348"/>
      <c r="P97" s="561"/>
      <c r="Q97" s="351"/>
      <c r="R97" s="350"/>
      <c r="S97" s="346"/>
      <c r="T97" s="350"/>
      <c r="U97" s="348"/>
      <c r="V97" s="350"/>
      <c r="W97" s="561"/>
      <c r="X97" s="351"/>
      <c r="Y97" s="350"/>
      <c r="Z97" s="637"/>
      <c r="AA97" s="637"/>
      <c r="AB97" s="637"/>
      <c r="AC97" s="637"/>
      <c r="AD97" s="637"/>
      <c r="AE97" s="3176"/>
      <c r="AF97" s="3177"/>
      <c r="AG97" s="290"/>
      <c r="AH97" s="535"/>
      <c r="AI97" s="107"/>
    </row>
    <row r="98" spans="1:35" x14ac:dyDescent="0.3">
      <c r="A98" s="344" t="s">
        <v>1224</v>
      </c>
      <c r="B98" s="3180">
        <f t="shared" si="23"/>
        <v>0</v>
      </c>
      <c r="C98" s="47"/>
      <c r="D98" s="242"/>
      <c r="E98" s="242"/>
      <c r="F98" s="3180">
        <f t="shared" si="21"/>
        <v>0</v>
      </c>
      <c r="G98" s="47"/>
      <c r="H98" s="242"/>
      <c r="I98" s="242"/>
      <c r="J98" s="3180">
        <f t="shared" si="24"/>
        <v>0</v>
      </c>
      <c r="K98" s="47"/>
      <c r="L98" s="242"/>
      <c r="M98" s="3181"/>
      <c r="N98" s="3179">
        <f t="shared" si="22"/>
        <v>0</v>
      </c>
      <c r="O98" s="704"/>
      <c r="P98" s="66"/>
      <c r="Q98" s="351"/>
      <c r="R98" s="350"/>
      <c r="S98" s="346"/>
      <c r="T98" s="350"/>
      <c r="U98" s="348"/>
      <c r="V98" s="350"/>
      <c r="W98" s="561"/>
      <c r="X98" s="351"/>
      <c r="Y98" s="350"/>
      <c r="Z98" s="637"/>
      <c r="AA98" s="637"/>
      <c r="AB98" s="637"/>
      <c r="AC98" s="637"/>
      <c r="AD98" s="637"/>
      <c r="AE98" s="3176"/>
      <c r="AF98" s="3177"/>
      <c r="AG98" s="290"/>
      <c r="AH98" s="535"/>
      <c r="AI98" s="107"/>
    </row>
    <row r="99" spans="1:35" x14ac:dyDescent="0.3">
      <c r="A99" s="344" t="s">
        <v>1225</v>
      </c>
      <c r="B99" s="3179">
        <f t="shared" si="23"/>
        <v>0</v>
      </c>
      <c r="C99" s="346"/>
      <c r="D99" s="369"/>
      <c r="E99" s="369"/>
      <c r="F99" s="3179">
        <f t="shared" si="21"/>
        <v>0</v>
      </c>
      <c r="G99" s="346"/>
      <c r="H99" s="369"/>
      <c r="I99" s="369"/>
      <c r="J99" s="3179">
        <f t="shared" si="24"/>
        <v>0</v>
      </c>
      <c r="K99" s="346"/>
      <c r="L99" s="369"/>
      <c r="M99" s="349"/>
      <c r="N99" s="3179">
        <f t="shared" si="22"/>
        <v>0</v>
      </c>
      <c r="O99" s="348"/>
      <c r="P99" s="561"/>
      <c r="Q99" s="351"/>
      <c r="R99" s="350"/>
      <c r="S99" s="346"/>
      <c r="T99" s="350"/>
      <c r="U99" s="348"/>
      <c r="V99" s="350"/>
      <c r="W99" s="561"/>
      <c r="X99" s="351"/>
      <c r="Y99" s="350"/>
      <c r="Z99" s="637"/>
      <c r="AA99" s="637"/>
      <c r="AB99" s="637"/>
      <c r="AC99" s="637"/>
      <c r="AD99" s="637"/>
      <c r="AE99" s="3176"/>
      <c r="AF99" s="3177"/>
      <c r="AG99" s="290"/>
      <c r="AH99" s="535"/>
      <c r="AI99" s="107"/>
    </row>
    <row r="100" spans="1:35" x14ac:dyDescent="0.3">
      <c r="A100" s="344" t="s">
        <v>1273</v>
      </c>
      <c r="B100" s="3179">
        <f t="shared" si="23"/>
        <v>0</v>
      </c>
      <c r="C100" s="346"/>
      <c r="D100" s="369"/>
      <c r="E100" s="369"/>
      <c r="F100" s="3179">
        <f t="shared" si="21"/>
        <v>0</v>
      </c>
      <c r="G100" s="346"/>
      <c r="H100" s="369"/>
      <c r="I100" s="369"/>
      <c r="J100" s="3179">
        <f t="shared" si="24"/>
        <v>0</v>
      </c>
      <c r="K100" s="346"/>
      <c r="L100" s="369"/>
      <c r="M100" s="349"/>
      <c r="N100" s="3179">
        <f t="shared" si="22"/>
        <v>0</v>
      </c>
      <c r="O100" s="348"/>
      <c r="P100" s="561"/>
      <c r="Q100" s="351"/>
      <c r="R100" s="350"/>
      <c r="S100" s="346"/>
      <c r="T100" s="350"/>
      <c r="U100" s="348"/>
      <c r="V100" s="350"/>
      <c r="W100" s="561"/>
      <c r="X100" s="351"/>
      <c r="Y100" s="350"/>
      <c r="Z100" s="637"/>
      <c r="AA100" s="637"/>
      <c r="AB100" s="637"/>
      <c r="AC100" s="637"/>
      <c r="AD100" s="637"/>
      <c r="AE100" s="3176"/>
      <c r="AF100" s="3177"/>
      <c r="AG100" s="290"/>
      <c r="AH100" s="535"/>
      <c r="AI100" s="107"/>
    </row>
    <row r="101" spans="1:35" x14ac:dyDescent="0.3">
      <c r="A101" s="344" t="s">
        <v>1227</v>
      </c>
      <c r="B101" s="3179">
        <f t="shared" si="23"/>
        <v>0</v>
      </c>
      <c r="C101" s="346"/>
      <c r="D101" s="369"/>
      <c r="E101" s="369"/>
      <c r="F101" s="3179">
        <f t="shared" si="21"/>
        <v>0</v>
      </c>
      <c r="G101" s="346"/>
      <c r="H101" s="369"/>
      <c r="I101" s="369"/>
      <c r="J101" s="3179">
        <f t="shared" si="24"/>
        <v>0</v>
      </c>
      <c r="K101" s="346"/>
      <c r="L101" s="369"/>
      <c r="M101" s="349"/>
      <c r="N101" s="3179">
        <f t="shared" si="22"/>
        <v>0</v>
      </c>
      <c r="O101" s="348"/>
      <c r="P101" s="561"/>
      <c r="Q101" s="351"/>
      <c r="R101" s="350"/>
      <c r="S101" s="346"/>
      <c r="T101" s="350"/>
      <c r="U101" s="348"/>
      <c r="V101" s="350"/>
      <c r="W101" s="561"/>
      <c r="X101" s="351"/>
      <c r="Y101" s="350"/>
      <c r="Z101" s="637"/>
      <c r="AA101" s="637"/>
      <c r="AB101" s="637"/>
      <c r="AC101" s="637"/>
      <c r="AD101" s="637"/>
      <c r="AE101" s="3176"/>
      <c r="AF101" s="3177"/>
      <c r="AG101" s="290"/>
      <c r="AH101" s="535"/>
      <c r="AI101" s="107"/>
    </row>
    <row r="102" spans="1:35" x14ac:dyDescent="0.3">
      <c r="A102" s="344" t="s">
        <v>1228</v>
      </c>
      <c r="B102" s="3182">
        <f t="shared" si="23"/>
        <v>0</v>
      </c>
      <c r="C102" s="290"/>
      <c r="D102" s="535"/>
      <c r="E102" s="535"/>
      <c r="F102" s="3182">
        <f t="shared" si="21"/>
        <v>0</v>
      </c>
      <c r="G102" s="290"/>
      <c r="H102" s="535"/>
      <c r="I102" s="535"/>
      <c r="J102" s="3182">
        <f t="shared" si="24"/>
        <v>0</v>
      </c>
      <c r="K102" s="290"/>
      <c r="L102" s="535"/>
      <c r="M102" s="735"/>
      <c r="N102" s="3179">
        <f t="shared" si="22"/>
        <v>0</v>
      </c>
      <c r="O102" s="22"/>
      <c r="P102" s="65"/>
      <c r="Q102" s="351"/>
      <c r="R102" s="350"/>
      <c r="S102" s="346"/>
      <c r="T102" s="350"/>
      <c r="U102" s="348"/>
      <c r="V102" s="350"/>
      <c r="W102" s="561"/>
      <c r="X102" s="351"/>
      <c r="Y102" s="350"/>
      <c r="Z102" s="637"/>
      <c r="AA102" s="637"/>
      <c r="AB102" s="637"/>
      <c r="AC102" s="637"/>
      <c r="AD102" s="637"/>
      <c r="AE102" s="3176"/>
      <c r="AF102" s="3177"/>
      <c r="AG102" s="290"/>
      <c r="AH102" s="535"/>
      <c r="AI102" s="107"/>
    </row>
    <row r="103" spans="1:35" x14ac:dyDescent="0.3">
      <c r="A103" s="344" t="s">
        <v>1433</v>
      </c>
      <c r="B103" s="3180">
        <f t="shared" si="23"/>
        <v>0</v>
      </c>
      <c r="C103" s="47"/>
      <c r="D103" s="242"/>
      <c r="E103" s="242"/>
      <c r="F103" s="3180">
        <f t="shared" si="21"/>
        <v>0</v>
      </c>
      <c r="G103" s="47"/>
      <c r="H103" s="242"/>
      <c r="I103" s="242"/>
      <c r="J103" s="3180">
        <f t="shared" si="24"/>
        <v>0</v>
      </c>
      <c r="K103" s="47"/>
      <c r="L103" s="242"/>
      <c r="M103" s="3181"/>
      <c r="N103" s="3179">
        <f t="shared" si="22"/>
        <v>0</v>
      </c>
      <c r="O103" s="704"/>
      <c r="P103" s="66"/>
      <c r="Q103" s="351"/>
      <c r="R103" s="350"/>
      <c r="S103" s="346"/>
      <c r="T103" s="350"/>
      <c r="U103" s="348"/>
      <c r="V103" s="350"/>
      <c r="W103" s="347"/>
      <c r="X103" s="351"/>
      <c r="Y103" s="350"/>
      <c r="Z103" s="637"/>
      <c r="AA103" s="637"/>
      <c r="AB103" s="637"/>
      <c r="AC103" s="637"/>
      <c r="AD103" s="637"/>
      <c r="AE103" s="3176"/>
      <c r="AF103" s="3177"/>
      <c r="AG103" s="290"/>
      <c r="AH103" s="535"/>
      <c r="AI103" s="107"/>
    </row>
    <row r="104" spans="1:35" x14ac:dyDescent="0.3">
      <c r="A104" s="24" t="s">
        <v>1229</v>
      </c>
      <c r="B104" s="3179">
        <f t="shared" si="23"/>
        <v>0</v>
      </c>
      <c r="C104" s="346"/>
      <c r="D104" s="369"/>
      <c r="E104" s="369"/>
      <c r="F104" s="3179">
        <f t="shared" si="21"/>
        <v>0</v>
      </c>
      <c r="G104" s="346"/>
      <c r="H104" s="369"/>
      <c r="I104" s="369"/>
      <c r="J104" s="3179">
        <f t="shared" si="24"/>
        <v>0</v>
      </c>
      <c r="K104" s="346"/>
      <c r="L104" s="369"/>
      <c r="M104" s="349"/>
      <c r="N104" s="3179">
        <f t="shared" si="22"/>
        <v>0</v>
      </c>
      <c r="O104" s="348"/>
      <c r="P104" s="561"/>
      <c r="Q104" s="351"/>
      <c r="R104" s="350"/>
      <c r="S104" s="346"/>
      <c r="T104" s="350"/>
      <c r="U104" s="348"/>
      <c r="V104" s="350"/>
      <c r="W104" s="561"/>
      <c r="X104" s="351"/>
      <c r="Y104" s="350"/>
      <c r="Z104" s="637"/>
      <c r="AA104" s="637"/>
      <c r="AB104" s="637"/>
      <c r="AC104" s="637"/>
      <c r="AD104" s="637"/>
      <c r="AE104" s="3176"/>
      <c r="AF104" s="3177"/>
      <c r="AG104" s="290"/>
      <c r="AH104" s="535"/>
      <c r="AI104" s="107"/>
    </row>
    <row r="105" spans="1:35" x14ac:dyDescent="0.3">
      <c r="A105" s="499" t="s">
        <v>1230</v>
      </c>
      <c r="B105" s="3180">
        <f t="shared" si="23"/>
        <v>0</v>
      </c>
      <c r="C105" s="47"/>
      <c r="D105" s="242"/>
      <c r="E105" s="242"/>
      <c r="F105" s="3180">
        <f t="shared" si="21"/>
        <v>0</v>
      </c>
      <c r="G105" s="47"/>
      <c r="H105" s="242"/>
      <c r="I105" s="242"/>
      <c r="J105" s="3180">
        <f t="shared" si="24"/>
        <v>0</v>
      </c>
      <c r="K105" s="47"/>
      <c r="L105" s="242"/>
      <c r="M105" s="3181"/>
      <c r="N105" s="3179">
        <f t="shared" si="22"/>
        <v>0</v>
      </c>
      <c r="O105" s="704"/>
      <c r="P105" s="66"/>
      <c r="Q105" s="351"/>
      <c r="R105" s="350"/>
      <c r="S105" s="346"/>
      <c r="T105" s="350"/>
      <c r="U105" s="348"/>
      <c r="V105" s="350"/>
      <c r="W105" s="561"/>
      <c r="X105" s="351"/>
      <c r="Y105" s="350"/>
      <c r="Z105" s="637"/>
      <c r="AA105" s="637"/>
      <c r="AB105" s="637"/>
      <c r="AC105" s="637"/>
      <c r="AD105" s="637"/>
      <c r="AE105" s="3176"/>
      <c r="AF105" s="3177"/>
      <c r="AG105" s="290"/>
      <c r="AH105" s="535"/>
      <c r="AI105" s="107"/>
    </row>
    <row r="106" spans="1:35" x14ac:dyDescent="0.3">
      <c r="A106" s="344" t="s">
        <v>4313</v>
      </c>
      <c r="B106" s="3179">
        <f t="shared" si="23"/>
        <v>0</v>
      </c>
      <c r="C106" s="346"/>
      <c r="D106" s="369"/>
      <c r="E106" s="369"/>
      <c r="F106" s="3179">
        <f t="shared" si="21"/>
        <v>0</v>
      </c>
      <c r="G106" s="346"/>
      <c r="H106" s="369"/>
      <c r="I106" s="369"/>
      <c r="J106" s="3179">
        <f t="shared" si="24"/>
        <v>0</v>
      </c>
      <c r="K106" s="346"/>
      <c r="L106" s="369"/>
      <c r="M106" s="349"/>
      <c r="N106" s="3179">
        <f t="shared" si="22"/>
        <v>0</v>
      </c>
      <c r="O106" s="348"/>
      <c r="P106" s="561"/>
      <c r="Q106" s="351"/>
      <c r="R106" s="350"/>
      <c r="S106" s="346"/>
      <c r="T106" s="350"/>
      <c r="U106" s="348"/>
      <c r="V106" s="350"/>
      <c r="W106" s="561"/>
      <c r="X106" s="351"/>
      <c r="Y106" s="350"/>
      <c r="Z106" s="637"/>
      <c r="AA106" s="637"/>
      <c r="AB106" s="637"/>
      <c r="AC106" s="637"/>
      <c r="AD106" s="637"/>
      <c r="AE106" s="3176"/>
      <c r="AF106" s="3177"/>
      <c r="AG106" s="290"/>
      <c r="AH106" s="535"/>
      <c r="AI106" s="107"/>
    </row>
    <row r="107" spans="1:35" x14ac:dyDescent="0.3">
      <c r="A107" s="344" t="s">
        <v>4315</v>
      </c>
      <c r="B107" s="3179">
        <f t="shared" si="23"/>
        <v>0</v>
      </c>
      <c r="C107" s="346"/>
      <c r="D107" s="369"/>
      <c r="E107" s="369"/>
      <c r="F107" s="3179">
        <f t="shared" si="21"/>
        <v>0</v>
      </c>
      <c r="G107" s="346"/>
      <c r="H107" s="369"/>
      <c r="I107" s="369"/>
      <c r="J107" s="3179">
        <f t="shared" si="24"/>
        <v>0</v>
      </c>
      <c r="K107" s="346"/>
      <c r="L107" s="369"/>
      <c r="M107" s="349"/>
      <c r="N107" s="3179">
        <f t="shared" si="22"/>
        <v>0</v>
      </c>
      <c r="O107" s="348"/>
      <c r="P107" s="561"/>
      <c r="Q107" s="351"/>
      <c r="R107" s="350"/>
      <c r="S107" s="346"/>
      <c r="T107" s="350"/>
      <c r="U107" s="348"/>
      <c r="V107" s="350"/>
      <c r="W107" s="561"/>
      <c r="X107" s="351"/>
      <c r="Y107" s="350"/>
      <c r="Z107" s="637"/>
      <c r="AA107" s="637"/>
      <c r="AB107" s="637"/>
      <c r="AC107" s="637"/>
      <c r="AD107" s="637"/>
      <c r="AE107" s="3176"/>
      <c r="AF107" s="3177"/>
      <c r="AG107" s="290"/>
      <c r="AH107" s="535"/>
      <c r="AI107" s="107"/>
    </row>
    <row r="108" spans="1:35" x14ac:dyDescent="0.3">
      <c r="A108" s="344" t="s">
        <v>1231</v>
      </c>
      <c r="B108" s="3180">
        <f t="shared" si="23"/>
        <v>0</v>
      </c>
      <c r="C108" s="47"/>
      <c r="D108" s="242"/>
      <c r="E108" s="242"/>
      <c r="F108" s="3180">
        <f t="shared" si="21"/>
        <v>0</v>
      </c>
      <c r="G108" s="47"/>
      <c r="H108" s="242"/>
      <c r="I108" s="242"/>
      <c r="J108" s="3180">
        <f t="shared" si="24"/>
        <v>0</v>
      </c>
      <c r="K108" s="47"/>
      <c r="L108" s="242"/>
      <c r="M108" s="3181"/>
      <c r="N108" s="3179">
        <f t="shared" si="22"/>
        <v>0</v>
      </c>
      <c r="O108" s="704"/>
      <c r="P108" s="66"/>
      <c r="Q108" s="351"/>
      <c r="R108" s="350"/>
      <c r="S108" s="346"/>
      <c r="T108" s="350"/>
      <c r="U108" s="348"/>
      <c r="V108" s="350"/>
      <c r="W108" s="561"/>
      <c r="X108" s="351"/>
      <c r="Y108" s="350"/>
      <c r="Z108" s="637"/>
      <c r="AA108" s="637"/>
      <c r="AB108" s="637"/>
      <c r="AC108" s="637"/>
      <c r="AD108" s="637"/>
      <c r="AE108" s="3176"/>
      <c r="AF108" s="3177"/>
      <c r="AG108" s="290"/>
      <c r="AH108" s="535"/>
      <c r="AI108" s="107"/>
    </row>
    <row r="109" spans="1:35" x14ac:dyDescent="0.3">
      <c r="A109" s="344" t="s">
        <v>1232</v>
      </c>
      <c r="B109" s="3179">
        <f t="shared" si="23"/>
        <v>0</v>
      </c>
      <c r="C109" s="346"/>
      <c r="D109" s="369"/>
      <c r="E109" s="369"/>
      <c r="F109" s="3179">
        <f t="shared" si="21"/>
        <v>0</v>
      </c>
      <c r="G109" s="346"/>
      <c r="H109" s="369"/>
      <c r="I109" s="369"/>
      <c r="J109" s="3179">
        <f t="shared" si="24"/>
        <v>0</v>
      </c>
      <c r="K109" s="346"/>
      <c r="L109" s="369"/>
      <c r="M109" s="349"/>
      <c r="N109" s="3179">
        <f t="shared" si="22"/>
        <v>0</v>
      </c>
      <c r="O109" s="348"/>
      <c r="P109" s="561"/>
      <c r="Q109" s="351"/>
      <c r="R109" s="350"/>
      <c r="S109" s="346"/>
      <c r="T109" s="350"/>
      <c r="U109" s="348"/>
      <c r="V109" s="350"/>
      <c r="W109" s="561"/>
      <c r="X109" s="351"/>
      <c r="Y109" s="350"/>
      <c r="Z109" s="637"/>
      <c r="AA109" s="637"/>
      <c r="AB109" s="637"/>
      <c r="AC109" s="637"/>
      <c r="AD109" s="637"/>
      <c r="AE109" s="3176"/>
      <c r="AF109" s="3177"/>
      <c r="AG109" s="290"/>
      <c r="AH109" s="535"/>
      <c r="AI109" s="107"/>
    </row>
    <row r="110" spans="1:35" x14ac:dyDescent="0.3">
      <c r="A110" s="344" t="s">
        <v>1233</v>
      </c>
      <c r="B110" s="3178">
        <f t="shared" si="23"/>
        <v>0</v>
      </c>
      <c r="C110" s="192"/>
      <c r="D110" s="594"/>
      <c r="E110" s="594"/>
      <c r="F110" s="3178">
        <f t="shared" si="21"/>
        <v>0</v>
      </c>
      <c r="G110" s="192"/>
      <c r="H110" s="594"/>
      <c r="I110" s="594"/>
      <c r="J110" s="3178">
        <f t="shared" si="24"/>
        <v>0</v>
      </c>
      <c r="K110" s="192"/>
      <c r="L110" s="594"/>
      <c r="M110" s="1123"/>
      <c r="N110" s="3179">
        <f t="shared" si="22"/>
        <v>0</v>
      </c>
      <c r="O110" s="482"/>
      <c r="P110" s="64"/>
      <c r="Q110" s="351"/>
      <c r="R110" s="350"/>
      <c r="S110" s="346"/>
      <c r="T110" s="350"/>
      <c r="U110" s="348"/>
      <c r="V110" s="350"/>
      <c r="W110" s="561"/>
      <c r="X110" s="351"/>
      <c r="Y110" s="350"/>
      <c r="Z110" s="813"/>
      <c r="AA110" s="350"/>
      <c r="AB110" s="637"/>
      <c r="AC110" s="637"/>
      <c r="AD110" s="637"/>
      <c r="AE110" s="3176"/>
      <c r="AF110" s="3177"/>
      <c r="AG110" s="290"/>
      <c r="AH110" s="535"/>
      <c r="AI110" s="107"/>
    </row>
    <row r="111" spans="1:35" x14ac:dyDescent="0.3">
      <c r="A111" s="344" t="s">
        <v>1234</v>
      </c>
      <c r="B111" s="3178">
        <f t="shared" si="23"/>
        <v>0</v>
      </c>
      <c r="C111" s="192"/>
      <c r="D111" s="594"/>
      <c r="E111" s="594"/>
      <c r="F111" s="3178">
        <f t="shared" si="21"/>
        <v>0</v>
      </c>
      <c r="G111" s="192"/>
      <c r="H111" s="594"/>
      <c r="I111" s="594"/>
      <c r="J111" s="3178">
        <f t="shared" si="24"/>
        <v>0</v>
      </c>
      <c r="K111" s="192"/>
      <c r="L111" s="594"/>
      <c r="M111" s="1123"/>
      <c r="N111" s="3179">
        <f t="shared" si="22"/>
        <v>0</v>
      </c>
      <c r="O111" s="482"/>
      <c r="P111" s="64"/>
      <c r="Q111" s="351"/>
      <c r="R111" s="350"/>
      <c r="S111" s="346"/>
      <c r="T111" s="350"/>
      <c r="U111" s="348"/>
      <c r="V111" s="350"/>
      <c r="W111" s="561"/>
      <c r="X111" s="351"/>
      <c r="Y111" s="350"/>
      <c r="Z111" s="813"/>
      <c r="AA111" s="350"/>
      <c r="AB111" s="637"/>
      <c r="AC111" s="637"/>
      <c r="AD111" s="637"/>
      <c r="AE111" s="3176"/>
      <c r="AF111" s="3177"/>
      <c r="AG111" s="290"/>
      <c r="AH111" s="535"/>
      <c r="AI111" s="107"/>
    </row>
    <row r="112" spans="1:35" x14ac:dyDescent="0.3">
      <c r="A112" s="344" t="s">
        <v>1235</v>
      </c>
      <c r="B112" s="3178">
        <f t="shared" si="23"/>
        <v>0</v>
      </c>
      <c r="C112" s="192"/>
      <c r="D112" s="594"/>
      <c r="E112" s="594"/>
      <c r="F112" s="3178">
        <f t="shared" si="21"/>
        <v>0</v>
      </c>
      <c r="G112" s="192"/>
      <c r="H112" s="594"/>
      <c r="I112" s="594"/>
      <c r="J112" s="3178">
        <f t="shared" si="24"/>
        <v>0</v>
      </c>
      <c r="K112" s="192"/>
      <c r="L112" s="594"/>
      <c r="M112" s="1123"/>
      <c r="N112" s="3179">
        <f t="shared" si="22"/>
        <v>0</v>
      </c>
      <c r="O112" s="482"/>
      <c r="P112" s="64"/>
      <c r="Q112" s="351"/>
      <c r="R112" s="350"/>
      <c r="S112" s="346"/>
      <c r="T112" s="350"/>
      <c r="U112" s="348"/>
      <c r="V112" s="350"/>
      <c r="W112" s="561"/>
      <c r="X112" s="351"/>
      <c r="Y112" s="350"/>
      <c r="Z112" s="813"/>
      <c r="AA112" s="350"/>
      <c r="AB112" s="637"/>
      <c r="AC112" s="637"/>
      <c r="AD112" s="637"/>
      <c r="AE112" s="3176"/>
      <c r="AF112" s="3177"/>
      <c r="AG112" s="290"/>
      <c r="AH112" s="535"/>
      <c r="AI112" s="107"/>
    </row>
    <row r="113" spans="1:98" x14ac:dyDescent="0.3">
      <c r="A113" s="250" t="s">
        <v>1236</v>
      </c>
      <c r="B113" s="3178">
        <f t="shared" si="23"/>
        <v>0</v>
      </c>
      <c r="C113" s="192"/>
      <c r="D113" s="594"/>
      <c r="E113" s="594"/>
      <c r="F113" s="3178">
        <f t="shared" si="21"/>
        <v>0</v>
      </c>
      <c r="G113" s="192"/>
      <c r="H113" s="594"/>
      <c r="I113" s="594"/>
      <c r="J113" s="3178">
        <f t="shared" si="24"/>
        <v>0</v>
      </c>
      <c r="K113" s="192"/>
      <c r="L113" s="594"/>
      <c r="M113" s="1123"/>
      <c r="N113" s="3179">
        <f t="shared" si="22"/>
        <v>0</v>
      </c>
      <c r="O113" s="482"/>
      <c r="P113" s="64"/>
      <c r="Q113" s="351"/>
      <c r="R113" s="350"/>
      <c r="S113" s="346"/>
      <c r="T113" s="350"/>
      <c r="U113" s="348"/>
      <c r="V113" s="350"/>
      <c r="W113" s="561"/>
      <c r="X113" s="351"/>
      <c r="Y113" s="350"/>
      <c r="Z113" s="813"/>
      <c r="AA113" s="350"/>
      <c r="AB113" s="637"/>
      <c r="AC113" s="637"/>
      <c r="AD113" s="637"/>
      <c r="AE113" s="3176"/>
      <c r="AF113" s="3177"/>
      <c r="AG113" s="290"/>
      <c r="AH113" s="535"/>
      <c r="AI113" s="107"/>
    </row>
    <row r="114" spans="1:98" x14ac:dyDescent="0.3">
      <c r="A114" s="499" t="s">
        <v>1427</v>
      </c>
      <c r="B114" s="3178">
        <f t="shared" si="23"/>
        <v>0</v>
      </c>
      <c r="C114" s="192"/>
      <c r="D114" s="594"/>
      <c r="E114" s="594"/>
      <c r="F114" s="3178">
        <f t="shared" si="21"/>
        <v>0</v>
      </c>
      <c r="G114" s="192"/>
      <c r="H114" s="594"/>
      <c r="I114" s="594"/>
      <c r="J114" s="3178">
        <f t="shared" si="24"/>
        <v>0</v>
      </c>
      <c r="K114" s="192"/>
      <c r="L114" s="594"/>
      <c r="M114" s="1123"/>
      <c r="N114" s="3179">
        <f t="shared" si="22"/>
        <v>0</v>
      </c>
      <c r="O114" s="482"/>
      <c r="P114" s="64"/>
      <c r="Q114" s="351"/>
      <c r="R114" s="350"/>
      <c r="S114" s="346"/>
      <c r="T114" s="350"/>
      <c r="U114" s="348"/>
      <c r="V114" s="350"/>
      <c r="W114" s="561"/>
      <c r="X114" s="351"/>
      <c r="Y114" s="350"/>
      <c r="Z114" s="813"/>
      <c r="AA114" s="350"/>
      <c r="AB114" s="637"/>
      <c r="AC114" s="637"/>
      <c r="AD114" s="637"/>
      <c r="AE114" s="3176"/>
      <c r="AF114" s="3177"/>
      <c r="AG114" s="290"/>
      <c r="AH114" s="535"/>
      <c r="AI114" s="107"/>
    </row>
    <row r="115" spans="1:98" x14ac:dyDescent="0.3">
      <c r="A115" s="499" t="s">
        <v>4306</v>
      </c>
      <c r="B115" s="3178">
        <f t="shared" si="23"/>
        <v>0</v>
      </c>
      <c r="C115" s="192"/>
      <c r="D115" s="594"/>
      <c r="E115" s="594"/>
      <c r="F115" s="3178">
        <f t="shared" si="21"/>
        <v>0</v>
      </c>
      <c r="G115" s="192"/>
      <c r="H115" s="594"/>
      <c r="I115" s="594"/>
      <c r="J115" s="3178">
        <f t="shared" si="24"/>
        <v>0</v>
      </c>
      <c r="K115" s="192"/>
      <c r="L115" s="594"/>
      <c r="M115" s="1123"/>
      <c r="N115" s="3179">
        <f t="shared" si="22"/>
        <v>0</v>
      </c>
      <c r="O115" s="482"/>
      <c r="P115" s="64"/>
      <c r="Q115" s="351"/>
      <c r="R115" s="350"/>
      <c r="S115" s="346"/>
      <c r="T115" s="350"/>
      <c r="U115" s="348"/>
      <c r="V115" s="350"/>
      <c r="W115" s="561"/>
      <c r="X115" s="351"/>
      <c r="Y115" s="350"/>
      <c r="Z115" s="813"/>
      <c r="AA115" s="350"/>
      <c r="AB115" s="637"/>
      <c r="AC115" s="637"/>
      <c r="AD115" s="637"/>
      <c r="AE115" s="3176"/>
      <c r="AF115" s="3177"/>
      <c r="AG115" s="290"/>
      <c r="AH115" s="535"/>
      <c r="AI115" s="107"/>
    </row>
    <row r="116" spans="1:98" x14ac:dyDescent="0.3">
      <c r="A116" s="499" t="s">
        <v>4316</v>
      </c>
      <c r="B116" s="3178">
        <f t="shared" si="23"/>
        <v>0</v>
      </c>
      <c r="C116" s="192"/>
      <c r="D116" s="594"/>
      <c r="E116" s="594"/>
      <c r="F116" s="3178">
        <f t="shared" si="21"/>
        <v>0</v>
      </c>
      <c r="G116" s="192"/>
      <c r="H116" s="594"/>
      <c r="I116" s="594"/>
      <c r="J116" s="3178">
        <f t="shared" si="24"/>
        <v>0</v>
      </c>
      <c r="K116" s="192"/>
      <c r="L116" s="594"/>
      <c r="M116" s="1123"/>
      <c r="N116" s="3179">
        <f t="shared" si="22"/>
        <v>0</v>
      </c>
      <c r="O116" s="482"/>
      <c r="P116" s="64"/>
      <c r="Q116" s="351"/>
      <c r="R116" s="350"/>
      <c r="S116" s="346"/>
      <c r="T116" s="350"/>
      <c r="U116" s="348"/>
      <c r="V116" s="350"/>
      <c r="W116" s="561"/>
      <c r="X116" s="351"/>
      <c r="Y116" s="350"/>
      <c r="Z116" s="813"/>
      <c r="AA116" s="350"/>
      <c r="AB116" s="637"/>
      <c r="AC116" s="637"/>
      <c r="AD116" s="637"/>
      <c r="AE116" s="3176"/>
      <c r="AF116" s="3177"/>
      <c r="AG116" s="290"/>
      <c r="AH116" s="535"/>
      <c r="AI116" s="107"/>
    </row>
    <row r="117" spans="1:98" x14ac:dyDescent="0.3">
      <c r="A117" s="344" t="s">
        <v>1237</v>
      </c>
      <c r="B117" s="3178">
        <f t="shared" si="23"/>
        <v>0</v>
      </c>
      <c r="C117" s="192"/>
      <c r="D117" s="594"/>
      <c r="E117" s="594"/>
      <c r="F117" s="3178">
        <f t="shared" si="21"/>
        <v>0</v>
      </c>
      <c r="G117" s="192"/>
      <c r="H117" s="594"/>
      <c r="I117" s="594"/>
      <c r="J117" s="3178">
        <f t="shared" si="24"/>
        <v>0</v>
      </c>
      <c r="K117" s="192"/>
      <c r="L117" s="594"/>
      <c r="M117" s="1123"/>
      <c r="N117" s="3179">
        <f t="shared" si="22"/>
        <v>0</v>
      </c>
      <c r="O117" s="482"/>
      <c r="P117" s="64"/>
      <c r="Q117" s="351"/>
      <c r="R117" s="350"/>
      <c r="S117" s="346"/>
      <c r="T117" s="350"/>
      <c r="U117" s="348"/>
      <c r="V117" s="350"/>
      <c r="W117" s="561"/>
      <c r="X117" s="351"/>
      <c r="Y117" s="350"/>
      <c r="Z117" s="813"/>
      <c r="AA117" s="350"/>
      <c r="AB117" s="637"/>
      <c r="AC117" s="637"/>
      <c r="AD117" s="637"/>
      <c r="AE117" s="3176"/>
      <c r="AF117" s="3177"/>
      <c r="AG117" s="290"/>
      <c r="AH117" s="535"/>
      <c r="AI117" s="107"/>
    </row>
    <row r="118" spans="1:98" x14ac:dyDescent="0.3">
      <c r="A118" s="344" t="s">
        <v>1238</v>
      </c>
      <c r="B118" s="3179">
        <f t="shared" si="23"/>
        <v>0</v>
      </c>
      <c r="C118" s="346"/>
      <c r="D118" s="369"/>
      <c r="E118" s="369"/>
      <c r="F118" s="3179">
        <f t="shared" si="21"/>
        <v>0</v>
      </c>
      <c r="G118" s="346"/>
      <c r="H118" s="369"/>
      <c r="I118" s="369"/>
      <c r="J118" s="3179">
        <f t="shared" si="24"/>
        <v>0</v>
      </c>
      <c r="K118" s="346"/>
      <c r="L118" s="369"/>
      <c r="M118" s="349"/>
      <c r="N118" s="3179">
        <f t="shared" si="22"/>
        <v>0</v>
      </c>
      <c r="O118" s="348"/>
      <c r="P118" s="561"/>
      <c r="Q118" s="351"/>
      <c r="R118" s="350"/>
      <c r="S118" s="346"/>
      <c r="T118" s="350"/>
      <c r="U118" s="348"/>
      <c r="V118" s="350"/>
      <c r="W118" s="561"/>
      <c r="X118" s="351"/>
      <c r="Y118" s="350"/>
      <c r="Z118" s="813"/>
      <c r="AA118" s="350"/>
      <c r="AB118" s="637"/>
      <c r="AC118" s="637"/>
      <c r="AD118" s="637"/>
      <c r="AE118" s="3176"/>
      <c r="AF118" s="3177"/>
      <c r="AG118" s="290"/>
      <c r="AH118" s="535"/>
      <c r="AI118" s="107"/>
    </row>
    <row r="119" spans="1:98" x14ac:dyDescent="0.3">
      <c r="A119" s="344" t="s">
        <v>4317</v>
      </c>
      <c r="B119" s="3179">
        <f t="shared" si="23"/>
        <v>0</v>
      </c>
      <c r="C119" s="346"/>
      <c r="D119" s="369"/>
      <c r="E119" s="369"/>
      <c r="F119" s="3179">
        <f t="shared" si="21"/>
        <v>0</v>
      </c>
      <c r="G119" s="346"/>
      <c r="H119" s="369"/>
      <c r="I119" s="369"/>
      <c r="J119" s="3179">
        <f t="shared" si="24"/>
        <v>0</v>
      </c>
      <c r="K119" s="346"/>
      <c r="L119" s="369"/>
      <c r="M119" s="349"/>
      <c r="N119" s="3179">
        <f t="shared" si="22"/>
        <v>0</v>
      </c>
      <c r="O119" s="348"/>
      <c r="P119" s="561"/>
      <c r="Q119" s="351"/>
      <c r="R119" s="350"/>
      <c r="S119" s="346"/>
      <c r="T119" s="350"/>
      <c r="U119" s="348"/>
      <c r="V119" s="350"/>
      <c r="W119" s="561"/>
      <c r="X119" s="351"/>
      <c r="Y119" s="350"/>
      <c r="Z119" s="813"/>
      <c r="AA119" s="350"/>
      <c r="AB119" s="637"/>
      <c r="AC119" s="637"/>
      <c r="AD119" s="637"/>
      <c r="AE119" s="3176"/>
      <c r="AF119" s="3177"/>
      <c r="AG119" s="290"/>
      <c r="AH119" s="535"/>
      <c r="AI119" s="107"/>
    </row>
    <row r="120" spans="1:98" x14ac:dyDescent="0.3">
      <c r="A120" s="344" t="s">
        <v>4318</v>
      </c>
      <c r="B120" s="3178">
        <f t="shared" si="23"/>
        <v>0</v>
      </c>
      <c r="C120" s="192"/>
      <c r="D120" s="594"/>
      <c r="E120" s="594"/>
      <c r="F120" s="3178">
        <f t="shared" si="21"/>
        <v>0</v>
      </c>
      <c r="G120" s="192"/>
      <c r="H120" s="594"/>
      <c r="I120" s="594"/>
      <c r="J120" s="3178">
        <f t="shared" si="24"/>
        <v>0</v>
      </c>
      <c r="K120" s="192"/>
      <c r="L120" s="594"/>
      <c r="M120" s="1123"/>
      <c r="N120" s="3179">
        <f t="shared" si="22"/>
        <v>0</v>
      </c>
      <c r="O120" s="482"/>
      <c r="P120" s="64"/>
      <c r="Q120" s="351"/>
      <c r="R120" s="350"/>
      <c r="S120" s="346"/>
      <c r="T120" s="350"/>
      <c r="U120" s="348"/>
      <c r="V120" s="350"/>
      <c r="W120" s="561"/>
      <c r="X120" s="351"/>
      <c r="Y120" s="350"/>
      <c r="Z120" s="813"/>
      <c r="AA120" s="350"/>
      <c r="AB120" s="637"/>
      <c r="AC120" s="637"/>
      <c r="AD120" s="637"/>
      <c r="AE120" s="3176"/>
      <c r="AF120" s="3177"/>
      <c r="AG120" s="290"/>
      <c r="AH120" s="535"/>
      <c r="AI120" s="107"/>
    </row>
    <row r="121" spans="1:98" x14ac:dyDescent="0.3">
      <c r="A121" s="344" t="s">
        <v>1239</v>
      </c>
      <c r="B121" s="3179">
        <f t="shared" si="23"/>
        <v>0</v>
      </c>
      <c r="C121" s="346"/>
      <c r="D121" s="369"/>
      <c r="E121" s="369"/>
      <c r="F121" s="3179">
        <f t="shared" si="21"/>
        <v>0</v>
      </c>
      <c r="G121" s="346"/>
      <c r="H121" s="369"/>
      <c r="I121" s="369"/>
      <c r="J121" s="3179">
        <f t="shared" si="24"/>
        <v>0</v>
      </c>
      <c r="K121" s="346"/>
      <c r="L121" s="369"/>
      <c r="M121" s="349"/>
      <c r="N121" s="3179">
        <f t="shared" si="22"/>
        <v>0</v>
      </c>
      <c r="O121" s="348"/>
      <c r="P121" s="561"/>
      <c r="Q121" s="351"/>
      <c r="R121" s="350"/>
      <c r="S121" s="346"/>
      <c r="T121" s="350"/>
      <c r="U121" s="348"/>
      <c r="V121" s="350"/>
      <c r="W121" s="561"/>
      <c r="X121" s="351"/>
      <c r="Y121" s="350"/>
      <c r="Z121" s="813"/>
      <c r="AA121" s="350"/>
      <c r="AB121" s="637"/>
      <c r="AC121" s="637"/>
      <c r="AD121" s="637"/>
      <c r="AE121" s="3176"/>
      <c r="AF121" s="3177"/>
      <c r="AG121" s="290"/>
      <c r="AH121" s="535"/>
      <c r="AI121" s="107"/>
    </row>
    <row r="122" spans="1:98" x14ac:dyDescent="0.3">
      <c r="A122" s="344" t="s">
        <v>1240</v>
      </c>
      <c r="B122" s="3179">
        <f t="shared" si="23"/>
        <v>0</v>
      </c>
      <c r="C122" s="346"/>
      <c r="D122" s="369"/>
      <c r="E122" s="369"/>
      <c r="F122" s="3179">
        <f t="shared" si="21"/>
        <v>0</v>
      </c>
      <c r="G122" s="346"/>
      <c r="H122" s="369"/>
      <c r="I122" s="369"/>
      <c r="J122" s="3179">
        <f t="shared" si="24"/>
        <v>0</v>
      </c>
      <c r="K122" s="346"/>
      <c r="L122" s="369"/>
      <c r="M122" s="349"/>
      <c r="N122" s="3179">
        <f t="shared" si="22"/>
        <v>0</v>
      </c>
      <c r="O122" s="348"/>
      <c r="P122" s="561"/>
      <c r="Q122" s="351"/>
      <c r="R122" s="350"/>
      <c r="S122" s="346"/>
      <c r="T122" s="350"/>
      <c r="U122" s="348"/>
      <c r="V122" s="350"/>
      <c r="W122" s="561"/>
      <c r="X122" s="351"/>
      <c r="Y122" s="350"/>
      <c r="Z122" s="813"/>
      <c r="AA122" s="350"/>
      <c r="AB122" s="637"/>
      <c r="AC122" s="637"/>
      <c r="AD122" s="637"/>
      <c r="AE122" s="3183"/>
      <c r="AF122" s="3177"/>
      <c r="AG122" s="290"/>
      <c r="AH122" s="535"/>
      <c r="AI122" s="107"/>
    </row>
    <row r="123" spans="1:98" x14ac:dyDescent="0.3">
      <c r="A123" s="344" t="s">
        <v>1241</v>
      </c>
      <c r="B123" s="3179">
        <f t="shared" si="23"/>
        <v>0</v>
      </c>
      <c r="C123" s="346"/>
      <c r="D123" s="369"/>
      <c r="E123" s="369"/>
      <c r="F123" s="3179">
        <f t="shared" si="21"/>
        <v>0</v>
      </c>
      <c r="G123" s="346"/>
      <c r="H123" s="369"/>
      <c r="I123" s="369"/>
      <c r="J123" s="3179">
        <f t="shared" si="24"/>
        <v>0</v>
      </c>
      <c r="K123" s="346"/>
      <c r="L123" s="369"/>
      <c r="M123" s="349"/>
      <c r="N123" s="3179">
        <f t="shared" si="22"/>
        <v>0</v>
      </c>
      <c r="O123" s="348"/>
      <c r="P123" s="561"/>
      <c r="Q123" s="351"/>
      <c r="R123" s="350"/>
      <c r="S123" s="346"/>
      <c r="T123" s="350"/>
      <c r="U123" s="348"/>
      <c r="V123" s="350"/>
      <c r="W123" s="561"/>
      <c r="X123" s="351"/>
      <c r="Y123" s="350"/>
      <c r="Z123" s="813"/>
      <c r="AA123" s="350"/>
      <c r="AB123" s="813"/>
      <c r="AC123" s="813"/>
      <c r="AD123" s="350"/>
      <c r="AE123" s="3183"/>
      <c r="AF123" s="3184"/>
      <c r="AG123" s="346"/>
      <c r="AH123" s="369"/>
      <c r="AI123" s="347"/>
    </row>
    <row r="124" spans="1:98" x14ac:dyDescent="0.3">
      <c r="A124" s="250" t="s">
        <v>1242</v>
      </c>
      <c r="B124" s="3182">
        <f t="shared" si="23"/>
        <v>0</v>
      </c>
      <c r="C124" s="290"/>
      <c r="D124" s="535"/>
      <c r="E124" s="535"/>
      <c r="F124" s="3182">
        <f t="shared" si="21"/>
        <v>0</v>
      </c>
      <c r="G124" s="290"/>
      <c r="H124" s="535"/>
      <c r="I124" s="535"/>
      <c r="J124" s="3182">
        <f t="shared" si="24"/>
        <v>0</v>
      </c>
      <c r="K124" s="290"/>
      <c r="L124" s="535"/>
      <c r="M124" s="735"/>
      <c r="N124" s="3179">
        <f t="shared" si="22"/>
        <v>0</v>
      </c>
      <c r="O124" s="22"/>
      <c r="P124" s="65"/>
      <c r="Q124" s="351"/>
      <c r="R124" s="350"/>
      <c r="S124" s="290"/>
      <c r="T124" s="637"/>
      <c r="U124" s="22"/>
      <c r="V124" s="637"/>
      <c r="W124" s="65"/>
      <c r="X124" s="351"/>
      <c r="Y124" s="350"/>
      <c r="Z124" s="107"/>
      <c r="AA124" s="107"/>
      <c r="AB124" s="107"/>
      <c r="AC124" s="107"/>
      <c r="AD124" s="107"/>
      <c r="AE124" s="3176"/>
      <c r="AF124" s="3185"/>
      <c r="AG124" s="290"/>
      <c r="AH124" s="535"/>
      <c r="AI124" s="107"/>
    </row>
    <row r="125" spans="1:98" x14ac:dyDescent="0.3">
      <c r="A125" s="3149" t="s">
        <v>1243</v>
      </c>
      <c r="B125" s="3186">
        <f t="shared" si="23"/>
        <v>0</v>
      </c>
      <c r="C125" s="380"/>
      <c r="D125" s="372"/>
      <c r="E125" s="372"/>
      <c r="F125" s="3186">
        <f t="shared" si="21"/>
        <v>0</v>
      </c>
      <c r="G125" s="380"/>
      <c r="H125" s="372"/>
      <c r="I125" s="372"/>
      <c r="J125" s="3186">
        <f t="shared" si="24"/>
        <v>0</v>
      </c>
      <c r="K125" s="380"/>
      <c r="L125" s="372"/>
      <c r="M125" s="502"/>
      <c r="N125" s="3186">
        <f t="shared" si="22"/>
        <v>0</v>
      </c>
      <c r="O125" s="429"/>
      <c r="P125" s="564"/>
      <c r="Q125" s="682"/>
      <c r="R125" s="389"/>
      <c r="S125" s="380"/>
      <c r="T125" s="389"/>
      <c r="U125" s="429"/>
      <c r="V125" s="389"/>
      <c r="W125" s="564"/>
      <c r="X125" s="682"/>
      <c r="Y125" s="389"/>
      <c r="Z125" s="388"/>
      <c r="AA125" s="388"/>
      <c r="AB125" s="388"/>
      <c r="AC125" s="388"/>
      <c r="AD125" s="388"/>
      <c r="AE125" s="3187"/>
      <c r="AF125" s="3188"/>
      <c r="AG125" s="380"/>
      <c r="AH125" s="372"/>
      <c r="AI125" s="388"/>
    </row>
    <row r="126" spans="1:98" x14ac:dyDescent="0.3">
      <c r="A126" s="3189" t="s">
        <v>77</v>
      </c>
      <c r="B126" s="3190">
        <f t="shared" ref="B126:AI126" si="25">SUM(B71:B125)</f>
        <v>0</v>
      </c>
      <c r="C126" s="3191">
        <f t="shared" si="25"/>
        <v>0</v>
      </c>
      <c r="D126" s="301">
        <f t="shared" si="25"/>
        <v>0</v>
      </c>
      <c r="E126" s="301">
        <f t="shared" si="25"/>
        <v>0</v>
      </c>
      <c r="F126" s="3190">
        <f t="shared" si="25"/>
        <v>0</v>
      </c>
      <c r="G126" s="3191">
        <f t="shared" si="25"/>
        <v>0</v>
      </c>
      <c r="H126" s="301">
        <f t="shared" si="25"/>
        <v>0</v>
      </c>
      <c r="I126" s="301">
        <f t="shared" si="25"/>
        <v>0</v>
      </c>
      <c r="J126" s="3190">
        <f t="shared" si="25"/>
        <v>0</v>
      </c>
      <c r="K126" s="3191">
        <f t="shared" si="25"/>
        <v>0</v>
      </c>
      <c r="L126" s="301">
        <f t="shared" si="25"/>
        <v>0</v>
      </c>
      <c r="M126" s="301">
        <f t="shared" si="25"/>
        <v>0</v>
      </c>
      <c r="N126" s="3190">
        <f t="shared" si="25"/>
        <v>0</v>
      </c>
      <c r="O126" s="3192">
        <f t="shared" si="25"/>
        <v>0</v>
      </c>
      <c r="P126" s="3193">
        <f t="shared" si="25"/>
        <v>0</v>
      </c>
      <c r="Q126" s="3191">
        <f t="shared" si="25"/>
        <v>0</v>
      </c>
      <c r="R126" s="3194">
        <f t="shared" si="25"/>
        <v>0</v>
      </c>
      <c r="S126" s="779">
        <f t="shared" si="25"/>
        <v>0</v>
      </c>
      <c r="T126" s="586">
        <f t="shared" si="25"/>
        <v>0</v>
      </c>
      <c r="U126" s="3192">
        <f t="shared" si="25"/>
        <v>0</v>
      </c>
      <c r="V126" s="3195">
        <f t="shared" si="25"/>
        <v>0</v>
      </c>
      <c r="W126" s="3194">
        <f t="shared" si="25"/>
        <v>0</v>
      </c>
      <c r="X126" s="926">
        <f t="shared" si="25"/>
        <v>0</v>
      </c>
      <c r="Y126" s="3195">
        <f t="shared" si="25"/>
        <v>0</v>
      </c>
      <c r="Z126" s="3194">
        <f t="shared" si="25"/>
        <v>0</v>
      </c>
      <c r="AA126" s="3194">
        <f t="shared" si="25"/>
        <v>0</v>
      </c>
      <c r="AB126" s="3194">
        <f t="shared" si="25"/>
        <v>0</v>
      </c>
      <c r="AC126" s="3194">
        <f t="shared" si="25"/>
        <v>0</v>
      </c>
      <c r="AD126" s="3190">
        <f t="shared" si="25"/>
        <v>0</v>
      </c>
      <c r="AE126" s="3191">
        <f t="shared" si="25"/>
        <v>0</v>
      </c>
      <c r="AF126" s="3193">
        <f t="shared" si="25"/>
        <v>0</v>
      </c>
      <c r="AG126" s="3191">
        <f t="shared" si="25"/>
        <v>0</v>
      </c>
      <c r="AH126" s="301">
        <f t="shared" si="25"/>
        <v>0</v>
      </c>
      <c r="AI126" s="3194">
        <f t="shared" si="25"/>
        <v>0</v>
      </c>
    </row>
    <row r="127" spans="1:98" s="6" customFormat="1" ht="18" customHeight="1" x14ac:dyDescent="0.25">
      <c r="A127" s="3196" t="s">
        <v>1274</v>
      </c>
      <c r="B127" s="3197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</row>
    <row r="128" spans="1:98" x14ac:dyDescent="0.3">
      <c r="A128" s="3189" t="s">
        <v>1275</v>
      </c>
      <c r="B128" s="738" t="s">
        <v>77</v>
      </c>
      <c r="C128" s="767" t="s">
        <v>343</v>
      </c>
      <c r="D128" s="554" t="s">
        <v>326</v>
      </c>
      <c r="E128" s="555" t="s">
        <v>94</v>
      </c>
      <c r="F128" s="555" t="s">
        <v>1203</v>
      </c>
      <c r="G128" s="555" t="s">
        <v>1276</v>
      </c>
      <c r="H128" s="555" t="s">
        <v>45</v>
      </c>
      <c r="I128" s="491" t="s">
        <v>46</v>
      </c>
      <c r="J128" s="491" t="s">
        <v>47</v>
      </c>
      <c r="K128" s="491" t="s">
        <v>48</v>
      </c>
      <c r="L128" s="491" t="s">
        <v>49</v>
      </c>
      <c r="M128" s="491" t="s">
        <v>50</v>
      </c>
      <c r="N128" s="491" t="s">
        <v>51</v>
      </c>
      <c r="O128" s="491" t="s">
        <v>52</v>
      </c>
      <c r="P128" s="491" t="s">
        <v>53</v>
      </c>
      <c r="Q128" s="491" t="s">
        <v>54</v>
      </c>
      <c r="R128" s="491" t="s">
        <v>55</v>
      </c>
      <c r="S128" s="491" t="s">
        <v>56</v>
      </c>
      <c r="T128" s="470" t="s">
        <v>1277</v>
      </c>
      <c r="U128" s="465" t="s">
        <v>1278</v>
      </c>
      <c r="V128" s="465" t="s">
        <v>1279</v>
      </c>
    </row>
    <row r="129" spans="1:93" ht="15" customHeight="1" x14ac:dyDescent="0.3">
      <c r="A129" s="3198" t="s">
        <v>1280</v>
      </c>
      <c r="B129" s="598">
        <f t="shared" ref="B129:B145" si="26">SUM(C129:T129)</f>
        <v>0</v>
      </c>
      <c r="C129" s="770"/>
      <c r="D129" s="773"/>
      <c r="E129" s="773"/>
      <c r="F129" s="773"/>
      <c r="G129" s="773"/>
      <c r="H129" s="773"/>
      <c r="I129" s="773"/>
      <c r="J129" s="773"/>
      <c r="K129" s="773"/>
      <c r="L129" s="773"/>
      <c r="M129" s="773"/>
      <c r="N129" s="773"/>
      <c r="O129" s="773"/>
      <c r="P129" s="773"/>
      <c r="Q129" s="773"/>
      <c r="R129" s="773"/>
      <c r="S129" s="773"/>
      <c r="T129" s="759"/>
      <c r="U129" s="576"/>
      <c r="V129" s="576"/>
      <c r="W129" t="str">
        <f t="shared" ref="W129:W143" si="27">CB129&amp;CC129&amp;CD129</f>
        <v/>
      </c>
      <c r="CB129" s="135" t="str">
        <f t="shared" ref="CB129:CB144" si="28">IF(AND(B129&gt;0,U129="")," * No olvide digitar Trans Masculino. (Digite CERO si no tiene).","")</f>
        <v/>
      </c>
      <c r="CC129" s="135" t="str">
        <f t="shared" ref="CC129:CC145" si="29">IF(AND(B129&gt;0,V129="")," * No olvide digitar Trans Femenino. (Digite CERO si no tiene).","")</f>
        <v/>
      </c>
      <c r="CD129" s="135" t="str">
        <f t="shared" ref="CD129:CD145" si="30">IF((U129+V129)&gt;B129," * La suma de Trans Masculino + Trans Femenino No puede ser Mayor al Total.","")</f>
        <v/>
      </c>
      <c r="CM129" s="84">
        <f t="shared" ref="CM129:CM145" si="31">IF(AND(B129&gt;0,U129=""),1,0)</f>
        <v>0</v>
      </c>
      <c r="CN129" s="84">
        <f t="shared" ref="CN129:CN145" si="32">IF(AND(B129&gt;0,V129=""),1,0)</f>
        <v>0</v>
      </c>
      <c r="CO129" s="84">
        <f t="shared" ref="CO129:CO145" si="33">IF((U129+V129)&gt;B129,1,0)</f>
        <v>0</v>
      </c>
    </row>
    <row r="130" spans="1:93" ht="15" customHeight="1" x14ac:dyDescent="0.3">
      <c r="A130" s="358" t="s">
        <v>722</v>
      </c>
      <c r="B130" s="480">
        <f t="shared" si="26"/>
        <v>0</v>
      </c>
      <c r="C130" s="346"/>
      <c r="D130" s="369"/>
      <c r="E130" s="369"/>
      <c r="F130" s="369"/>
      <c r="G130" s="369"/>
      <c r="H130" s="369"/>
      <c r="I130" s="369"/>
      <c r="J130" s="369"/>
      <c r="K130" s="369"/>
      <c r="L130" s="369"/>
      <c r="M130" s="369"/>
      <c r="N130" s="369"/>
      <c r="O130" s="369"/>
      <c r="P130" s="369"/>
      <c r="Q130" s="369"/>
      <c r="R130" s="369"/>
      <c r="S130" s="369"/>
      <c r="T130" s="352"/>
      <c r="U130" s="347"/>
      <c r="V130" s="347"/>
      <c r="W130" t="str">
        <f t="shared" si="27"/>
        <v/>
      </c>
      <c r="CB130" s="135" t="str">
        <f t="shared" si="28"/>
        <v/>
      </c>
      <c r="CC130" s="135" t="str">
        <f t="shared" si="29"/>
        <v/>
      </c>
      <c r="CD130" s="135" t="str">
        <f t="shared" si="30"/>
        <v/>
      </c>
      <c r="CM130" s="84">
        <f t="shared" si="31"/>
        <v>0</v>
      </c>
      <c r="CN130" s="84">
        <f t="shared" si="32"/>
        <v>0</v>
      </c>
      <c r="CO130" s="84">
        <f t="shared" si="33"/>
        <v>0</v>
      </c>
    </row>
    <row r="131" spans="1:93" ht="15" customHeight="1" x14ac:dyDescent="0.3">
      <c r="A131" s="358" t="s">
        <v>1281</v>
      </c>
      <c r="B131" s="480">
        <f t="shared" si="26"/>
        <v>0</v>
      </c>
      <c r="C131" s="346"/>
      <c r="D131" s="369"/>
      <c r="E131" s="369"/>
      <c r="F131" s="369"/>
      <c r="G131" s="369"/>
      <c r="H131" s="369"/>
      <c r="I131" s="369"/>
      <c r="J131" s="369"/>
      <c r="K131" s="369"/>
      <c r="L131" s="369"/>
      <c r="M131" s="369"/>
      <c r="N131" s="369"/>
      <c r="O131" s="369"/>
      <c r="P131" s="369"/>
      <c r="Q131" s="369"/>
      <c r="R131" s="369"/>
      <c r="S131" s="369"/>
      <c r="T131" s="352"/>
      <c r="U131" s="347"/>
      <c r="V131" s="347"/>
      <c r="W131" t="str">
        <f t="shared" si="27"/>
        <v/>
      </c>
      <c r="CB131" s="135" t="str">
        <f t="shared" si="28"/>
        <v/>
      </c>
      <c r="CC131" s="135" t="str">
        <f t="shared" si="29"/>
        <v/>
      </c>
      <c r="CD131" s="135" t="str">
        <f t="shared" si="30"/>
        <v/>
      </c>
      <c r="CM131" s="84">
        <f t="shared" si="31"/>
        <v>0</v>
      </c>
      <c r="CN131" s="84">
        <f t="shared" si="32"/>
        <v>0</v>
      </c>
      <c r="CO131" s="84">
        <f t="shared" si="33"/>
        <v>0</v>
      </c>
    </row>
    <row r="132" spans="1:93" ht="15" customHeight="1" x14ac:dyDescent="0.3">
      <c r="A132" s="358" t="s">
        <v>1282</v>
      </c>
      <c r="B132" s="480">
        <f t="shared" si="26"/>
        <v>0</v>
      </c>
      <c r="C132" s="346"/>
      <c r="D132" s="369"/>
      <c r="E132" s="369"/>
      <c r="F132" s="369"/>
      <c r="G132" s="369"/>
      <c r="H132" s="369"/>
      <c r="I132" s="369"/>
      <c r="J132" s="369"/>
      <c r="K132" s="369"/>
      <c r="L132" s="369"/>
      <c r="M132" s="369"/>
      <c r="N132" s="369"/>
      <c r="O132" s="369"/>
      <c r="P132" s="369"/>
      <c r="Q132" s="369"/>
      <c r="R132" s="369"/>
      <c r="S132" s="369"/>
      <c r="T132" s="352"/>
      <c r="U132" s="347"/>
      <c r="V132" s="347"/>
      <c r="W132" t="str">
        <f t="shared" si="27"/>
        <v/>
      </c>
      <c r="CB132" s="135" t="str">
        <f t="shared" si="28"/>
        <v/>
      </c>
      <c r="CC132" s="135" t="str">
        <f t="shared" si="29"/>
        <v/>
      </c>
      <c r="CD132" s="135" t="str">
        <f t="shared" si="30"/>
        <v/>
      </c>
      <c r="CM132" s="84">
        <f t="shared" si="31"/>
        <v>0</v>
      </c>
      <c r="CN132" s="84">
        <f t="shared" si="32"/>
        <v>0</v>
      </c>
      <c r="CO132" s="84">
        <f t="shared" si="33"/>
        <v>0</v>
      </c>
    </row>
    <row r="133" spans="1:93" ht="15" customHeight="1" x14ac:dyDescent="0.3">
      <c r="A133" s="358" t="s">
        <v>1283</v>
      </c>
      <c r="B133" s="480">
        <f t="shared" si="26"/>
        <v>0</v>
      </c>
      <c r="C133" s="346"/>
      <c r="D133" s="369"/>
      <c r="E133" s="369"/>
      <c r="F133" s="369"/>
      <c r="G133" s="369"/>
      <c r="H133" s="369"/>
      <c r="I133" s="369"/>
      <c r="J133" s="369"/>
      <c r="K133" s="369"/>
      <c r="L133" s="369"/>
      <c r="M133" s="369"/>
      <c r="N133" s="369"/>
      <c r="O133" s="369"/>
      <c r="P133" s="369"/>
      <c r="Q133" s="369"/>
      <c r="R133" s="369"/>
      <c r="S133" s="369"/>
      <c r="T133" s="352"/>
      <c r="U133" s="347"/>
      <c r="V133" s="347"/>
      <c r="W133" t="str">
        <f t="shared" si="27"/>
        <v/>
      </c>
      <c r="CB133" s="135" t="str">
        <f t="shared" si="28"/>
        <v/>
      </c>
      <c r="CC133" s="135" t="str">
        <f t="shared" si="29"/>
        <v/>
      </c>
      <c r="CD133" s="135" t="str">
        <f t="shared" si="30"/>
        <v/>
      </c>
      <c r="CM133" s="84">
        <f t="shared" si="31"/>
        <v>0</v>
      </c>
      <c r="CN133" s="84">
        <f t="shared" si="32"/>
        <v>0</v>
      </c>
      <c r="CO133" s="84">
        <f t="shared" si="33"/>
        <v>0</v>
      </c>
    </row>
    <row r="134" spans="1:93" ht="15" customHeight="1" x14ac:dyDescent="0.3">
      <c r="A134" s="358" t="s">
        <v>1284</v>
      </c>
      <c r="B134" s="480">
        <f t="shared" si="26"/>
        <v>0</v>
      </c>
      <c r="C134" s="346"/>
      <c r="D134" s="369"/>
      <c r="E134" s="369"/>
      <c r="F134" s="369"/>
      <c r="G134" s="369"/>
      <c r="H134" s="369"/>
      <c r="I134" s="369"/>
      <c r="J134" s="369"/>
      <c r="K134" s="369"/>
      <c r="L134" s="369"/>
      <c r="M134" s="369"/>
      <c r="N134" s="369"/>
      <c r="O134" s="369"/>
      <c r="P134" s="369"/>
      <c r="Q134" s="369"/>
      <c r="R134" s="369"/>
      <c r="S134" s="369"/>
      <c r="T134" s="352"/>
      <c r="U134" s="347"/>
      <c r="V134" s="347"/>
      <c r="W134" t="str">
        <f t="shared" si="27"/>
        <v/>
      </c>
      <c r="CB134" s="135" t="str">
        <f t="shared" si="28"/>
        <v/>
      </c>
      <c r="CC134" s="135" t="str">
        <f t="shared" si="29"/>
        <v/>
      </c>
      <c r="CD134" s="135" t="str">
        <f t="shared" si="30"/>
        <v/>
      </c>
      <c r="CM134" s="84">
        <f t="shared" si="31"/>
        <v>0</v>
      </c>
      <c r="CN134" s="84">
        <f t="shared" si="32"/>
        <v>0</v>
      </c>
      <c r="CO134" s="84">
        <f t="shared" si="33"/>
        <v>0</v>
      </c>
    </row>
    <row r="135" spans="1:93" ht="15" customHeight="1" x14ac:dyDescent="0.3">
      <c r="A135" s="358" t="s">
        <v>1285</v>
      </c>
      <c r="B135" s="480">
        <f t="shared" si="26"/>
        <v>0</v>
      </c>
      <c r="C135" s="346"/>
      <c r="D135" s="369"/>
      <c r="E135" s="369"/>
      <c r="F135" s="369"/>
      <c r="G135" s="369"/>
      <c r="H135" s="369"/>
      <c r="I135" s="369"/>
      <c r="J135" s="369"/>
      <c r="K135" s="369"/>
      <c r="L135" s="369"/>
      <c r="M135" s="369"/>
      <c r="N135" s="369"/>
      <c r="O135" s="369"/>
      <c r="P135" s="369"/>
      <c r="Q135" s="369"/>
      <c r="R135" s="369"/>
      <c r="S135" s="369"/>
      <c r="T135" s="352"/>
      <c r="U135" s="347"/>
      <c r="V135" s="347"/>
      <c r="W135" t="str">
        <f t="shared" si="27"/>
        <v/>
      </c>
      <c r="CB135" s="135" t="str">
        <f t="shared" si="28"/>
        <v/>
      </c>
      <c r="CC135" s="135" t="str">
        <f t="shared" si="29"/>
        <v/>
      </c>
      <c r="CD135" s="135" t="str">
        <f t="shared" si="30"/>
        <v/>
      </c>
      <c r="CM135" s="84">
        <f t="shared" si="31"/>
        <v>0</v>
      </c>
      <c r="CN135" s="84">
        <f t="shared" si="32"/>
        <v>0</v>
      </c>
      <c r="CO135" s="84">
        <f t="shared" si="33"/>
        <v>0</v>
      </c>
    </row>
    <row r="136" spans="1:93" ht="15" customHeight="1" x14ac:dyDescent="0.3">
      <c r="A136" s="358" t="s">
        <v>1286</v>
      </c>
      <c r="B136" s="480">
        <f t="shared" si="26"/>
        <v>0</v>
      </c>
      <c r="C136" s="346"/>
      <c r="D136" s="369"/>
      <c r="E136" s="369"/>
      <c r="F136" s="369"/>
      <c r="G136" s="369"/>
      <c r="H136" s="369"/>
      <c r="I136" s="369"/>
      <c r="J136" s="369"/>
      <c r="K136" s="369"/>
      <c r="L136" s="369"/>
      <c r="M136" s="369"/>
      <c r="N136" s="369"/>
      <c r="O136" s="369"/>
      <c r="P136" s="369"/>
      <c r="Q136" s="369"/>
      <c r="R136" s="369"/>
      <c r="S136" s="369"/>
      <c r="T136" s="352"/>
      <c r="U136" s="347"/>
      <c r="V136" s="347"/>
      <c r="W136" t="str">
        <f t="shared" si="27"/>
        <v/>
      </c>
      <c r="CB136" s="135" t="str">
        <f t="shared" si="28"/>
        <v/>
      </c>
      <c r="CC136" s="135" t="str">
        <f t="shared" si="29"/>
        <v/>
      </c>
      <c r="CD136" s="135" t="str">
        <f t="shared" si="30"/>
        <v/>
      </c>
      <c r="CM136" s="84">
        <f t="shared" si="31"/>
        <v>0</v>
      </c>
      <c r="CN136" s="84">
        <f t="shared" si="32"/>
        <v>0</v>
      </c>
      <c r="CO136" s="84">
        <f t="shared" si="33"/>
        <v>0</v>
      </c>
    </row>
    <row r="137" spans="1:93" ht="15" customHeight="1" x14ac:dyDescent="0.3">
      <c r="A137" s="358" t="s">
        <v>1287</v>
      </c>
      <c r="B137" s="480">
        <f t="shared" si="26"/>
        <v>0</v>
      </c>
      <c r="C137" s="346"/>
      <c r="D137" s="369"/>
      <c r="E137" s="369"/>
      <c r="F137" s="369"/>
      <c r="G137" s="369"/>
      <c r="H137" s="369"/>
      <c r="I137" s="369"/>
      <c r="J137" s="369"/>
      <c r="K137" s="369"/>
      <c r="L137" s="369"/>
      <c r="M137" s="369"/>
      <c r="N137" s="369"/>
      <c r="O137" s="369"/>
      <c r="P137" s="369"/>
      <c r="Q137" s="369"/>
      <c r="R137" s="369"/>
      <c r="S137" s="369"/>
      <c r="T137" s="352"/>
      <c r="U137" s="347"/>
      <c r="V137" s="347"/>
      <c r="W137" t="str">
        <f t="shared" si="27"/>
        <v/>
      </c>
      <c r="CB137" s="135" t="str">
        <f t="shared" si="28"/>
        <v/>
      </c>
      <c r="CC137" s="135" t="str">
        <f t="shared" si="29"/>
        <v/>
      </c>
      <c r="CD137" s="135" t="str">
        <f t="shared" si="30"/>
        <v/>
      </c>
      <c r="CM137" s="84">
        <f t="shared" si="31"/>
        <v>0</v>
      </c>
      <c r="CN137" s="84">
        <f t="shared" si="32"/>
        <v>0</v>
      </c>
      <c r="CO137" s="84">
        <f t="shared" si="33"/>
        <v>0</v>
      </c>
    </row>
    <row r="138" spans="1:93" ht="15" customHeight="1" x14ac:dyDescent="0.3">
      <c r="A138" s="358" t="s">
        <v>1288</v>
      </c>
      <c r="B138" s="480">
        <f t="shared" si="26"/>
        <v>0</v>
      </c>
      <c r="C138" s="346"/>
      <c r="D138" s="369"/>
      <c r="E138" s="369"/>
      <c r="F138" s="369"/>
      <c r="G138" s="369"/>
      <c r="H138" s="369"/>
      <c r="I138" s="369"/>
      <c r="J138" s="369"/>
      <c r="K138" s="369"/>
      <c r="L138" s="369"/>
      <c r="M138" s="369"/>
      <c r="N138" s="369"/>
      <c r="O138" s="369"/>
      <c r="P138" s="369"/>
      <c r="Q138" s="369"/>
      <c r="R138" s="369"/>
      <c r="S138" s="369"/>
      <c r="T138" s="352"/>
      <c r="U138" s="347"/>
      <c r="V138" s="347"/>
      <c r="W138" t="str">
        <f t="shared" si="27"/>
        <v/>
      </c>
      <c r="CB138" s="135" t="str">
        <f t="shared" si="28"/>
        <v/>
      </c>
      <c r="CC138" s="135" t="str">
        <f t="shared" si="29"/>
        <v/>
      </c>
      <c r="CD138" s="135" t="str">
        <f t="shared" si="30"/>
        <v/>
      </c>
      <c r="CM138" s="84">
        <f t="shared" si="31"/>
        <v>0</v>
      </c>
      <c r="CN138" s="84">
        <f t="shared" si="32"/>
        <v>0</v>
      </c>
      <c r="CO138" s="84">
        <f t="shared" si="33"/>
        <v>0</v>
      </c>
    </row>
    <row r="139" spans="1:93" ht="15" customHeight="1" x14ac:dyDescent="0.3">
      <c r="A139" s="358" t="s">
        <v>1289</v>
      </c>
      <c r="B139" s="480">
        <f t="shared" si="26"/>
        <v>0</v>
      </c>
      <c r="C139" s="346"/>
      <c r="D139" s="369"/>
      <c r="E139" s="369"/>
      <c r="F139" s="369"/>
      <c r="G139" s="369"/>
      <c r="H139" s="369"/>
      <c r="I139" s="369"/>
      <c r="J139" s="369"/>
      <c r="K139" s="369"/>
      <c r="L139" s="369"/>
      <c r="M139" s="369"/>
      <c r="N139" s="369"/>
      <c r="O139" s="369"/>
      <c r="P139" s="369"/>
      <c r="Q139" s="369"/>
      <c r="R139" s="369"/>
      <c r="S139" s="369"/>
      <c r="T139" s="352"/>
      <c r="U139" s="347"/>
      <c r="V139" s="347"/>
      <c r="W139" t="str">
        <f t="shared" si="27"/>
        <v/>
      </c>
      <c r="CB139" s="135" t="str">
        <f t="shared" si="28"/>
        <v/>
      </c>
      <c r="CC139" s="135" t="str">
        <f t="shared" si="29"/>
        <v/>
      </c>
      <c r="CD139" s="135" t="str">
        <f t="shared" si="30"/>
        <v/>
      </c>
      <c r="CM139" s="84">
        <f t="shared" si="31"/>
        <v>0</v>
      </c>
      <c r="CN139" s="84">
        <f t="shared" si="32"/>
        <v>0</v>
      </c>
      <c r="CO139" s="84">
        <f t="shared" si="33"/>
        <v>0</v>
      </c>
    </row>
    <row r="140" spans="1:93" ht="15" customHeight="1" x14ac:dyDescent="0.3">
      <c r="A140" s="358" t="s">
        <v>1290</v>
      </c>
      <c r="B140" s="480">
        <f t="shared" si="26"/>
        <v>0</v>
      </c>
      <c r="C140" s="346"/>
      <c r="D140" s="369"/>
      <c r="E140" s="369"/>
      <c r="F140" s="369"/>
      <c r="G140" s="369"/>
      <c r="H140" s="369"/>
      <c r="I140" s="369"/>
      <c r="J140" s="369"/>
      <c r="K140" s="369"/>
      <c r="L140" s="369"/>
      <c r="M140" s="369"/>
      <c r="N140" s="369"/>
      <c r="O140" s="369"/>
      <c r="P140" s="369"/>
      <c r="Q140" s="369"/>
      <c r="R140" s="369"/>
      <c r="S140" s="369"/>
      <c r="T140" s="352"/>
      <c r="U140" s="347"/>
      <c r="V140" s="347"/>
      <c r="W140" t="str">
        <f t="shared" si="27"/>
        <v/>
      </c>
      <c r="CB140" s="135" t="str">
        <f t="shared" si="28"/>
        <v/>
      </c>
      <c r="CC140" s="135" t="str">
        <f t="shared" si="29"/>
        <v/>
      </c>
      <c r="CD140" s="135" t="str">
        <f t="shared" si="30"/>
        <v/>
      </c>
      <c r="CM140" s="84">
        <f t="shared" si="31"/>
        <v>0</v>
      </c>
      <c r="CN140" s="84">
        <f t="shared" si="32"/>
        <v>0</v>
      </c>
      <c r="CO140" s="84">
        <f t="shared" si="33"/>
        <v>0</v>
      </c>
    </row>
    <row r="141" spans="1:93" ht="15" customHeight="1" x14ac:dyDescent="0.3">
      <c r="A141" s="358" t="s">
        <v>1291</v>
      </c>
      <c r="B141" s="480">
        <f t="shared" si="26"/>
        <v>0</v>
      </c>
      <c r="C141" s="346"/>
      <c r="D141" s="369"/>
      <c r="E141" s="369"/>
      <c r="F141" s="369"/>
      <c r="G141" s="369"/>
      <c r="H141" s="369"/>
      <c r="I141" s="369"/>
      <c r="J141" s="369"/>
      <c r="K141" s="369"/>
      <c r="L141" s="369"/>
      <c r="M141" s="369"/>
      <c r="N141" s="369"/>
      <c r="O141" s="369"/>
      <c r="P141" s="369"/>
      <c r="Q141" s="369"/>
      <c r="R141" s="369"/>
      <c r="S141" s="369"/>
      <c r="T141" s="352"/>
      <c r="U141" s="347"/>
      <c r="V141" s="347"/>
      <c r="W141" t="str">
        <f t="shared" si="27"/>
        <v/>
      </c>
      <c r="CB141" s="135" t="str">
        <f t="shared" si="28"/>
        <v/>
      </c>
      <c r="CC141" s="135" t="str">
        <f t="shared" si="29"/>
        <v/>
      </c>
      <c r="CD141" s="135" t="str">
        <f t="shared" si="30"/>
        <v/>
      </c>
      <c r="CM141" s="84">
        <f t="shared" si="31"/>
        <v>0</v>
      </c>
      <c r="CN141" s="84">
        <f t="shared" si="32"/>
        <v>0</v>
      </c>
      <c r="CO141" s="84">
        <f t="shared" si="33"/>
        <v>0</v>
      </c>
    </row>
    <row r="142" spans="1:93" ht="15" customHeight="1" x14ac:dyDescent="0.3">
      <c r="A142" s="358" t="s">
        <v>1292</v>
      </c>
      <c r="B142" s="480">
        <f t="shared" si="26"/>
        <v>0</v>
      </c>
      <c r="C142" s="346"/>
      <c r="D142" s="369"/>
      <c r="E142" s="369"/>
      <c r="F142" s="369"/>
      <c r="G142" s="369"/>
      <c r="H142" s="369"/>
      <c r="I142" s="369"/>
      <c r="J142" s="369"/>
      <c r="K142" s="369"/>
      <c r="L142" s="369"/>
      <c r="M142" s="369"/>
      <c r="N142" s="369"/>
      <c r="O142" s="369"/>
      <c r="P142" s="369"/>
      <c r="Q142" s="369"/>
      <c r="R142" s="369"/>
      <c r="S142" s="369"/>
      <c r="T142" s="352"/>
      <c r="U142" s="347"/>
      <c r="V142" s="347"/>
      <c r="W142" t="str">
        <f t="shared" si="27"/>
        <v/>
      </c>
      <c r="CB142" s="135" t="str">
        <f t="shared" si="28"/>
        <v/>
      </c>
      <c r="CC142" s="135" t="str">
        <f t="shared" si="29"/>
        <v/>
      </c>
      <c r="CD142" s="135" t="str">
        <f t="shared" si="30"/>
        <v/>
      </c>
      <c r="CM142" s="84">
        <f t="shared" si="31"/>
        <v>0</v>
      </c>
      <c r="CN142" s="84">
        <f t="shared" si="32"/>
        <v>0</v>
      </c>
      <c r="CO142" s="84">
        <f t="shared" si="33"/>
        <v>0</v>
      </c>
    </row>
    <row r="143" spans="1:93" ht="15" customHeight="1" x14ac:dyDescent="0.3">
      <c r="A143" s="358" t="s">
        <v>1293</v>
      </c>
      <c r="B143" s="146">
        <f t="shared" si="26"/>
        <v>0</v>
      </c>
      <c r="C143" s="346"/>
      <c r="D143" s="369"/>
      <c r="E143" s="369"/>
      <c r="F143" s="369"/>
      <c r="G143" s="369"/>
      <c r="H143" s="369"/>
      <c r="I143" s="369"/>
      <c r="J143" s="369"/>
      <c r="K143" s="369"/>
      <c r="L143" s="369"/>
      <c r="M143" s="369"/>
      <c r="N143" s="369"/>
      <c r="O143" s="369"/>
      <c r="P143" s="369"/>
      <c r="Q143" s="369"/>
      <c r="R143" s="369"/>
      <c r="S143" s="369"/>
      <c r="T143" s="352"/>
      <c r="U143" s="347"/>
      <c r="V143" s="347"/>
      <c r="W143" t="str">
        <f t="shared" si="27"/>
        <v/>
      </c>
      <c r="CB143" s="135" t="str">
        <f t="shared" si="28"/>
        <v/>
      </c>
      <c r="CC143" s="135" t="str">
        <f t="shared" si="29"/>
        <v/>
      </c>
      <c r="CD143" s="135" t="str">
        <f t="shared" si="30"/>
        <v/>
      </c>
      <c r="CM143" s="84">
        <f t="shared" si="31"/>
        <v>0</v>
      </c>
      <c r="CN143" s="84">
        <f t="shared" si="32"/>
        <v>0</v>
      </c>
      <c r="CO143" s="84">
        <f t="shared" si="33"/>
        <v>0</v>
      </c>
    </row>
    <row r="144" spans="1:93" ht="15" customHeight="1" x14ac:dyDescent="0.3">
      <c r="A144" s="358" t="s">
        <v>1294</v>
      </c>
      <c r="B144" s="480">
        <f t="shared" si="26"/>
        <v>0</v>
      </c>
      <c r="C144" s="346"/>
      <c r="D144" s="369"/>
      <c r="E144" s="369"/>
      <c r="F144" s="369"/>
      <c r="G144" s="369"/>
      <c r="H144" s="369"/>
      <c r="I144" s="369"/>
      <c r="J144" s="369"/>
      <c r="K144" s="369"/>
      <c r="L144" s="369"/>
      <c r="M144" s="369"/>
      <c r="N144" s="369"/>
      <c r="O144" s="369"/>
      <c r="P144" s="369"/>
      <c r="Q144" s="369"/>
      <c r="R144" s="369"/>
      <c r="S144" s="369"/>
      <c r="T144" s="352"/>
      <c r="U144" s="347"/>
      <c r="V144" s="347"/>
      <c r="CB144" s="135" t="str">
        <f t="shared" si="28"/>
        <v/>
      </c>
      <c r="CC144" s="135" t="str">
        <f t="shared" si="29"/>
        <v/>
      </c>
      <c r="CD144" s="135" t="str">
        <f t="shared" si="30"/>
        <v/>
      </c>
      <c r="CM144" s="84">
        <f t="shared" si="31"/>
        <v>0</v>
      </c>
      <c r="CN144" s="84">
        <f t="shared" si="32"/>
        <v>0</v>
      </c>
      <c r="CO144" s="84">
        <f t="shared" si="33"/>
        <v>0</v>
      </c>
    </row>
    <row r="145" spans="1:98" ht="23.25" customHeight="1" x14ac:dyDescent="0.3">
      <c r="A145" s="2019" t="s">
        <v>1295</v>
      </c>
      <c r="B145" s="485">
        <f t="shared" si="26"/>
        <v>0</v>
      </c>
      <c r="C145" s="3199"/>
      <c r="D145" s="3200"/>
      <c r="E145" s="3200"/>
      <c r="F145" s="372"/>
      <c r="G145" s="372"/>
      <c r="H145" s="372"/>
      <c r="I145" s="372"/>
      <c r="J145" s="372"/>
      <c r="K145" s="372"/>
      <c r="L145" s="372"/>
      <c r="M145" s="372"/>
      <c r="N145" s="372"/>
      <c r="O145" s="372"/>
      <c r="P145" s="372"/>
      <c r="Q145" s="372"/>
      <c r="R145" s="372"/>
      <c r="S145" s="372"/>
      <c r="T145" s="390"/>
      <c r="U145" s="388"/>
      <c r="V145" s="388"/>
      <c r="CB145" s="135" t="str">
        <f>IF(AND(B145&gt;0,U145="")," * No olvide digitar Trans Masculino. (Digite CERO si no tiene).","")</f>
        <v/>
      </c>
      <c r="CC145" s="135" t="str">
        <f t="shared" si="29"/>
        <v/>
      </c>
      <c r="CD145" s="135" t="str">
        <f t="shared" si="30"/>
        <v/>
      </c>
      <c r="CM145" s="84">
        <f t="shared" si="31"/>
        <v>0</v>
      </c>
      <c r="CN145" s="84">
        <f t="shared" si="32"/>
        <v>0</v>
      </c>
      <c r="CO145" s="84">
        <f t="shared" si="33"/>
        <v>0</v>
      </c>
    </row>
    <row r="146" spans="1:98" ht="15" customHeight="1" x14ac:dyDescent="0.3">
      <c r="A146" s="3201" t="s">
        <v>192</v>
      </c>
      <c r="B146" s="3190">
        <f t="shared" ref="B146:V146" si="34">SUM(B129:B145)</f>
        <v>0</v>
      </c>
      <c r="C146" s="3191">
        <f t="shared" si="34"/>
        <v>0</v>
      </c>
      <c r="D146" s="301">
        <f t="shared" si="34"/>
        <v>0</v>
      </c>
      <c r="E146" s="301">
        <f t="shared" si="34"/>
        <v>0</v>
      </c>
      <c r="F146" s="301">
        <f t="shared" si="34"/>
        <v>0</v>
      </c>
      <c r="G146" s="301">
        <f>SUM(G129:G145)</f>
        <v>0</v>
      </c>
      <c r="H146" s="301">
        <f t="shared" si="34"/>
        <v>0</v>
      </c>
      <c r="I146" s="301">
        <f t="shared" si="34"/>
        <v>0</v>
      </c>
      <c r="J146" s="301">
        <f t="shared" si="34"/>
        <v>0</v>
      </c>
      <c r="K146" s="301">
        <f t="shared" si="34"/>
        <v>0</v>
      </c>
      <c r="L146" s="301">
        <f t="shared" si="34"/>
        <v>0</v>
      </c>
      <c r="M146" s="301">
        <f t="shared" si="34"/>
        <v>0</v>
      </c>
      <c r="N146" s="301">
        <f t="shared" si="34"/>
        <v>0</v>
      </c>
      <c r="O146" s="301">
        <f t="shared" si="34"/>
        <v>0</v>
      </c>
      <c r="P146" s="301">
        <f t="shared" si="34"/>
        <v>0</v>
      </c>
      <c r="Q146" s="301">
        <f t="shared" si="34"/>
        <v>0</v>
      </c>
      <c r="R146" s="301">
        <f t="shared" si="34"/>
        <v>0</v>
      </c>
      <c r="S146" s="301">
        <f t="shared" si="34"/>
        <v>0</v>
      </c>
      <c r="T146" s="306">
        <f t="shared" si="34"/>
        <v>0</v>
      </c>
      <c r="U146" s="3194">
        <f t="shared" si="34"/>
        <v>0</v>
      </c>
      <c r="V146" s="3194">
        <f t="shared" si="34"/>
        <v>0</v>
      </c>
    </row>
    <row r="147" spans="1:98" s="6" customFormat="1" ht="18" customHeight="1" x14ac:dyDescent="0.25">
      <c r="A147" s="3165" t="s">
        <v>1296</v>
      </c>
      <c r="B147" s="922"/>
      <c r="C147" s="922"/>
      <c r="D147" s="922"/>
      <c r="E147" s="922"/>
      <c r="F147" s="3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</row>
    <row r="148" spans="1:98" ht="15" customHeight="1" x14ac:dyDescent="0.3">
      <c r="A148" s="6307" t="s">
        <v>27</v>
      </c>
      <c r="B148" s="6308"/>
      <c r="C148" s="6307" t="s">
        <v>192</v>
      </c>
      <c r="D148" s="6223"/>
      <c r="E148" s="6308"/>
      <c r="F148" s="6437" t="s">
        <v>101</v>
      </c>
      <c r="G148" s="6266"/>
      <c r="H148" s="6266"/>
      <c r="I148" s="6266"/>
      <c r="J148" s="6266"/>
      <c r="K148" s="6266"/>
      <c r="L148" s="6266"/>
      <c r="M148" s="6266"/>
      <c r="N148" s="6266"/>
      <c r="O148" s="6266"/>
      <c r="P148" s="6266"/>
      <c r="Q148" s="6266"/>
      <c r="R148" s="6266"/>
      <c r="S148" s="6266"/>
      <c r="T148" s="6266"/>
      <c r="U148" s="6266"/>
      <c r="V148" s="6266"/>
      <c r="W148" s="6266"/>
      <c r="X148" s="6266"/>
      <c r="Y148" s="6266"/>
      <c r="Z148" s="6266"/>
      <c r="AA148" s="6266"/>
      <c r="AB148" s="6266"/>
      <c r="AC148" s="6266"/>
      <c r="AD148" s="6266"/>
      <c r="AE148" s="6266"/>
      <c r="AF148" s="6266"/>
      <c r="AG148" s="6266"/>
      <c r="AH148" s="6266"/>
      <c r="AI148" s="6266"/>
      <c r="AJ148" s="6266"/>
      <c r="AK148" s="6266"/>
      <c r="AL148" s="6266"/>
      <c r="AM148" s="6266"/>
      <c r="AN148" s="6266"/>
      <c r="AO148" s="6179"/>
      <c r="AP148" s="6528" t="s">
        <v>597</v>
      </c>
      <c r="AQ148" s="6509" t="s">
        <v>1297</v>
      </c>
      <c r="AR148" s="6509" t="s">
        <v>36</v>
      </c>
      <c r="AS148" s="6510" t="s">
        <v>37</v>
      </c>
      <c r="AT148" s="6531" t="s">
        <v>1298</v>
      </c>
      <c r="AU148" s="6532"/>
      <c r="AV148" s="5773" t="s">
        <v>1299</v>
      </c>
      <c r="AW148" s="6518"/>
    </row>
    <row r="149" spans="1:98" x14ac:dyDescent="0.3">
      <c r="A149" s="6559"/>
      <c r="B149" s="6063"/>
      <c r="C149" s="6482"/>
      <c r="D149" s="6481"/>
      <c r="E149" s="6560"/>
      <c r="F149" s="6436" t="s">
        <v>343</v>
      </c>
      <c r="G149" s="6183"/>
      <c r="H149" s="6436" t="s">
        <v>326</v>
      </c>
      <c r="I149" s="6183"/>
      <c r="J149" s="6436" t="s">
        <v>94</v>
      </c>
      <c r="K149" s="6183"/>
      <c r="L149" s="6436" t="s">
        <v>1203</v>
      </c>
      <c r="M149" s="6183"/>
      <c r="N149" s="6436" t="s">
        <v>1300</v>
      </c>
      <c r="O149" s="6183"/>
      <c r="P149" s="6436" t="s">
        <v>45</v>
      </c>
      <c r="Q149" s="6183"/>
      <c r="R149" s="6437" t="s">
        <v>46</v>
      </c>
      <c r="S149" s="6180"/>
      <c r="T149" s="6437" t="s">
        <v>47</v>
      </c>
      <c r="U149" s="6180"/>
      <c r="V149" s="6437" t="s">
        <v>48</v>
      </c>
      <c r="W149" s="6180"/>
      <c r="X149" s="6437" t="s">
        <v>49</v>
      </c>
      <c r="Y149" s="6180"/>
      <c r="Z149" s="6437" t="s">
        <v>50</v>
      </c>
      <c r="AA149" s="6180"/>
      <c r="AB149" s="6437" t="s">
        <v>51</v>
      </c>
      <c r="AC149" s="6180"/>
      <c r="AD149" s="6437" t="s">
        <v>52</v>
      </c>
      <c r="AE149" s="6180"/>
      <c r="AF149" s="6437" t="s">
        <v>53</v>
      </c>
      <c r="AG149" s="6180"/>
      <c r="AH149" s="6437" t="s">
        <v>54</v>
      </c>
      <c r="AI149" s="6180"/>
      <c r="AJ149" s="6437" t="s">
        <v>55</v>
      </c>
      <c r="AK149" s="6180"/>
      <c r="AL149" s="6437" t="s">
        <v>56</v>
      </c>
      <c r="AM149" s="6180"/>
      <c r="AN149" s="6437" t="s">
        <v>57</v>
      </c>
      <c r="AO149" s="6179"/>
      <c r="AP149" s="5766"/>
      <c r="AQ149" s="6118"/>
      <c r="AR149" s="6118"/>
      <c r="AS149" s="5798"/>
      <c r="AT149" s="6533"/>
      <c r="AU149" s="6534"/>
      <c r="AV149" s="6519"/>
      <c r="AW149" s="6520"/>
    </row>
    <row r="150" spans="1:98" x14ac:dyDescent="0.3">
      <c r="A150" s="6482"/>
      <c r="B150" s="6560"/>
      <c r="C150" s="889" t="s">
        <v>79</v>
      </c>
      <c r="D150" s="491" t="s">
        <v>58</v>
      </c>
      <c r="E150" s="584" t="s">
        <v>59</v>
      </c>
      <c r="F150" s="767" t="s">
        <v>58</v>
      </c>
      <c r="G150" s="487" t="s">
        <v>59</v>
      </c>
      <c r="H150" s="767" t="s">
        <v>58</v>
      </c>
      <c r="I150" s="487" t="s">
        <v>59</v>
      </c>
      <c r="J150" s="767" t="s">
        <v>58</v>
      </c>
      <c r="K150" s="487" t="s">
        <v>59</v>
      </c>
      <c r="L150" s="767" t="s">
        <v>58</v>
      </c>
      <c r="M150" s="487" t="s">
        <v>59</v>
      </c>
      <c r="N150" s="767" t="s">
        <v>58</v>
      </c>
      <c r="O150" s="487" t="s">
        <v>59</v>
      </c>
      <c r="P150" s="767" t="s">
        <v>58</v>
      </c>
      <c r="Q150" s="487" t="s">
        <v>59</v>
      </c>
      <c r="R150" s="767" t="s">
        <v>58</v>
      </c>
      <c r="S150" s="487" t="s">
        <v>59</v>
      </c>
      <c r="T150" s="767" t="s">
        <v>58</v>
      </c>
      <c r="U150" s="487" t="s">
        <v>59</v>
      </c>
      <c r="V150" s="767" t="s">
        <v>58</v>
      </c>
      <c r="W150" s="487" t="s">
        <v>59</v>
      </c>
      <c r="X150" s="767" t="s">
        <v>58</v>
      </c>
      <c r="Y150" s="487" t="s">
        <v>59</v>
      </c>
      <c r="Z150" s="767" t="s">
        <v>58</v>
      </c>
      <c r="AA150" s="487" t="s">
        <v>59</v>
      </c>
      <c r="AB150" s="767" t="s">
        <v>58</v>
      </c>
      <c r="AC150" s="487" t="s">
        <v>59</v>
      </c>
      <c r="AD150" s="767" t="s">
        <v>58</v>
      </c>
      <c r="AE150" s="487" t="s">
        <v>59</v>
      </c>
      <c r="AF150" s="767" t="s">
        <v>58</v>
      </c>
      <c r="AG150" s="487" t="s">
        <v>59</v>
      </c>
      <c r="AH150" s="767" t="s">
        <v>58</v>
      </c>
      <c r="AI150" s="487" t="s">
        <v>59</v>
      </c>
      <c r="AJ150" s="767" t="s">
        <v>58</v>
      </c>
      <c r="AK150" s="487" t="s">
        <v>59</v>
      </c>
      <c r="AL150" s="767" t="s">
        <v>58</v>
      </c>
      <c r="AM150" s="487" t="s">
        <v>59</v>
      </c>
      <c r="AN150" s="767" t="s">
        <v>58</v>
      </c>
      <c r="AO150" s="466" t="s">
        <v>59</v>
      </c>
      <c r="AP150" s="5767"/>
      <c r="AQ150" s="5818"/>
      <c r="AR150" s="5818"/>
      <c r="AS150" s="5799"/>
      <c r="AT150" s="3202" t="s">
        <v>1207</v>
      </c>
      <c r="AU150" s="3203" t="s">
        <v>1108</v>
      </c>
      <c r="AV150" s="3067" t="s">
        <v>1301</v>
      </c>
      <c r="AW150" s="1785" t="s">
        <v>1302</v>
      </c>
    </row>
    <row r="151" spans="1:98" x14ac:dyDescent="0.3">
      <c r="A151" s="6558" t="s">
        <v>98</v>
      </c>
      <c r="B151" s="6368"/>
      <c r="C151" s="778">
        <f>SUM(D151+E151)</f>
        <v>0</v>
      </c>
      <c r="D151" s="3204">
        <f>SUM(F151+H151+J151+L151+N151+P151+R151+T151+V151+X151+Z151+AB151+AD151+AF151+AH151+AJ151+AL151+AN151)</f>
        <v>0</v>
      </c>
      <c r="E151" s="787">
        <f>SUM(G151+I151+K151+M151+O151+Q151+S151+U151+W151+Y151+AA151+AC151+AE151+AG151+AI151+AK151+AM151+AO151)</f>
        <v>0</v>
      </c>
      <c r="F151" s="669"/>
      <c r="G151" s="668"/>
      <c r="H151" s="669"/>
      <c r="I151" s="668"/>
      <c r="J151" s="669"/>
      <c r="K151" s="671"/>
      <c r="L151" s="669"/>
      <c r="M151" s="671"/>
      <c r="N151" s="669"/>
      <c r="O151" s="671"/>
      <c r="P151" s="669"/>
      <c r="Q151" s="671"/>
      <c r="R151" s="669"/>
      <c r="S151" s="671"/>
      <c r="T151" s="669"/>
      <c r="U151" s="671"/>
      <c r="V151" s="669"/>
      <c r="W151" s="671"/>
      <c r="X151" s="669"/>
      <c r="Y151" s="671"/>
      <c r="Z151" s="669"/>
      <c r="AA151" s="671"/>
      <c r="AB151" s="669"/>
      <c r="AC151" s="671"/>
      <c r="AD151" s="669"/>
      <c r="AE151" s="671"/>
      <c r="AF151" s="669"/>
      <c r="AG151" s="671"/>
      <c r="AH151" s="669"/>
      <c r="AI151" s="671"/>
      <c r="AJ151" s="669"/>
      <c r="AK151" s="671"/>
      <c r="AL151" s="669"/>
      <c r="AM151" s="671"/>
      <c r="AN151" s="788"/>
      <c r="AO151" s="789"/>
      <c r="AP151" s="74"/>
      <c r="AQ151" s="242"/>
      <c r="AR151" s="242"/>
      <c r="AS151" s="95"/>
      <c r="AT151" s="3205"/>
      <c r="AU151" s="3206"/>
      <c r="AV151" s="3207"/>
      <c r="AW151" s="3208"/>
      <c r="AX151" t="str">
        <f t="shared" ref="AX151:AX156" si="35">CB151&amp;CC151&amp;CD151&amp;CE151&amp;CF151&amp;CG151</f>
        <v/>
      </c>
      <c r="CB151" s="135" t="str">
        <f t="shared" ref="CB151:CB161" si="36">IF(AND(C151&gt;0,AP151="")," * No olvide digitar la variable Beneficiarios. Digite Cero si no tiene.",IF(AP151&gt;C151," *  La variable Beneficiarios No puede ser mayor al Total Ambos Sexos.",""))</f>
        <v/>
      </c>
      <c r="CC151" s="135" t="str">
        <f t="shared" ref="CC151:CC161" si="37">IF(AND(C151&gt;0,AQ151="")," * No olvide digitar la variable Total de Controles. Digite Cero si no tiene.",IF(AQ151&gt;C151,"  * La variable Total de Controles No puede ser mayor al Total Ambos Sexos.",""))</f>
        <v/>
      </c>
      <c r="CD151" s="135" t="str">
        <f t="shared" ref="CD151:CD161" si="38">IF(AND(C151&gt;0,AR151="")," * No olvide digitar la variable Pueblos Originarios. Digite Cero si no tiene.",IF(AR151&gt;C151," * La variable Pueblos Originarios No puede ser mayor al Total Ambos Sexos.",""))</f>
        <v/>
      </c>
      <c r="CE151" s="135" t="str">
        <f t="shared" ref="CE151:CE161" si="39">IF(AND($C151&gt;0,AS151="")," * No olvide digitar la variable Migrantes. Digite Cero si no tiene.",IF(AS151&gt;$C151," * La variable Migrantes No puede ser mayor al Total Ambos Sexos.",""))</f>
        <v/>
      </c>
      <c r="CF151" s="135" t="str">
        <f t="shared" ref="CF151:CF161" si="40">IF(AND($C151&gt;0,AT151="",AU151="")," * No olvide digitar la variable Atenciones pacientes oncológicos. Digite Cero si no tiene.",IF(AT151+AU151&gt;$C151," * La suma de las variables Atenciones pacientes oncológicos No puede ser mayor al Total Ambos Sexos.",""))</f>
        <v/>
      </c>
      <c r="CG151" s="181"/>
      <c r="CN151" s="84">
        <f t="shared" ref="CN151:CN161" si="41">IF(AND(C151&gt;0,AP151=""),1,IF(AP151&gt;C151,1,0))</f>
        <v>0</v>
      </c>
      <c r="CO151" s="84">
        <f t="shared" ref="CO151:CO161" si="42">IF(AND(C151&gt;0,AQ151=""),1,IF(AQ151&gt;C151,1,0))</f>
        <v>0</v>
      </c>
      <c r="CP151" s="84">
        <f t="shared" ref="CP151:CP161" si="43">IF(AND(C151&gt;0,AR151=""),1,IF(AR151&gt;C151,1,0))</f>
        <v>0</v>
      </c>
      <c r="CQ151" s="84">
        <f t="shared" ref="CQ151:CQ161" si="44">IF(AND(C151&gt;0,AS151=""),1,IF(AS151&gt;C151,1,0))</f>
        <v>0</v>
      </c>
      <c r="CR151" s="182">
        <f t="shared" ref="CR151:CR161" si="45">IF(AND($C151&gt;0,AT151="",AU151=""),1,IF(AT151+AU151&gt;$C151,1,0))</f>
        <v>0</v>
      </c>
      <c r="CS151" s="181"/>
    </row>
    <row r="152" spans="1:98" x14ac:dyDescent="0.3">
      <c r="A152" s="6190" t="s">
        <v>65</v>
      </c>
      <c r="B152" s="3198" t="s">
        <v>1303</v>
      </c>
      <c r="C152" s="317">
        <f>SUM(D152:E152)</f>
        <v>0</v>
      </c>
      <c r="D152" s="3209"/>
      <c r="E152" s="3119">
        <f>SUM(K152+M152+O152+Q152+S152+U152+W152+Y152+AA152+AC152+AE152+AG152+AI152+AK152+AM152+AO152)</f>
        <v>0</v>
      </c>
      <c r="F152" s="839"/>
      <c r="G152" s="840"/>
      <c r="H152" s="839"/>
      <c r="I152" s="840"/>
      <c r="J152" s="839"/>
      <c r="K152" s="771"/>
      <c r="L152" s="839"/>
      <c r="M152" s="771"/>
      <c r="N152" s="839"/>
      <c r="O152" s="771"/>
      <c r="P152" s="839"/>
      <c r="Q152" s="771"/>
      <c r="R152" s="839"/>
      <c r="S152" s="771"/>
      <c r="T152" s="839"/>
      <c r="U152" s="771"/>
      <c r="V152" s="839"/>
      <c r="W152" s="771"/>
      <c r="X152" s="839"/>
      <c r="Y152" s="771"/>
      <c r="Z152" s="839"/>
      <c r="AA152" s="771"/>
      <c r="AB152" s="839"/>
      <c r="AC152" s="771"/>
      <c r="AD152" s="839"/>
      <c r="AE152" s="771"/>
      <c r="AF152" s="839"/>
      <c r="AG152" s="771"/>
      <c r="AH152" s="839"/>
      <c r="AI152" s="771"/>
      <c r="AJ152" s="839"/>
      <c r="AK152" s="771"/>
      <c r="AL152" s="839"/>
      <c r="AM152" s="771"/>
      <c r="AN152" s="839"/>
      <c r="AO152" s="759"/>
      <c r="AP152" s="3210"/>
      <c r="AQ152" s="773"/>
      <c r="AR152" s="773"/>
      <c r="AS152" s="3211"/>
      <c r="AT152" s="1760"/>
      <c r="AU152" s="3211"/>
      <c r="AV152" s="3212"/>
      <c r="AW152" s="1033"/>
      <c r="AX152" t="str">
        <f t="shared" si="35"/>
        <v/>
      </c>
      <c r="CB152" s="135" t="str">
        <f t="shared" si="36"/>
        <v/>
      </c>
      <c r="CC152" s="135" t="str">
        <f t="shared" si="37"/>
        <v/>
      </c>
      <c r="CD152" s="135" t="str">
        <f t="shared" si="38"/>
        <v/>
      </c>
      <c r="CE152" s="135" t="str">
        <f t="shared" si="39"/>
        <v/>
      </c>
      <c r="CF152" s="135" t="str">
        <f t="shared" si="40"/>
        <v/>
      </c>
      <c r="CG152" s="181"/>
      <c r="CN152" s="84">
        <f t="shared" si="41"/>
        <v>0</v>
      </c>
      <c r="CO152" s="84">
        <f t="shared" si="42"/>
        <v>0</v>
      </c>
      <c r="CP152" s="84">
        <f t="shared" si="43"/>
        <v>0</v>
      </c>
      <c r="CQ152" s="84">
        <f t="shared" si="44"/>
        <v>0</v>
      </c>
      <c r="CR152" s="182">
        <f t="shared" si="45"/>
        <v>0</v>
      </c>
      <c r="CS152" s="181"/>
    </row>
    <row r="153" spans="1:98" x14ac:dyDescent="0.3">
      <c r="A153" s="5851"/>
      <c r="B153" s="358" t="s">
        <v>1304</v>
      </c>
      <c r="C153" s="317">
        <f>SUM(D153:E153)</f>
        <v>0</v>
      </c>
      <c r="D153" s="1919"/>
      <c r="E153" s="3120">
        <f>SUM(K153+M153+O153+Q153+S153+U153+W153+Y153+AA153+AC153+AE153+AG153+AI153+AK153+AM153+AO153)</f>
        <v>0</v>
      </c>
      <c r="F153" s="2678"/>
      <c r="G153" s="3213"/>
      <c r="H153" s="2678"/>
      <c r="I153" s="3213"/>
      <c r="J153" s="2678"/>
      <c r="K153" s="637"/>
      <c r="L153" s="2678"/>
      <c r="M153" s="637"/>
      <c r="N153" s="2678"/>
      <c r="O153" s="637"/>
      <c r="P153" s="2678"/>
      <c r="Q153" s="637"/>
      <c r="R153" s="2678"/>
      <c r="S153" s="637"/>
      <c r="T153" s="2678"/>
      <c r="U153" s="637"/>
      <c r="V153" s="2678"/>
      <c r="W153" s="637"/>
      <c r="X153" s="2678"/>
      <c r="Y153" s="637"/>
      <c r="Z153" s="2678"/>
      <c r="AA153" s="637"/>
      <c r="AB153" s="2678"/>
      <c r="AC153" s="637"/>
      <c r="AD153" s="2678"/>
      <c r="AE153" s="637"/>
      <c r="AF153" s="2678"/>
      <c r="AG153" s="637"/>
      <c r="AH153" s="2678"/>
      <c r="AI153" s="637"/>
      <c r="AJ153" s="2678"/>
      <c r="AK153" s="637"/>
      <c r="AL153" s="2678"/>
      <c r="AM153" s="637"/>
      <c r="AN153" s="3214"/>
      <c r="AO153" s="431"/>
      <c r="AP153" s="296"/>
      <c r="AQ153" s="535"/>
      <c r="AR153" s="535"/>
      <c r="AS153" s="637"/>
      <c r="AT153" s="290"/>
      <c r="AU153" s="637"/>
      <c r="AV153" s="2001"/>
      <c r="AW153" s="2002"/>
      <c r="AX153" t="str">
        <f t="shared" si="35"/>
        <v/>
      </c>
      <c r="CB153" s="135" t="str">
        <f t="shared" si="36"/>
        <v/>
      </c>
      <c r="CC153" s="135" t="str">
        <f t="shared" si="37"/>
        <v/>
      </c>
      <c r="CD153" s="135" t="str">
        <f t="shared" si="38"/>
        <v/>
      </c>
      <c r="CE153" s="135" t="str">
        <f t="shared" si="39"/>
        <v/>
      </c>
      <c r="CF153" s="135" t="str">
        <f t="shared" si="40"/>
        <v/>
      </c>
      <c r="CG153" s="181"/>
      <c r="CN153" s="84">
        <f t="shared" si="41"/>
        <v>0</v>
      </c>
      <c r="CO153" s="84">
        <f t="shared" si="42"/>
        <v>0</v>
      </c>
      <c r="CP153" s="84">
        <f t="shared" si="43"/>
        <v>0</v>
      </c>
      <c r="CQ153" s="84">
        <f t="shared" si="44"/>
        <v>0</v>
      </c>
      <c r="CR153" s="182">
        <f t="shared" si="45"/>
        <v>0</v>
      </c>
      <c r="CS153" s="181"/>
    </row>
    <row r="154" spans="1:98" x14ac:dyDescent="0.3">
      <c r="A154" s="5851"/>
      <c r="B154" s="357" t="s">
        <v>1305</v>
      </c>
      <c r="C154" s="760">
        <f t="shared" ref="C154:C161" si="46">SUM(D154+E154)</f>
        <v>0</v>
      </c>
      <c r="D154" s="622">
        <f>SUM(F154+H154+J154+L154+N154+P154+R154+T154+V154+X154+Z154+AB154+AD154+AF154+AH154+AJ154+AL154+AN154)</f>
        <v>0</v>
      </c>
      <c r="E154" s="345">
        <f>SUM(G154+I154+K154+M154+O154+Q154+S154+U154+W154+Y154+AA154+AC154+AE154+AG154+AI154+AK154+AM154+AO154)</f>
        <v>0</v>
      </c>
      <c r="F154" s="346"/>
      <c r="G154" s="350"/>
      <c r="H154" s="346"/>
      <c r="I154" s="350"/>
      <c r="J154" s="346"/>
      <c r="K154" s="350"/>
      <c r="L154" s="346"/>
      <c r="M154" s="350"/>
      <c r="N154" s="346"/>
      <c r="O154" s="350"/>
      <c r="P154" s="346"/>
      <c r="Q154" s="350"/>
      <c r="R154" s="346"/>
      <c r="S154" s="350"/>
      <c r="T154" s="346"/>
      <c r="U154" s="350"/>
      <c r="V154" s="346"/>
      <c r="W154" s="350"/>
      <c r="X154" s="346"/>
      <c r="Y154" s="350"/>
      <c r="Z154" s="346"/>
      <c r="AA154" s="350"/>
      <c r="AB154" s="346"/>
      <c r="AC154" s="350"/>
      <c r="AD154" s="346"/>
      <c r="AE154" s="350"/>
      <c r="AF154" s="346"/>
      <c r="AG154" s="350"/>
      <c r="AH154" s="346"/>
      <c r="AI154" s="350"/>
      <c r="AJ154" s="346"/>
      <c r="AK154" s="350"/>
      <c r="AL154" s="346"/>
      <c r="AM154" s="350"/>
      <c r="AN154" s="351"/>
      <c r="AO154" s="352"/>
      <c r="AP154" s="1326"/>
      <c r="AQ154" s="1278"/>
      <c r="AR154" s="1278"/>
      <c r="AS154" s="1118"/>
      <c r="AT154" s="1114"/>
      <c r="AU154" s="1118"/>
      <c r="AV154" s="2001"/>
      <c r="AW154" s="2002"/>
      <c r="AX154" t="str">
        <f t="shared" si="35"/>
        <v/>
      </c>
      <c r="CB154" s="135" t="str">
        <f t="shared" si="36"/>
        <v/>
      </c>
      <c r="CC154" s="135" t="str">
        <f t="shared" si="37"/>
        <v/>
      </c>
      <c r="CD154" s="135" t="str">
        <f t="shared" si="38"/>
        <v/>
      </c>
      <c r="CE154" s="135" t="str">
        <f t="shared" si="39"/>
        <v/>
      </c>
      <c r="CF154" s="135" t="str">
        <f t="shared" si="40"/>
        <v/>
      </c>
      <c r="CG154" s="181"/>
      <c r="CN154" s="84">
        <f t="shared" si="41"/>
        <v>0</v>
      </c>
      <c r="CO154" s="84">
        <f t="shared" si="42"/>
        <v>0</v>
      </c>
      <c r="CP154" s="84">
        <f t="shared" si="43"/>
        <v>0</v>
      </c>
      <c r="CQ154" s="84">
        <f t="shared" si="44"/>
        <v>0</v>
      </c>
      <c r="CR154" s="182">
        <f t="shared" si="45"/>
        <v>0</v>
      </c>
      <c r="CS154" s="181"/>
    </row>
    <row r="155" spans="1:98" x14ac:dyDescent="0.3">
      <c r="A155" s="6471"/>
      <c r="B155" s="519" t="s">
        <v>1306</v>
      </c>
      <c r="C155" s="1083">
        <f t="shared" si="46"/>
        <v>0</v>
      </c>
      <c r="D155" s="304">
        <f>SUM(P155+R155+T155+V155+X155+Z155+AB155+AD155)</f>
        <v>0</v>
      </c>
      <c r="E155" s="896">
        <f>SUM(Q155+S155+U155+W155+Y155+AA155+AC155+AE155)</f>
        <v>0</v>
      </c>
      <c r="F155" s="635"/>
      <c r="G155" s="636"/>
      <c r="H155" s="635"/>
      <c r="I155" s="636"/>
      <c r="J155" s="635"/>
      <c r="K155" s="636"/>
      <c r="L155" s="635"/>
      <c r="M155" s="636"/>
      <c r="N155" s="635"/>
      <c r="O155" s="636"/>
      <c r="P155" s="380"/>
      <c r="Q155" s="389"/>
      <c r="R155" s="380"/>
      <c r="S155" s="389"/>
      <c r="T155" s="380"/>
      <c r="U155" s="389"/>
      <c r="V155" s="380"/>
      <c r="W155" s="389"/>
      <c r="X155" s="380"/>
      <c r="Y155" s="389"/>
      <c r="Z155" s="380"/>
      <c r="AA155" s="389"/>
      <c r="AB155" s="380"/>
      <c r="AC155" s="388"/>
      <c r="AD155" s="380"/>
      <c r="AE155" s="389"/>
      <c r="AF155" s="635"/>
      <c r="AG155" s="636"/>
      <c r="AH155" s="635"/>
      <c r="AI155" s="636"/>
      <c r="AJ155" s="635"/>
      <c r="AK155" s="636"/>
      <c r="AL155" s="635"/>
      <c r="AM155" s="636"/>
      <c r="AN155" s="635"/>
      <c r="AO155" s="3215"/>
      <c r="AP155" s="1330"/>
      <c r="AQ155" s="1283"/>
      <c r="AR155" s="1283"/>
      <c r="AS155" s="3216"/>
      <c r="AT155" s="1139"/>
      <c r="AU155" s="3216"/>
      <c r="AV155" s="1905"/>
      <c r="AW155" s="2021"/>
      <c r="AX155" t="str">
        <f t="shared" si="35"/>
        <v/>
      </c>
      <c r="CB155" s="135" t="str">
        <f t="shared" si="36"/>
        <v/>
      </c>
      <c r="CC155" s="135" t="str">
        <f t="shared" si="37"/>
        <v/>
      </c>
      <c r="CD155" s="135" t="str">
        <f t="shared" si="38"/>
        <v/>
      </c>
      <c r="CE155" s="135" t="str">
        <f t="shared" si="39"/>
        <v/>
      </c>
      <c r="CF155" s="135" t="str">
        <f t="shared" si="40"/>
        <v/>
      </c>
      <c r="CG155" s="181"/>
      <c r="CN155" s="84">
        <f t="shared" si="41"/>
        <v>0</v>
      </c>
      <c r="CO155" s="84">
        <f t="shared" si="42"/>
        <v>0</v>
      </c>
      <c r="CP155" s="84">
        <f t="shared" si="43"/>
        <v>0</v>
      </c>
      <c r="CQ155" s="84">
        <f t="shared" si="44"/>
        <v>0</v>
      </c>
      <c r="CR155" s="182">
        <f t="shared" si="45"/>
        <v>0</v>
      </c>
      <c r="CS155" s="181"/>
    </row>
    <row r="156" spans="1:98" x14ac:dyDescent="0.3">
      <c r="A156" s="6563" t="s">
        <v>105</v>
      </c>
      <c r="B156" s="6564"/>
      <c r="C156" s="303">
        <f t="shared" si="46"/>
        <v>0</v>
      </c>
      <c r="D156" s="630">
        <f>SUM(F156+H156+J156+L156+N156+P156+R156+T156+V156+X156+Z156+AB156+AD156+AF156+AH156+AJ156+AL156+AN156)</f>
        <v>0</v>
      </c>
      <c r="E156" s="345">
        <f>SUM(G156+I156+K156+M156+O156+Q156+S156+U156+W156+Y156+AA156+AC156+AE156+AG156+AI156+AK156+AM156+AO156)</f>
        <v>0</v>
      </c>
      <c r="F156" s="290"/>
      <c r="G156" s="107"/>
      <c r="H156" s="290"/>
      <c r="I156" s="107"/>
      <c r="J156" s="290"/>
      <c r="K156" s="637"/>
      <c r="L156" s="290"/>
      <c r="M156" s="637"/>
      <c r="N156" s="290"/>
      <c r="O156" s="637"/>
      <c r="P156" s="290"/>
      <c r="Q156" s="637"/>
      <c r="R156" s="290"/>
      <c r="S156" s="637"/>
      <c r="T156" s="290"/>
      <c r="U156" s="637"/>
      <c r="V156" s="290"/>
      <c r="W156" s="637"/>
      <c r="X156" s="290"/>
      <c r="Y156" s="637"/>
      <c r="Z156" s="290"/>
      <c r="AA156" s="637"/>
      <c r="AB156" s="290"/>
      <c r="AC156" s="637"/>
      <c r="AD156" s="290"/>
      <c r="AE156" s="637"/>
      <c r="AF156" s="290"/>
      <c r="AG156" s="637"/>
      <c r="AH156" s="290"/>
      <c r="AI156" s="637"/>
      <c r="AJ156" s="290"/>
      <c r="AK156" s="107"/>
      <c r="AL156" s="290"/>
      <c r="AM156" s="107"/>
      <c r="AN156" s="245"/>
      <c r="AO156" s="431"/>
      <c r="AP156" s="296"/>
      <c r="AQ156" s="535"/>
      <c r="AR156" s="535"/>
      <c r="AS156" s="637"/>
      <c r="AT156" s="290"/>
      <c r="AU156" s="637"/>
      <c r="AV156" s="3212"/>
      <c r="AW156" s="1033"/>
      <c r="AX156" t="str">
        <f t="shared" si="35"/>
        <v/>
      </c>
      <c r="CB156" s="135" t="str">
        <f t="shared" si="36"/>
        <v/>
      </c>
      <c r="CC156" s="135" t="str">
        <f t="shared" si="37"/>
        <v/>
      </c>
      <c r="CD156" s="135" t="str">
        <f t="shared" si="38"/>
        <v/>
      </c>
      <c r="CE156" s="135" t="str">
        <f t="shared" si="39"/>
        <v/>
      </c>
      <c r="CF156" s="135" t="str">
        <f t="shared" si="40"/>
        <v/>
      </c>
      <c r="CG156" s="181"/>
      <c r="CN156" s="84">
        <f t="shared" si="41"/>
        <v>0</v>
      </c>
      <c r="CO156" s="84">
        <f t="shared" si="42"/>
        <v>0</v>
      </c>
      <c r="CP156" s="84">
        <f t="shared" si="43"/>
        <v>0</v>
      </c>
      <c r="CQ156" s="84">
        <f t="shared" si="44"/>
        <v>0</v>
      </c>
      <c r="CR156" s="182">
        <f t="shared" si="45"/>
        <v>0</v>
      </c>
      <c r="CS156" s="181"/>
    </row>
    <row r="157" spans="1:98" x14ac:dyDescent="0.3">
      <c r="A157" s="6565" t="s">
        <v>1307</v>
      </c>
      <c r="B157" s="6566"/>
      <c r="C157" s="342">
        <f t="shared" si="46"/>
        <v>0</v>
      </c>
      <c r="D157" s="622">
        <f>SUM(F157+H157+J157+N157+L157+P157+R157+T157+V157+X157+Z157+AB157+AD157+AF157+AH157+AJ157+AL157+AN157)</f>
        <v>0</v>
      </c>
      <c r="E157" s="345">
        <f>SUM(G157+I157+K157+M157+O157+Q157+S157+U157+W157+Y157+AA157+AC157+AE157+AG157+AI157+AK157+AM157+AO157)</f>
        <v>0</v>
      </c>
      <c r="F157" s="346"/>
      <c r="G157" s="347"/>
      <c r="H157" s="346"/>
      <c r="I157" s="347"/>
      <c r="J157" s="346"/>
      <c r="K157" s="350"/>
      <c r="L157" s="346"/>
      <c r="M157" s="350"/>
      <c r="N157" s="346"/>
      <c r="O157" s="350"/>
      <c r="P157" s="346"/>
      <c r="Q157" s="350"/>
      <c r="R157" s="346"/>
      <c r="S157" s="350"/>
      <c r="T157" s="346"/>
      <c r="U157" s="350"/>
      <c r="V157" s="346"/>
      <c r="W157" s="350"/>
      <c r="X157" s="346"/>
      <c r="Y157" s="350"/>
      <c r="Z157" s="346"/>
      <c r="AA157" s="350"/>
      <c r="AB157" s="346"/>
      <c r="AC157" s="350"/>
      <c r="AD157" s="346"/>
      <c r="AE157" s="347"/>
      <c r="AF157" s="346"/>
      <c r="AG157" s="347"/>
      <c r="AH157" s="346"/>
      <c r="AI157" s="347"/>
      <c r="AJ157" s="346"/>
      <c r="AK157" s="347"/>
      <c r="AL157" s="346"/>
      <c r="AM157" s="347"/>
      <c r="AN157" s="351"/>
      <c r="AO157" s="352"/>
      <c r="AP157" s="1326"/>
      <c r="AQ157" s="1278"/>
      <c r="AR157" s="1278"/>
      <c r="AS157" s="1118"/>
      <c r="AT157" s="1114"/>
      <c r="AU157" s="1118"/>
      <c r="AV157" s="346"/>
      <c r="AW157" s="350"/>
      <c r="AX157" t="str">
        <f>CB157&amp;CC157&amp;CD157&amp;CE157&amp;CF157&amp;CG157&amp;CH157</f>
        <v/>
      </c>
      <c r="CB157" s="135" t="str">
        <f t="shared" si="36"/>
        <v/>
      </c>
      <c r="CC157" s="135" t="str">
        <f t="shared" si="37"/>
        <v/>
      </c>
      <c r="CD157" s="135" t="str">
        <f t="shared" si="38"/>
        <v/>
      </c>
      <c r="CE157" s="135" t="str">
        <f t="shared" si="39"/>
        <v/>
      </c>
      <c r="CF157" s="135" t="str">
        <f t="shared" si="40"/>
        <v/>
      </c>
      <c r="CG157" s="135" t="str">
        <f>IF(AND(N157+O157+P157+Q157+R157+S157&gt;0,AV157="")," * No olvide digitar la variable Atenciones pacientes PACTOS 18 a 29 años. Digite Cero si no tiene.",IF(AV157&gt;N157+O157+P157+Q157+R157+S157," * La variable Atenciones pacientes PACTOS 18 a 29 años No puede ser mayor la sumatoria de los grupos de edad de 18 a 29 años.",""))</f>
        <v/>
      </c>
      <c r="CH157" s="135" t="str">
        <f>IF(AND(T157+U157+V157+W157+X157+Y157+Z157+AA157+AB157+AC157+AD157+AE157+AF157+AG157+AH157+AI157+AJ157+AK157+AL157+AM157+AN157+AO157&gt;0,AW157="")," * No olvide digitar la variable Atenciones pacientes PACTOS 30 años y más. Digite Cero si no tiene.",IF(AW157&gt;T157+U157+V157+W157+X157+Y157+Z157+AA157+AB157+AC157+AD157+AE157+AF157+AG157+AH157+AI157+AJ157+AK157+AL157+AM157+AN157+AO157," * La variable Atenciones pacientes PACTOS 30 años y más No puede ser mayor la sumatoria de los grupos de edad de 30 y más años.",""))</f>
        <v/>
      </c>
      <c r="CN157" s="84">
        <f t="shared" si="41"/>
        <v>0</v>
      </c>
      <c r="CO157" s="84">
        <f t="shared" si="42"/>
        <v>0</v>
      </c>
      <c r="CP157" s="84">
        <f t="shared" si="43"/>
        <v>0</v>
      </c>
      <c r="CQ157" s="84">
        <f t="shared" si="44"/>
        <v>0</v>
      </c>
      <c r="CR157" s="182">
        <f t="shared" si="45"/>
        <v>0</v>
      </c>
      <c r="CS157" s="182">
        <f>IF(AND(N157+O157+P157+Q157+R157+S157&gt;0,AV157=""),1,IF(AV157&gt;N157+O157+P157+Q157+R157+S157,1,0))</f>
        <v>0</v>
      </c>
      <c r="CT157" s="182">
        <f>IF(AND(T157+U157+V157+W157+X157+Y157+Z157+AA157+AB157+AC157+AD157+AE157+AF157+AG157+AH157+AI157+AJ157+AK157+AL157+AM157+AN157+AO157&gt;0,AW157=""),1,IF(AW157&gt;T157+U157+V157+W157+X157+Y157+Z157+AA157+AB157+AC157+AD157+AE157+AF157+AG157+AH157+AI157+AJ157+AK157+AL157+AM157+AN157+AO157,1,0))</f>
        <v>0</v>
      </c>
    </row>
    <row r="158" spans="1:98" x14ac:dyDescent="0.3">
      <c r="A158" s="6567" t="s">
        <v>504</v>
      </c>
      <c r="B158" s="6568"/>
      <c r="C158" s="3217">
        <f t="shared" si="46"/>
        <v>0</v>
      </c>
      <c r="D158" s="622">
        <f>SUM(F158+H158+J158+N158+L158+P158+R158+T158+V158+X158+Z158+AB158+AD158+AF158+AH158+AJ158+AL158+AN158)</f>
        <v>0</v>
      </c>
      <c r="E158" s="345">
        <f>SUM(G158+I158+K158+M158+O158+Q158+S158+U158+W158+Y158+AA158+AC158+AE158+AG158+AI158+AK158+AM158+AO158)</f>
        <v>0</v>
      </c>
      <c r="F158" s="346"/>
      <c r="G158" s="347"/>
      <c r="H158" s="346"/>
      <c r="I158" s="347"/>
      <c r="J158" s="346"/>
      <c r="K158" s="350"/>
      <c r="L158" s="346"/>
      <c r="M158" s="350"/>
      <c r="N158" s="346"/>
      <c r="O158" s="350"/>
      <c r="P158" s="346"/>
      <c r="Q158" s="350"/>
      <c r="R158" s="346"/>
      <c r="S158" s="350"/>
      <c r="T158" s="346"/>
      <c r="U158" s="350"/>
      <c r="V158" s="346"/>
      <c r="W158" s="350"/>
      <c r="X158" s="346"/>
      <c r="Y158" s="350"/>
      <c r="Z158" s="346"/>
      <c r="AA158" s="350"/>
      <c r="AB158" s="346"/>
      <c r="AC158" s="350"/>
      <c r="AD158" s="346"/>
      <c r="AE158" s="347"/>
      <c r="AF158" s="346"/>
      <c r="AG158" s="347"/>
      <c r="AH158" s="346"/>
      <c r="AI158" s="347"/>
      <c r="AJ158" s="346"/>
      <c r="AK158" s="347"/>
      <c r="AL158" s="346"/>
      <c r="AM158" s="347"/>
      <c r="AN158" s="351"/>
      <c r="AO158" s="352"/>
      <c r="AP158" s="1326"/>
      <c r="AQ158" s="1278"/>
      <c r="AR158" s="1278"/>
      <c r="AS158" s="1118"/>
      <c r="AT158" s="1114"/>
      <c r="AU158" s="1118"/>
      <c r="AV158" s="2001"/>
      <c r="AW158" s="2002"/>
      <c r="AX158" t="str">
        <f>CB158&amp;CC158&amp;CD158&amp;CE158&amp;CF158&amp;CG158</f>
        <v/>
      </c>
      <c r="CB158" s="135" t="str">
        <f t="shared" si="36"/>
        <v/>
      </c>
      <c r="CC158" s="135" t="str">
        <f t="shared" si="37"/>
        <v/>
      </c>
      <c r="CD158" s="135" t="str">
        <f t="shared" si="38"/>
        <v/>
      </c>
      <c r="CE158" s="135" t="str">
        <f t="shared" si="39"/>
        <v/>
      </c>
      <c r="CF158" s="135" t="str">
        <f t="shared" si="40"/>
        <v/>
      </c>
      <c r="CG158" s="181"/>
      <c r="CN158" s="84">
        <f t="shared" si="41"/>
        <v>0</v>
      </c>
      <c r="CO158" s="84">
        <f t="shared" si="42"/>
        <v>0</v>
      </c>
      <c r="CP158" s="84">
        <f t="shared" si="43"/>
        <v>0</v>
      </c>
      <c r="CQ158" s="84">
        <f t="shared" si="44"/>
        <v>0</v>
      </c>
      <c r="CR158" s="182">
        <f t="shared" si="45"/>
        <v>0</v>
      </c>
      <c r="CS158" s="181"/>
    </row>
    <row r="159" spans="1:98" x14ac:dyDescent="0.3">
      <c r="A159" s="6565" t="s">
        <v>1308</v>
      </c>
      <c r="B159" s="6566"/>
      <c r="C159" s="342">
        <f t="shared" si="46"/>
        <v>0</v>
      </c>
      <c r="D159" s="622">
        <f>SUM(F159+H159+J159+N159+L159+P159+R159+T159+V159+X159+Z159+AB159+AD159+AF159+AH159+AJ159+AL159+AN159)</f>
        <v>0</v>
      </c>
      <c r="E159" s="345">
        <f>SUM(G159+I159+K159+M159+O159+Q159+S159+U159+W159+Y159+AA159+AC159+AE159+AG159+AI159+AK159+AM159+AO159)</f>
        <v>0</v>
      </c>
      <c r="F159" s="346"/>
      <c r="G159" s="347"/>
      <c r="H159" s="346"/>
      <c r="I159" s="347"/>
      <c r="J159" s="346"/>
      <c r="K159" s="350"/>
      <c r="L159" s="346"/>
      <c r="M159" s="350"/>
      <c r="N159" s="346"/>
      <c r="O159" s="350"/>
      <c r="P159" s="346"/>
      <c r="Q159" s="350"/>
      <c r="R159" s="346"/>
      <c r="S159" s="350"/>
      <c r="T159" s="346"/>
      <c r="U159" s="350"/>
      <c r="V159" s="346"/>
      <c r="W159" s="350"/>
      <c r="X159" s="346"/>
      <c r="Y159" s="350"/>
      <c r="Z159" s="346"/>
      <c r="AA159" s="350"/>
      <c r="AB159" s="346"/>
      <c r="AC159" s="350"/>
      <c r="AD159" s="346"/>
      <c r="AE159" s="350"/>
      <c r="AF159" s="346"/>
      <c r="AG159" s="350"/>
      <c r="AH159" s="346"/>
      <c r="AI159" s="350"/>
      <c r="AJ159" s="346"/>
      <c r="AK159" s="347"/>
      <c r="AL159" s="346"/>
      <c r="AM159" s="347"/>
      <c r="AN159" s="351"/>
      <c r="AO159" s="352"/>
      <c r="AP159" s="1326"/>
      <c r="AQ159" s="1278"/>
      <c r="AR159" s="1278"/>
      <c r="AS159" s="1118"/>
      <c r="AT159" s="1114"/>
      <c r="AU159" s="1118"/>
      <c r="AV159" s="346"/>
      <c r="AW159" s="350"/>
      <c r="AX159" t="str">
        <f>CB159&amp;CC159&amp;CD159&amp;CE159&amp;CF159&amp;CG159&amp;CH159</f>
        <v/>
      </c>
      <c r="CB159" s="135" t="str">
        <f t="shared" si="36"/>
        <v/>
      </c>
      <c r="CC159" s="135" t="str">
        <f t="shared" si="37"/>
        <v/>
      </c>
      <c r="CD159" s="135" t="str">
        <f t="shared" si="38"/>
        <v/>
      </c>
      <c r="CE159" s="135" t="str">
        <f t="shared" si="39"/>
        <v/>
      </c>
      <c r="CF159" s="135" t="str">
        <f t="shared" si="40"/>
        <v/>
      </c>
      <c r="CG159" s="135" t="str">
        <f>IF(AND(N159+O159+P159+Q159+R159+S159&gt;0,AV159="")," * No olvide digitar la variable Atenciones pacientes PACTOS 18 a 29 años. Digite Cero si no tiene.",IF(AV159&gt;N159+O159+P159+Q159+R159+S159," * La variable Atenciones pacientes PACTOS 18 a 29 años No puede ser mayor la sumatoria de los grupos de edad de 18 a 29 años.",""))</f>
        <v/>
      </c>
      <c r="CH159" s="135" t="str">
        <f>IF(AND(T159+U159+V159+W159+X159+Y159+Z159+AA159+AB159+AC159+AD159+AE159+AF159+AG159+AH159+AI159+AJ159+AK159+AL159+AM159+AN159+AO159&gt;0,AW159="")," * No olvide digitar la variable Atenciones pacientes PACTOS 30 años y más. Digite Cero si no tiene.",IF(AW159&gt;T159+U159+V159+W159+X159+Y159+Z159+AA159+AB159+AC159+AD159+AE159+AF159+AG159+AH159+AI159+AJ159+AK159+AL159+AM159+AN159+AO159," * La variable Atenciones pacientes PACTOS 30 años y más No puede ser mayor la sumatoria de los grupos de edad de 30 y más años.",""))</f>
        <v/>
      </c>
      <c r="CN159" s="84">
        <f t="shared" si="41"/>
        <v>0</v>
      </c>
      <c r="CO159" s="84">
        <f t="shared" si="42"/>
        <v>0</v>
      </c>
      <c r="CP159" s="84">
        <f t="shared" si="43"/>
        <v>0</v>
      </c>
      <c r="CQ159" s="84">
        <f t="shared" si="44"/>
        <v>0</v>
      </c>
      <c r="CR159" s="182">
        <f t="shared" si="45"/>
        <v>0</v>
      </c>
      <c r="CS159" s="182">
        <f t="shared" ref="CS159:CS161" si="47">IF(AND(N159+O159+P159+Q159+R159+S159&gt;0,AV159=""),1,IF(AV159&gt;N159+O159+P159+Q159+R159+S159,1,0))</f>
        <v>0</v>
      </c>
      <c r="CT159" s="182">
        <f t="shared" ref="CT159:CT161" si="48">IF(AND(T159+U159+V159+W159+X159+Y159+Z159+AA159+AB159+AC159+AD159+AE159+AF159+AG159+AH159+AI159+AJ159+AK159+AL159+AM159+AN159+AO159&gt;0,AW159=""),1,IF(AW159&gt;T159+U159+V159+W159+X159+Y159+Z159+AA159+AB159+AC159+AD159+AE159+AF159+AG159+AH159+AI159+AJ159+AK159+AL159+AM159+AN159+AO159,1,0))</f>
        <v>0</v>
      </c>
    </row>
    <row r="160" spans="1:98" x14ac:dyDescent="0.3">
      <c r="A160" s="6565" t="s">
        <v>1035</v>
      </c>
      <c r="B160" s="6566"/>
      <c r="C160" s="199">
        <f>SUM(D160+E160)</f>
        <v>0</v>
      </c>
      <c r="D160" s="622">
        <f>SUM(F160+H160+J160+N160+L160+P160+R160+T160+V160+X160+Z160+AB160+AD160+AF160+AH160+AJ160+AL160+AN160)</f>
        <v>0</v>
      </c>
      <c r="E160" s="345">
        <f>SUM(G160+I160+K160+M160+O160+Q160+S160+U160+W160+Y160+AA160+AC160+AE160+AG160+AI160+AK160+AM160+AO160)</f>
        <v>0</v>
      </c>
      <c r="F160" s="192"/>
      <c r="G160" s="2"/>
      <c r="H160" s="192"/>
      <c r="I160" s="2"/>
      <c r="J160" s="192"/>
      <c r="K160" s="383"/>
      <c r="L160" s="192"/>
      <c r="M160" s="383"/>
      <c r="N160" s="192"/>
      <c r="O160" s="383"/>
      <c r="P160" s="192"/>
      <c r="Q160" s="383"/>
      <c r="R160" s="192"/>
      <c r="S160" s="383"/>
      <c r="T160" s="192"/>
      <c r="U160" s="383"/>
      <c r="V160" s="192"/>
      <c r="W160" s="383"/>
      <c r="X160" s="192"/>
      <c r="Y160" s="383"/>
      <c r="Z160" s="192"/>
      <c r="AA160" s="383"/>
      <c r="AB160" s="192"/>
      <c r="AC160" s="383"/>
      <c r="AD160" s="192"/>
      <c r="AE160" s="383"/>
      <c r="AF160" s="192"/>
      <c r="AG160" s="383"/>
      <c r="AH160" s="192"/>
      <c r="AI160" s="383"/>
      <c r="AJ160" s="192"/>
      <c r="AK160" s="2"/>
      <c r="AL160" s="192"/>
      <c r="AM160" s="2"/>
      <c r="AN160" s="776"/>
      <c r="AO160" s="384"/>
      <c r="AP160" s="377"/>
      <c r="AQ160" s="594"/>
      <c r="AR160" s="594"/>
      <c r="AS160" s="383"/>
      <c r="AT160" s="192"/>
      <c r="AU160" s="383"/>
      <c r="AV160" s="346"/>
      <c r="AW160" s="350"/>
      <c r="AX160" t="str">
        <f>CB160&amp;CC160&amp;CD160&amp;CE160&amp;CF160&amp;CG160&amp;CH160</f>
        <v/>
      </c>
      <c r="CB160" s="135" t="str">
        <f t="shared" si="36"/>
        <v/>
      </c>
      <c r="CC160" s="135" t="str">
        <f t="shared" si="37"/>
        <v/>
      </c>
      <c r="CD160" s="135" t="str">
        <f t="shared" si="38"/>
        <v/>
      </c>
      <c r="CE160" s="135" t="str">
        <f t="shared" si="39"/>
        <v/>
      </c>
      <c r="CF160" s="135" t="str">
        <f t="shared" si="40"/>
        <v/>
      </c>
      <c r="CG160" s="135" t="str">
        <f>IF(AND(N160+O160+P160+Q160+R160+S160&gt;0,AV160="")," * No olvide digitar la variable Atenciones pacientes PACTOS 18 a 29 años. Digite Cero si no tiene.",IF(AV160&gt;N160+O160+P160+Q160+R160+S160," * La variable Atenciones pacientes PACTOS 18 a 29 años No puede ser mayor la sumatoria de los grupos de edad de 18 a 29 años.",""))</f>
        <v/>
      </c>
      <c r="CH160" s="135" t="str">
        <f>IF(AND(T160+U160+V160+W160+X160+Y160+Z160+AA160+AB160+AC160+AD160+AE160+AF160+AG160+AH160+AI160+AJ160+AK160+AL160+AM160+AN160+AO160&gt;0,AW160="")," * No olvide digitar la variable Atenciones pacientes PACTOS 30 años y más. Digite Cero si no tiene.",IF(AW160&gt;T160+U160+V160+W160+X160+Y160+Z160+AA160+AB160+AC160+AD160+AE160+AF160+AG160+AH160+AI160+AJ160+AK160+AL160+AM160+AN160+AO160," * La variable Atenciones pacientes PACTOS 30 años y más No puede ser mayor la sumatoria de los grupos de edad de 30 y más años.",""))</f>
        <v/>
      </c>
      <c r="CN160" s="84">
        <f t="shared" si="41"/>
        <v>0</v>
      </c>
      <c r="CO160" s="84">
        <f t="shared" si="42"/>
        <v>0</v>
      </c>
      <c r="CP160" s="84">
        <f t="shared" si="43"/>
        <v>0</v>
      </c>
      <c r="CQ160" s="84">
        <f t="shared" si="44"/>
        <v>0</v>
      </c>
      <c r="CR160" s="182">
        <f t="shared" si="45"/>
        <v>0</v>
      </c>
      <c r="CS160" s="182">
        <f t="shared" si="47"/>
        <v>0</v>
      </c>
      <c r="CT160" s="182">
        <f t="shared" si="48"/>
        <v>0</v>
      </c>
    </row>
    <row r="161" spans="1:98" x14ac:dyDescent="0.3">
      <c r="A161" s="6569" t="s">
        <v>1037</v>
      </c>
      <c r="B161" s="6570"/>
      <c r="C161" s="638">
        <f t="shared" si="46"/>
        <v>0</v>
      </c>
      <c r="D161" s="639">
        <f>SUM(F161+H161+J161+L161+N161+P161+R161+T161+V161+X161+Z161+AB161+AD161+AF161+AH161+AJ161+AL161+AN161)</f>
        <v>0</v>
      </c>
      <c r="E161" s="10">
        <f>SUM(G161+I161+K161+M161+O161+Q161+S161+U161+W161+Y161+AA161+AC161+AE161+AG161+AI161+AK161+AM161+AO161)</f>
        <v>0</v>
      </c>
      <c r="F161" s="380"/>
      <c r="G161" s="388"/>
      <c r="H161" s="380"/>
      <c r="I161" s="388"/>
      <c r="J161" s="380"/>
      <c r="K161" s="389"/>
      <c r="L161" s="380"/>
      <c r="M161" s="389"/>
      <c r="N161" s="380"/>
      <c r="O161" s="389"/>
      <c r="P161" s="380"/>
      <c r="Q161" s="389"/>
      <c r="R161" s="380"/>
      <c r="S161" s="389"/>
      <c r="T161" s="380"/>
      <c r="U161" s="389"/>
      <c r="V161" s="380"/>
      <c r="W161" s="389"/>
      <c r="X161" s="380"/>
      <c r="Y161" s="389"/>
      <c r="Z161" s="380"/>
      <c r="AA161" s="389"/>
      <c r="AB161" s="380"/>
      <c r="AC161" s="389"/>
      <c r="AD161" s="380"/>
      <c r="AE161" s="389"/>
      <c r="AF161" s="380"/>
      <c r="AG161" s="389"/>
      <c r="AH161" s="380"/>
      <c r="AI161" s="389"/>
      <c r="AJ161" s="380"/>
      <c r="AK161" s="389"/>
      <c r="AL161" s="380"/>
      <c r="AM161" s="389"/>
      <c r="AN161" s="682"/>
      <c r="AO161" s="390"/>
      <c r="AP161" s="1330"/>
      <c r="AQ161" s="1283"/>
      <c r="AR161" s="1283"/>
      <c r="AS161" s="3216"/>
      <c r="AT161" s="1139"/>
      <c r="AU161" s="3216"/>
      <c r="AV161" s="380"/>
      <c r="AW161" s="389"/>
      <c r="AX161" t="str">
        <f>CB161&amp;CC161&amp;CD161&amp;CE161&amp;CF161&amp;CG161&amp;CH161</f>
        <v/>
      </c>
      <c r="CB161" s="135" t="str">
        <f t="shared" si="36"/>
        <v/>
      </c>
      <c r="CC161" s="135" t="str">
        <f t="shared" si="37"/>
        <v/>
      </c>
      <c r="CD161" s="135" t="str">
        <f t="shared" si="38"/>
        <v/>
      </c>
      <c r="CE161" s="135" t="str">
        <f t="shared" si="39"/>
        <v/>
      </c>
      <c r="CF161" s="135" t="str">
        <f t="shared" si="40"/>
        <v/>
      </c>
      <c r="CG161" s="135" t="str">
        <f>IF(AND(N161+O161+P161+Q161+R161+S161&gt;0,AV161="")," * No olvide digitar la variable Atenciones pacientes PACTOS 18 a 29 años. Digite Cero si no tiene.",IF(AV161&gt;N161+O161+P161+Q161+R161+S161," * La variable Atenciones pacientes PACTOS 18 a 29 años No puede ser mayor la sumatoria de los grupos de edad de 18 a 29 años.",""))</f>
        <v/>
      </c>
      <c r="CH161" s="135" t="str">
        <f>IF(AND(T161+U161+V161+W161+X161+Y161+Z161+AA161+AB161+AC161+AD161+AE161+AF161+AG161+AH161+AI161+AJ161+AK161+AL161+AM161+AN161+AO161&gt;0,AW161="")," * No olvide digitar la variable Atenciones pacientes PACTOS 30 años y más. Digite Cero si no tiene.",IF(AW161&gt;T161+U161+V161+W161+X161+Y161+Z161+AA161+AB161+AC161+AD161+AE161+AF161+AG161+AH161+AI161+AJ161+AK161+AL161+AM161+AN161+AO161," * La variable Atenciones pacientes PACTOS 30 años y más No puede ser mayor la sumatoria de los grupos de edad de 30 y más años.",""))</f>
        <v/>
      </c>
      <c r="CN161" s="84">
        <f t="shared" si="41"/>
        <v>0</v>
      </c>
      <c r="CO161" s="84">
        <f t="shared" si="42"/>
        <v>0</v>
      </c>
      <c r="CP161" s="84">
        <f t="shared" si="43"/>
        <v>0</v>
      </c>
      <c r="CQ161" s="84">
        <f t="shared" si="44"/>
        <v>0</v>
      </c>
      <c r="CR161" s="182">
        <f t="shared" si="45"/>
        <v>0</v>
      </c>
      <c r="CS161" s="182">
        <f t="shared" si="47"/>
        <v>0</v>
      </c>
      <c r="CT161" s="182">
        <f t="shared" si="48"/>
        <v>0</v>
      </c>
    </row>
    <row r="162" spans="1:98" x14ac:dyDescent="0.3">
      <c r="A162" s="6436" t="s">
        <v>77</v>
      </c>
      <c r="B162" s="6183"/>
      <c r="C162" s="894">
        <f t="shared" ref="C162:AS162" si="49">SUM(C151:C161)</f>
        <v>0</v>
      </c>
      <c r="D162" s="318">
        <f t="shared" si="49"/>
        <v>0</v>
      </c>
      <c r="E162" s="3122">
        <f t="shared" si="49"/>
        <v>0</v>
      </c>
      <c r="F162" s="3191">
        <f t="shared" si="49"/>
        <v>0</v>
      </c>
      <c r="G162" s="3194">
        <f t="shared" si="49"/>
        <v>0</v>
      </c>
      <c r="H162" s="3191">
        <f t="shared" si="49"/>
        <v>0</v>
      </c>
      <c r="I162" s="3194">
        <f t="shared" si="49"/>
        <v>0</v>
      </c>
      <c r="J162" s="779">
        <f t="shared" si="49"/>
        <v>0</v>
      </c>
      <c r="K162" s="586">
        <f t="shared" si="49"/>
        <v>0</v>
      </c>
      <c r="L162" s="779">
        <f t="shared" si="49"/>
        <v>0</v>
      </c>
      <c r="M162" s="586">
        <f t="shared" si="49"/>
        <v>0</v>
      </c>
      <c r="N162" s="779">
        <f t="shared" ref="N162:O162" si="50">SUM(N151:N161)</f>
        <v>0</v>
      </c>
      <c r="O162" s="586">
        <f t="shared" si="50"/>
        <v>0</v>
      </c>
      <c r="P162" s="779">
        <f t="shared" si="49"/>
        <v>0</v>
      </c>
      <c r="Q162" s="586">
        <f t="shared" si="49"/>
        <v>0</v>
      </c>
      <c r="R162" s="779">
        <f t="shared" si="49"/>
        <v>0</v>
      </c>
      <c r="S162" s="586">
        <f t="shared" si="49"/>
        <v>0</v>
      </c>
      <c r="T162" s="779">
        <f t="shared" si="49"/>
        <v>0</v>
      </c>
      <c r="U162" s="586">
        <f t="shared" si="49"/>
        <v>0</v>
      </c>
      <c r="V162" s="779">
        <f t="shared" si="49"/>
        <v>0</v>
      </c>
      <c r="W162" s="586">
        <f t="shared" si="49"/>
        <v>0</v>
      </c>
      <c r="X162" s="779">
        <f t="shared" si="49"/>
        <v>0</v>
      </c>
      <c r="Y162" s="586">
        <f t="shared" si="49"/>
        <v>0</v>
      </c>
      <c r="Z162" s="779">
        <f t="shared" si="49"/>
        <v>0</v>
      </c>
      <c r="AA162" s="586">
        <f t="shared" si="49"/>
        <v>0</v>
      </c>
      <c r="AB162" s="779">
        <f t="shared" si="49"/>
        <v>0</v>
      </c>
      <c r="AC162" s="586">
        <f t="shared" si="49"/>
        <v>0</v>
      </c>
      <c r="AD162" s="779">
        <f t="shared" si="49"/>
        <v>0</v>
      </c>
      <c r="AE162" s="586">
        <f t="shared" si="49"/>
        <v>0</v>
      </c>
      <c r="AF162" s="779">
        <f t="shared" si="49"/>
        <v>0</v>
      </c>
      <c r="AG162" s="586">
        <f t="shared" si="49"/>
        <v>0</v>
      </c>
      <c r="AH162" s="779">
        <f t="shared" si="49"/>
        <v>0</v>
      </c>
      <c r="AI162" s="586">
        <f t="shared" si="49"/>
        <v>0</v>
      </c>
      <c r="AJ162" s="779">
        <f t="shared" si="49"/>
        <v>0</v>
      </c>
      <c r="AK162" s="586">
        <f t="shared" si="49"/>
        <v>0</v>
      </c>
      <c r="AL162" s="779">
        <f t="shared" si="49"/>
        <v>0</v>
      </c>
      <c r="AM162" s="586">
        <f t="shared" si="49"/>
        <v>0</v>
      </c>
      <c r="AN162" s="780">
        <f t="shared" si="49"/>
        <v>0</v>
      </c>
      <c r="AO162" s="513">
        <f t="shared" si="49"/>
        <v>0</v>
      </c>
      <c r="AP162" s="3194">
        <f t="shared" si="49"/>
        <v>0</v>
      </c>
      <c r="AQ162" s="3190">
        <f t="shared" si="49"/>
        <v>0</v>
      </c>
      <c r="AR162" s="3190">
        <f t="shared" si="49"/>
        <v>0</v>
      </c>
      <c r="AS162" s="3194">
        <f t="shared" si="49"/>
        <v>0</v>
      </c>
      <c r="AT162" s="3158">
        <f>SUM(AT151:AT161)</f>
        <v>0</v>
      </c>
      <c r="AU162" s="3158">
        <f>SUM(AU151:AU161)</f>
        <v>0</v>
      </c>
      <c r="AV162" s="3190">
        <f>SUM(AV159:AV161)+AV157</f>
        <v>0</v>
      </c>
      <c r="AW162" s="3190">
        <f>SUM(AW159:AW161)+AW157</f>
        <v>0</v>
      </c>
    </row>
    <row r="163" spans="1:98" s="6" customFormat="1" ht="18" customHeight="1" x14ac:dyDescent="0.25">
      <c r="A163" s="922" t="s">
        <v>1309</v>
      </c>
      <c r="B163" s="3218"/>
      <c r="C163" s="3218"/>
      <c r="D163" s="3218"/>
      <c r="E163" s="3218"/>
      <c r="F163" s="3219"/>
      <c r="G163" s="3219"/>
      <c r="H163" s="3219"/>
      <c r="I163" s="3219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CB163" s="19"/>
      <c r="CC163" s="19"/>
      <c r="CD163" s="19"/>
      <c r="CE163" s="19"/>
      <c r="CF163" s="19"/>
      <c r="CG163" s="19"/>
      <c r="CH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</row>
    <row r="164" spans="1:98" ht="15" customHeight="1" x14ac:dyDescent="0.3">
      <c r="A164" s="6176" t="s">
        <v>219</v>
      </c>
      <c r="B164" s="6190" t="s">
        <v>27</v>
      </c>
      <c r="C164" s="6307" t="s">
        <v>192</v>
      </c>
      <c r="D164" s="6223"/>
      <c r="E164" s="6308"/>
      <c r="F164" s="6437" t="s">
        <v>101</v>
      </c>
      <c r="G164" s="6266"/>
      <c r="H164" s="6266"/>
      <c r="I164" s="6266"/>
      <c r="J164" s="6266"/>
      <c r="K164" s="6266"/>
      <c r="L164" s="6266"/>
      <c r="M164" s="6266"/>
      <c r="N164" s="6266"/>
      <c r="O164" s="6266"/>
      <c r="P164" s="6266"/>
      <c r="Q164" s="6266"/>
      <c r="R164" s="6266"/>
      <c r="S164" s="6266"/>
      <c r="T164" s="6266"/>
      <c r="U164" s="6266"/>
      <c r="V164" s="6266"/>
      <c r="W164" s="6266"/>
      <c r="X164" s="6266"/>
      <c r="Y164" s="6266"/>
      <c r="Z164" s="6266"/>
      <c r="AA164" s="6266"/>
      <c r="AB164" s="6266"/>
      <c r="AC164" s="6266"/>
      <c r="AD164" s="6266"/>
      <c r="AE164" s="6266"/>
      <c r="AF164" s="6266"/>
      <c r="AG164" s="6266"/>
      <c r="AH164" s="6266"/>
      <c r="AI164" s="6266"/>
      <c r="AJ164" s="6266"/>
      <c r="AK164" s="6266"/>
      <c r="AL164" s="6266"/>
      <c r="AM164" s="6266"/>
      <c r="AN164" s="6266"/>
      <c r="AO164" s="6179"/>
      <c r="AP164" s="6243" t="s">
        <v>597</v>
      </c>
      <c r="AQ164" s="5944" t="s">
        <v>457</v>
      </c>
      <c r="AR164" s="6243"/>
      <c r="AS164" s="6190" t="s">
        <v>36</v>
      </c>
      <c r="AT164" s="6190" t="s">
        <v>37</v>
      </c>
      <c r="AU164" s="6190" t="s">
        <v>1310</v>
      </c>
      <c r="AV164" s="6190" t="s">
        <v>35</v>
      </c>
    </row>
    <row r="165" spans="1:98" x14ac:dyDescent="0.3">
      <c r="A165" s="6082"/>
      <c r="B165" s="5851"/>
      <c r="C165" s="6482"/>
      <c r="D165" s="6481"/>
      <c r="E165" s="6560"/>
      <c r="F165" s="6436" t="s">
        <v>343</v>
      </c>
      <c r="G165" s="6183"/>
      <c r="H165" s="6436" t="s">
        <v>326</v>
      </c>
      <c r="I165" s="6183"/>
      <c r="J165" s="6436" t="s">
        <v>94</v>
      </c>
      <c r="K165" s="6183"/>
      <c r="L165" s="6436" t="s">
        <v>1203</v>
      </c>
      <c r="M165" s="6183"/>
      <c r="N165" s="6436" t="s">
        <v>1204</v>
      </c>
      <c r="O165" s="6183"/>
      <c r="P165" s="6436" t="s">
        <v>45</v>
      </c>
      <c r="Q165" s="6183"/>
      <c r="R165" s="6437" t="s">
        <v>46</v>
      </c>
      <c r="S165" s="6180"/>
      <c r="T165" s="6437" t="s">
        <v>47</v>
      </c>
      <c r="U165" s="6180"/>
      <c r="V165" s="6437" t="s">
        <v>48</v>
      </c>
      <c r="W165" s="6180"/>
      <c r="X165" s="6437" t="s">
        <v>49</v>
      </c>
      <c r="Y165" s="6180"/>
      <c r="Z165" s="6437" t="s">
        <v>50</v>
      </c>
      <c r="AA165" s="6180"/>
      <c r="AB165" s="6437" t="s">
        <v>51</v>
      </c>
      <c r="AC165" s="6180"/>
      <c r="AD165" s="6437" t="s">
        <v>52</v>
      </c>
      <c r="AE165" s="6180"/>
      <c r="AF165" s="6437" t="s">
        <v>53</v>
      </c>
      <c r="AG165" s="6180"/>
      <c r="AH165" s="6437" t="s">
        <v>54</v>
      </c>
      <c r="AI165" s="6180"/>
      <c r="AJ165" s="6437" t="s">
        <v>55</v>
      </c>
      <c r="AK165" s="6180"/>
      <c r="AL165" s="6437" t="s">
        <v>56</v>
      </c>
      <c r="AM165" s="6180"/>
      <c r="AN165" s="6437" t="s">
        <v>57</v>
      </c>
      <c r="AO165" s="6179"/>
      <c r="AP165" s="5759"/>
      <c r="AQ165" s="6466"/>
      <c r="AR165" s="6468"/>
      <c r="AS165" s="5851"/>
      <c r="AT165" s="5851"/>
      <c r="AU165" s="5851"/>
      <c r="AV165" s="5851"/>
    </row>
    <row r="166" spans="1:98" x14ac:dyDescent="0.3">
      <c r="A166" s="6465"/>
      <c r="B166" s="6471"/>
      <c r="C166" s="464" t="s">
        <v>79</v>
      </c>
      <c r="D166" s="739" t="s">
        <v>58</v>
      </c>
      <c r="E166" s="184" t="s">
        <v>59</v>
      </c>
      <c r="F166" s="1788" t="s">
        <v>522</v>
      </c>
      <c r="G166" s="469" t="s">
        <v>751</v>
      </c>
      <c r="H166" s="767" t="s">
        <v>522</v>
      </c>
      <c r="I166" s="487" t="s">
        <v>751</v>
      </c>
      <c r="J166" s="1788" t="s">
        <v>522</v>
      </c>
      <c r="K166" s="469" t="s">
        <v>751</v>
      </c>
      <c r="L166" s="1788" t="s">
        <v>522</v>
      </c>
      <c r="M166" s="469" t="s">
        <v>751</v>
      </c>
      <c r="N166" s="1788" t="s">
        <v>522</v>
      </c>
      <c r="O166" s="469" t="s">
        <v>751</v>
      </c>
      <c r="P166" s="1788" t="s">
        <v>522</v>
      </c>
      <c r="Q166" s="469" t="s">
        <v>751</v>
      </c>
      <c r="R166" s="767" t="s">
        <v>522</v>
      </c>
      <c r="S166" s="487" t="s">
        <v>751</v>
      </c>
      <c r="T166" s="767" t="s">
        <v>522</v>
      </c>
      <c r="U166" s="487" t="s">
        <v>751</v>
      </c>
      <c r="V166" s="1788" t="s">
        <v>522</v>
      </c>
      <c r="W166" s="469" t="s">
        <v>751</v>
      </c>
      <c r="X166" s="767" t="s">
        <v>522</v>
      </c>
      <c r="Y166" s="487" t="s">
        <v>751</v>
      </c>
      <c r="Z166" s="767" t="s">
        <v>522</v>
      </c>
      <c r="AA166" s="487" t="s">
        <v>751</v>
      </c>
      <c r="AB166" s="1788" t="s">
        <v>522</v>
      </c>
      <c r="AC166" s="469" t="s">
        <v>751</v>
      </c>
      <c r="AD166" s="1788" t="s">
        <v>522</v>
      </c>
      <c r="AE166" s="469" t="s">
        <v>751</v>
      </c>
      <c r="AF166" s="767" t="s">
        <v>522</v>
      </c>
      <c r="AG166" s="487" t="s">
        <v>751</v>
      </c>
      <c r="AH166" s="767" t="s">
        <v>522</v>
      </c>
      <c r="AI166" s="487" t="s">
        <v>751</v>
      </c>
      <c r="AJ166" s="1788" t="s">
        <v>522</v>
      </c>
      <c r="AK166" s="469" t="s">
        <v>751</v>
      </c>
      <c r="AL166" s="767" t="s">
        <v>522</v>
      </c>
      <c r="AM166" s="487" t="s">
        <v>751</v>
      </c>
      <c r="AN166" s="1788" t="s">
        <v>522</v>
      </c>
      <c r="AO166" s="470" t="s">
        <v>751</v>
      </c>
      <c r="AP166" s="6468"/>
      <c r="AQ166" s="1792" t="s">
        <v>462</v>
      </c>
      <c r="AR166" s="469" t="s">
        <v>463</v>
      </c>
      <c r="AS166" s="6471"/>
      <c r="AT166" s="6471"/>
      <c r="AU166" s="6471"/>
      <c r="AV166" s="6471"/>
    </row>
    <row r="167" spans="1:98" x14ac:dyDescent="0.3">
      <c r="A167" s="6571" t="s">
        <v>1311</v>
      </c>
      <c r="B167" s="3220" t="s">
        <v>98</v>
      </c>
      <c r="C167" s="3221">
        <f t="shared" ref="C167:C176" si="51">SUM(D167+E167)</f>
        <v>0</v>
      </c>
      <c r="D167" s="620">
        <f t="shared" ref="D167:D175" si="52">SUM(F167+H167+J167+L167+N167+P167+R167+T167+V167+X167+Z167+AB167+AD167+AF167+AH167+AJ167+AL167+AN167)</f>
        <v>0</v>
      </c>
      <c r="E167" s="621">
        <f t="shared" ref="E167:E175" si="53">SUM(G167+I167+K167+M167+O167+Q167+S167+U167+W167+Y167+AA167+AC167+AE167+AG167+AI167+AK167+AM167+AO167)</f>
        <v>0</v>
      </c>
      <c r="F167" s="770"/>
      <c r="G167" s="576"/>
      <c r="H167" s="770"/>
      <c r="I167" s="576"/>
      <c r="J167" s="770"/>
      <c r="K167" s="771"/>
      <c r="L167" s="770"/>
      <c r="M167" s="771"/>
      <c r="N167" s="770"/>
      <c r="O167" s="771"/>
      <c r="P167" s="770"/>
      <c r="Q167" s="771"/>
      <c r="R167" s="770"/>
      <c r="S167" s="771"/>
      <c r="T167" s="770"/>
      <c r="U167" s="771"/>
      <c r="V167" s="770"/>
      <c r="W167" s="771"/>
      <c r="X167" s="770"/>
      <c r="Y167" s="771"/>
      <c r="Z167" s="770"/>
      <c r="AA167" s="771"/>
      <c r="AB167" s="770"/>
      <c r="AC167" s="771"/>
      <c r="AD167" s="770"/>
      <c r="AE167" s="771"/>
      <c r="AF167" s="770"/>
      <c r="AG167" s="771"/>
      <c r="AH167" s="770"/>
      <c r="AI167" s="771"/>
      <c r="AJ167" s="770"/>
      <c r="AK167" s="771"/>
      <c r="AL167" s="770"/>
      <c r="AM167" s="771"/>
      <c r="AN167" s="772"/>
      <c r="AO167" s="759"/>
      <c r="AP167" s="576"/>
      <c r="AQ167" s="477"/>
      <c r="AR167" s="576"/>
      <c r="AS167" s="1760"/>
      <c r="AT167" s="773"/>
      <c r="AU167" s="773"/>
      <c r="AV167" s="3211"/>
      <c r="AW167" t="str">
        <f t="shared" ref="AW167:AW177" si="54">CB167&amp;CC167&amp;CD167&amp;CE167&amp;CF167&amp;CG167&amp;CH167</f>
        <v/>
      </c>
      <c r="CB167" s="135" t="str">
        <f t="shared" ref="CB167:CB177" si="55">IF(AND(C167&gt;0,AP167="")," * No olvide digitar la variable Beneficiarios. Digite Cero si no tiene.",IF(AP167&gt;C167," * La variable Beneficiarios No puede ser mayor al Total Ambos Sexos.",""))</f>
        <v/>
      </c>
      <c r="CC167" s="135" t="str">
        <f t="shared" ref="CC167:CC177" si="56">IF(AND(E167&gt;0,OR(AQ167=""))," * No olvide digitar la variable Trans (Masculino). Digite Cero si no tiene.",IF((AQ167)&gt;E167," * La variable Trans (Masculino) No puede ser mayor al Total Mujeres.",""))</f>
        <v/>
      </c>
      <c r="CD167" s="135" t="str">
        <f t="shared" ref="CD167:CD177" si="57">IF(AND(D167&gt;0,OR(AR167=""))," * No olvide digitar la variable Trans (Femenino). Digite Cero si no tiene.",IF((AR167)&gt;D167," * La variable Trans (Femenino) No puede ser mayor al Total Hombres.",""))</f>
        <v/>
      </c>
      <c r="CE167" s="135" t="str">
        <f t="shared" ref="CE167:CE177" si="58">IF(AND(C167&gt;0,AS167="")," * No olvide digitar la variable Pueblos Originarios. Digite Cero si no tiene.",IF(AS167&gt;C167," * La variable Pueblos Originarios No puede ser mayor al Total Ambos Sexos.",""))</f>
        <v/>
      </c>
      <c r="CF167" s="135" t="str">
        <f t="shared" ref="CF167:CF177" si="59">IF(AND(C167&gt;0,AT167="")," * No olvide digitar la variable Migrantes. Digite Cero si no tiene.",IF(AT167&gt;C167," * La variable Migrantes No puede ser mayor al Total Ambos Sexos.",""))</f>
        <v/>
      </c>
      <c r="CG167" s="135" t="str">
        <f t="shared" ref="CG167:CG177" si="60">IF(AND(C167&gt;0,AU167="")," * No olvide digitar la variable Niños, niñas, Adolescentes SENAME. Digite Cero si no tiene.",IF(AU167&gt;C167," * La variable Niños, niñas, Adolescentes SENAME No puede ser mayor al Total Ambos Sexos.",""))</f>
        <v/>
      </c>
      <c r="CH167" s="135" t="str">
        <f t="shared" ref="CH167:CH177" si="61">IF(AND(C167&gt;0,AV167="")," * No olvide digitar la variable Niños, Niñas, Adolescentes y Jóvenes Mejor Niñez. Digite Cero si no tiene.",IF(AV167&gt;C167," * La variable Niños, Niñas, Adolescentes y Jóvenes Mejor Niñez No puede ser mayor al Total Ambos Sexos.",""))</f>
        <v/>
      </c>
      <c r="CN167" s="84">
        <f t="shared" ref="CN167:CN177" si="62">IF(AND(C167&gt;0,AP167=""),1,IF(AP167&gt;C167,1,0))</f>
        <v>0</v>
      </c>
      <c r="CO167" s="84">
        <f t="shared" ref="CO167:CO177" si="63">IF(AND(E167&gt;0,OR(AQ167="")),1,IF((AQ167)&gt;E167,1,0))</f>
        <v>0</v>
      </c>
      <c r="CP167" s="84">
        <f t="shared" ref="CP167:CP177" si="64">IF(AND(D167&gt;0,OR(AR167="")),1,IF((AR167)&gt;D167,1,0))</f>
        <v>0</v>
      </c>
      <c r="CQ167" s="84">
        <f t="shared" ref="CQ167:CQ177" si="65">IF(AND(C167&gt;0,AS167=""),1,IF(AS167&gt;C167,1,0))</f>
        <v>0</v>
      </c>
      <c r="CR167" s="84">
        <f t="shared" ref="CR167:CR177" si="66">IF(AND(C167&gt;0,AT167=""),1,IF(AT167&gt;C167,1,0))</f>
        <v>0</v>
      </c>
      <c r="CS167" s="84">
        <f t="shared" ref="CS167:CS177" si="67">IF(AND(C167&gt;0,AU167=""),1,IF(AU167&gt;C167,1,0))</f>
        <v>0</v>
      </c>
      <c r="CT167" s="84">
        <f t="shared" ref="CT167:CT177" si="68">IF(AND(C167&gt;0,AV167=""),1,IF(AV167&gt;C167,1,0))</f>
        <v>0</v>
      </c>
    </row>
    <row r="168" spans="1:98" x14ac:dyDescent="0.3">
      <c r="A168" s="6044"/>
      <c r="B168" s="3222" t="s">
        <v>65</v>
      </c>
      <c r="C168" s="638">
        <f t="shared" si="51"/>
        <v>0</v>
      </c>
      <c r="D168" s="639">
        <f t="shared" si="52"/>
        <v>0</v>
      </c>
      <c r="E168" s="640">
        <f t="shared" si="53"/>
        <v>0</v>
      </c>
      <c r="F168" s="380"/>
      <c r="G168" s="388"/>
      <c r="H168" s="380"/>
      <c r="I168" s="388"/>
      <c r="J168" s="380"/>
      <c r="K168" s="389"/>
      <c r="L168" s="380"/>
      <c r="M168" s="389"/>
      <c r="N168" s="380"/>
      <c r="O168" s="389"/>
      <c r="P168" s="380"/>
      <c r="Q168" s="389"/>
      <c r="R168" s="380"/>
      <c r="S168" s="389"/>
      <c r="T168" s="380"/>
      <c r="U168" s="389"/>
      <c r="V168" s="380"/>
      <c r="W168" s="389"/>
      <c r="X168" s="380"/>
      <c r="Y168" s="389"/>
      <c r="Z168" s="380"/>
      <c r="AA168" s="389"/>
      <c r="AB168" s="380"/>
      <c r="AC168" s="389"/>
      <c r="AD168" s="380"/>
      <c r="AE168" s="389"/>
      <c r="AF168" s="380"/>
      <c r="AG168" s="389"/>
      <c r="AH168" s="380"/>
      <c r="AI168" s="389"/>
      <c r="AJ168" s="380"/>
      <c r="AK168" s="389"/>
      <c r="AL168" s="380"/>
      <c r="AM168" s="389"/>
      <c r="AN168" s="682"/>
      <c r="AO168" s="390"/>
      <c r="AP168" s="388"/>
      <c r="AQ168" s="429"/>
      <c r="AR168" s="388"/>
      <c r="AS168" s="1139"/>
      <c r="AT168" s="1283"/>
      <c r="AU168" s="1283"/>
      <c r="AV168" s="3216"/>
      <c r="AW168" t="str">
        <f t="shared" si="54"/>
        <v/>
      </c>
      <c r="CB168" s="135" t="str">
        <f t="shared" si="55"/>
        <v/>
      </c>
      <c r="CC168" s="135" t="str">
        <f t="shared" si="56"/>
        <v/>
      </c>
      <c r="CD168" s="135" t="str">
        <f t="shared" si="57"/>
        <v/>
      </c>
      <c r="CE168" s="135" t="str">
        <f t="shared" si="58"/>
        <v/>
      </c>
      <c r="CF168" s="135" t="str">
        <f t="shared" si="59"/>
        <v/>
      </c>
      <c r="CG168" s="135" t="str">
        <f t="shared" si="60"/>
        <v/>
      </c>
      <c r="CH168" s="135" t="str">
        <f t="shared" si="61"/>
        <v/>
      </c>
      <c r="CN168" s="84">
        <f t="shared" si="62"/>
        <v>0</v>
      </c>
      <c r="CO168" s="84">
        <f t="shared" si="63"/>
        <v>0</v>
      </c>
      <c r="CP168" s="84">
        <f t="shared" si="64"/>
        <v>0</v>
      </c>
      <c r="CQ168" s="84">
        <f t="shared" si="65"/>
        <v>0</v>
      </c>
      <c r="CR168" s="84">
        <f t="shared" si="66"/>
        <v>0</v>
      </c>
      <c r="CS168" s="84">
        <f t="shared" si="67"/>
        <v>0</v>
      </c>
      <c r="CT168" s="84">
        <f t="shared" si="68"/>
        <v>0</v>
      </c>
    </row>
    <row r="169" spans="1:98" x14ac:dyDescent="0.3">
      <c r="A169" s="6572" t="s">
        <v>1312</v>
      </c>
      <c r="B169" s="3220" t="s">
        <v>98</v>
      </c>
      <c r="C169" s="3221">
        <f t="shared" si="51"/>
        <v>0</v>
      </c>
      <c r="D169" s="620">
        <f t="shared" si="52"/>
        <v>0</v>
      </c>
      <c r="E169" s="621">
        <f t="shared" si="53"/>
        <v>0</v>
      </c>
      <c r="F169" s="770"/>
      <c r="G169" s="576"/>
      <c r="H169" s="770"/>
      <c r="I169" s="576"/>
      <c r="J169" s="770"/>
      <c r="K169" s="771"/>
      <c r="L169" s="770"/>
      <c r="M169" s="771"/>
      <c r="N169" s="770"/>
      <c r="O169" s="771"/>
      <c r="P169" s="770"/>
      <c r="Q169" s="771"/>
      <c r="R169" s="770"/>
      <c r="S169" s="771"/>
      <c r="T169" s="770"/>
      <c r="U169" s="771"/>
      <c r="V169" s="770"/>
      <c r="W169" s="771"/>
      <c r="X169" s="770"/>
      <c r="Y169" s="771"/>
      <c r="Z169" s="770"/>
      <c r="AA169" s="771"/>
      <c r="AB169" s="770"/>
      <c r="AC169" s="771"/>
      <c r="AD169" s="770"/>
      <c r="AE169" s="771"/>
      <c r="AF169" s="770"/>
      <c r="AG169" s="771"/>
      <c r="AH169" s="770"/>
      <c r="AI169" s="771"/>
      <c r="AJ169" s="770"/>
      <c r="AK169" s="771"/>
      <c r="AL169" s="770"/>
      <c r="AM169" s="771"/>
      <c r="AN169" s="772"/>
      <c r="AO169" s="759"/>
      <c r="AP169" s="576"/>
      <c r="AQ169" s="477"/>
      <c r="AR169" s="576"/>
      <c r="AS169" s="1760"/>
      <c r="AT169" s="773"/>
      <c r="AU169" s="773"/>
      <c r="AV169" s="3211"/>
      <c r="AW169" t="str">
        <f t="shared" si="54"/>
        <v/>
      </c>
      <c r="CB169" s="135" t="str">
        <f t="shared" si="55"/>
        <v/>
      </c>
      <c r="CC169" s="135" t="str">
        <f t="shared" si="56"/>
        <v/>
      </c>
      <c r="CD169" s="135" t="str">
        <f t="shared" si="57"/>
        <v/>
      </c>
      <c r="CE169" s="135" t="str">
        <f t="shared" si="58"/>
        <v/>
      </c>
      <c r="CF169" s="135" t="str">
        <f t="shared" si="59"/>
        <v/>
      </c>
      <c r="CG169" s="135" t="str">
        <f t="shared" si="60"/>
        <v/>
      </c>
      <c r="CH169" s="135" t="str">
        <f t="shared" si="61"/>
        <v/>
      </c>
      <c r="CN169" s="84">
        <f t="shared" si="62"/>
        <v>0</v>
      </c>
      <c r="CO169" s="84">
        <f t="shared" si="63"/>
        <v>0</v>
      </c>
      <c r="CP169" s="84">
        <f t="shared" si="64"/>
        <v>0</v>
      </c>
      <c r="CQ169" s="84">
        <f t="shared" si="65"/>
        <v>0</v>
      </c>
      <c r="CR169" s="84">
        <f t="shared" si="66"/>
        <v>0</v>
      </c>
      <c r="CS169" s="84">
        <f t="shared" si="67"/>
        <v>0</v>
      </c>
      <c r="CT169" s="84">
        <f t="shared" si="68"/>
        <v>0</v>
      </c>
    </row>
    <row r="170" spans="1:98" x14ac:dyDescent="0.3">
      <c r="A170" s="6050"/>
      <c r="B170" s="3223" t="s">
        <v>65</v>
      </c>
      <c r="C170" s="342">
        <f t="shared" si="51"/>
        <v>0</v>
      </c>
      <c r="D170" s="622">
        <f t="shared" si="52"/>
        <v>0</v>
      </c>
      <c r="E170" s="345">
        <f t="shared" si="53"/>
        <v>0</v>
      </c>
      <c r="F170" s="346"/>
      <c r="G170" s="347"/>
      <c r="H170" s="346"/>
      <c r="I170" s="347"/>
      <c r="J170" s="346"/>
      <c r="K170" s="350"/>
      <c r="L170" s="346"/>
      <c r="M170" s="350"/>
      <c r="N170" s="346"/>
      <c r="O170" s="350"/>
      <c r="P170" s="346"/>
      <c r="Q170" s="350"/>
      <c r="R170" s="346"/>
      <c r="S170" s="350"/>
      <c r="T170" s="346"/>
      <c r="U170" s="350"/>
      <c r="V170" s="346"/>
      <c r="W170" s="350"/>
      <c r="X170" s="346"/>
      <c r="Y170" s="350"/>
      <c r="Z170" s="346"/>
      <c r="AA170" s="350"/>
      <c r="AB170" s="346"/>
      <c r="AC170" s="350"/>
      <c r="AD170" s="346"/>
      <c r="AE170" s="350"/>
      <c r="AF170" s="346"/>
      <c r="AG170" s="350"/>
      <c r="AH170" s="346"/>
      <c r="AI170" s="350"/>
      <c r="AJ170" s="346"/>
      <c r="AK170" s="350"/>
      <c r="AL170" s="346"/>
      <c r="AM170" s="350"/>
      <c r="AN170" s="351"/>
      <c r="AO170" s="352"/>
      <c r="AP170" s="347"/>
      <c r="AQ170" s="348"/>
      <c r="AR170" s="347"/>
      <c r="AS170" s="1114"/>
      <c r="AT170" s="1278"/>
      <c r="AU170" s="1278"/>
      <c r="AV170" s="1118"/>
      <c r="AW170" t="str">
        <f t="shared" si="54"/>
        <v/>
      </c>
      <c r="CB170" s="135" t="str">
        <f t="shared" si="55"/>
        <v/>
      </c>
      <c r="CC170" s="135" t="str">
        <f t="shared" si="56"/>
        <v/>
      </c>
      <c r="CD170" s="135" t="str">
        <f t="shared" si="57"/>
        <v/>
      </c>
      <c r="CE170" s="135" t="str">
        <f t="shared" si="58"/>
        <v/>
      </c>
      <c r="CF170" s="135" t="str">
        <f t="shared" si="59"/>
        <v/>
      </c>
      <c r="CG170" s="135" t="str">
        <f t="shared" si="60"/>
        <v/>
      </c>
      <c r="CH170" s="135" t="str">
        <f t="shared" si="61"/>
        <v/>
      </c>
      <c r="CN170" s="84">
        <f t="shared" si="62"/>
        <v>0</v>
      </c>
      <c r="CO170" s="84">
        <f t="shared" si="63"/>
        <v>0</v>
      </c>
      <c r="CP170" s="84">
        <f t="shared" si="64"/>
        <v>0</v>
      </c>
      <c r="CQ170" s="84">
        <f t="shared" si="65"/>
        <v>0</v>
      </c>
      <c r="CR170" s="84">
        <f t="shared" si="66"/>
        <v>0</v>
      </c>
      <c r="CS170" s="84">
        <f t="shared" si="67"/>
        <v>0</v>
      </c>
      <c r="CT170" s="84">
        <f t="shared" si="68"/>
        <v>0</v>
      </c>
    </row>
    <row r="171" spans="1:98" x14ac:dyDescent="0.3">
      <c r="A171" s="6573"/>
      <c r="B171" s="3222" t="s">
        <v>1034</v>
      </c>
      <c r="C171" s="638">
        <f t="shared" si="51"/>
        <v>0</v>
      </c>
      <c r="D171" s="639">
        <f t="shared" si="52"/>
        <v>0</v>
      </c>
      <c r="E171" s="640">
        <f t="shared" si="53"/>
        <v>0</v>
      </c>
      <c r="F171" s="380"/>
      <c r="G171" s="388"/>
      <c r="H171" s="380"/>
      <c r="I171" s="388"/>
      <c r="J171" s="380"/>
      <c r="K171" s="389"/>
      <c r="L171" s="380"/>
      <c r="M171" s="389"/>
      <c r="N171" s="380"/>
      <c r="O171" s="389"/>
      <c r="P171" s="380"/>
      <c r="Q171" s="389"/>
      <c r="R171" s="380"/>
      <c r="S171" s="389"/>
      <c r="T171" s="380"/>
      <c r="U171" s="389"/>
      <c r="V171" s="380"/>
      <c r="W171" s="389"/>
      <c r="X171" s="380"/>
      <c r="Y171" s="389"/>
      <c r="Z171" s="380"/>
      <c r="AA171" s="389"/>
      <c r="AB171" s="380"/>
      <c r="AC171" s="389"/>
      <c r="AD171" s="380"/>
      <c r="AE171" s="389"/>
      <c r="AF171" s="380"/>
      <c r="AG171" s="389"/>
      <c r="AH171" s="380"/>
      <c r="AI171" s="389"/>
      <c r="AJ171" s="380"/>
      <c r="AK171" s="389"/>
      <c r="AL171" s="380"/>
      <c r="AM171" s="389"/>
      <c r="AN171" s="682"/>
      <c r="AO171" s="390"/>
      <c r="AP171" s="388"/>
      <c r="AQ171" s="429"/>
      <c r="AR171" s="388"/>
      <c r="AS171" s="1139"/>
      <c r="AT171" s="1283"/>
      <c r="AU171" s="1283"/>
      <c r="AV171" s="3216"/>
      <c r="AW171" t="str">
        <f t="shared" si="54"/>
        <v/>
      </c>
      <c r="CB171" s="135" t="str">
        <f t="shared" si="55"/>
        <v/>
      </c>
      <c r="CC171" s="135" t="str">
        <f t="shared" si="56"/>
        <v/>
      </c>
      <c r="CD171" s="135" t="str">
        <f t="shared" si="57"/>
        <v/>
      </c>
      <c r="CE171" s="135" t="str">
        <f t="shared" si="58"/>
        <v/>
      </c>
      <c r="CF171" s="135" t="str">
        <f t="shared" si="59"/>
        <v/>
      </c>
      <c r="CG171" s="135" t="str">
        <f t="shared" si="60"/>
        <v/>
      </c>
      <c r="CH171" s="135" t="str">
        <f t="shared" si="61"/>
        <v/>
      </c>
      <c r="CN171" s="84">
        <f t="shared" si="62"/>
        <v>0</v>
      </c>
      <c r="CO171" s="84">
        <f t="shared" si="63"/>
        <v>0</v>
      </c>
      <c r="CP171" s="84">
        <f t="shared" si="64"/>
        <v>0</v>
      </c>
      <c r="CQ171" s="84">
        <f t="shared" si="65"/>
        <v>0</v>
      </c>
      <c r="CR171" s="84">
        <f t="shared" si="66"/>
        <v>0</v>
      </c>
      <c r="CS171" s="84">
        <f t="shared" si="67"/>
        <v>0</v>
      </c>
      <c r="CT171" s="84">
        <f t="shared" si="68"/>
        <v>0</v>
      </c>
    </row>
    <row r="172" spans="1:98" x14ac:dyDescent="0.3">
      <c r="A172" s="6368" t="s">
        <v>1313</v>
      </c>
      <c r="B172" s="3220" t="s">
        <v>98</v>
      </c>
      <c r="C172" s="3221">
        <f t="shared" si="51"/>
        <v>0</v>
      </c>
      <c r="D172" s="620">
        <f t="shared" si="52"/>
        <v>0</v>
      </c>
      <c r="E172" s="621">
        <f t="shared" si="53"/>
        <v>0</v>
      </c>
      <c r="F172" s="770"/>
      <c r="G172" s="576"/>
      <c r="H172" s="770"/>
      <c r="I172" s="576"/>
      <c r="J172" s="770"/>
      <c r="K172" s="771"/>
      <c r="L172" s="770"/>
      <c r="M172" s="771"/>
      <c r="N172" s="770"/>
      <c r="O172" s="771"/>
      <c r="P172" s="770"/>
      <c r="Q172" s="771"/>
      <c r="R172" s="770"/>
      <c r="S172" s="771"/>
      <c r="T172" s="770"/>
      <c r="U172" s="771"/>
      <c r="V172" s="770"/>
      <c r="W172" s="771"/>
      <c r="X172" s="770"/>
      <c r="Y172" s="576"/>
      <c r="Z172" s="770"/>
      <c r="AA172" s="771"/>
      <c r="AB172" s="770"/>
      <c r="AC172" s="771"/>
      <c r="AD172" s="770"/>
      <c r="AE172" s="771"/>
      <c r="AF172" s="770"/>
      <c r="AG172" s="771"/>
      <c r="AH172" s="770"/>
      <c r="AI172" s="771"/>
      <c r="AJ172" s="770"/>
      <c r="AK172" s="771"/>
      <c r="AL172" s="770"/>
      <c r="AM172" s="771"/>
      <c r="AN172" s="772"/>
      <c r="AO172" s="759"/>
      <c r="AP172" s="576"/>
      <c r="AQ172" s="477"/>
      <c r="AR172" s="576"/>
      <c r="AS172" s="1760"/>
      <c r="AT172" s="773"/>
      <c r="AU172" s="773"/>
      <c r="AV172" s="3211"/>
      <c r="AW172" t="str">
        <f t="shared" si="54"/>
        <v/>
      </c>
      <c r="CB172" s="135" t="str">
        <f t="shared" si="55"/>
        <v/>
      </c>
      <c r="CC172" s="135" t="str">
        <f t="shared" si="56"/>
        <v/>
      </c>
      <c r="CD172" s="135" t="str">
        <f t="shared" si="57"/>
        <v/>
      </c>
      <c r="CE172" s="135" t="str">
        <f t="shared" si="58"/>
        <v/>
      </c>
      <c r="CF172" s="135" t="str">
        <f t="shared" si="59"/>
        <v/>
      </c>
      <c r="CG172" s="135" t="str">
        <f t="shared" si="60"/>
        <v/>
      </c>
      <c r="CH172" s="135" t="str">
        <f t="shared" si="61"/>
        <v/>
      </c>
      <c r="CN172" s="84">
        <f t="shared" si="62"/>
        <v>0</v>
      </c>
      <c r="CO172" s="84">
        <f t="shared" si="63"/>
        <v>0</v>
      </c>
      <c r="CP172" s="84">
        <f t="shared" si="64"/>
        <v>0</v>
      </c>
      <c r="CQ172" s="84">
        <f t="shared" si="65"/>
        <v>0</v>
      </c>
      <c r="CR172" s="84">
        <f t="shared" si="66"/>
        <v>0</v>
      </c>
      <c r="CS172" s="84">
        <f t="shared" si="67"/>
        <v>0</v>
      </c>
      <c r="CT172" s="84">
        <f t="shared" si="68"/>
        <v>0</v>
      </c>
    </row>
    <row r="173" spans="1:98" x14ac:dyDescent="0.3">
      <c r="A173" s="5962"/>
      <c r="B173" s="3222" t="s">
        <v>65</v>
      </c>
      <c r="C173" s="342">
        <f t="shared" si="51"/>
        <v>0</v>
      </c>
      <c r="D173" s="639">
        <f t="shared" si="52"/>
        <v>0</v>
      </c>
      <c r="E173" s="640">
        <f t="shared" si="53"/>
        <v>0</v>
      </c>
      <c r="F173" s="380"/>
      <c r="G173" s="388"/>
      <c r="H173" s="380"/>
      <c r="I173" s="388"/>
      <c r="J173" s="380"/>
      <c r="K173" s="389"/>
      <c r="L173" s="380"/>
      <c r="M173" s="389"/>
      <c r="N173" s="380"/>
      <c r="O173" s="389"/>
      <c r="P173" s="380"/>
      <c r="Q173" s="389"/>
      <c r="R173" s="380"/>
      <c r="S173" s="389"/>
      <c r="T173" s="380"/>
      <c r="U173" s="389"/>
      <c r="V173" s="380"/>
      <c r="W173" s="389"/>
      <c r="X173" s="380"/>
      <c r="Y173" s="389"/>
      <c r="Z173" s="380"/>
      <c r="AA173" s="389"/>
      <c r="AB173" s="380"/>
      <c r="AC173" s="389"/>
      <c r="AD173" s="380"/>
      <c r="AE173" s="389"/>
      <c r="AF173" s="380"/>
      <c r="AG173" s="389"/>
      <c r="AH173" s="380"/>
      <c r="AI173" s="389"/>
      <c r="AJ173" s="380"/>
      <c r="AK173" s="389"/>
      <c r="AL173" s="380"/>
      <c r="AM173" s="389"/>
      <c r="AN173" s="682"/>
      <c r="AO173" s="390"/>
      <c r="AP173" s="388"/>
      <c r="AQ173" s="429"/>
      <c r="AR173" s="388"/>
      <c r="AS173" s="1139"/>
      <c r="AT173" s="1283"/>
      <c r="AU173" s="1283"/>
      <c r="AV173" s="3216"/>
      <c r="AW173" t="str">
        <f t="shared" si="54"/>
        <v/>
      </c>
      <c r="CB173" s="135" t="str">
        <f t="shared" si="55"/>
        <v/>
      </c>
      <c r="CC173" s="135" t="str">
        <f t="shared" si="56"/>
        <v/>
      </c>
      <c r="CD173" s="135" t="str">
        <f t="shared" si="57"/>
        <v/>
      </c>
      <c r="CE173" s="135" t="str">
        <f t="shared" si="58"/>
        <v/>
      </c>
      <c r="CF173" s="135" t="str">
        <f t="shared" si="59"/>
        <v/>
      </c>
      <c r="CG173" s="135" t="str">
        <f t="shared" si="60"/>
        <v/>
      </c>
      <c r="CH173" s="135" t="str">
        <f t="shared" si="61"/>
        <v/>
      </c>
      <c r="CN173" s="84">
        <f t="shared" si="62"/>
        <v>0</v>
      </c>
      <c r="CO173" s="84">
        <f t="shared" si="63"/>
        <v>0</v>
      </c>
      <c r="CP173" s="84">
        <f t="shared" si="64"/>
        <v>0</v>
      </c>
      <c r="CQ173" s="84">
        <f t="shared" si="65"/>
        <v>0</v>
      </c>
      <c r="CR173" s="84">
        <f t="shared" si="66"/>
        <v>0</v>
      </c>
      <c r="CS173" s="84">
        <f t="shared" si="67"/>
        <v>0</v>
      </c>
      <c r="CT173" s="84">
        <f t="shared" si="68"/>
        <v>0</v>
      </c>
    </row>
    <row r="174" spans="1:98" x14ac:dyDescent="0.3">
      <c r="A174" s="6368" t="s">
        <v>1314</v>
      </c>
      <c r="B174" s="3220" t="s">
        <v>98</v>
      </c>
      <c r="C174" s="3221">
        <f t="shared" si="51"/>
        <v>0</v>
      </c>
      <c r="D174" s="620">
        <f>SUM(F174+H174+J174+L174+N174+P174+R174+T174+V174+X174+Z174+AB174+AD174+AF174+AH174+AJ174+AL174+AN174)</f>
        <v>0</v>
      </c>
      <c r="E174" s="621">
        <f>SUM(G174+I174+K174+M174+O174+Q174+S174+U174+W174+Y174+AA174+AC174+AE174+AG174+AI174+AK174+AM174+AO174)</f>
        <v>0</v>
      </c>
      <c r="F174" s="770"/>
      <c r="G174" s="576"/>
      <c r="H174" s="770"/>
      <c r="I174" s="576"/>
      <c r="J174" s="770"/>
      <c r="K174" s="771"/>
      <c r="L174" s="770"/>
      <c r="M174" s="771"/>
      <c r="N174" s="770"/>
      <c r="O174" s="771"/>
      <c r="P174" s="770"/>
      <c r="Q174" s="771"/>
      <c r="R174" s="770"/>
      <c r="S174" s="771"/>
      <c r="T174" s="770"/>
      <c r="U174" s="771"/>
      <c r="V174" s="770"/>
      <c r="W174" s="771"/>
      <c r="X174" s="290"/>
      <c r="Y174" s="637"/>
      <c r="Z174" s="290"/>
      <c r="AA174" s="637"/>
      <c r="AB174" s="290"/>
      <c r="AC174" s="637"/>
      <c r="AD174" s="290"/>
      <c r="AE174" s="637"/>
      <c r="AF174" s="290"/>
      <c r="AG174" s="637"/>
      <c r="AH174" s="290"/>
      <c r="AI174" s="637"/>
      <c r="AJ174" s="290"/>
      <c r="AK174" s="637"/>
      <c r="AL174" s="290"/>
      <c r="AM174" s="637"/>
      <c r="AN174" s="245"/>
      <c r="AO174" s="431"/>
      <c r="AP174" s="576"/>
      <c r="AQ174" s="477"/>
      <c r="AR174" s="576"/>
      <c r="AS174" s="1760"/>
      <c r="AT174" s="773"/>
      <c r="AU174" s="773"/>
      <c r="AV174" s="3211"/>
      <c r="AW174" t="str">
        <f t="shared" si="54"/>
        <v/>
      </c>
      <c r="CB174" s="135" t="str">
        <f t="shared" si="55"/>
        <v/>
      </c>
      <c r="CC174" s="135" t="str">
        <f t="shared" si="56"/>
        <v/>
      </c>
      <c r="CD174" s="135" t="str">
        <f t="shared" si="57"/>
        <v/>
      </c>
      <c r="CE174" s="135" t="str">
        <f t="shared" si="58"/>
        <v/>
      </c>
      <c r="CF174" s="135" t="str">
        <f t="shared" si="59"/>
        <v/>
      </c>
      <c r="CG174" s="135" t="str">
        <f t="shared" si="60"/>
        <v/>
      </c>
      <c r="CH174" s="135" t="str">
        <f t="shared" si="61"/>
        <v/>
      </c>
      <c r="CN174" s="84">
        <f t="shared" si="62"/>
        <v>0</v>
      </c>
      <c r="CO174" s="84">
        <f t="shared" si="63"/>
        <v>0</v>
      </c>
      <c r="CP174" s="84">
        <f t="shared" si="64"/>
        <v>0</v>
      </c>
      <c r="CQ174" s="84">
        <f t="shared" si="65"/>
        <v>0</v>
      </c>
      <c r="CR174" s="84">
        <f t="shared" si="66"/>
        <v>0</v>
      </c>
      <c r="CS174" s="84">
        <f t="shared" si="67"/>
        <v>0</v>
      </c>
      <c r="CT174" s="84">
        <f t="shared" si="68"/>
        <v>0</v>
      </c>
    </row>
    <row r="175" spans="1:98" x14ac:dyDescent="0.3">
      <c r="A175" s="5962"/>
      <c r="B175" s="3222" t="s">
        <v>65</v>
      </c>
      <c r="C175" s="342">
        <f t="shared" si="51"/>
        <v>0</v>
      </c>
      <c r="D175" s="639">
        <f t="shared" si="52"/>
        <v>0</v>
      </c>
      <c r="E175" s="640">
        <f t="shared" si="53"/>
        <v>0</v>
      </c>
      <c r="F175" s="380"/>
      <c r="G175" s="388"/>
      <c r="H175" s="380"/>
      <c r="I175" s="388"/>
      <c r="J175" s="380"/>
      <c r="K175" s="389"/>
      <c r="L175" s="380"/>
      <c r="M175" s="389"/>
      <c r="N175" s="380"/>
      <c r="O175" s="389"/>
      <c r="P175" s="380"/>
      <c r="Q175" s="389"/>
      <c r="R175" s="380"/>
      <c r="S175" s="389"/>
      <c r="T175" s="380"/>
      <c r="U175" s="389"/>
      <c r="V175" s="380"/>
      <c r="W175" s="389"/>
      <c r="X175" s="47"/>
      <c r="Y175" s="107"/>
      <c r="Z175" s="290"/>
      <c r="AA175" s="637"/>
      <c r="AB175" s="290"/>
      <c r="AC175" s="637"/>
      <c r="AD175" s="290"/>
      <c r="AE175" s="637"/>
      <c r="AF175" s="290"/>
      <c r="AG175" s="637"/>
      <c r="AH175" s="290"/>
      <c r="AI175" s="637"/>
      <c r="AJ175" s="290"/>
      <c r="AK175" s="637"/>
      <c r="AL175" s="290"/>
      <c r="AM175" s="637"/>
      <c r="AN175" s="245"/>
      <c r="AO175" s="431"/>
      <c r="AP175" s="107"/>
      <c r="AQ175" s="22"/>
      <c r="AR175" s="107"/>
      <c r="AS175" s="290"/>
      <c r="AT175" s="535"/>
      <c r="AU175" s="535"/>
      <c r="AV175" s="637"/>
      <c r="AW175" t="str">
        <f t="shared" si="54"/>
        <v/>
      </c>
      <c r="CB175" s="135" t="str">
        <f t="shared" si="55"/>
        <v/>
      </c>
      <c r="CC175" s="135" t="str">
        <f t="shared" si="56"/>
        <v/>
      </c>
      <c r="CD175" s="135" t="str">
        <f t="shared" si="57"/>
        <v/>
      </c>
      <c r="CE175" s="135" t="str">
        <f t="shared" si="58"/>
        <v/>
      </c>
      <c r="CF175" s="135" t="str">
        <f t="shared" si="59"/>
        <v/>
      </c>
      <c r="CG175" s="135" t="str">
        <f t="shared" si="60"/>
        <v/>
      </c>
      <c r="CH175" s="135" t="str">
        <f t="shared" si="61"/>
        <v/>
      </c>
      <c r="CN175" s="84">
        <f t="shared" si="62"/>
        <v>0</v>
      </c>
      <c r="CO175" s="84">
        <f t="shared" si="63"/>
        <v>0</v>
      </c>
      <c r="CP175" s="84">
        <f t="shared" si="64"/>
        <v>0</v>
      </c>
      <c r="CQ175" s="84">
        <f t="shared" si="65"/>
        <v>0</v>
      </c>
      <c r="CR175" s="84">
        <f t="shared" si="66"/>
        <v>0</v>
      </c>
      <c r="CS175" s="84">
        <f t="shared" si="67"/>
        <v>0</v>
      </c>
      <c r="CT175" s="84">
        <f t="shared" si="68"/>
        <v>0</v>
      </c>
    </row>
    <row r="176" spans="1:98" x14ac:dyDescent="0.3">
      <c r="A176" s="6185" t="s">
        <v>1315</v>
      </c>
      <c r="B176" s="3220" t="s">
        <v>98</v>
      </c>
      <c r="C176" s="3224">
        <f t="shared" si="51"/>
        <v>0</v>
      </c>
      <c r="D176" s="620">
        <f>SUM(L176+N176+P176+R176+T176+V176+X176+Z176+AB176+AD176+AF176+AH176+AJ176+AL176+AN176)</f>
        <v>0</v>
      </c>
      <c r="E176" s="787">
        <f>SUM(M176+O176+Q176+S176+U176+W176+Y176+AA176+AC176+AE176+AG176+AI176+AK176+AM176+AO176)</f>
        <v>0</v>
      </c>
      <c r="F176" s="3225"/>
      <c r="G176" s="676"/>
      <c r="H176" s="3225"/>
      <c r="I176" s="676"/>
      <c r="J176" s="3225"/>
      <c r="K176" s="676"/>
      <c r="L176" s="3226"/>
      <c r="M176" s="671"/>
      <c r="N176" s="3226"/>
      <c r="O176" s="671"/>
      <c r="P176" s="669"/>
      <c r="Q176" s="671"/>
      <c r="R176" s="669"/>
      <c r="S176" s="671"/>
      <c r="T176" s="669"/>
      <c r="U176" s="671"/>
      <c r="V176" s="669"/>
      <c r="W176" s="671"/>
      <c r="X176" s="669"/>
      <c r="Y176" s="671"/>
      <c r="Z176" s="669"/>
      <c r="AA176" s="671"/>
      <c r="AB176" s="669"/>
      <c r="AC176" s="671"/>
      <c r="AD176" s="669"/>
      <c r="AE176" s="671"/>
      <c r="AF176" s="669"/>
      <c r="AG176" s="671"/>
      <c r="AH176" s="669"/>
      <c r="AI176" s="671"/>
      <c r="AJ176" s="669"/>
      <c r="AK176" s="671"/>
      <c r="AL176" s="669"/>
      <c r="AM176" s="671"/>
      <c r="AN176" s="788"/>
      <c r="AO176" s="789"/>
      <c r="AP176" s="668"/>
      <c r="AQ176" s="792"/>
      <c r="AR176" s="668"/>
      <c r="AS176" s="3205"/>
      <c r="AT176" s="3227"/>
      <c r="AU176" s="3227"/>
      <c r="AV176" s="3206"/>
      <c r="AW176" t="str">
        <f t="shared" si="54"/>
        <v/>
      </c>
      <c r="CB176" s="135" t="str">
        <f t="shared" si="55"/>
        <v/>
      </c>
      <c r="CC176" s="135" t="str">
        <f t="shared" si="56"/>
        <v/>
      </c>
      <c r="CD176" s="135" t="str">
        <f t="shared" si="57"/>
        <v/>
      </c>
      <c r="CE176" s="135" t="str">
        <f t="shared" si="58"/>
        <v/>
      </c>
      <c r="CF176" s="135" t="str">
        <f t="shared" si="59"/>
        <v/>
      </c>
      <c r="CG176" s="135" t="str">
        <f t="shared" si="60"/>
        <v/>
      </c>
      <c r="CH176" s="135" t="str">
        <f t="shared" si="61"/>
        <v/>
      </c>
      <c r="CN176" s="84">
        <f t="shared" si="62"/>
        <v>0</v>
      </c>
      <c r="CO176" s="84">
        <f t="shared" si="63"/>
        <v>0</v>
      </c>
      <c r="CP176" s="84">
        <f t="shared" si="64"/>
        <v>0</v>
      </c>
      <c r="CQ176" s="84">
        <f t="shared" si="65"/>
        <v>0</v>
      </c>
      <c r="CR176" s="84">
        <f t="shared" si="66"/>
        <v>0</v>
      </c>
      <c r="CS176" s="84">
        <f t="shared" si="67"/>
        <v>0</v>
      </c>
      <c r="CT176" s="84">
        <f t="shared" si="68"/>
        <v>0</v>
      </c>
    </row>
    <row r="177" spans="1:98" x14ac:dyDescent="0.3">
      <c r="A177" s="6574"/>
      <c r="B177" s="3222" t="s">
        <v>65</v>
      </c>
      <c r="C177" s="638">
        <f>SUM(D177+E177)</f>
        <v>0</v>
      </c>
      <c r="D177" s="639">
        <f>SUM(L177+N177+P177+R177+T177+V177+X177+Z177+AB177+AD177+AF177+AH177+AJ177+AL177+AN177)</f>
        <v>0</v>
      </c>
      <c r="E177" s="640">
        <f>SUM(M177+O177+Q177+S177+U177+W177+Y177+AA177+AC177+AE177+AG177+AI177+AK177+AM177+AO177)</f>
        <v>0</v>
      </c>
      <c r="F177" s="635"/>
      <c r="G177" s="636"/>
      <c r="H177" s="635"/>
      <c r="I177" s="636"/>
      <c r="J177" s="635"/>
      <c r="K177" s="636"/>
      <c r="L177" s="3228"/>
      <c r="M177" s="389"/>
      <c r="N177" s="3228"/>
      <c r="O177" s="389"/>
      <c r="P177" s="380"/>
      <c r="Q177" s="389"/>
      <c r="R177" s="380"/>
      <c r="S177" s="389"/>
      <c r="T177" s="380"/>
      <c r="U177" s="389"/>
      <c r="V177" s="380"/>
      <c r="W177" s="389"/>
      <c r="X177" s="380"/>
      <c r="Y177" s="389"/>
      <c r="Z177" s="380"/>
      <c r="AA177" s="389"/>
      <c r="AB177" s="380"/>
      <c r="AC177" s="389"/>
      <c r="AD177" s="380"/>
      <c r="AE177" s="389"/>
      <c r="AF177" s="380"/>
      <c r="AG177" s="389"/>
      <c r="AH177" s="380"/>
      <c r="AI177" s="389"/>
      <c r="AJ177" s="380"/>
      <c r="AK177" s="389"/>
      <c r="AL177" s="380"/>
      <c r="AM177" s="389"/>
      <c r="AN177" s="682"/>
      <c r="AO177" s="390"/>
      <c r="AP177" s="388"/>
      <c r="AQ177" s="429"/>
      <c r="AR177" s="388"/>
      <c r="AS177" s="1139"/>
      <c r="AT177" s="1283"/>
      <c r="AU177" s="1283"/>
      <c r="AV177" s="3216"/>
      <c r="AW177" t="str">
        <f t="shared" si="54"/>
        <v/>
      </c>
      <c r="CB177" s="135" t="str">
        <f t="shared" si="55"/>
        <v/>
      </c>
      <c r="CC177" s="135" t="str">
        <f t="shared" si="56"/>
        <v/>
      </c>
      <c r="CD177" s="135" t="str">
        <f t="shared" si="57"/>
        <v/>
      </c>
      <c r="CE177" s="135" t="str">
        <f t="shared" si="58"/>
        <v/>
      </c>
      <c r="CF177" s="135" t="str">
        <f t="shared" si="59"/>
        <v/>
      </c>
      <c r="CG177" s="135" t="str">
        <f t="shared" si="60"/>
        <v/>
      </c>
      <c r="CH177" s="135" t="str">
        <f t="shared" si="61"/>
        <v/>
      </c>
      <c r="CN177" s="84">
        <f t="shared" si="62"/>
        <v>0</v>
      </c>
      <c r="CO177" s="84">
        <f t="shared" si="63"/>
        <v>0</v>
      </c>
      <c r="CP177" s="84">
        <f t="shared" si="64"/>
        <v>0</v>
      </c>
      <c r="CQ177" s="84">
        <f t="shared" si="65"/>
        <v>0</v>
      </c>
      <c r="CR177" s="84">
        <f t="shared" si="66"/>
        <v>0</v>
      </c>
      <c r="CS177" s="84">
        <f t="shared" si="67"/>
        <v>0</v>
      </c>
      <c r="CT177" s="84">
        <f t="shared" si="68"/>
        <v>0</v>
      </c>
    </row>
    <row r="178" spans="1:98" s="6" customFormat="1" ht="18" customHeight="1" x14ac:dyDescent="0.25">
      <c r="A178" s="6582" t="s">
        <v>1316</v>
      </c>
      <c r="B178" s="6583"/>
      <c r="C178" s="6583"/>
      <c r="D178" s="6583"/>
      <c r="E178" s="6583"/>
      <c r="F178" s="6500"/>
      <c r="G178" s="6500"/>
      <c r="H178" s="6500"/>
      <c r="I178" s="6500"/>
      <c r="J178" s="6500"/>
      <c r="K178" s="6500"/>
      <c r="L178" s="6500"/>
      <c r="M178" s="6500"/>
      <c r="N178" s="6500"/>
      <c r="O178" s="6500"/>
      <c r="P178" s="6500"/>
      <c r="Q178" s="6500"/>
      <c r="R178" s="6500"/>
      <c r="S178" s="6500"/>
      <c r="T178" s="6500"/>
      <c r="U178" s="6500"/>
      <c r="V178" s="6500"/>
      <c r="W178" s="6500"/>
      <c r="X178" s="6500"/>
      <c r="Y178" s="6500"/>
      <c r="Z178" s="6500"/>
      <c r="AA178" s="6500"/>
      <c r="AB178" s="6500"/>
      <c r="AC178" s="6500"/>
      <c r="AD178" s="6500"/>
      <c r="AE178" s="6500"/>
      <c r="AF178" s="6500"/>
      <c r="AG178" s="6500"/>
      <c r="AH178" s="4"/>
      <c r="AI178" s="4"/>
      <c r="AJ178" s="4"/>
      <c r="AK178" s="4"/>
      <c r="AL178" s="4"/>
      <c r="AM178" s="4"/>
      <c r="AN178" s="4"/>
      <c r="AO178" s="4"/>
      <c r="AP178" s="4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</row>
    <row r="179" spans="1:98" ht="15" customHeight="1" x14ac:dyDescent="0.3">
      <c r="A179" s="6060" t="s">
        <v>1317</v>
      </c>
      <c r="B179" s="6575"/>
      <c r="C179" s="6579" t="s">
        <v>452</v>
      </c>
      <c r="D179" s="6580"/>
      <c r="E179" s="6580"/>
      <c r="F179" s="6436" t="s">
        <v>101</v>
      </c>
      <c r="G179" s="6247"/>
      <c r="H179" s="6247"/>
      <c r="I179" s="6247"/>
      <c r="J179" s="6247"/>
      <c r="K179" s="6247"/>
      <c r="L179" s="6247"/>
      <c r="M179" s="6247"/>
      <c r="N179" s="6247"/>
      <c r="O179" s="6247"/>
      <c r="P179" s="6247"/>
      <c r="Q179" s="6247"/>
      <c r="R179" s="6247"/>
      <c r="S179" s="6247"/>
      <c r="T179" s="6247"/>
      <c r="U179" s="6247"/>
      <c r="V179" s="6247"/>
      <c r="W179" s="6247"/>
      <c r="X179" s="6247"/>
      <c r="Y179" s="6247"/>
      <c r="Z179" s="6247"/>
      <c r="AA179" s="6247"/>
      <c r="AB179" s="6247"/>
      <c r="AC179" s="6247"/>
      <c r="AD179" s="6247"/>
      <c r="AE179" s="6247"/>
      <c r="AF179" s="6247"/>
      <c r="AG179" s="6247"/>
      <c r="AH179" s="6247"/>
      <c r="AI179" s="6187"/>
      <c r="AJ179" s="6228" t="s">
        <v>1318</v>
      </c>
      <c r="AK179" s="6228"/>
      <c r="AL179" s="6228"/>
      <c r="AM179" s="6527"/>
      <c r="AN179" s="6524" t="s">
        <v>1319</v>
      </c>
      <c r="AO179" s="6227" t="s">
        <v>1320</v>
      </c>
      <c r="AP179" s="6535"/>
      <c r="AQ179" s="6536" t="s">
        <v>37</v>
      </c>
      <c r="AR179" s="6521" t="s">
        <v>36</v>
      </c>
    </row>
    <row r="180" spans="1:98" x14ac:dyDescent="0.3">
      <c r="A180" s="6576"/>
      <c r="B180" s="6577"/>
      <c r="C180" s="6578"/>
      <c r="D180" s="6581"/>
      <c r="E180" s="6530"/>
      <c r="F180" s="6529" t="s">
        <v>1203</v>
      </c>
      <c r="G180" s="6530"/>
      <c r="H180" s="6529" t="s">
        <v>1276</v>
      </c>
      <c r="I180" s="6530"/>
      <c r="J180" s="6529" t="s">
        <v>45</v>
      </c>
      <c r="K180" s="6530"/>
      <c r="L180" s="6529" t="s">
        <v>46</v>
      </c>
      <c r="M180" s="6530"/>
      <c r="N180" s="6529" t="s">
        <v>47</v>
      </c>
      <c r="O180" s="6530"/>
      <c r="P180" s="6529" t="s">
        <v>48</v>
      </c>
      <c r="Q180" s="6530"/>
      <c r="R180" s="6529" t="s">
        <v>49</v>
      </c>
      <c r="S180" s="6530"/>
      <c r="T180" s="6529" t="s">
        <v>50</v>
      </c>
      <c r="U180" s="6530"/>
      <c r="V180" s="6529" t="s">
        <v>51</v>
      </c>
      <c r="W180" s="6530"/>
      <c r="X180" s="6529" t="s">
        <v>52</v>
      </c>
      <c r="Y180" s="6530"/>
      <c r="Z180" s="6529" t="s">
        <v>53</v>
      </c>
      <c r="AA180" s="6530"/>
      <c r="AB180" s="6529" t="s">
        <v>54</v>
      </c>
      <c r="AC180" s="6530"/>
      <c r="AD180" s="6529" t="s">
        <v>55</v>
      </c>
      <c r="AE180" s="6530"/>
      <c r="AF180" s="6529" t="s">
        <v>56</v>
      </c>
      <c r="AG180" s="6530"/>
      <c r="AH180" s="6529" t="s">
        <v>57</v>
      </c>
      <c r="AI180" s="6617"/>
      <c r="AJ180" s="6618" t="s">
        <v>1007</v>
      </c>
      <c r="AK180" s="6620" t="s">
        <v>1321</v>
      </c>
      <c r="AL180" s="6620" t="s">
        <v>1322</v>
      </c>
      <c r="AM180" s="6606" t="s">
        <v>554</v>
      </c>
      <c r="AN180" s="6525"/>
      <c r="AO180" s="6608" t="s">
        <v>1323</v>
      </c>
      <c r="AP180" s="6610" t="s">
        <v>1324</v>
      </c>
      <c r="AQ180" s="6537"/>
      <c r="AR180" s="6522"/>
    </row>
    <row r="181" spans="1:98" x14ac:dyDescent="0.3">
      <c r="A181" s="6578"/>
      <c r="B181" s="6530"/>
      <c r="C181" s="96" t="s">
        <v>79</v>
      </c>
      <c r="D181" s="227" t="s">
        <v>58</v>
      </c>
      <c r="E181" s="21" t="s">
        <v>59</v>
      </c>
      <c r="F181" s="97" t="s">
        <v>58</v>
      </c>
      <c r="G181" s="21" t="s">
        <v>59</v>
      </c>
      <c r="H181" s="97" t="s">
        <v>58</v>
      </c>
      <c r="I181" s="21" t="s">
        <v>59</v>
      </c>
      <c r="J181" s="97" t="s">
        <v>58</v>
      </c>
      <c r="K181" s="21" t="s">
        <v>59</v>
      </c>
      <c r="L181" s="97" t="s">
        <v>461</v>
      </c>
      <c r="M181" s="21" t="s">
        <v>59</v>
      </c>
      <c r="N181" s="97" t="s">
        <v>461</v>
      </c>
      <c r="O181" s="21" t="s">
        <v>59</v>
      </c>
      <c r="P181" s="97" t="s">
        <v>461</v>
      </c>
      <c r="Q181" s="21" t="s">
        <v>59</v>
      </c>
      <c r="R181" s="97" t="s">
        <v>461</v>
      </c>
      <c r="S181" s="21" t="s">
        <v>59</v>
      </c>
      <c r="T181" s="97" t="s">
        <v>461</v>
      </c>
      <c r="U181" s="21" t="s">
        <v>59</v>
      </c>
      <c r="V181" s="97" t="s">
        <v>461</v>
      </c>
      <c r="W181" s="21" t="s">
        <v>59</v>
      </c>
      <c r="X181" s="97" t="s">
        <v>461</v>
      </c>
      <c r="Y181" s="21" t="s">
        <v>59</v>
      </c>
      <c r="Z181" s="97" t="s">
        <v>461</v>
      </c>
      <c r="AA181" s="21" t="s">
        <v>59</v>
      </c>
      <c r="AB181" s="97" t="s">
        <v>461</v>
      </c>
      <c r="AC181" s="21" t="s">
        <v>59</v>
      </c>
      <c r="AD181" s="97" t="s">
        <v>461</v>
      </c>
      <c r="AE181" s="21" t="s">
        <v>59</v>
      </c>
      <c r="AF181" s="97" t="s">
        <v>461</v>
      </c>
      <c r="AG181" s="21" t="s">
        <v>59</v>
      </c>
      <c r="AH181" s="97" t="s">
        <v>461</v>
      </c>
      <c r="AI181" s="98" t="s">
        <v>59</v>
      </c>
      <c r="AJ181" s="6619"/>
      <c r="AK181" s="6621"/>
      <c r="AL181" s="6622"/>
      <c r="AM181" s="6607"/>
      <c r="AN181" s="6526"/>
      <c r="AO181" s="6609"/>
      <c r="AP181" s="6611"/>
      <c r="AQ181" s="6538"/>
      <c r="AR181" s="6523"/>
    </row>
    <row r="182" spans="1:98" ht="15" customHeight="1" x14ac:dyDescent="0.3">
      <c r="A182" s="6603" t="s">
        <v>1325</v>
      </c>
      <c r="B182" s="76" t="s">
        <v>964</v>
      </c>
      <c r="C182" s="77">
        <f>SUM(D182+E182)</f>
        <v>0</v>
      </c>
      <c r="D182" s="228">
        <f>SUM(F182+H182+J182+L182+N182+P182+R182+T182+V182+X182+Z182+AB182+AD182+AF182+AH182)</f>
        <v>0</v>
      </c>
      <c r="E182" s="226">
        <f t="shared" ref="E182:E191" si="69">SUM(G182+I182+K182+M182+O182+Q182+S182+U182+W182+Y182+AA182+AC182+AE182+AG182+AI182)</f>
        <v>0</v>
      </c>
      <c r="F182" s="3229"/>
      <c r="G182" s="3230"/>
      <c r="H182" s="3229"/>
      <c r="I182" s="3230"/>
      <c r="J182" s="3229"/>
      <c r="K182" s="3230"/>
      <c r="L182" s="3229"/>
      <c r="M182" s="3230"/>
      <c r="N182" s="3229"/>
      <c r="O182" s="3230"/>
      <c r="P182" s="3229"/>
      <c r="Q182" s="3230"/>
      <c r="R182" s="3229"/>
      <c r="S182" s="3230"/>
      <c r="T182" s="3229"/>
      <c r="U182" s="3230"/>
      <c r="V182" s="3229"/>
      <c r="W182" s="3230"/>
      <c r="X182" s="3229"/>
      <c r="Y182" s="3230"/>
      <c r="Z182" s="3229"/>
      <c r="AA182" s="3230"/>
      <c r="AB182" s="3229"/>
      <c r="AC182" s="3230"/>
      <c r="AD182" s="3229"/>
      <c r="AE182" s="3230"/>
      <c r="AF182" s="3229"/>
      <c r="AG182" s="3230"/>
      <c r="AH182" s="3229"/>
      <c r="AI182" s="3231"/>
      <c r="AJ182" s="3232"/>
      <c r="AK182" s="3233"/>
      <c r="AL182" s="3233"/>
      <c r="AM182" s="3234"/>
      <c r="AN182" s="3235"/>
      <c r="AO182" s="3236"/>
      <c r="AP182" s="3237"/>
      <c r="AQ182" s="3232"/>
      <c r="AR182" s="3234"/>
      <c r="AS182" t="str">
        <f t="shared" ref="AS182:AS191" si="70">CB182&amp;CC182</f>
        <v/>
      </c>
      <c r="CB182" s="135" t="str">
        <f t="shared" ref="CB182:CB191" si="71">IF(AND(C182&gt;0,AQ182="")," * No olvide digitar la variable Migrantes. Digite Cero si no tiene.",IF(AQ182&gt;C182," * La variable Migrantes No puede ser mayor al Total Ambos Sexos.",""))</f>
        <v/>
      </c>
      <c r="CC182" s="135" t="str">
        <f t="shared" ref="CC182:CC191" si="72">IF(AND(C182&gt;0,AR182="")," * No olvide digitar la variable Pueblos Originarios. Digite Cero si no tiene.",IF(AR182&gt;C182," * La variable Pueblos Originarios No puede ser mayor al Total Ambos Sexos.",""))</f>
        <v/>
      </c>
      <c r="CN182" s="84">
        <f t="shared" ref="CN182:CN191" si="73">IF(AND(C182&gt;0,AQ182=""),1,IF(AQ182&gt;C182,1,0))</f>
        <v>0</v>
      </c>
      <c r="CO182" s="84">
        <f t="shared" ref="CO182:CO191" si="74">IF(AND(C182&gt;0,AR182=""),1,IF(AR182&gt;C182,1,0))</f>
        <v>0</v>
      </c>
    </row>
    <row r="183" spans="1:98" ht="15" customHeight="1" x14ac:dyDescent="0.3">
      <c r="A183" s="6612"/>
      <c r="B183" s="78" t="s">
        <v>963</v>
      </c>
      <c r="C183" s="932">
        <f t="shared" ref="C183:C191" si="75">SUM(D183+E183)</f>
        <v>0</v>
      </c>
      <c r="D183" s="229">
        <f t="shared" ref="D183:D191" si="76">SUM(F183+H183+J183+L183+N183+P183+R183+T183+V183+X183+Z183+AB183+AD183+AF183+AH183)</f>
        <v>0</v>
      </c>
      <c r="E183" s="933">
        <f t="shared" si="69"/>
        <v>0</v>
      </c>
      <c r="F183" s="3238"/>
      <c r="G183" s="3239"/>
      <c r="H183" s="3238"/>
      <c r="I183" s="3239"/>
      <c r="J183" s="3238"/>
      <c r="K183" s="3239"/>
      <c r="L183" s="3238"/>
      <c r="M183" s="3239"/>
      <c r="N183" s="3238"/>
      <c r="O183" s="3239"/>
      <c r="P183" s="3238"/>
      <c r="Q183" s="3239"/>
      <c r="R183" s="3238"/>
      <c r="S183" s="3239"/>
      <c r="T183" s="3238"/>
      <c r="U183" s="3239"/>
      <c r="V183" s="3238"/>
      <c r="W183" s="3239"/>
      <c r="X183" s="3238"/>
      <c r="Y183" s="3239"/>
      <c r="Z183" s="3238"/>
      <c r="AA183" s="3239"/>
      <c r="AB183" s="3238"/>
      <c r="AC183" s="3239"/>
      <c r="AD183" s="3238"/>
      <c r="AE183" s="3239"/>
      <c r="AF183" s="3238"/>
      <c r="AG183" s="3239"/>
      <c r="AH183" s="3238"/>
      <c r="AI183" s="3240"/>
      <c r="AJ183" s="3241"/>
      <c r="AK183" s="3242"/>
      <c r="AL183" s="3242"/>
      <c r="AM183" s="3243"/>
      <c r="AN183" s="3244"/>
      <c r="AO183" s="3245"/>
      <c r="AP183" s="3246"/>
      <c r="AQ183" s="3241"/>
      <c r="AR183" s="3243"/>
      <c r="AS183" t="str">
        <f t="shared" si="70"/>
        <v/>
      </c>
      <c r="CB183" s="135" t="str">
        <f t="shared" si="71"/>
        <v/>
      </c>
      <c r="CC183" s="135" t="str">
        <f t="shared" si="72"/>
        <v/>
      </c>
      <c r="CN183" s="84">
        <f t="shared" si="73"/>
        <v>0</v>
      </c>
      <c r="CO183" s="84">
        <f t="shared" si="74"/>
        <v>0</v>
      </c>
    </row>
    <row r="184" spans="1:98" ht="15" customHeight="1" x14ac:dyDescent="0.3">
      <c r="A184" s="6613" t="s">
        <v>1326</v>
      </c>
      <c r="B184" s="79" t="s">
        <v>964</v>
      </c>
      <c r="C184" s="143">
        <f t="shared" si="75"/>
        <v>0</v>
      </c>
      <c r="D184" s="230">
        <f t="shared" si="76"/>
        <v>0</v>
      </c>
      <c r="E184" s="226">
        <f t="shared" si="69"/>
        <v>0</v>
      </c>
      <c r="F184" s="3229"/>
      <c r="G184" s="3230"/>
      <c r="H184" s="3229"/>
      <c r="I184" s="3230"/>
      <c r="J184" s="3229"/>
      <c r="K184" s="3230"/>
      <c r="L184" s="3229"/>
      <c r="M184" s="3230"/>
      <c r="N184" s="3229"/>
      <c r="O184" s="3230"/>
      <c r="P184" s="3229"/>
      <c r="Q184" s="3230"/>
      <c r="R184" s="3229"/>
      <c r="S184" s="3230"/>
      <c r="T184" s="3229"/>
      <c r="U184" s="3230"/>
      <c r="V184" s="3229"/>
      <c r="W184" s="3230"/>
      <c r="X184" s="3229"/>
      <c r="Y184" s="3230"/>
      <c r="Z184" s="3229"/>
      <c r="AA184" s="3230"/>
      <c r="AB184" s="3229"/>
      <c r="AC184" s="3230"/>
      <c r="AD184" s="3229"/>
      <c r="AE184" s="3230"/>
      <c r="AF184" s="3229"/>
      <c r="AG184" s="3230"/>
      <c r="AH184" s="3229"/>
      <c r="AI184" s="3231"/>
      <c r="AJ184" s="3232"/>
      <c r="AK184" s="3233"/>
      <c r="AL184" s="3233"/>
      <c r="AM184" s="3234"/>
      <c r="AN184" s="3247"/>
      <c r="AO184" s="3236"/>
      <c r="AP184" s="3237"/>
      <c r="AQ184" s="3232"/>
      <c r="AR184" s="3234"/>
      <c r="AS184" t="str">
        <f t="shared" si="70"/>
        <v/>
      </c>
      <c r="CB184" s="135" t="str">
        <f t="shared" si="71"/>
        <v/>
      </c>
      <c r="CC184" s="135" t="str">
        <f t="shared" si="72"/>
        <v/>
      </c>
      <c r="CN184" s="84">
        <f t="shared" si="73"/>
        <v>0</v>
      </c>
      <c r="CO184" s="84">
        <f t="shared" si="74"/>
        <v>0</v>
      </c>
    </row>
    <row r="185" spans="1:98" ht="15" customHeight="1" x14ac:dyDescent="0.3">
      <c r="A185" s="6614"/>
      <c r="B185" s="80" t="s">
        <v>963</v>
      </c>
      <c r="C185" s="932">
        <f t="shared" si="75"/>
        <v>0</v>
      </c>
      <c r="D185" s="229">
        <f t="shared" si="76"/>
        <v>0</v>
      </c>
      <c r="E185" s="933">
        <f t="shared" si="69"/>
        <v>0</v>
      </c>
      <c r="F185" s="3238"/>
      <c r="G185" s="3239"/>
      <c r="H185" s="3238"/>
      <c r="I185" s="3239"/>
      <c r="J185" s="3238"/>
      <c r="K185" s="3239"/>
      <c r="L185" s="3238"/>
      <c r="M185" s="3239"/>
      <c r="N185" s="3238"/>
      <c r="O185" s="3239"/>
      <c r="P185" s="3238"/>
      <c r="Q185" s="3239"/>
      <c r="R185" s="3238"/>
      <c r="S185" s="3239"/>
      <c r="T185" s="3238"/>
      <c r="U185" s="3239"/>
      <c r="V185" s="3238"/>
      <c r="W185" s="3239"/>
      <c r="X185" s="3238"/>
      <c r="Y185" s="3239"/>
      <c r="Z185" s="3238"/>
      <c r="AA185" s="3239"/>
      <c r="AB185" s="3238"/>
      <c r="AC185" s="3239"/>
      <c r="AD185" s="3238"/>
      <c r="AE185" s="3239"/>
      <c r="AF185" s="3238"/>
      <c r="AG185" s="3239"/>
      <c r="AH185" s="3238"/>
      <c r="AI185" s="3240"/>
      <c r="AJ185" s="3241"/>
      <c r="AK185" s="3242"/>
      <c r="AL185" s="3242"/>
      <c r="AM185" s="3243"/>
      <c r="AN185" s="3248"/>
      <c r="AO185" s="3245"/>
      <c r="AP185" s="3246"/>
      <c r="AQ185" s="3241"/>
      <c r="AR185" s="3243"/>
      <c r="AS185" t="str">
        <f t="shared" si="70"/>
        <v/>
      </c>
      <c r="CB185" s="135" t="str">
        <f t="shared" si="71"/>
        <v/>
      </c>
      <c r="CC185" s="135" t="str">
        <f t="shared" si="72"/>
        <v/>
      </c>
      <c r="CN185" s="84">
        <f t="shared" si="73"/>
        <v>0</v>
      </c>
      <c r="CO185" s="84">
        <f t="shared" si="74"/>
        <v>0</v>
      </c>
    </row>
    <row r="186" spans="1:98" ht="15" customHeight="1" x14ac:dyDescent="0.3">
      <c r="A186" s="6615" t="s">
        <v>1327</v>
      </c>
      <c r="B186" s="76" t="s">
        <v>964</v>
      </c>
      <c r="C186" s="143">
        <f>SUM(D186+E186)</f>
        <v>0</v>
      </c>
      <c r="D186" s="230">
        <f t="shared" si="76"/>
        <v>0</v>
      </c>
      <c r="E186" s="226">
        <f t="shared" si="69"/>
        <v>0</v>
      </c>
      <c r="F186" s="3229"/>
      <c r="G186" s="3230"/>
      <c r="H186" s="3229"/>
      <c r="I186" s="3230"/>
      <c r="J186" s="3229"/>
      <c r="K186" s="3230"/>
      <c r="L186" s="3229"/>
      <c r="M186" s="3230"/>
      <c r="N186" s="3229"/>
      <c r="O186" s="3230"/>
      <c r="P186" s="3229"/>
      <c r="Q186" s="3230"/>
      <c r="R186" s="3229"/>
      <c r="S186" s="3230"/>
      <c r="T186" s="3229"/>
      <c r="U186" s="3230"/>
      <c r="V186" s="3229"/>
      <c r="W186" s="3230"/>
      <c r="X186" s="3229"/>
      <c r="Y186" s="3230"/>
      <c r="Z186" s="3229"/>
      <c r="AA186" s="3230"/>
      <c r="AB186" s="3229"/>
      <c r="AC186" s="3230"/>
      <c r="AD186" s="3229"/>
      <c r="AE186" s="3230"/>
      <c r="AF186" s="3229"/>
      <c r="AG186" s="3230"/>
      <c r="AH186" s="3229"/>
      <c r="AI186" s="3231"/>
      <c r="AJ186" s="3232"/>
      <c r="AK186" s="3233"/>
      <c r="AL186" s="3233"/>
      <c r="AM186" s="3234"/>
      <c r="AN186" s="3249"/>
      <c r="AO186" s="3250"/>
      <c r="AP186" s="3251"/>
      <c r="AQ186" s="3232"/>
      <c r="AR186" s="3234"/>
      <c r="AS186" t="str">
        <f t="shared" si="70"/>
        <v/>
      </c>
      <c r="CB186" s="135" t="str">
        <f t="shared" si="71"/>
        <v/>
      </c>
      <c r="CC186" s="135" t="str">
        <f t="shared" si="72"/>
        <v/>
      </c>
      <c r="CN186" s="84">
        <f t="shared" si="73"/>
        <v>0</v>
      </c>
      <c r="CO186" s="84">
        <f t="shared" si="74"/>
        <v>0</v>
      </c>
    </row>
    <row r="187" spans="1:98" ht="15" customHeight="1" x14ac:dyDescent="0.3">
      <c r="A187" s="6616"/>
      <c r="B187" s="78" t="s">
        <v>963</v>
      </c>
      <c r="C187" s="932">
        <f>SUM(D187+E187)</f>
        <v>0</v>
      </c>
      <c r="D187" s="229">
        <f t="shared" si="76"/>
        <v>0</v>
      </c>
      <c r="E187" s="933">
        <f t="shared" si="69"/>
        <v>0</v>
      </c>
      <c r="F187" s="3238"/>
      <c r="G187" s="3239"/>
      <c r="H187" s="3238"/>
      <c r="I187" s="3239"/>
      <c r="J187" s="3238"/>
      <c r="K187" s="3239"/>
      <c r="L187" s="3238"/>
      <c r="M187" s="3239"/>
      <c r="N187" s="3238"/>
      <c r="O187" s="3239"/>
      <c r="P187" s="3238"/>
      <c r="Q187" s="3239"/>
      <c r="R187" s="3238"/>
      <c r="S187" s="3239"/>
      <c r="T187" s="3238"/>
      <c r="U187" s="3239"/>
      <c r="V187" s="3238"/>
      <c r="W187" s="3239"/>
      <c r="X187" s="3238"/>
      <c r="Y187" s="3239"/>
      <c r="Z187" s="3238"/>
      <c r="AA187" s="3239"/>
      <c r="AB187" s="3238"/>
      <c r="AC187" s="3239"/>
      <c r="AD187" s="3238"/>
      <c r="AE187" s="3239"/>
      <c r="AF187" s="3238"/>
      <c r="AG187" s="3239"/>
      <c r="AH187" s="3238"/>
      <c r="AI187" s="3240"/>
      <c r="AJ187" s="3241"/>
      <c r="AK187" s="3242"/>
      <c r="AL187" s="3242"/>
      <c r="AM187" s="3243"/>
      <c r="AN187" s="3252"/>
      <c r="AO187" s="3253"/>
      <c r="AP187" s="3254"/>
      <c r="AQ187" s="3241"/>
      <c r="AR187" s="3243"/>
      <c r="AS187" t="str">
        <f t="shared" si="70"/>
        <v/>
      </c>
      <c r="CB187" s="135" t="str">
        <f t="shared" si="71"/>
        <v/>
      </c>
      <c r="CC187" s="135" t="str">
        <f t="shared" si="72"/>
        <v/>
      </c>
      <c r="CN187" s="84">
        <f t="shared" si="73"/>
        <v>0</v>
      </c>
      <c r="CO187" s="84">
        <f t="shared" si="74"/>
        <v>0</v>
      </c>
    </row>
    <row r="188" spans="1:98" ht="15" customHeight="1" x14ac:dyDescent="0.3">
      <c r="A188" s="6603" t="s">
        <v>1328</v>
      </c>
      <c r="B188" s="76" t="s">
        <v>964</v>
      </c>
      <c r="C188" s="143">
        <f>SUM(D188+E188)</f>
        <v>0</v>
      </c>
      <c r="D188" s="230">
        <f t="shared" si="76"/>
        <v>0</v>
      </c>
      <c r="E188" s="226">
        <f t="shared" si="69"/>
        <v>0</v>
      </c>
      <c r="F188" s="3229"/>
      <c r="G188" s="3230"/>
      <c r="H188" s="3229"/>
      <c r="I188" s="3230"/>
      <c r="J188" s="3229"/>
      <c r="K188" s="3230"/>
      <c r="L188" s="3229"/>
      <c r="M188" s="3230"/>
      <c r="N188" s="3229"/>
      <c r="O188" s="3230"/>
      <c r="P188" s="3229"/>
      <c r="Q188" s="3230"/>
      <c r="R188" s="3229"/>
      <c r="S188" s="3230"/>
      <c r="T188" s="3229"/>
      <c r="U188" s="3230"/>
      <c r="V188" s="3229"/>
      <c r="W188" s="3230"/>
      <c r="X188" s="3229"/>
      <c r="Y188" s="3230"/>
      <c r="Z188" s="3229"/>
      <c r="AA188" s="3230"/>
      <c r="AB188" s="3229"/>
      <c r="AC188" s="3230"/>
      <c r="AD188" s="3229"/>
      <c r="AE188" s="3230"/>
      <c r="AF188" s="3229"/>
      <c r="AG188" s="3230"/>
      <c r="AH188" s="3229"/>
      <c r="AI188" s="3231"/>
      <c r="AJ188" s="3232"/>
      <c r="AK188" s="3233"/>
      <c r="AL188" s="3233"/>
      <c r="AM188" s="3234"/>
      <c r="AN188" s="3255"/>
      <c r="AO188" s="3250"/>
      <c r="AP188" s="3251"/>
      <c r="AQ188" s="3232"/>
      <c r="AR188" s="3234"/>
      <c r="AS188" t="str">
        <f t="shared" si="70"/>
        <v/>
      </c>
      <c r="CB188" s="135" t="str">
        <f t="shared" si="71"/>
        <v/>
      </c>
      <c r="CC188" s="135" t="str">
        <f t="shared" si="72"/>
        <v/>
      </c>
      <c r="CN188" s="84">
        <f t="shared" si="73"/>
        <v>0</v>
      </c>
      <c r="CO188" s="84">
        <f t="shared" si="74"/>
        <v>0</v>
      </c>
    </row>
    <row r="189" spans="1:98" ht="15" customHeight="1" x14ac:dyDescent="0.3">
      <c r="A189" s="6604"/>
      <c r="B189" s="78" t="s">
        <v>963</v>
      </c>
      <c r="C189" s="932">
        <f t="shared" si="75"/>
        <v>0</v>
      </c>
      <c r="D189" s="229">
        <f t="shared" si="76"/>
        <v>0</v>
      </c>
      <c r="E189" s="933">
        <f t="shared" si="69"/>
        <v>0</v>
      </c>
      <c r="F189" s="3238"/>
      <c r="G189" s="3239"/>
      <c r="H189" s="3238"/>
      <c r="I189" s="3239"/>
      <c r="J189" s="3238"/>
      <c r="K189" s="3239"/>
      <c r="L189" s="3238"/>
      <c r="M189" s="3239"/>
      <c r="N189" s="3238"/>
      <c r="O189" s="3239"/>
      <c r="P189" s="3238"/>
      <c r="Q189" s="3239"/>
      <c r="R189" s="3238"/>
      <c r="S189" s="3239"/>
      <c r="T189" s="3238"/>
      <c r="U189" s="3239"/>
      <c r="V189" s="3238"/>
      <c r="W189" s="3239"/>
      <c r="X189" s="3238"/>
      <c r="Y189" s="3239"/>
      <c r="Z189" s="3238"/>
      <c r="AA189" s="3239"/>
      <c r="AB189" s="3238"/>
      <c r="AC189" s="3239"/>
      <c r="AD189" s="3238"/>
      <c r="AE189" s="3239"/>
      <c r="AF189" s="3238"/>
      <c r="AG189" s="3239"/>
      <c r="AH189" s="3238"/>
      <c r="AI189" s="3240"/>
      <c r="AJ189" s="3241"/>
      <c r="AK189" s="3242"/>
      <c r="AL189" s="3242"/>
      <c r="AM189" s="3243"/>
      <c r="AN189" s="3256"/>
      <c r="AO189" s="3253"/>
      <c r="AP189" s="3254"/>
      <c r="AQ189" s="3241"/>
      <c r="AR189" s="3243"/>
      <c r="AS189" t="str">
        <f t="shared" si="70"/>
        <v/>
      </c>
      <c r="CB189" s="135" t="str">
        <f t="shared" si="71"/>
        <v/>
      </c>
      <c r="CC189" s="135" t="str">
        <f t="shared" si="72"/>
        <v/>
      </c>
      <c r="CN189" s="84">
        <f t="shared" si="73"/>
        <v>0</v>
      </c>
      <c r="CO189" s="84">
        <f t="shared" si="74"/>
        <v>0</v>
      </c>
    </row>
    <row r="190" spans="1:98" ht="15" customHeight="1" x14ac:dyDescent="0.3">
      <c r="A190" s="6603" t="s">
        <v>1329</v>
      </c>
      <c r="B190" s="76" t="s">
        <v>964</v>
      </c>
      <c r="C190" s="81">
        <f t="shared" si="75"/>
        <v>0</v>
      </c>
      <c r="D190" s="230">
        <f t="shared" si="76"/>
        <v>0</v>
      </c>
      <c r="E190" s="226">
        <f t="shared" si="69"/>
        <v>0</v>
      </c>
      <c r="F190" s="3257"/>
      <c r="G190" s="3258"/>
      <c r="H190" s="3257"/>
      <c r="I190" s="3258"/>
      <c r="J190" s="3257"/>
      <c r="K190" s="3258"/>
      <c r="L190" s="3257"/>
      <c r="M190" s="3258"/>
      <c r="N190" s="3257"/>
      <c r="O190" s="3258"/>
      <c r="P190" s="3257"/>
      <c r="Q190" s="3258"/>
      <c r="R190" s="3257"/>
      <c r="S190" s="3258"/>
      <c r="T190" s="3257"/>
      <c r="U190" s="3258"/>
      <c r="V190" s="3257"/>
      <c r="W190" s="3258"/>
      <c r="X190" s="3257"/>
      <c r="Y190" s="3258"/>
      <c r="Z190" s="3257"/>
      <c r="AA190" s="3258"/>
      <c r="AB190" s="3257"/>
      <c r="AC190" s="3258"/>
      <c r="AD190" s="3257"/>
      <c r="AE190" s="3258"/>
      <c r="AF190" s="3257"/>
      <c r="AG190" s="3258"/>
      <c r="AH190" s="3257"/>
      <c r="AI190" s="3259"/>
      <c r="AJ190" s="3260"/>
      <c r="AK190" s="3261"/>
      <c r="AL190" s="3261"/>
      <c r="AM190" s="3262"/>
      <c r="AN190" s="3263"/>
      <c r="AO190" s="3250"/>
      <c r="AP190" s="3251"/>
      <c r="AQ190" s="3232"/>
      <c r="AR190" s="3234"/>
      <c r="AS190" t="str">
        <f t="shared" si="70"/>
        <v/>
      </c>
      <c r="CB190" s="135" t="str">
        <f t="shared" si="71"/>
        <v/>
      </c>
      <c r="CC190" s="135" t="str">
        <f t="shared" si="72"/>
        <v/>
      </c>
      <c r="CN190" s="84">
        <f t="shared" si="73"/>
        <v>0</v>
      </c>
      <c r="CO190" s="84">
        <f t="shared" si="74"/>
        <v>0</v>
      </c>
    </row>
    <row r="191" spans="1:98" ht="15" customHeight="1" x14ac:dyDescent="0.3">
      <c r="A191" s="6605"/>
      <c r="B191" s="82" t="s">
        <v>963</v>
      </c>
      <c r="C191" s="932">
        <f t="shared" si="75"/>
        <v>0</v>
      </c>
      <c r="D191" s="229">
        <f t="shared" si="76"/>
        <v>0</v>
      </c>
      <c r="E191" s="933">
        <f t="shared" si="69"/>
        <v>0</v>
      </c>
      <c r="F191" s="3238"/>
      <c r="G191" s="3239"/>
      <c r="H191" s="3238"/>
      <c r="I191" s="3239"/>
      <c r="J191" s="3238"/>
      <c r="K191" s="3239"/>
      <c r="L191" s="3238"/>
      <c r="M191" s="3239"/>
      <c r="N191" s="3238"/>
      <c r="O191" s="3239"/>
      <c r="P191" s="3238"/>
      <c r="Q191" s="3239"/>
      <c r="R191" s="3238"/>
      <c r="S191" s="3239"/>
      <c r="T191" s="3238"/>
      <c r="U191" s="3239"/>
      <c r="V191" s="3238"/>
      <c r="W191" s="3239"/>
      <c r="X191" s="3238"/>
      <c r="Y191" s="3239"/>
      <c r="Z191" s="3238"/>
      <c r="AA191" s="3239"/>
      <c r="AB191" s="3238"/>
      <c r="AC191" s="3239"/>
      <c r="AD191" s="3238"/>
      <c r="AE191" s="3239"/>
      <c r="AF191" s="3238"/>
      <c r="AG191" s="3239"/>
      <c r="AH191" s="3238"/>
      <c r="AI191" s="3240"/>
      <c r="AJ191" s="3264"/>
      <c r="AK191" s="3265"/>
      <c r="AL191" s="3265"/>
      <c r="AM191" s="3266"/>
      <c r="AN191" s="3267"/>
      <c r="AO191" s="3268"/>
      <c r="AP191" s="3254"/>
      <c r="AQ191" s="3241"/>
      <c r="AR191" s="3243"/>
      <c r="AS191" t="str">
        <f t="shared" si="70"/>
        <v/>
      </c>
      <c r="CB191" s="135" t="str">
        <f t="shared" si="71"/>
        <v/>
      </c>
      <c r="CC191" s="135" t="str">
        <f t="shared" si="72"/>
        <v/>
      </c>
      <c r="CN191" s="84">
        <f t="shared" si="73"/>
        <v>0</v>
      </c>
      <c r="CO191" s="84">
        <f t="shared" si="74"/>
        <v>0</v>
      </c>
    </row>
    <row r="192" spans="1:98" ht="18" customHeight="1" x14ac:dyDescent="0.3">
      <c r="A192" s="6499" t="s">
        <v>1330</v>
      </c>
      <c r="B192" s="6500"/>
      <c r="C192" s="6500"/>
      <c r="D192" s="6500"/>
      <c r="E192" s="6500"/>
      <c r="F192" s="6500"/>
      <c r="G192" s="6500"/>
      <c r="H192" s="6500"/>
      <c r="I192" s="6500"/>
      <c r="J192" s="6500"/>
      <c r="K192" s="6500"/>
      <c r="L192" s="6500"/>
      <c r="M192" s="6500"/>
      <c r="N192" s="6500"/>
      <c r="O192" s="6500"/>
      <c r="P192" s="6500"/>
      <c r="Q192" s="6500"/>
    </row>
    <row r="193" spans="1:99" ht="15" customHeight="1" x14ac:dyDescent="0.3">
      <c r="A193" s="6592" t="s">
        <v>1331</v>
      </c>
      <c r="B193" s="6593"/>
      <c r="C193" s="6595" t="s">
        <v>389</v>
      </c>
      <c r="D193" s="6596" t="s">
        <v>58</v>
      </c>
      <c r="E193" s="6597" t="s">
        <v>59</v>
      </c>
      <c r="F193" s="6515" t="s">
        <v>101</v>
      </c>
      <c r="G193" s="6516"/>
      <c r="H193" s="6516"/>
      <c r="I193" s="6516"/>
      <c r="J193" s="6516"/>
      <c r="K193" s="6516"/>
      <c r="L193" s="6516"/>
      <c r="M193" s="6516"/>
      <c r="N193" s="6516"/>
      <c r="O193" s="6516"/>
      <c r="P193" s="6516"/>
      <c r="Q193" s="6516"/>
      <c r="R193" s="6516"/>
      <c r="S193" s="6517"/>
      <c r="T193" s="6501" t="s">
        <v>1332</v>
      </c>
      <c r="U193" s="6503" t="s">
        <v>453</v>
      </c>
      <c r="V193" s="6503" t="s">
        <v>37</v>
      </c>
      <c r="W193" s="6506" t="s">
        <v>36</v>
      </c>
      <c r="X193" s="6509" t="s">
        <v>34</v>
      </c>
      <c r="Y193" s="6510" t="s">
        <v>35</v>
      </c>
      <c r="Z193" s="6511" t="s">
        <v>1333</v>
      </c>
      <c r="AA193" s="6512"/>
    </row>
    <row r="194" spans="1:99" x14ac:dyDescent="0.3">
      <c r="A194" s="6594"/>
      <c r="B194" s="5876"/>
      <c r="C194" s="6595"/>
      <c r="D194" s="6596"/>
      <c r="E194" s="6219"/>
      <c r="F194" s="6585" t="s">
        <v>1334</v>
      </c>
      <c r="G194" s="6586"/>
      <c r="H194" s="6587" t="s">
        <v>1335</v>
      </c>
      <c r="I194" s="6586"/>
      <c r="J194" s="6588" t="s">
        <v>1336</v>
      </c>
      <c r="K194" s="6589"/>
      <c r="L194" s="6585" t="s">
        <v>1337</v>
      </c>
      <c r="M194" s="6586"/>
      <c r="N194" s="6585" t="s">
        <v>1338</v>
      </c>
      <c r="O194" s="6586"/>
      <c r="P194" s="6585" t="s">
        <v>1339</v>
      </c>
      <c r="Q194" s="6586"/>
      <c r="R194" s="6590" t="s">
        <v>514</v>
      </c>
      <c r="S194" s="6591"/>
      <c r="T194" s="6120"/>
      <c r="U194" s="6504"/>
      <c r="V194" s="6504"/>
      <c r="W194" s="6507"/>
      <c r="X194" s="6118"/>
      <c r="Y194" s="5798"/>
      <c r="Z194" s="6513"/>
      <c r="AA194" s="6514"/>
    </row>
    <row r="195" spans="1:99" x14ac:dyDescent="0.3">
      <c r="A195" s="6585"/>
      <c r="B195" s="6586"/>
      <c r="C195" s="6595"/>
      <c r="D195" s="6596"/>
      <c r="E195" s="6219"/>
      <c r="F195" s="3269" t="s">
        <v>522</v>
      </c>
      <c r="G195" s="2914" t="s">
        <v>751</v>
      </c>
      <c r="H195" s="3269" t="s">
        <v>522</v>
      </c>
      <c r="I195" s="2914" t="s">
        <v>751</v>
      </c>
      <c r="J195" s="3269" t="s">
        <v>522</v>
      </c>
      <c r="K195" s="2914" t="s">
        <v>751</v>
      </c>
      <c r="L195" s="3269" t="s">
        <v>522</v>
      </c>
      <c r="M195" s="2914" t="s">
        <v>751</v>
      </c>
      <c r="N195" s="3269" t="s">
        <v>522</v>
      </c>
      <c r="O195" s="2914" t="s">
        <v>751</v>
      </c>
      <c r="P195" s="3269" t="s">
        <v>522</v>
      </c>
      <c r="Q195" s="2914" t="s">
        <v>751</v>
      </c>
      <c r="R195" s="3270" t="s">
        <v>522</v>
      </c>
      <c r="S195" s="3271" t="s">
        <v>751</v>
      </c>
      <c r="T195" s="6502"/>
      <c r="U195" s="6505"/>
      <c r="V195" s="6505"/>
      <c r="W195" s="6508"/>
      <c r="X195" s="5818"/>
      <c r="Y195" s="5799"/>
      <c r="Z195" s="3272" t="s">
        <v>462</v>
      </c>
      <c r="AA195" s="3273" t="s">
        <v>1340</v>
      </c>
    </row>
    <row r="196" spans="1:99" x14ac:dyDescent="0.3">
      <c r="A196" s="6598" t="s">
        <v>1341</v>
      </c>
      <c r="B196" s="6598"/>
      <c r="C196" s="3274">
        <f>SUM(D196:E196)</f>
        <v>0</v>
      </c>
      <c r="D196" s="3275">
        <f>SUM(F196,H196,J196,L196,N196,P196,R196)</f>
        <v>0</v>
      </c>
      <c r="E196" s="3276">
        <f>SUM(G196,I196,K196,M196,O196,Q196,S196)</f>
        <v>0</v>
      </c>
      <c r="F196" s="5672"/>
      <c r="G196" s="5673"/>
      <c r="H196" s="5672"/>
      <c r="I196" s="5673"/>
      <c r="J196" s="5672"/>
      <c r="K196" s="5673"/>
      <c r="L196" s="5672"/>
      <c r="M196" s="5673"/>
      <c r="N196" s="5672"/>
      <c r="O196" s="5673"/>
      <c r="P196" s="5672"/>
      <c r="Q196" s="5673"/>
      <c r="R196" s="5676"/>
      <c r="S196" s="5677"/>
      <c r="T196" s="5678"/>
      <c r="U196" s="5679"/>
      <c r="V196" s="5679"/>
      <c r="W196" s="5679"/>
      <c r="X196" s="5679"/>
      <c r="Y196" s="5680"/>
      <c r="Z196" s="5681"/>
      <c r="AA196" s="5682"/>
      <c r="AB196" t="str">
        <f>CB196&amp;CC196&amp;CD196&amp;CE196&amp;CF196&amp;CG196&amp;CH196&amp;CI196</f>
        <v/>
      </c>
      <c r="CB196" s="135" t="str">
        <f>IF(AND($C196&gt;0,T196="")," * No olvide digitar la variable N° sesiones. Digite Cero si no tiene.",IF(T196&gt;$C196," * La variable N° sesiones No puede ser mayor al Total Ambos Sexos.",""))</f>
        <v/>
      </c>
      <c r="CC196" s="135" t="str">
        <f t="shared" ref="CC196:CC202" si="77">IF(AND($E196&gt;0,U196="")," * No olvide digitar la variable Gestantes. Digite Cero si no tiene.",IF(U196&gt;$E196," * La variable Gestantes No puede ser mayor al Total Mujeres.",""))</f>
        <v/>
      </c>
      <c r="CD196" s="135" t="str">
        <f t="shared" ref="CD196:CD202" si="78">IF(AND($C196&gt;0,V196="")," * No olvide digitar la variable Migrantes. Digite Cero si no tiene.",IF(V196&gt;$C196," * La variable Migrantes No puede ser mayor al Total Ambos Sexos.",""))</f>
        <v/>
      </c>
      <c r="CE196" s="135" t="str">
        <f t="shared" ref="CE196:CE202" si="79">IF(AND($C196&gt;0,W196="")," * No olvide digitar la variable Pueblos Originarios. Digite Cero si no tiene.",IF(W196&gt;$C196," * La variable Pueblos Originarios No puede ser mayor al Total Ambos Sexos.",""))</f>
        <v/>
      </c>
      <c r="CF196" s="135" t="str">
        <f t="shared" ref="CF196:CF202" si="80">IF(AND($C196&gt;0,X196="")," * No olvide digitar la variable Niños, Niñas, Adolescentes y Jóvenes SENAME. Digite Cero si no tiene.",IF(X196&gt;$C196," * La variable Niños, Niñas, Adolescentes y Jóvenes SENAME No puede ser mayor al Total Ambos Sexos.",""))</f>
        <v/>
      </c>
      <c r="CG196" s="135" t="str">
        <f t="shared" ref="CG196:CG202" si="81">IF(AND($C196&gt;0,Y196="")," * No olvide digitar la variable Niños, Niñas, Adolescentes y Jóvenes Mejor Niñez. Digite Cero si no tiene.",IF(Y196&gt;$C196," * La variable Niños, Niñas, Adolescentes y Jóvenes Mejor Niñez No puede ser mayor al Total Ambos Sexos.",""))</f>
        <v/>
      </c>
      <c r="CH196" s="135" t="str">
        <f t="shared" ref="CH196:CH202" si="82">IF(AND(E196&gt;0,OR(Z196=""))," * No olvide digitar la variable Trans (Masculino). Digite Cero si no tiene.",IF((Z196)&gt;E196," * La variable Trans (Masculino) No puede ser mayor al Total Mujeres.",""))</f>
        <v/>
      </c>
      <c r="CI196" s="135" t="str">
        <f t="shared" ref="CI196:CI202" si="83">IF(AND(D196&gt;0,OR(AA196=""))," * No olvide digitar la variable Trans (Femenino). Digite Cero si no tiene.",IF((AA196)&gt;D196," * La variable Trans (Femenino) No puede ser mayor al Total Hombres.",""))</f>
        <v/>
      </c>
      <c r="CN196" s="84">
        <f t="shared" ref="CN196:CS196" si="84">IF(AND($C196&gt;0,T196=""),1,IF(T196&gt;$C196,1,0))</f>
        <v>0</v>
      </c>
      <c r="CO196" s="84">
        <f>IF(AND($E196&gt;0,U196=""),1,IF(U196&gt;$E196,1,0))</f>
        <v>0</v>
      </c>
      <c r="CP196" s="84">
        <f t="shared" si="84"/>
        <v>0</v>
      </c>
      <c r="CQ196" s="84">
        <f t="shared" si="84"/>
        <v>0</v>
      </c>
      <c r="CR196" s="84">
        <f t="shared" si="84"/>
        <v>0</v>
      </c>
      <c r="CS196" s="84">
        <f t="shared" si="84"/>
        <v>0</v>
      </c>
      <c r="CT196" s="84">
        <f>IF(AND($E196&gt;0,Z196=""),1,IF(Z196&gt;$E196,1,0))</f>
        <v>0</v>
      </c>
      <c r="CU196" s="1901">
        <f>IF(AND($D196&gt;0,AA196=""),1,IF(AA196&gt;$D196,1,0))</f>
        <v>0</v>
      </c>
    </row>
    <row r="197" spans="1:99" x14ac:dyDescent="0.3">
      <c r="A197" s="5910" t="s">
        <v>1342</v>
      </c>
      <c r="B197" s="3277" t="s">
        <v>1343</v>
      </c>
      <c r="C197" s="317">
        <f>SUM(D197,E197)</f>
        <v>0</v>
      </c>
      <c r="D197" s="2233">
        <f>SUM(F197,H197,J197,L197)</f>
        <v>0</v>
      </c>
      <c r="E197" s="224">
        <f>SUM(G197,I197,K197,M197)</f>
        <v>0</v>
      </c>
      <c r="F197" s="2704"/>
      <c r="G197" s="2706"/>
      <c r="H197" s="2704"/>
      <c r="I197" s="2706"/>
      <c r="J197" s="2704"/>
      <c r="K197" s="2706"/>
      <c r="L197" s="2704"/>
      <c r="M197" s="2706"/>
      <c r="N197" s="3278"/>
      <c r="O197" s="3279"/>
      <c r="P197" s="3278"/>
      <c r="Q197" s="3279"/>
      <c r="R197" s="3280"/>
      <c r="S197" s="3281"/>
      <c r="T197" s="3282"/>
      <c r="U197" s="5683"/>
      <c r="V197" s="5683"/>
      <c r="W197" s="5683"/>
      <c r="X197" s="5683"/>
      <c r="Y197" s="5684"/>
      <c r="Z197" s="5685"/>
      <c r="AA197" s="5686"/>
      <c r="AB197" t="str">
        <f>CC197&amp;CD197&amp;CE197&amp;CF197&amp;CG197&amp;CH197&amp;CI197</f>
        <v/>
      </c>
      <c r="CB197" s="181"/>
      <c r="CC197" s="135" t="str">
        <f t="shared" si="77"/>
        <v/>
      </c>
      <c r="CD197" s="135" t="str">
        <f t="shared" si="78"/>
        <v/>
      </c>
      <c r="CE197" s="135" t="str">
        <f t="shared" si="79"/>
        <v/>
      </c>
      <c r="CF197" s="135" t="str">
        <f t="shared" si="80"/>
        <v/>
      </c>
      <c r="CG197" s="135" t="str">
        <f t="shared" si="81"/>
        <v/>
      </c>
      <c r="CH197" s="135" t="str">
        <f t="shared" si="82"/>
        <v/>
      </c>
      <c r="CI197" s="135" t="str">
        <f t="shared" si="83"/>
        <v/>
      </c>
      <c r="CN197" s="181"/>
      <c r="CO197" s="84">
        <f t="shared" ref="CO197:CO202" si="85">IF(AND($E197&gt;0,U197=""),1,IF(U197&gt;$E197,1,0))</f>
        <v>0</v>
      </c>
      <c r="CP197" s="84">
        <f t="shared" ref="CP197:CP201" si="86">IF(AND($C197&gt;0,V197=""),1,IF(V197&gt;$C197,1,0))</f>
        <v>0</v>
      </c>
      <c r="CQ197" s="84">
        <f t="shared" ref="CQ197:CQ201" si="87">IF(AND($C197&gt;0,W197=""),1,IF(W197&gt;$C197,1,0))</f>
        <v>0</v>
      </c>
      <c r="CR197" s="84">
        <f t="shared" ref="CR197:CR201" si="88">IF(AND($C197&gt;0,X197=""),1,IF(X197&gt;$C197,1,0))</f>
        <v>0</v>
      </c>
      <c r="CS197" s="84">
        <f t="shared" ref="CS197:CS201" si="89">IF(AND($C197&gt;0,Y197=""),1,IF(Y197&gt;$C197,1,0))</f>
        <v>0</v>
      </c>
      <c r="CT197" s="84">
        <f t="shared" ref="CT197:CT201" si="90">IF(AND($E197&gt;0,Z197=""),1,IF(Z197&gt;$E197,1,0))</f>
        <v>0</v>
      </c>
      <c r="CU197" s="1901">
        <f t="shared" ref="CU197:CU201" si="91">IF(AND($D197&gt;0,AA197=""),1,IF(AA197&gt;$D197,1,0))</f>
        <v>0</v>
      </c>
    </row>
    <row r="198" spans="1:99" x14ac:dyDescent="0.3">
      <c r="A198" s="5910"/>
      <c r="B198" s="3283" t="s">
        <v>1344</v>
      </c>
      <c r="C198" s="760">
        <f t="shared" ref="C198:C202" si="92">SUM(D198,E198)</f>
        <v>0</v>
      </c>
      <c r="D198" s="2233">
        <f>SUM(F198,H198,J198,L198)</f>
        <v>0</v>
      </c>
      <c r="E198" s="224">
        <f>SUM(G198,I198,K198,M198)</f>
        <v>0</v>
      </c>
      <c r="F198" s="5674"/>
      <c r="G198" s="5675"/>
      <c r="H198" s="5674"/>
      <c r="I198" s="5675"/>
      <c r="J198" s="5674"/>
      <c r="K198" s="5675"/>
      <c r="L198" s="5674"/>
      <c r="M198" s="5675"/>
      <c r="N198" s="3284"/>
      <c r="O198" s="3285"/>
      <c r="P198" s="3284"/>
      <c r="Q198" s="3285"/>
      <c r="R198" s="3286"/>
      <c r="S198" s="3287"/>
      <c r="T198" s="3288"/>
      <c r="U198" s="5687"/>
      <c r="V198" s="5687"/>
      <c r="W198" s="5687"/>
      <c r="X198" s="5687"/>
      <c r="Y198" s="5688"/>
      <c r="Z198" s="5689"/>
      <c r="AA198" s="5690"/>
      <c r="AB198" t="str">
        <f t="shared" ref="AB198:AB201" si="93">CC198&amp;CD198&amp;CE198&amp;CF198&amp;CG198&amp;CH198&amp;CI198</f>
        <v/>
      </c>
      <c r="CB198" s="181"/>
      <c r="CC198" s="135" t="str">
        <f t="shared" si="77"/>
        <v/>
      </c>
      <c r="CD198" s="135" t="str">
        <f t="shared" si="78"/>
        <v/>
      </c>
      <c r="CE198" s="135" t="str">
        <f t="shared" si="79"/>
        <v/>
      </c>
      <c r="CF198" s="135" t="str">
        <f t="shared" si="80"/>
        <v/>
      </c>
      <c r="CG198" s="135" t="str">
        <f t="shared" si="81"/>
        <v/>
      </c>
      <c r="CH198" s="135" t="str">
        <f t="shared" si="82"/>
        <v/>
      </c>
      <c r="CI198" s="135" t="str">
        <f t="shared" si="83"/>
        <v/>
      </c>
      <c r="CN198" s="181"/>
      <c r="CO198" s="84">
        <f t="shared" si="85"/>
        <v>0</v>
      </c>
      <c r="CP198" s="84">
        <f t="shared" si="86"/>
        <v>0</v>
      </c>
      <c r="CQ198" s="84">
        <f t="shared" si="87"/>
        <v>0</v>
      </c>
      <c r="CR198" s="84">
        <f t="shared" si="88"/>
        <v>0</v>
      </c>
      <c r="CS198" s="84">
        <f t="shared" si="89"/>
        <v>0</v>
      </c>
      <c r="CT198" s="84">
        <f t="shared" si="90"/>
        <v>0</v>
      </c>
      <c r="CU198" s="1901">
        <f t="shared" si="91"/>
        <v>0</v>
      </c>
    </row>
    <row r="199" spans="1:99" x14ac:dyDescent="0.3">
      <c r="A199" s="5910"/>
      <c r="B199" s="3283" t="s">
        <v>1345</v>
      </c>
      <c r="C199" s="760">
        <f t="shared" si="92"/>
        <v>0</v>
      </c>
      <c r="D199" s="774">
        <f>SUM(F199,H199,J199,L199,N199,P199,R199)</f>
        <v>0</v>
      </c>
      <c r="E199" s="762">
        <f>SUM(G199,I199,K199,M199,O199,Q199,S199)</f>
        <v>0</v>
      </c>
      <c r="F199" s="5674"/>
      <c r="G199" s="5675"/>
      <c r="H199" s="5674"/>
      <c r="I199" s="5675"/>
      <c r="J199" s="5674"/>
      <c r="K199" s="5675"/>
      <c r="L199" s="5674"/>
      <c r="M199" s="5675"/>
      <c r="N199" s="5674"/>
      <c r="O199" s="5675"/>
      <c r="P199" s="5674"/>
      <c r="Q199" s="5675"/>
      <c r="R199" s="5695"/>
      <c r="S199" s="5696"/>
      <c r="T199" s="3288"/>
      <c r="U199" s="5687"/>
      <c r="V199" s="5687"/>
      <c r="W199" s="5687"/>
      <c r="X199" s="5687"/>
      <c r="Y199" s="5688"/>
      <c r="Z199" s="5689"/>
      <c r="AA199" s="5690"/>
      <c r="AB199" t="str">
        <f t="shared" si="93"/>
        <v/>
      </c>
      <c r="CB199" s="181"/>
      <c r="CC199" s="135" t="str">
        <f t="shared" si="77"/>
        <v/>
      </c>
      <c r="CD199" s="135" t="str">
        <f t="shared" si="78"/>
        <v/>
      </c>
      <c r="CE199" s="135" t="str">
        <f t="shared" si="79"/>
        <v/>
      </c>
      <c r="CF199" s="135" t="str">
        <f t="shared" si="80"/>
        <v/>
      </c>
      <c r="CG199" s="135" t="str">
        <f t="shared" si="81"/>
        <v/>
      </c>
      <c r="CH199" s="135" t="str">
        <f t="shared" si="82"/>
        <v/>
      </c>
      <c r="CI199" s="135" t="str">
        <f t="shared" si="83"/>
        <v/>
      </c>
      <c r="CN199" s="181"/>
      <c r="CO199" s="84">
        <f t="shared" si="85"/>
        <v>0</v>
      </c>
      <c r="CP199" s="84">
        <f t="shared" si="86"/>
        <v>0</v>
      </c>
      <c r="CQ199" s="84">
        <f t="shared" si="87"/>
        <v>0</v>
      </c>
      <c r="CR199" s="84">
        <f t="shared" si="88"/>
        <v>0</v>
      </c>
      <c r="CS199" s="84">
        <f t="shared" si="89"/>
        <v>0</v>
      </c>
      <c r="CT199" s="84">
        <f t="shared" si="90"/>
        <v>0</v>
      </c>
      <c r="CU199" s="1901">
        <f t="shared" si="91"/>
        <v>0</v>
      </c>
    </row>
    <row r="200" spans="1:99" x14ac:dyDescent="0.3">
      <c r="A200" s="5910"/>
      <c r="B200" s="3283" t="s">
        <v>1346</v>
      </c>
      <c r="C200" s="760">
        <f t="shared" si="92"/>
        <v>0</v>
      </c>
      <c r="D200" s="774">
        <f>SUM(F200,H200,J200,L200)</f>
        <v>0</v>
      </c>
      <c r="E200" s="762">
        <f>SUM(G200,I200,K200,M200)</f>
        <v>0</v>
      </c>
      <c r="F200" s="5674"/>
      <c r="G200" s="5675"/>
      <c r="H200" s="5674"/>
      <c r="I200" s="5675"/>
      <c r="J200" s="5674"/>
      <c r="K200" s="5675"/>
      <c r="L200" s="5674"/>
      <c r="M200" s="5675"/>
      <c r="N200" s="3284"/>
      <c r="O200" s="3285"/>
      <c r="P200" s="3284"/>
      <c r="Q200" s="3285"/>
      <c r="R200" s="3286"/>
      <c r="S200" s="3287"/>
      <c r="T200" s="3288"/>
      <c r="U200" s="5687"/>
      <c r="V200" s="5687"/>
      <c r="W200" s="5687"/>
      <c r="X200" s="5687"/>
      <c r="Y200" s="5688"/>
      <c r="Z200" s="5689"/>
      <c r="AA200" s="5690"/>
      <c r="AB200" t="str">
        <f t="shared" si="93"/>
        <v/>
      </c>
      <c r="CB200" s="181"/>
      <c r="CC200" s="135" t="str">
        <f t="shared" si="77"/>
        <v/>
      </c>
      <c r="CD200" s="135" t="str">
        <f t="shared" si="78"/>
        <v/>
      </c>
      <c r="CE200" s="135" t="str">
        <f t="shared" si="79"/>
        <v/>
      </c>
      <c r="CF200" s="135" t="str">
        <f t="shared" si="80"/>
        <v/>
      </c>
      <c r="CG200" s="135" t="str">
        <f t="shared" si="81"/>
        <v/>
      </c>
      <c r="CH200" s="135" t="str">
        <f t="shared" si="82"/>
        <v/>
      </c>
      <c r="CI200" s="135" t="str">
        <f t="shared" si="83"/>
        <v/>
      </c>
      <c r="CN200" s="181"/>
      <c r="CO200" s="84">
        <f t="shared" si="85"/>
        <v>0</v>
      </c>
      <c r="CP200" s="84">
        <f t="shared" si="86"/>
        <v>0</v>
      </c>
      <c r="CQ200" s="84">
        <f t="shared" si="87"/>
        <v>0</v>
      </c>
      <c r="CR200" s="84">
        <f t="shared" si="88"/>
        <v>0</v>
      </c>
      <c r="CS200" s="84">
        <f t="shared" si="89"/>
        <v>0</v>
      </c>
      <c r="CT200" s="84">
        <f t="shared" si="90"/>
        <v>0</v>
      </c>
      <c r="CU200" s="1901">
        <f t="shared" si="91"/>
        <v>0</v>
      </c>
    </row>
    <row r="201" spans="1:99" x14ac:dyDescent="0.3">
      <c r="A201" s="5910"/>
      <c r="B201" s="3283" t="s">
        <v>1347</v>
      </c>
      <c r="C201" s="760">
        <f t="shared" si="92"/>
        <v>0</v>
      </c>
      <c r="D201" s="774">
        <f>SUM(F201,H201,J201,L201,N201,P201,R201)</f>
        <v>0</v>
      </c>
      <c r="E201" s="762">
        <f>SUM(G201,I201,K201,M201,O201,Q201,S201)</f>
        <v>0</v>
      </c>
      <c r="F201" s="5674"/>
      <c r="G201" s="5675"/>
      <c r="H201" s="5674"/>
      <c r="I201" s="5675"/>
      <c r="J201" s="5674"/>
      <c r="K201" s="5675"/>
      <c r="L201" s="5674"/>
      <c r="M201" s="5675"/>
      <c r="N201" s="5674"/>
      <c r="O201" s="5675"/>
      <c r="P201" s="5674"/>
      <c r="Q201" s="5675"/>
      <c r="R201" s="5695"/>
      <c r="S201" s="5696"/>
      <c r="T201" s="3288"/>
      <c r="U201" s="5687"/>
      <c r="V201" s="5687"/>
      <c r="W201" s="5687"/>
      <c r="X201" s="5687"/>
      <c r="Y201" s="5688"/>
      <c r="Z201" s="5689"/>
      <c r="AA201" s="5690"/>
      <c r="AB201" t="str">
        <f t="shared" si="93"/>
        <v/>
      </c>
      <c r="CB201" s="181"/>
      <c r="CC201" s="135" t="str">
        <f t="shared" si="77"/>
        <v/>
      </c>
      <c r="CD201" s="135" t="str">
        <f t="shared" si="78"/>
        <v/>
      </c>
      <c r="CE201" s="135" t="str">
        <f t="shared" si="79"/>
        <v/>
      </c>
      <c r="CF201" s="135" t="str">
        <f t="shared" si="80"/>
        <v/>
      </c>
      <c r="CG201" s="135" t="str">
        <f t="shared" si="81"/>
        <v/>
      </c>
      <c r="CH201" s="135" t="str">
        <f t="shared" si="82"/>
        <v/>
      </c>
      <c r="CI201" s="135" t="str">
        <f t="shared" si="83"/>
        <v/>
      </c>
      <c r="CN201" s="181"/>
      <c r="CO201" s="84">
        <f t="shared" si="85"/>
        <v>0</v>
      </c>
      <c r="CP201" s="84">
        <f t="shared" si="86"/>
        <v>0</v>
      </c>
      <c r="CQ201" s="84">
        <f t="shared" si="87"/>
        <v>0</v>
      </c>
      <c r="CR201" s="84">
        <f t="shared" si="88"/>
        <v>0</v>
      </c>
      <c r="CS201" s="84">
        <f t="shared" si="89"/>
        <v>0</v>
      </c>
      <c r="CT201" s="84">
        <f t="shared" si="90"/>
        <v>0</v>
      </c>
      <c r="CU201" s="1901">
        <f t="shared" si="91"/>
        <v>0</v>
      </c>
    </row>
    <row r="202" spans="1:99" x14ac:dyDescent="0.3">
      <c r="A202" s="6599"/>
      <c r="B202" s="2708" t="s">
        <v>902</v>
      </c>
      <c r="C202" s="724">
        <f t="shared" si="92"/>
        <v>0</v>
      </c>
      <c r="D202" s="725">
        <f>SUM(F202,H202,J202,L202,N202,P202,R202)</f>
        <v>0</v>
      </c>
      <c r="E202" s="765">
        <f>SUM(G202,I202,K202,M202,O202,Q202,S202)</f>
        <v>0</v>
      </c>
      <c r="F202" s="2712"/>
      <c r="G202" s="2716"/>
      <c r="H202" s="2712"/>
      <c r="I202" s="2716"/>
      <c r="J202" s="2712"/>
      <c r="K202" s="2716"/>
      <c r="L202" s="2712"/>
      <c r="M202" s="2716"/>
      <c r="N202" s="2712"/>
      <c r="O202" s="2716"/>
      <c r="P202" s="2712"/>
      <c r="Q202" s="2716"/>
      <c r="R202" s="2715"/>
      <c r="S202" s="5697"/>
      <c r="T202" s="3289"/>
      <c r="U202" s="5691"/>
      <c r="V202" s="5691"/>
      <c r="W202" s="5691"/>
      <c r="X202" s="5691"/>
      <c r="Y202" s="5692"/>
      <c r="Z202" s="5693"/>
      <c r="AA202" s="5694"/>
      <c r="AB202" t="str">
        <f>CC202&amp;CD202&amp;CE202&amp;CF202&amp;CG202&amp;CH202&amp;CI202</f>
        <v/>
      </c>
      <c r="CB202" s="181"/>
      <c r="CC202" s="135" t="str">
        <f t="shared" si="77"/>
        <v/>
      </c>
      <c r="CD202" s="135" t="str">
        <f t="shared" si="78"/>
        <v/>
      </c>
      <c r="CE202" s="135" t="str">
        <f t="shared" si="79"/>
        <v/>
      </c>
      <c r="CF202" s="135" t="str">
        <f t="shared" si="80"/>
        <v/>
      </c>
      <c r="CG202" s="135" t="str">
        <f t="shared" si="81"/>
        <v/>
      </c>
      <c r="CH202" s="135" t="str">
        <f t="shared" si="82"/>
        <v/>
      </c>
      <c r="CI202" s="135" t="str">
        <f t="shared" si="83"/>
        <v/>
      </c>
      <c r="CN202" s="181"/>
      <c r="CO202" s="84">
        <f t="shared" si="85"/>
        <v>0</v>
      </c>
      <c r="CP202" s="84">
        <f>IF(AND($C202&gt;0,V202=""),1,IF(V202&gt;$C202,1,0))</f>
        <v>0</v>
      </c>
      <c r="CQ202" s="84">
        <f>IF(AND($C202&gt;0,W202=""),1,IF(W202&gt;$C202,1,0))</f>
        <v>0</v>
      </c>
      <c r="CR202" s="84">
        <f>IF(AND($C202&gt;0,X202=""),1,IF(X202&gt;$C202,1,0))</f>
        <v>0</v>
      </c>
      <c r="CS202" s="84">
        <f>IF(AND($C202&gt;0,Y202=""),1,IF(Y202&gt;$C202,1,0))</f>
        <v>0</v>
      </c>
      <c r="CT202" s="84">
        <f>IF(AND($E202&gt;0,Z202=""),1,IF(Z202&gt;$E202,1,0))</f>
        <v>0</v>
      </c>
      <c r="CU202" s="1901">
        <f>IF(AND($D202&gt;0,AA202=""),1,IF(AA202&gt;$D202,1,0))</f>
        <v>0</v>
      </c>
    </row>
    <row r="203" spans="1:99" ht="18" customHeight="1" x14ac:dyDescent="0.3">
      <c r="A203" s="6499" t="s">
        <v>1348</v>
      </c>
      <c r="B203" s="6500"/>
      <c r="C203" s="6500"/>
      <c r="D203" s="6500"/>
      <c r="E203" s="6500"/>
    </row>
    <row r="204" spans="1:99" x14ac:dyDescent="0.3">
      <c r="A204" s="6592" t="s">
        <v>1331</v>
      </c>
      <c r="B204" s="6593"/>
      <c r="C204" s="6600" t="s">
        <v>919</v>
      </c>
      <c r="D204" s="6601" t="s">
        <v>662</v>
      </c>
      <c r="E204" s="6189" t="s">
        <v>1349</v>
      </c>
    </row>
    <row r="205" spans="1:99" x14ac:dyDescent="0.3">
      <c r="A205" s="6594"/>
      <c r="B205" s="5876"/>
      <c r="C205" s="6600"/>
      <c r="D205" s="6601"/>
      <c r="E205" s="6189"/>
    </row>
    <row r="206" spans="1:99" x14ac:dyDescent="0.3">
      <c r="A206" s="6585"/>
      <c r="B206" s="6586"/>
      <c r="C206" s="6600"/>
      <c r="D206" s="6601"/>
      <c r="E206" s="6189"/>
    </row>
    <row r="207" spans="1:99" ht="22.5" customHeight="1" x14ac:dyDescent="0.3">
      <c r="A207" s="6602" t="s">
        <v>1350</v>
      </c>
      <c r="B207" s="6602"/>
      <c r="C207" s="3290">
        <f>D207+E207</f>
        <v>0</v>
      </c>
      <c r="D207" s="5698"/>
      <c r="E207" s="5699"/>
    </row>
    <row r="208" spans="1:99" ht="15" customHeight="1" x14ac:dyDescent="0.3">
      <c r="A208" s="6584" t="s">
        <v>1351</v>
      </c>
      <c r="B208" s="6584"/>
      <c r="C208" s="3292">
        <f>D208+E208</f>
        <v>0</v>
      </c>
      <c r="D208" s="5552"/>
      <c r="E208" s="5700"/>
    </row>
    <row r="209" spans="1:95" x14ac:dyDescent="0.3">
      <c r="A209" s="6499" t="s">
        <v>4328</v>
      </c>
      <c r="B209" s="6500"/>
      <c r="C209" s="6500"/>
      <c r="D209" s="6500"/>
      <c r="E209" s="6500"/>
      <c r="F209" s="283"/>
      <c r="G209" s="283"/>
      <c r="H209" s="283"/>
      <c r="I209" s="3293"/>
      <c r="J209" s="3293"/>
      <c r="K209" s="3293"/>
      <c r="L209" s="3293"/>
      <c r="M209" s="3293"/>
    </row>
    <row r="210" spans="1:95" ht="30" customHeight="1" x14ac:dyDescent="0.3">
      <c r="A210" s="6190" t="s">
        <v>219</v>
      </c>
      <c r="B210" s="6190" t="s">
        <v>77</v>
      </c>
      <c r="C210" s="6436" t="s">
        <v>101</v>
      </c>
      <c r="D210" s="6247"/>
      <c r="E210" s="6247"/>
      <c r="F210" s="6247"/>
      <c r="G210" s="6247"/>
      <c r="H210" s="6247"/>
      <c r="I210" s="6247"/>
      <c r="J210" s="6187"/>
      <c r="K210" s="6492" t="s">
        <v>999</v>
      </c>
      <c r="L210" s="6493"/>
      <c r="M210" s="6494"/>
    </row>
    <row r="211" spans="1:95" x14ac:dyDescent="0.3">
      <c r="A211" s="5851"/>
      <c r="B211" s="5851"/>
      <c r="C211" s="6498" t="s">
        <v>4327</v>
      </c>
      <c r="D211" s="6189"/>
      <c r="E211" s="6437" t="s">
        <v>45</v>
      </c>
      <c r="F211" s="6180"/>
      <c r="G211" s="6437" t="s">
        <v>46</v>
      </c>
      <c r="H211" s="6180"/>
      <c r="I211" s="6437" t="s">
        <v>1352</v>
      </c>
      <c r="J211" s="6179"/>
      <c r="K211" s="6495"/>
      <c r="L211" s="6496"/>
      <c r="M211" s="6497"/>
    </row>
    <row r="212" spans="1:95" x14ac:dyDescent="0.3">
      <c r="A212" s="6471"/>
      <c r="B212" s="6471"/>
      <c r="C212" s="767" t="s">
        <v>1353</v>
      </c>
      <c r="D212" s="2979" t="s">
        <v>523</v>
      </c>
      <c r="E212" s="3294" t="s">
        <v>1353</v>
      </c>
      <c r="F212" s="2980" t="s">
        <v>523</v>
      </c>
      <c r="G212" s="3294" t="s">
        <v>1353</v>
      </c>
      <c r="H212" s="2979" t="s">
        <v>523</v>
      </c>
      <c r="I212" s="3294" t="s">
        <v>1353</v>
      </c>
      <c r="J212" s="3295" t="s">
        <v>523</v>
      </c>
      <c r="K212" s="3296" t="s">
        <v>1278</v>
      </c>
      <c r="L212" s="3297" t="s">
        <v>1354</v>
      </c>
      <c r="M212" s="3298" t="s">
        <v>1355</v>
      </c>
    </row>
    <row r="213" spans="1:95" x14ac:dyDescent="0.3">
      <c r="A213" s="3079" t="s">
        <v>1356</v>
      </c>
      <c r="B213" s="3079">
        <f>SUM(C213:J213)</f>
        <v>0</v>
      </c>
      <c r="C213" s="770"/>
      <c r="D213" s="576"/>
      <c r="E213" s="770"/>
      <c r="F213" s="559"/>
      <c r="G213" s="770"/>
      <c r="H213" s="576"/>
      <c r="I213" s="770"/>
      <c r="J213" s="3299"/>
      <c r="K213" s="3300"/>
      <c r="L213" s="773"/>
      <c r="M213" s="576"/>
      <c r="N213" t="str">
        <f>CB213&amp;CC213&amp;CD213&amp;CE213</f>
        <v/>
      </c>
      <c r="CB213" s="135" t="str">
        <f>IF(AND(B213&gt;0,OR(K213=""))," * No olvide digitar la variable IDENTIDAD DE GÉNERO/Trans Masculino. Digite Cero si no tiene.","")</f>
        <v/>
      </c>
      <c r="CC213" s="135" t="str">
        <f>IF(AND($B213&gt;0,OR(L213=""))," * No olvide digitar la variable IDENTIDAD DE GÉNERO/Trans Femenino. Digite Cero si no tiene.","")</f>
        <v/>
      </c>
      <c r="CD213" s="135" t="str">
        <f>IF(AND(B213&gt;0,OR(M213=""))," * No olvide digitar la variable IDENTIDAD DE GÉNERO/Binarie. Digite Cero si no tiene.","")</f>
        <v/>
      </c>
      <c r="CE213" s="135" t="str">
        <f>IF((K213+L213+M213)&gt;B213," * La variable IDENTIDAD DE GÉNERO No puede ser mayor al Total .","")</f>
        <v/>
      </c>
      <c r="CN213" s="182">
        <f>IF(AND($B213&gt;0,(K213="")),1,0)</f>
        <v>0</v>
      </c>
      <c r="CO213" s="182">
        <f t="shared" ref="CO213" si="94">IF(AND($B213&gt;0,(L213="")),1,0)</f>
        <v>0</v>
      </c>
      <c r="CP213" s="182">
        <f>IF(AND($B213&gt;0,(M213="")),1,0)</f>
        <v>0</v>
      </c>
      <c r="CQ213" s="182">
        <f>IF((K213+L213+M213)&gt;B213,1,0)</f>
        <v>0</v>
      </c>
    </row>
    <row r="214" spans="1:95" x14ac:dyDescent="0.3">
      <c r="A214" s="2960" t="s">
        <v>1357</v>
      </c>
      <c r="B214" s="2960">
        <f>SUM(C214:J214)</f>
        <v>0</v>
      </c>
      <c r="C214" s="346"/>
      <c r="D214" s="347"/>
      <c r="E214" s="346"/>
      <c r="F214" s="561"/>
      <c r="G214" s="346"/>
      <c r="H214" s="347"/>
      <c r="I214" s="346"/>
      <c r="J214" s="481"/>
      <c r="K214" s="430"/>
      <c r="L214" s="369"/>
      <c r="M214" s="347"/>
      <c r="N214" t="str">
        <f>CB214&amp;CC214&amp;CD214&amp;CE214</f>
        <v/>
      </c>
      <c r="CB214" s="135" t="str">
        <f>IF(AND(B214&gt;0,OR(K214=""))," * No olvide digitar la variable IDENTIDAD DE GÉNERO/Trans Masculino. Digite Cero si no tiene.","")</f>
        <v/>
      </c>
      <c r="CC214" s="135" t="str">
        <f>IF(AND($B214&gt;0,OR(L214=""))," * No olvide digitar la variable IDENTIDAD DE GÉNERO/Trans Femenino. Digite Cero si no tiene.","")</f>
        <v/>
      </c>
      <c r="CD214" s="135" t="str">
        <f>IF(AND(B214&gt;0,OR(M214=""))," * No olvide digitar la variable IDENTIDAD DE GÉNERO/Binarie. Digite Cero si no tiene.","")</f>
        <v/>
      </c>
      <c r="CE214" s="135" t="str">
        <f>IF((K214+L214+M214)&gt;B214," * La variable IDENTIDAD DE GÉNERO No puede ser mayor al Total .","")</f>
        <v/>
      </c>
      <c r="CN214" s="182">
        <f t="shared" ref="CN214:CN215" si="95">IF(AND($B214&gt;0,(K214="")),1,0)</f>
        <v>0</v>
      </c>
      <c r="CO214" s="182">
        <f t="shared" ref="CO214:CO215" si="96">IF(AND($B214&gt;0,(L214="")),1,0)</f>
        <v>0</v>
      </c>
      <c r="CP214" s="182">
        <f t="shared" ref="CP214:CP215" si="97">IF(AND($B214&gt;0,(M214="")),1,0)</f>
        <v>0</v>
      </c>
      <c r="CQ214" s="182">
        <f t="shared" ref="CQ214:CQ215" si="98">IF((K214+L214+M214)&gt;B214,1,0)</f>
        <v>0</v>
      </c>
    </row>
    <row r="215" spans="1:95" x14ac:dyDescent="0.3">
      <c r="A215" s="1395" t="s">
        <v>1358</v>
      </c>
      <c r="B215" s="1395">
        <f>SUM(C215:J215)</f>
        <v>0</v>
      </c>
      <c r="C215" s="1289"/>
      <c r="D215" s="3301"/>
      <c r="E215" s="1289"/>
      <c r="F215" s="3302"/>
      <c r="G215" s="1289"/>
      <c r="H215" s="3301"/>
      <c r="I215" s="1289"/>
      <c r="J215" s="1475"/>
      <c r="K215" s="266"/>
      <c r="L215" s="262"/>
      <c r="M215" s="3301"/>
      <c r="N215" t="str">
        <f>CB215&amp;CC215&amp;CD215&amp;CE215</f>
        <v/>
      </c>
      <c r="CB215" s="135" t="str">
        <f>IF(AND(B215&gt;0,OR(K215=""))," * No olvide digitar la variable IDENTIDAD DE GÉNERO/Trans Masculino. Digite Cero si no tiene.","")</f>
        <v/>
      </c>
      <c r="CC215" s="135" t="str">
        <f>IF(AND($B215&gt;0,OR(L215=""))," * No olvide digitar la variable IDENTIDAD DE GÉNERO/Trans Femenino. Digite Cero si no tiene.","")</f>
        <v/>
      </c>
      <c r="CD215" s="135" t="str">
        <f>IF(AND(B215&gt;0,OR(M215=""))," * No olvide digitar la variable IDENTIDAD DE GÉNERO/Binarie. Digite Cero si no tiene.","")</f>
        <v/>
      </c>
      <c r="CE215" s="135" t="str">
        <f>IF((K215+L215+M215)&gt;B215," * La variable IDENTIDAD DE GÉNERO No puede ser mayor al Total .","")</f>
        <v/>
      </c>
      <c r="CN215" s="182">
        <f t="shared" si="95"/>
        <v>0</v>
      </c>
      <c r="CO215" s="182">
        <f t="shared" si="96"/>
        <v>0</v>
      </c>
      <c r="CP215" s="182">
        <f t="shared" si="97"/>
        <v>0</v>
      </c>
      <c r="CQ215" s="182">
        <f t="shared" si="98"/>
        <v>0</v>
      </c>
    </row>
    <row r="216" spans="1:95" x14ac:dyDescent="0.3">
      <c r="A216" s="3303"/>
    </row>
    <row r="239" spans="1:2" ht="24" hidden="1" customHeight="1" x14ac:dyDescent="0.3">
      <c r="A239" s="3114">
        <f>SUM(B12:B66,X12:X66,AB12:AB66,AF12:AG66,B71:B125,F71:F125,J71:J125,N71:N125,Q71:AI125,B129:B145,C151:C161,C167:C177,C182:C191,C196:C202,C207:C208,B213:B215)</f>
        <v>0</v>
      </c>
      <c r="B239" s="3115">
        <f>SUM(CM12:CU215)</f>
        <v>0</v>
      </c>
    </row>
  </sheetData>
  <sheetProtection algorithmName="SHA-512" hashValue="Out/f4KGw+ikaqPUrEXZQbPUeV/spcNnJpJnAmeqU6BxY6IpGmhMoKNvWGVzVzYKc9hHA2BdjTzqIN+YGNWEqw==" saltValue="SpaL1hJiht1IkpMvx1DGFw==" spinCount="100000" sheet="1" objects="1" scenarios="1"/>
  <mergeCells count="168">
    <mergeCell ref="A188:A189"/>
    <mergeCell ref="A190:A191"/>
    <mergeCell ref="AM180:AM181"/>
    <mergeCell ref="AO180:AO181"/>
    <mergeCell ref="AP180:AP181"/>
    <mergeCell ref="A182:A183"/>
    <mergeCell ref="A184:A185"/>
    <mergeCell ref="A186:A187"/>
    <mergeCell ref="AD180:AE180"/>
    <mergeCell ref="AF180:AG180"/>
    <mergeCell ref="AH180:AI180"/>
    <mergeCell ref="AJ180:AJ181"/>
    <mergeCell ref="AK180:AK181"/>
    <mergeCell ref="AL180:AL181"/>
    <mergeCell ref="A208:B208"/>
    <mergeCell ref="A192:Q192"/>
    <mergeCell ref="A203:E203"/>
    <mergeCell ref="F194:G194"/>
    <mergeCell ref="H194:I194"/>
    <mergeCell ref="J194:K194"/>
    <mergeCell ref="L194:M194"/>
    <mergeCell ref="P194:Q194"/>
    <mergeCell ref="R194:S194"/>
    <mergeCell ref="A193:B195"/>
    <mergeCell ref="C193:C195"/>
    <mergeCell ref="D193:D195"/>
    <mergeCell ref="E193:E195"/>
    <mergeCell ref="N194:O194"/>
    <mergeCell ref="A196:B196"/>
    <mergeCell ref="A197:A202"/>
    <mergeCell ref="A204:B206"/>
    <mergeCell ref="C204:C206"/>
    <mergeCell ref="D204:D206"/>
    <mergeCell ref="E204:E206"/>
    <mergeCell ref="A207:B207"/>
    <mergeCell ref="A176:A177"/>
    <mergeCell ref="A179:B181"/>
    <mergeCell ref="C179:E180"/>
    <mergeCell ref="V180:W180"/>
    <mergeCell ref="X180:Y180"/>
    <mergeCell ref="Z180:AA180"/>
    <mergeCell ref="AB180:AC180"/>
    <mergeCell ref="A178:AG178"/>
    <mergeCell ref="F180:G180"/>
    <mergeCell ref="J180:K180"/>
    <mergeCell ref="L180:M180"/>
    <mergeCell ref="N180:O180"/>
    <mergeCell ref="P180:Q180"/>
    <mergeCell ref="R180:S180"/>
    <mergeCell ref="T180:U180"/>
    <mergeCell ref="A167:A168"/>
    <mergeCell ref="A169:A171"/>
    <mergeCell ref="A172:A173"/>
    <mergeCell ref="A174:A175"/>
    <mergeCell ref="Z165:AA165"/>
    <mergeCell ref="AB165:AC165"/>
    <mergeCell ref="AD165:AE165"/>
    <mergeCell ref="AF165:AG165"/>
    <mergeCell ref="AH165:AI165"/>
    <mergeCell ref="A162:B162"/>
    <mergeCell ref="A164:A166"/>
    <mergeCell ref="B164:B166"/>
    <mergeCell ref="C164:E165"/>
    <mergeCell ref="R165:S165"/>
    <mergeCell ref="T165:U165"/>
    <mergeCell ref="V165:W165"/>
    <mergeCell ref="X165:Y165"/>
    <mergeCell ref="AS164:AS166"/>
    <mergeCell ref="F165:G165"/>
    <mergeCell ref="H165:I165"/>
    <mergeCell ref="J165:K165"/>
    <mergeCell ref="L165:M165"/>
    <mergeCell ref="P165:Q165"/>
    <mergeCell ref="AL165:AM165"/>
    <mergeCell ref="AN165:AO165"/>
    <mergeCell ref="AJ165:AK165"/>
    <mergeCell ref="AP164:AP166"/>
    <mergeCell ref="A156:B156"/>
    <mergeCell ref="A157:B157"/>
    <mergeCell ref="A158:B158"/>
    <mergeCell ref="A159:B159"/>
    <mergeCell ref="A160:B160"/>
    <mergeCell ref="A161:B161"/>
    <mergeCell ref="AH149:AI149"/>
    <mergeCell ref="AJ149:AK149"/>
    <mergeCell ref="AL149:AM149"/>
    <mergeCell ref="AF9:AG10"/>
    <mergeCell ref="AN149:AO149"/>
    <mergeCell ref="A151:B151"/>
    <mergeCell ref="A152:A155"/>
    <mergeCell ref="F149:G149"/>
    <mergeCell ref="H149:I149"/>
    <mergeCell ref="J149:K149"/>
    <mergeCell ref="L149:M149"/>
    <mergeCell ref="P149:Q149"/>
    <mergeCell ref="R149:S149"/>
    <mergeCell ref="T149:U149"/>
    <mergeCell ref="V149:W149"/>
    <mergeCell ref="X149:Y149"/>
    <mergeCell ref="A148:B150"/>
    <mergeCell ref="C148:E149"/>
    <mergeCell ref="Z149:AA149"/>
    <mergeCell ref="AB149:AC149"/>
    <mergeCell ref="AD149:AE149"/>
    <mergeCell ref="AF149:AG149"/>
    <mergeCell ref="X69:Y69"/>
    <mergeCell ref="Z69:AA69"/>
    <mergeCell ref="AB69:AC69"/>
    <mergeCell ref="AD69:AD70"/>
    <mergeCell ref="AE69:AF69"/>
    <mergeCell ref="AG69:AI69"/>
    <mergeCell ref="A69:A70"/>
    <mergeCell ref="B69:E69"/>
    <mergeCell ref="F69:I69"/>
    <mergeCell ref="J69:M69"/>
    <mergeCell ref="N69:P69"/>
    <mergeCell ref="Q69:R69"/>
    <mergeCell ref="S69:T69"/>
    <mergeCell ref="U69:V69"/>
    <mergeCell ref="W69:W70"/>
    <mergeCell ref="A6:AD6"/>
    <mergeCell ref="A9:A11"/>
    <mergeCell ref="B10:B11"/>
    <mergeCell ref="X10:AA10"/>
    <mergeCell ref="AB10:AE10"/>
    <mergeCell ref="U10:U11"/>
    <mergeCell ref="V10:W10"/>
    <mergeCell ref="C10:T10"/>
    <mergeCell ref="B9:W9"/>
    <mergeCell ref="X9:AE9"/>
    <mergeCell ref="AV164:AV166"/>
    <mergeCell ref="F164:AO164"/>
    <mergeCell ref="AV148:AW149"/>
    <mergeCell ref="F148:AO148"/>
    <mergeCell ref="AS148:AS150"/>
    <mergeCell ref="AR148:AR150"/>
    <mergeCell ref="AR179:AR181"/>
    <mergeCell ref="AN179:AN181"/>
    <mergeCell ref="AJ179:AM179"/>
    <mergeCell ref="F179:AI179"/>
    <mergeCell ref="AQ148:AQ150"/>
    <mergeCell ref="AP148:AP150"/>
    <mergeCell ref="N149:O149"/>
    <mergeCell ref="N165:O165"/>
    <mergeCell ref="H180:I180"/>
    <mergeCell ref="AQ164:AR165"/>
    <mergeCell ref="AT164:AT166"/>
    <mergeCell ref="AT148:AU149"/>
    <mergeCell ref="AO179:AP179"/>
    <mergeCell ref="AQ179:AQ181"/>
    <mergeCell ref="T193:T195"/>
    <mergeCell ref="U193:U195"/>
    <mergeCell ref="V193:V195"/>
    <mergeCell ref="W193:W195"/>
    <mergeCell ref="X193:X195"/>
    <mergeCell ref="Y193:Y195"/>
    <mergeCell ref="Z193:AA194"/>
    <mergeCell ref="F193:S193"/>
    <mergeCell ref="AU164:AU166"/>
    <mergeCell ref="A210:A212"/>
    <mergeCell ref="B210:B212"/>
    <mergeCell ref="C210:J210"/>
    <mergeCell ref="K210:M211"/>
    <mergeCell ref="C211:D211"/>
    <mergeCell ref="E211:F211"/>
    <mergeCell ref="G211:H211"/>
    <mergeCell ref="I211:J211"/>
    <mergeCell ref="A209:E209"/>
  </mergeCells>
  <dataValidations count="8">
    <dataValidation type="whole" operator="greaterThanOrEqual" allowBlank="1" showInputMessage="1" showErrorMessage="1" sqref="U197:AA202 N199:S199 D207:E208 C213:M215 N196:AA196 F196:M202 G71:I125 C71:E125 K71:M125 O71:AI125 D14 N201:S202" xr:uid="{00000000-0002-0000-0700-000000000000}">
      <formula1>0</formula1>
    </dataValidation>
    <dataValidation type="whole" operator="greaterThanOrEqual" allowBlank="1" showInputMessage="1" showErrorMessage="1" errorTitle="Error" error="Favor Ingrese sólo Números." sqref="F167:AV177 AT162:AW162 X12:AB66" xr:uid="{00000000-0002-0000-0700-000001000000}">
      <formula1>0</formula1>
    </dataValidation>
    <dataValidation type="whole" operator="equal" allowBlank="1" showInputMessage="1" showErrorMessage="1" sqref="D152:D153 F152:J153 E14:T14 C35:O35 C145:E145 F155:O155 AF155:AO155 L152:L153 N152:N153 P152:P153 R152:R153 T152:T153 V152:V153 X152:X153 Z152:Z153 AB152:AB153 AD152:AD153 AF152:AF153 AH152:AH153 AJ152:AJ153 AL152:AL153 AN152:AN153 N197:T198 T199 T200:T202 N200:S200" xr:uid="{E05C3161-DFC2-48D4-AB0B-79458C40873F}">
      <formula1>0</formula1>
    </dataValidation>
    <dataValidation type="whole" allowBlank="1" showInputMessage="1" showErrorMessage="1" sqref="F182:AR191" xr:uid="{B14023FB-C3BB-4A38-A778-F739227DE47F}">
      <formula1>0</formula1>
      <formula2>9.99999999999999E+36</formula2>
    </dataValidation>
    <dataValidation type="whole" allowBlank="1" showInputMessage="1" showErrorMessage="1" sqref="F151:J151 F154:J154 N154 F156:O161 K151:K154 L154 L151 M151:M154 O151:O154 N151 P154:P161 P151 Q151:Q161 R154:R161 R151 S151:S161 T154:T161 T151 U151:U161 V154:V161 V151 W151:W161 X154:X161 X151 Y151:Y161 Z154:Z161 Z151 AA151:AA161 AB154:AB161 AB151 AC151:AC161 AD154:AD161 AD151 AE151:AE161 AF151 AH151 AJ151 AL151 AN151 AN154 AP151:AW161 AO151:AO154 AM151:AM154 AL154 AK151:AK154 AJ154 AI151:AI154 AH154 AG151:AG154 AF154 AF156:AO161" xr:uid="{CC9D8DA4-B4A5-4CB6-8454-7159378FBB0E}">
      <formula1>0</formula1>
      <formula2>9.99999999999999E+40</formula2>
    </dataValidation>
    <dataValidation type="whole" allowBlank="1" showInputMessage="1" showErrorMessage="1" sqref="F129:V145 C129:E144" xr:uid="{A2E63C0D-5D0E-4C25-9F4B-6E54C88B5739}">
      <formula1>0</formula1>
      <formula2>9.99999999999999E+41</formula2>
    </dataValidation>
    <dataValidation type="whole" allowBlank="1" showInputMessage="1" showErrorMessage="1" sqref="D12:T13 C36:O66 U12:W66 P15:T66 C12:C34 D15:O34" xr:uid="{188C444A-FF9F-4BD8-8604-77A0675A312B}">
      <formula1>0</formula1>
      <formula2>9.99999999999999E+38</formula2>
    </dataValidation>
    <dataValidation type="whole" allowBlank="1" showInputMessage="1" showErrorMessage="1" sqref="AC12:AG66" xr:uid="{BEA0FCBF-4D90-47E7-B98F-C84DFFA2C23B}">
      <formula1>0</formula1>
      <formula2>9.99999999999999E+37</formula2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CT248"/>
  <sheetViews>
    <sheetView showGridLines="0" zoomScaleNormal="100" workbookViewId="0"/>
  </sheetViews>
  <sheetFormatPr baseColWidth="10" defaultColWidth="11.44140625" defaultRowHeight="13.8" x14ac:dyDescent="0.25"/>
  <cols>
    <col min="1" max="1" width="44.6640625" style="9" customWidth="1"/>
    <col min="2" max="2" width="32.5546875" style="9" customWidth="1"/>
    <col min="3" max="3" width="14.109375" style="9" customWidth="1"/>
    <col min="4" max="4" width="12.44140625" style="9" customWidth="1"/>
    <col min="5" max="5" width="13.109375" style="9" customWidth="1"/>
    <col min="6" max="6" width="11.44140625" style="9"/>
    <col min="7" max="7" width="11.88671875" style="9" customWidth="1"/>
    <col min="8" max="9" width="14.44140625" style="9" customWidth="1"/>
    <col min="10" max="10" width="12.5546875" style="9" customWidth="1"/>
    <col min="11" max="13" width="11.44140625" style="9"/>
    <col min="14" max="14" width="12.44140625" style="9" customWidth="1"/>
    <col min="15" max="15" width="12" style="9" customWidth="1"/>
    <col min="16" max="16" width="11.44140625" style="9"/>
    <col min="17" max="17" width="11.44140625" style="9" customWidth="1"/>
    <col min="18" max="22" width="11.44140625" style="9"/>
    <col min="23" max="25" width="13.5546875" style="9" customWidth="1"/>
    <col min="26" max="26" width="15.109375" style="9" customWidth="1"/>
    <col min="27" max="27" width="12.88671875" style="9" customWidth="1"/>
    <col min="28" max="28" width="13.109375" style="9" customWidth="1"/>
    <col min="29" max="30" width="11.44140625" style="9"/>
    <col min="31" max="31" width="13.33203125" style="9" customWidth="1"/>
    <col min="32" max="33" width="15.109375" style="9" customWidth="1"/>
    <col min="34" max="37" width="11.44140625" style="9"/>
    <col min="38" max="38" width="12.5546875" style="9" customWidth="1"/>
    <col min="39" max="40" width="13" style="9" customWidth="1"/>
    <col min="41" max="41" width="13.109375" style="9" customWidth="1"/>
    <col min="42" max="42" width="13.33203125" style="9" customWidth="1"/>
    <col min="43" max="43" width="14.44140625" style="9" customWidth="1"/>
    <col min="44" max="44" width="15.33203125" style="9" customWidth="1"/>
    <col min="45" max="72" width="11.44140625" style="9"/>
    <col min="73" max="73" width="15.44140625" style="9" customWidth="1"/>
    <col min="74" max="74" width="15.44140625" style="1873" customWidth="1"/>
    <col min="75" max="75" width="15.6640625" style="1873" customWidth="1"/>
    <col min="76" max="77" width="15.6640625" style="283" customWidth="1"/>
    <col min="78" max="78" width="11" style="9" hidden="1" customWidth="1"/>
    <col min="79" max="95" width="11.44140625" style="8" hidden="1" customWidth="1"/>
    <col min="96" max="98" width="11.44140625" style="9" hidden="1" customWidth="1"/>
    <col min="99" max="16384" width="11.44140625" style="9"/>
  </cols>
  <sheetData>
    <row r="1" spans="1:97" ht="16.350000000000001" customHeight="1" x14ac:dyDescent="0.25">
      <c r="A1" s="50" t="s">
        <v>23</v>
      </c>
    </row>
    <row r="2" spans="1:97" ht="16.350000000000001" customHeight="1" x14ac:dyDescent="0.25">
      <c r="A2" s="50" t="str">
        <f>CONCATENATE("COMUNA: ",NOMBRE!B2, " (",NOMBRE!C2,NOMBRE!D2,NOMBRE!E2,NOMBRE!F2,NOMBRE!G2,")")</f>
        <v>COMUNA:  ()</v>
      </c>
    </row>
    <row r="3" spans="1:97" ht="16.350000000000001" customHeight="1" x14ac:dyDescent="0.25">
      <c r="A3" s="50" t="str">
        <f>CONCATENATE("ESTABLECIMIENTO/ESTRATEGIA: ", NOMBRE!B3, " (",NOMBRE!C3,NOMBRE!D3,NOMBRE!E3,NOMBRE!F3,NOMBRE!G3,NOMBRE!H3,")")</f>
        <v>ESTABLECIMIENTO/ESTRATEGIA:  ()</v>
      </c>
    </row>
    <row r="4" spans="1:97" ht="16.350000000000001" customHeight="1" x14ac:dyDescent="0.25">
      <c r="A4" s="50" t="str">
        <f>CONCATENATE("MES: ",NOMBRE!B6, " (",NOMBRE!C6,NOMBRE!D6,")")</f>
        <v>MES:  ()</v>
      </c>
    </row>
    <row r="5" spans="1:97" ht="16.350000000000001" customHeight="1" x14ac:dyDescent="0.25">
      <c r="A5" s="3304" t="str">
        <f>CONCATENATE("AÑO: ",NOMBRE!B7)</f>
        <v>AÑO: 2025</v>
      </c>
      <c r="AP5" s="3305"/>
    </row>
    <row r="6" spans="1:97" ht="16.2" x14ac:dyDescent="0.25">
      <c r="A6" s="6539" t="s">
        <v>1359</v>
      </c>
      <c r="B6" s="6539"/>
      <c r="C6" s="6539"/>
      <c r="D6" s="6539"/>
      <c r="E6" s="6539"/>
      <c r="F6" s="6539"/>
      <c r="G6" s="6539"/>
      <c r="H6" s="6539"/>
      <c r="I6" s="6539"/>
      <c r="J6" s="6539"/>
      <c r="K6" s="6539"/>
      <c r="L6" s="6539"/>
      <c r="M6" s="6539"/>
      <c r="N6" s="6539"/>
      <c r="O6" s="6539"/>
      <c r="P6" s="1806"/>
      <c r="Q6" s="1806"/>
      <c r="R6" s="1806"/>
      <c r="S6" s="1806"/>
      <c r="T6" s="3306"/>
      <c r="U6" s="3306"/>
      <c r="V6" s="3306"/>
      <c r="W6" s="3306"/>
      <c r="X6" s="3306"/>
      <c r="Y6" s="3306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97" s="8" customFormat="1" ht="32.1" customHeight="1" x14ac:dyDescent="0.2">
      <c r="A7" s="1" t="s">
        <v>1360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BV7" s="5"/>
      <c r="BW7" s="5"/>
      <c r="BX7" s="5"/>
      <c r="BY7" s="5"/>
    </row>
    <row r="8" spans="1:97" s="8" customFormat="1" ht="18" customHeight="1" x14ac:dyDescent="0.2">
      <c r="A8" s="928" t="s">
        <v>1361</v>
      </c>
      <c r="B8" s="928"/>
      <c r="C8" s="928"/>
      <c r="D8" s="928"/>
      <c r="E8" s="928"/>
      <c r="F8" s="928"/>
      <c r="G8" s="928"/>
      <c r="H8" s="928"/>
      <c r="I8" s="928"/>
      <c r="J8" s="928"/>
      <c r="K8" s="928"/>
      <c r="L8" s="928"/>
      <c r="M8" s="928"/>
      <c r="N8" s="1"/>
      <c r="O8" s="1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V8" s="5"/>
      <c r="BW8" s="5"/>
      <c r="BX8" s="5"/>
      <c r="BY8" s="5"/>
    </row>
    <row r="9" spans="1:97" ht="32.1" customHeight="1" x14ac:dyDescent="0.25">
      <c r="A9" s="6176" t="s">
        <v>1362</v>
      </c>
      <c r="B9" s="5944" t="s">
        <v>1363</v>
      </c>
      <c r="C9" s="6242"/>
      <c r="D9" s="6243"/>
      <c r="E9" s="6474" t="s">
        <v>1364</v>
      </c>
      <c r="F9" s="6474"/>
      <c r="G9" s="6474"/>
      <c r="H9" s="6474"/>
      <c r="I9" s="6474"/>
      <c r="J9" s="6474"/>
      <c r="K9" s="6474"/>
      <c r="L9" s="6474"/>
      <c r="M9" s="6474"/>
      <c r="N9" s="6474"/>
      <c r="O9" s="6474"/>
      <c r="P9" s="6474"/>
      <c r="Q9" s="6474"/>
      <c r="R9" s="6474"/>
      <c r="S9" s="6474"/>
      <c r="T9" s="6474"/>
      <c r="U9" s="6474"/>
      <c r="V9" s="6474"/>
      <c r="W9" s="6474"/>
      <c r="X9" s="6474"/>
      <c r="Y9" s="6474"/>
      <c r="Z9" s="6474"/>
      <c r="AA9" s="6474"/>
      <c r="AB9" s="6474"/>
      <c r="AC9" s="6474"/>
      <c r="AD9" s="6474"/>
      <c r="AE9" s="6474"/>
      <c r="AF9" s="6474"/>
      <c r="AG9" s="6474"/>
      <c r="AH9" s="6474"/>
      <c r="AI9" s="6474"/>
      <c r="AJ9" s="6474"/>
      <c r="AK9" s="6474"/>
      <c r="AL9" s="6476"/>
      <c r="AM9" s="6243" t="s">
        <v>597</v>
      </c>
      <c r="AN9" s="6436" t="s">
        <v>1365</v>
      </c>
      <c r="AO9" s="6247"/>
      <c r="AP9" s="6247"/>
      <c r="AQ9" s="6183"/>
      <c r="AR9" s="6186" t="s">
        <v>1366</v>
      </c>
      <c r="AS9" s="6243" t="s">
        <v>1367</v>
      </c>
      <c r="AT9" s="1873"/>
      <c r="AU9" s="1873"/>
      <c r="AV9" s="1873"/>
      <c r="AW9" s="1873"/>
      <c r="AX9" s="1873"/>
      <c r="AY9" s="1873"/>
      <c r="AZ9" s="1873"/>
      <c r="BA9" s="1873"/>
      <c r="BB9" s="1873"/>
      <c r="BC9" s="1873"/>
      <c r="BD9" s="1873"/>
      <c r="BE9" s="1873"/>
      <c r="BF9" s="1873"/>
      <c r="BG9" s="1873"/>
    </row>
    <row r="10" spans="1:97" ht="16.350000000000001" customHeight="1" x14ac:dyDescent="0.25">
      <c r="A10" s="6082"/>
      <c r="B10" s="6466"/>
      <c r="C10" s="6467"/>
      <c r="D10" s="6468"/>
      <c r="E10" s="6474" t="s">
        <v>343</v>
      </c>
      <c r="F10" s="6474"/>
      <c r="G10" s="6474" t="s">
        <v>326</v>
      </c>
      <c r="H10" s="6474"/>
      <c r="I10" s="6474" t="s">
        <v>94</v>
      </c>
      <c r="J10" s="6474"/>
      <c r="K10" s="6474" t="s">
        <v>44</v>
      </c>
      <c r="L10" s="6474"/>
      <c r="M10" s="6474" t="s">
        <v>45</v>
      </c>
      <c r="N10" s="6474"/>
      <c r="O10" s="6623" t="s">
        <v>46</v>
      </c>
      <c r="P10" s="6623"/>
      <c r="Q10" s="6623" t="s">
        <v>47</v>
      </c>
      <c r="R10" s="6623"/>
      <c r="S10" s="6623" t="s">
        <v>48</v>
      </c>
      <c r="T10" s="6623"/>
      <c r="U10" s="6623" t="s">
        <v>49</v>
      </c>
      <c r="V10" s="6623"/>
      <c r="W10" s="6623" t="s">
        <v>50</v>
      </c>
      <c r="X10" s="6623"/>
      <c r="Y10" s="6623" t="s">
        <v>51</v>
      </c>
      <c r="Z10" s="6623"/>
      <c r="AA10" s="6623" t="s">
        <v>52</v>
      </c>
      <c r="AB10" s="6623"/>
      <c r="AC10" s="6623" t="s">
        <v>53</v>
      </c>
      <c r="AD10" s="6623"/>
      <c r="AE10" s="6623" t="s">
        <v>54</v>
      </c>
      <c r="AF10" s="6623"/>
      <c r="AG10" s="6623" t="s">
        <v>55</v>
      </c>
      <c r="AH10" s="6623"/>
      <c r="AI10" s="6623" t="s">
        <v>56</v>
      </c>
      <c r="AJ10" s="6623"/>
      <c r="AK10" s="6623" t="s">
        <v>57</v>
      </c>
      <c r="AL10" s="6625"/>
      <c r="AM10" s="5759"/>
      <c r="AN10" s="6186" t="s">
        <v>1368</v>
      </c>
      <c r="AO10" s="6377" t="s">
        <v>1369</v>
      </c>
      <c r="AP10" s="6377" t="s">
        <v>1370</v>
      </c>
      <c r="AQ10" s="6265" t="s">
        <v>1371</v>
      </c>
      <c r="AR10" s="5834"/>
      <c r="AS10" s="5759"/>
      <c r="AT10" s="1873"/>
      <c r="AU10" s="1873"/>
      <c r="AV10" s="1873"/>
      <c r="AW10" s="1873"/>
      <c r="AX10" s="1873"/>
      <c r="AY10" s="1873"/>
      <c r="AZ10" s="1873"/>
      <c r="BA10" s="1873"/>
      <c r="BB10" s="1873"/>
      <c r="BC10" s="1873"/>
      <c r="BD10" s="1873"/>
      <c r="BE10" s="1873"/>
      <c r="BF10" s="1873"/>
      <c r="BG10" s="1873"/>
    </row>
    <row r="11" spans="1:97" ht="23.25" customHeight="1" x14ac:dyDescent="0.25">
      <c r="A11" s="6465"/>
      <c r="B11" s="567" t="s">
        <v>79</v>
      </c>
      <c r="C11" s="3307" t="s">
        <v>58</v>
      </c>
      <c r="D11" s="90" t="s">
        <v>59</v>
      </c>
      <c r="E11" s="464" t="s">
        <v>58</v>
      </c>
      <c r="F11" s="487" t="s">
        <v>59</v>
      </c>
      <c r="G11" s="464" t="s">
        <v>58</v>
      </c>
      <c r="H11" s="487" t="s">
        <v>59</v>
      </c>
      <c r="I11" s="464" t="s">
        <v>58</v>
      </c>
      <c r="J11" s="487" t="s">
        <v>59</v>
      </c>
      <c r="K11" s="464" t="s">
        <v>58</v>
      </c>
      <c r="L11" s="487" t="s">
        <v>59</v>
      </c>
      <c r="M11" s="464" t="s">
        <v>58</v>
      </c>
      <c r="N11" s="487" t="s">
        <v>59</v>
      </c>
      <c r="O11" s="464" t="s">
        <v>58</v>
      </c>
      <c r="P11" s="487" t="s">
        <v>59</v>
      </c>
      <c r="Q11" s="464" t="s">
        <v>58</v>
      </c>
      <c r="R11" s="487" t="s">
        <v>59</v>
      </c>
      <c r="S11" s="464" t="s">
        <v>58</v>
      </c>
      <c r="T11" s="487" t="s">
        <v>59</v>
      </c>
      <c r="U11" s="464" t="s">
        <v>58</v>
      </c>
      <c r="V11" s="487" t="s">
        <v>59</v>
      </c>
      <c r="W11" s="464" t="s">
        <v>58</v>
      </c>
      <c r="X11" s="487" t="s">
        <v>59</v>
      </c>
      <c r="Y11" s="464" t="s">
        <v>58</v>
      </c>
      <c r="Z11" s="487" t="s">
        <v>59</v>
      </c>
      <c r="AA11" s="464" t="s">
        <v>58</v>
      </c>
      <c r="AB11" s="487" t="s">
        <v>59</v>
      </c>
      <c r="AC11" s="464" t="s">
        <v>58</v>
      </c>
      <c r="AD11" s="487" t="s">
        <v>59</v>
      </c>
      <c r="AE11" s="464" t="s">
        <v>58</v>
      </c>
      <c r="AF11" s="487" t="s">
        <v>59</v>
      </c>
      <c r="AG11" s="504" t="s">
        <v>58</v>
      </c>
      <c r="AH11" s="1792" t="s">
        <v>59</v>
      </c>
      <c r="AI11" s="464" t="s">
        <v>58</v>
      </c>
      <c r="AJ11" s="487" t="s">
        <v>59</v>
      </c>
      <c r="AK11" s="504" t="s">
        <v>58</v>
      </c>
      <c r="AL11" s="593" t="s">
        <v>59</v>
      </c>
      <c r="AM11" s="6468"/>
      <c r="AN11" s="6483"/>
      <c r="AO11" s="5818"/>
      <c r="AP11" s="5818"/>
      <c r="AQ11" s="5799"/>
      <c r="AR11" s="6483"/>
      <c r="AS11" s="6468"/>
      <c r="AT11" s="1873"/>
      <c r="AU11" s="1873"/>
      <c r="AV11" s="1873"/>
      <c r="AW11" s="1873"/>
      <c r="AX11" s="1873"/>
      <c r="AY11" s="1873"/>
      <c r="AZ11" s="1873"/>
      <c r="BA11" s="1873"/>
      <c r="BB11" s="1873"/>
      <c r="BC11" s="1873"/>
      <c r="BD11" s="1873"/>
      <c r="BE11" s="1873"/>
      <c r="BF11" s="1873"/>
      <c r="BG11" s="1873"/>
    </row>
    <row r="12" spans="1:97" ht="15" customHeight="1" x14ac:dyDescent="0.3">
      <c r="A12" s="934" t="s">
        <v>1372</v>
      </c>
      <c r="B12" s="3308">
        <f>SUM(C12+D12)</f>
        <v>0</v>
      </c>
      <c r="C12" s="620">
        <f t="shared" ref="C12:D15" si="0">SUM(E12+G12+I12+K12+M12+O12+Q12+S12+U12+W12+Y12+AA12+AC12+AE12+AG12+AI12+AK12)</f>
        <v>0</v>
      </c>
      <c r="D12" s="3119">
        <f t="shared" si="0"/>
        <v>0</v>
      </c>
      <c r="E12" s="3309"/>
      <c r="F12" s="771"/>
      <c r="G12" s="3309"/>
      <c r="H12" s="771"/>
      <c r="I12" s="3309"/>
      <c r="J12" s="771"/>
      <c r="K12" s="3310"/>
      <c r="L12" s="771"/>
      <c r="M12" s="3309"/>
      <c r="N12" s="771"/>
      <c r="O12" s="3310"/>
      <c r="P12" s="771"/>
      <c r="Q12" s="3309"/>
      <c r="R12" s="771"/>
      <c r="S12" s="3310"/>
      <c r="T12" s="576"/>
      <c r="U12" s="3310"/>
      <c r="V12" s="576"/>
      <c r="W12" s="3310"/>
      <c r="X12" s="576"/>
      <c r="Y12" s="3310"/>
      <c r="Z12" s="576"/>
      <c r="AA12" s="3310"/>
      <c r="AB12" s="771"/>
      <c r="AC12" s="3310"/>
      <c r="AD12" s="771"/>
      <c r="AE12" s="3310"/>
      <c r="AF12" s="771"/>
      <c r="AG12" s="3310"/>
      <c r="AH12" s="576"/>
      <c r="AI12" s="3310"/>
      <c r="AJ12" s="576"/>
      <c r="AK12" s="3310"/>
      <c r="AL12" s="3299"/>
      <c r="AM12" s="576"/>
      <c r="AN12" s="3310"/>
      <c r="AO12" s="3309"/>
      <c r="AP12" s="3309"/>
      <c r="AQ12" s="576"/>
      <c r="AR12" s="3310"/>
      <c r="AS12" s="576"/>
      <c r="AT12" s="3311" t="str">
        <f>CA12&amp;CB12&amp;CC12&amp;CD12&amp;CE12&amp;CF12&amp;CG12</f>
        <v/>
      </c>
      <c r="AU12" s="3312"/>
      <c r="AV12" s="3312"/>
      <c r="AW12" s="3312"/>
      <c r="AX12" s="3312"/>
      <c r="AY12" s="3312"/>
      <c r="AZ12" s="3312"/>
      <c r="BA12" s="3312"/>
      <c r="BB12" s="3312"/>
      <c r="BC12" s="3312"/>
      <c r="BD12" s="3312"/>
      <c r="BE12" s="1873"/>
      <c r="BF12" s="1873"/>
      <c r="BG12" s="1873"/>
      <c r="CA12" s="432" t="str">
        <f>IF(AND($B12&gt;0,AM12="")," * No olvide digitar la variable "&amp;AM$9&amp;""&amp;". Digite CERO si no tiene",IF(AM12&gt;$B12," * La variable "&amp;AM$9&amp;""&amp;" No puede ser mayor al Total.",""))</f>
        <v/>
      </c>
      <c r="CB12" s="432" t="str">
        <f>IF(AND($B12&gt;0,AN12="")," * No olvide digitar la variable "&amp;AN$9&amp;""&amp;" SAPU/SAR/SUR. Digite CERO si no tiene",IF(AN12&gt;$B12," * La variable "&amp;AN$9&amp;""&amp;" SAPU/SAR/SUR No puede ser mayor al Total.",""))</f>
        <v/>
      </c>
      <c r="CC12" s="432" t="str">
        <f>IF(AND($B12&gt;0,AO12="")," * No olvide digitar la variable "&amp;AN$9&amp;""&amp;" Hospital Baja Complejidad. Digite CERO si no tiene",IF(AO12&gt;$B12," * La variable "&amp;AN$9&amp;""&amp;" Hospital Baja Complejidad No puede ser mayor al Total.",""))</f>
        <v/>
      </c>
      <c r="CD12" s="432" t="str">
        <f>IF(AND($B12&gt;0,AP12="")," * No olvide digitar la variable "&amp;AN$9&amp;""&amp;" Hospital Mediana/Alta Complejidad. Digite CERO si no tiene",IF(AP12&gt;$B12," * La variable "&amp;AN$9&amp;""&amp;" Hospital Mediana/Alta Complejidad No puede ser mayor al Total.",""))</f>
        <v/>
      </c>
      <c r="CE12" s="432" t="str">
        <f>IF(AND($B12&gt;0,AQ12="")," * No olvide digitar la variable "&amp;AN$9&amp;""&amp;" Otros Establecimientos de la Red. Digite CERO si no tiene",IF(AQ12&gt;$B12," * La variable "&amp;AN$9&amp;""&amp;" Otros Establecimientos de la Red No puede ser mayor al Total.",""))</f>
        <v/>
      </c>
      <c r="CF12" s="432" t="str">
        <f>IF(AND($B12&gt;0,AR12="")," * No olvide digitar la variable "&amp;AR$9&amp;""&amp;". Digite CERO si no tiene",IF(AR12&gt;$B12," * La variable "&amp;AR$9&amp;""&amp;" No puede ser mayor al Total.",""))</f>
        <v/>
      </c>
      <c r="CG12" s="432" t="str">
        <f>IF(AND($B12&gt;0,AS12="")," * No olvide digitar la variable "&amp;AS$9&amp;""&amp;". Digite CERO si no tiene",IF(B12&gt;AS12," * La variable "&amp;AS$9&amp;""&amp;" No puede ser menor al Total.",""))</f>
        <v/>
      </c>
      <c r="CM12" s="180">
        <f t="shared" ref="CM12:CR12" si="1">IF(AND($B12&gt;0,AM12=""),1,IF(AM12&gt;$B12,1,0))</f>
        <v>0</v>
      </c>
      <c r="CN12" s="180">
        <f t="shared" si="1"/>
        <v>0</v>
      </c>
      <c r="CO12" s="180">
        <f t="shared" si="1"/>
        <v>0</v>
      </c>
      <c r="CP12" s="180">
        <f t="shared" si="1"/>
        <v>0</v>
      </c>
      <c r="CQ12" s="180">
        <f t="shared" si="1"/>
        <v>0</v>
      </c>
      <c r="CR12" s="3026">
        <f t="shared" si="1"/>
        <v>0</v>
      </c>
      <c r="CS12" s="3026">
        <f>IF(AND($B12&gt;0,AS12=""),1,IF(B12&gt;AS12,1,0))</f>
        <v>0</v>
      </c>
    </row>
    <row r="13" spans="1:97" ht="15" customHeight="1" x14ac:dyDescent="0.3">
      <c r="A13" s="361" t="s">
        <v>1373</v>
      </c>
      <c r="B13" s="201">
        <f>SUM(C13+D13)</f>
        <v>0</v>
      </c>
      <c r="C13" s="248">
        <f t="shared" si="0"/>
        <v>0</v>
      </c>
      <c r="D13" s="3313">
        <f t="shared" si="0"/>
        <v>0</v>
      </c>
      <c r="E13" s="348"/>
      <c r="F13" s="350"/>
      <c r="G13" s="348"/>
      <c r="H13" s="350"/>
      <c r="I13" s="348"/>
      <c r="J13" s="350"/>
      <c r="K13" s="348"/>
      <c r="L13" s="350"/>
      <c r="M13" s="346"/>
      <c r="N13" s="347"/>
      <c r="O13" s="346"/>
      <c r="P13" s="347"/>
      <c r="Q13" s="346"/>
      <c r="R13" s="347"/>
      <c r="S13" s="346"/>
      <c r="T13" s="347"/>
      <c r="U13" s="346"/>
      <c r="V13" s="347"/>
      <c r="W13" s="346"/>
      <c r="X13" s="347"/>
      <c r="Y13" s="346"/>
      <c r="Z13" s="347"/>
      <c r="AA13" s="346"/>
      <c r="AB13" s="347"/>
      <c r="AC13" s="346"/>
      <c r="AD13" s="347"/>
      <c r="AE13" s="346"/>
      <c r="AF13" s="347"/>
      <c r="AG13" s="346"/>
      <c r="AH13" s="347"/>
      <c r="AI13" s="346"/>
      <c r="AJ13" s="347"/>
      <c r="AK13" s="346"/>
      <c r="AL13" s="481"/>
      <c r="AM13" s="347"/>
      <c r="AN13" s="346"/>
      <c r="AO13" s="348"/>
      <c r="AP13" s="348"/>
      <c r="AQ13" s="347"/>
      <c r="AR13" s="346"/>
      <c r="AS13" s="347"/>
      <c r="AT13" s="3311" t="str">
        <f>CA13&amp;CB13&amp;CC13&amp;CD13&amp;CE13&amp;CF13&amp;CG13</f>
        <v/>
      </c>
      <c r="AU13" s="3312"/>
      <c r="AV13" s="3312"/>
      <c r="AW13" s="3312"/>
      <c r="AX13" s="3312"/>
      <c r="AY13" s="3312"/>
      <c r="AZ13" s="3312"/>
      <c r="BA13" s="3312"/>
      <c r="BB13" s="3312"/>
      <c r="BC13" s="3312"/>
      <c r="BD13" s="3312"/>
      <c r="BE13" s="1873"/>
      <c r="BF13" s="1873"/>
      <c r="BG13" s="1873"/>
      <c r="CA13" s="432" t="str">
        <f t="shared" ref="CA13:CA15" si="2">IF(AND($B13&gt;0,AM13="")," * No olvide digitar la variable "&amp;AM$9&amp;""&amp;". Digite CERO si no tiene",IF(AM13&gt;$B13," * La variable "&amp;AM$9&amp;""&amp;" No puede ser mayor al Total.",""))</f>
        <v/>
      </c>
      <c r="CB13" s="432" t="str">
        <f>IF(AND($B13&gt;0,AN13="")," * No olvide digitar la variable "&amp;AN$9&amp;""&amp;" SAPU/SAR/SUR. Digite CERO si no tiene",IF(AN13&gt;$B13," * La variable "&amp;AN$9&amp;""&amp;" SAPU/SAR/SUR No puede ser mayor al Total.",""))</f>
        <v/>
      </c>
      <c r="CC13" s="432" t="str">
        <f>IF(AND($B13&gt;0,AO13="")," * No olvide digitar la variable "&amp;AN$9&amp;""&amp;" Hospital Baja Complejidad. Digite CERO si no tiene",IF(AO13&gt;$B13," * La variable "&amp;AN$9&amp;""&amp;" Hospital Baja Complejidad No puede ser mayor al Total.",""))</f>
        <v/>
      </c>
      <c r="CD13" s="432" t="str">
        <f>IF(AND($B13&gt;0,AP13="")," * No olvide digitar la variable "&amp;AN$9&amp;""&amp;" Hospital Mediana/Alta Complejidad. Digite CERO si no tiene",IF(AP13&gt;$B13," * La variable "&amp;AN$9&amp;""&amp;" Hospital Mediana/Alta Complejidad No puede ser mayor al Total.",""))</f>
        <v/>
      </c>
      <c r="CE13" s="432" t="str">
        <f>IF(AND($B13&gt;0,AQ13="")," * No olvide digitar la variable "&amp;AN$9&amp;""&amp;" Otros Establecimientos de la Red. Digite CERO si no tiene",IF(AQ13&gt;$B13," * La variable "&amp;AN$9&amp;""&amp;" Otros Establecimientos de la Red No puede ser mayor al Total.",""))</f>
        <v/>
      </c>
      <c r="CF13" s="432" t="str">
        <f>IF(AND($B13&gt;0,AR13="")," * No olvide digitar la variable "&amp;AR$9&amp;""&amp;". Digite CERO si no tiene",IF(AR13&gt;$B13," * La variable "&amp;AR$9&amp;""&amp;" No puede ser mayor al Total.",""))</f>
        <v/>
      </c>
      <c r="CG13" s="432" t="str">
        <f>IF(AND($B13&gt;0,AS13="")," * No olvide digitar la variable "&amp;AS$9&amp;""&amp;". Digite CERO si no tiene",IF(B13&gt;AS13," * La variable "&amp;AS$9&amp;""&amp;" No puede ser menor al Total.",""))</f>
        <v/>
      </c>
      <c r="CM13" s="180">
        <f t="shared" ref="CM13:CM15" si="3">IF(AND($B13&gt;0,AM13=""),1,IF(AM13&gt;$B13,1,0))</f>
        <v>0</v>
      </c>
      <c r="CN13" s="180">
        <f t="shared" ref="CN13:CR13" si="4">IF(AND($B13&gt;0,AN13=""),1,IF(AN13&gt;$B13,1,0))</f>
        <v>0</v>
      </c>
      <c r="CO13" s="180">
        <f t="shared" si="4"/>
        <v>0</v>
      </c>
      <c r="CP13" s="180">
        <f t="shared" si="4"/>
        <v>0</v>
      </c>
      <c r="CQ13" s="180">
        <f t="shared" si="4"/>
        <v>0</v>
      </c>
      <c r="CR13" s="3026">
        <f t="shared" si="4"/>
        <v>0</v>
      </c>
      <c r="CS13" s="3026">
        <f>IF(AND($B13&gt;0,AS13=""),1,IF(B13&gt;AS13,1,0))</f>
        <v>0</v>
      </c>
    </row>
    <row r="14" spans="1:97" ht="15" customHeight="1" x14ac:dyDescent="0.25">
      <c r="A14" s="935" t="s">
        <v>1374</v>
      </c>
      <c r="B14" s="342">
        <f>SUM(C14+D14)</f>
        <v>0</v>
      </c>
      <c r="C14" s="622">
        <f t="shared" si="0"/>
        <v>0</v>
      </c>
      <c r="D14" s="3120">
        <f t="shared" si="0"/>
        <v>0</v>
      </c>
      <c r="E14" s="346"/>
      <c r="F14" s="347"/>
      <c r="G14" s="346"/>
      <c r="H14" s="347"/>
      <c r="I14" s="346"/>
      <c r="J14" s="347"/>
      <c r="K14" s="346"/>
      <c r="L14" s="347"/>
      <c r="M14" s="346"/>
      <c r="N14" s="347"/>
      <c r="O14" s="346"/>
      <c r="P14" s="347"/>
      <c r="Q14" s="346"/>
      <c r="R14" s="347"/>
      <c r="S14" s="346"/>
      <c r="T14" s="347"/>
      <c r="U14" s="346"/>
      <c r="V14" s="347"/>
      <c r="W14" s="346"/>
      <c r="X14" s="347"/>
      <c r="Y14" s="346"/>
      <c r="Z14" s="347"/>
      <c r="AA14" s="346"/>
      <c r="AB14" s="347"/>
      <c r="AC14" s="346"/>
      <c r="AD14" s="347"/>
      <c r="AE14" s="346"/>
      <c r="AF14" s="347"/>
      <c r="AG14" s="346"/>
      <c r="AH14" s="347"/>
      <c r="AI14" s="346"/>
      <c r="AJ14" s="347"/>
      <c r="AK14" s="346"/>
      <c r="AL14" s="481"/>
      <c r="AM14" s="347"/>
      <c r="AN14" s="3314"/>
      <c r="AO14" s="3314"/>
      <c r="AP14" s="3314"/>
      <c r="AQ14" s="368"/>
      <c r="AR14" s="634"/>
      <c r="AS14" s="368"/>
      <c r="AT14" s="3311" t="str">
        <f t="shared" ref="AT14:AT15" si="5">CA14&amp;CB14&amp;CC14&amp;CD14&amp;CE14&amp;CF14&amp;CG14</f>
        <v/>
      </c>
      <c r="AU14" s="3312"/>
      <c r="AV14" s="3312"/>
      <c r="AW14" s="3312"/>
      <c r="AX14" s="3312"/>
      <c r="AY14" s="3312"/>
      <c r="AZ14" s="3312"/>
      <c r="BA14" s="3312"/>
      <c r="BB14" s="3312"/>
      <c r="BC14" s="3312"/>
      <c r="BD14" s="3312"/>
      <c r="BE14" s="1873"/>
      <c r="BF14" s="1873"/>
      <c r="BG14" s="1873"/>
      <c r="CA14" s="432" t="str">
        <f t="shared" si="2"/>
        <v/>
      </c>
      <c r="CM14" s="180">
        <f t="shared" si="3"/>
        <v>0</v>
      </c>
    </row>
    <row r="15" spans="1:97" ht="15" customHeight="1" x14ac:dyDescent="0.25">
      <c r="A15" s="936" t="s">
        <v>1375</v>
      </c>
      <c r="B15" s="638">
        <f>SUM(C15+D15)</f>
        <v>0</v>
      </c>
      <c r="C15" s="3315">
        <f t="shared" si="0"/>
        <v>0</v>
      </c>
      <c r="D15" s="3121">
        <f t="shared" si="0"/>
        <v>0</v>
      </c>
      <c r="E15" s="380"/>
      <c r="F15" s="388"/>
      <c r="G15" s="380"/>
      <c r="H15" s="388"/>
      <c r="I15" s="380"/>
      <c r="J15" s="388"/>
      <c r="K15" s="380"/>
      <c r="L15" s="388"/>
      <c r="M15" s="380"/>
      <c r="N15" s="388"/>
      <c r="O15" s="380"/>
      <c r="P15" s="388"/>
      <c r="Q15" s="380"/>
      <c r="R15" s="388"/>
      <c r="S15" s="380"/>
      <c r="T15" s="388"/>
      <c r="U15" s="380"/>
      <c r="V15" s="388"/>
      <c r="W15" s="380"/>
      <c r="X15" s="388"/>
      <c r="Y15" s="380"/>
      <c r="Z15" s="388"/>
      <c r="AA15" s="380"/>
      <c r="AB15" s="388"/>
      <c r="AC15" s="380"/>
      <c r="AD15" s="388"/>
      <c r="AE15" s="380"/>
      <c r="AF15" s="388"/>
      <c r="AG15" s="380"/>
      <c r="AH15" s="388"/>
      <c r="AI15" s="380"/>
      <c r="AJ15" s="388"/>
      <c r="AK15" s="380"/>
      <c r="AL15" s="392"/>
      <c r="AM15" s="388"/>
      <c r="AN15" s="3316"/>
      <c r="AO15" s="3316"/>
      <c r="AP15" s="3316"/>
      <c r="AQ15" s="636"/>
      <c r="AR15" s="635"/>
      <c r="AS15" s="636"/>
      <c r="AT15" s="3311" t="str">
        <f t="shared" si="5"/>
        <v/>
      </c>
      <c r="AU15" s="3312"/>
      <c r="AV15" s="3312"/>
      <c r="AW15" s="3312"/>
      <c r="AX15" s="3312"/>
      <c r="AY15" s="3312"/>
      <c r="AZ15" s="3312"/>
      <c r="BA15" s="3312"/>
      <c r="BB15" s="3312"/>
      <c r="BC15" s="3312"/>
      <c r="BD15" s="3312"/>
      <c r="BE15" s="1873"/>
      <c r="BF15" s="1873"/>
      <c r="BG15" s="1873"/>
      <c r="CA15" s="432" t="str">
        <f t="shared" si="2"/>
        <v/>
      </c>
      <c r="CM15" s="180">
        <f t="shared" si="3"/>
        <v>0</v>
      </c>
    </row>
    <row r="16" spans="1:97" s="8" customFormat="1" ht="18" customHeight="1" x14ac:dyDescent="0.2">
      <c r="A16" s="11" t="s">
        <v>1376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V16" s="5"/>
      <c r="BW16" s="5"/>
      <c r="BX16" s="5"/>
      <c r="BY16" s="5"/>
    </row>
    <row r="17" spans="1:97" ht="19.5" customHeight="1" x14ac:dyDescent="0.25">
      <c r="A17" s="6176" t="s">
        <v>1377</v>
      </c>
      <c r="B17" s="5944" t="s">
        <v>1363</v>
      </c>
      <c r="C17" s="6242"/>
      <c r="D17" s="6243"/>
      <c r="E17" s="6436" t="s">
        <v>1364</v>
      </c>
      <c r="F17" s="6247"/>
      <c r="G17" s="6247"/>
      <c r="H17" s="6247"/>
      <c r="I17" s="6247"/>
      <c r="J17" s="6247"/>
      <c r="K17" s="6247"/>
      <c r="L17" s="6247"/>
      <c r="M17" s="6247"/>
      <c r="N17" s="6247"/>
      <c r="O17" s="6247"/>
      <c r="P17" s="6247"/>
      <c r="Q17" s="6247"/>
      <c r="R17" s="6247"/>
      <c r="S17" s="6247"/>
      <c r="T17" s="6247"/>
      <c r="U17" s="6247"/>
      <c r="V17" s="6247"/>
      <c r="W17" s="6247"/>
      <c r="X17" s="6247"/>
      <c r="Y17" s="6247"/>
      <c r="Z17" s="6247"/>
      <c r="AA17" s="6247"/>
      <c r="AB17" s="6247"/>
      <c r="AC17" s="6247"/>
      <c r="AD17" s="6247"/>
      <c r="AE17" s="6247"/>
      <c r="AF17" s="6247"/>
      <c r="AG17" s="6247"/>
      <c r="AH17" s="6247"/>
      <c r="AI17" s="6247"/>
      <c r="AJ17" s="6247"/>
      <c r="AK17" s="6247"/>
      <c r="AL17" s="6187"/>
      <c r="AM17" s="6224" t="s">
        <v>597</v>
      </c>
      <c r="AN17" s="6377" t="s">
        <v>1378</v>
      </c>
      <c r="AO17" s="6377" t="s">
        <v>1367</v>
      </c>
      <c r="AP17" s="6377" t="s">
        <v>473</v>
      </c>
      <c r="AQ17" s="6377" t="s">
        <v>34</v>
      </c>
      <c r="AR17" s="6243" t="s">
        <v>35</v>
      </c>
      <c r="AS17" s="1873"/>
      <c r="AT17" s="1873"/>
      <c r="AU17" s="1873"/>
      <c r="AV17" s="1873"/>
      <c r="AW17" s="1873"/>
      <c r="AX17" s="1873"/>
      <c r="AY17" s="1873"/>
      <c r="AZ17" s="1873"/>
      <c r="BA17" s="1873"/>
      <c r="BB17" s="1873"/>
      <c r="BC17" s="1873"/>
      <c r="BD17" s="1873"/>
      <c r="BE17" s="1873"/>
      <c r="BF17" s="1873"/>
      <c r="BG17" s="1873"/>
      <c r="BH17" s="1873"/>
      <c r="BI17" s="1873"/>
    </row>
    <row r="18" spans="1:97" ht="15.75" customHeight="1" x14ac:dyDescent="0.25">
      <c r="A18" s="6082"/>
      <c r="B18" s="6466"/>
      <c r="C18" s="6467"/>
      <c r="D18" s="6468"/>
      <c r="E18" s="6436" t="s">
        <v>343</v>
      </c>
      <c r="F18" s="6183"/>
      <c r="G18" s="6436" t="s">
        <v>326</v>
      </c>
      <c r="H18" s="6183"/>
      <c r="I18" s="6436" t="s">
        <v>94</v>
      </c>
      <c r="J18" s="6183"/>
      <c r="K18" s="6436" t="s">
        <v>44</v>
      </c>
      <c r="L18" s="6183"/>
      <c r="M18" s="6436" t="s">
        <v>45</v>
      </c>
      <c r="N18" s="6183"/>
      <c r="O18" s="6437" t="s">
        <v>46</v>
      </c>
      <c r="P18" s="6180"/>
      <c r="Q18" s="6437" t="s">
        <v>47</v>
      </c>
      <c r="R18" s="6180"/>
      <c r="S18" s="6437" t="s">
        <v>48</v>
      </c>
      <c r="T18" s="6180"/>
      <c r="U18" s="6437" t="s">
        <v>49</v>
      </c>
      <c r="V18" s="6180"/>
      <c r="W18" s="6437" t="s">
        <v>50</v>
      </c>
      <c r="X18" s="6180"/>
      <c r="Y18" s="6437" t="s">
        <v>51</v>
      </c>
      <c r="Z18" s="6180"/>
      <c r="AA18" s="6437" t="s">
        <v>52</v>
      </c>
      <c r="AB18" s="6180"/>
      <c r="AC18" s="6437" t="s">
        <v>53</v>
      </c>
      <c r="AD18" s="6180"/>
      <c r="AE18" s="6437" t="s">
        <v>54</v>
      </c>
      <c r="AF18" s="6180"/>
      <c r="AG18" s="6437" t="s">
        <v>55</v>
      </c>
      <c r="AH18" s="6180"/>
      <c r="AI18" s="6437" t="s">
        <v>56</v>
      </c>
      <c r="AJ18" s="6180"/>
      <c r="AK18" s="6437" t="s">
        <v>57</v>
      </c>
      <c r="AL18" s="6179"/>
      <c r="AM18" s="5837"/>
      <c r="AN18" s="6118"/>
      <c r="AO18" s="6118"/>
      <c r="AP18" s="6118"/>
      <c r="AQ18" s="6118"/>
      <c r="AR18" s="5759"/>
      <c r="AS18" s="1873"/>
      <c r="AT18" s="1873"/>
      <c r="AU18" s="1873"/>
      <c r="AV18" s="1873"/>
      <c r="AW18" s="1873"/>
      <c r="AX18" s="1873"/>
      <c r="AY18" s="1873"/>
      <c r="AZ18" s="1873"/>
      <c r="BA18" s="1873"/>
      <c r="BB18" s="1873"/>
      <c r="BC18" s="1873"/>
      <c r="BD18" s="1873"/>
      <c r="BE18" s="1873"/>
      <c r="BF18" s="1873"/>
      <c r="BG18" s="1873"/>
      <c r="BH18" s="1873"/>
      <c r="BI18" s="1873"/>
    </row>
    <row r="19" spans="1:97" ht="15.75" customHeight="1" x14ac:dyDescent="0.25">
      <c r="A19" s="6465"/>
      <c r="B19" s="889" t="s">
        <v>79</v>
      </c>
      <c r="C19" s="491" t="s">
        <v>461</v>
      </c>
      <c r="D19" s="465" t="s">
        <v>59</v>
      </c>
      <c r="E19" s="767" t="s">
        <v>461</v>
      </c>
      <c r="F19" s="465" t="s">
        <v>59</v>
      </c>
      <c r="G19" s="767" t="s">
        <v>461</v>
      </c>
      <c r="H19" s="465" t="s">
        <v>59</v>
      </c>
      <c r="I19" s="767" t="s">
        <v>461</v>
      </c>
      <c r="J19" s="465" t="s">
        <v>59</v>
      </c>
      <c r="K19" s="767" t="s">
        <v>461</v>
      </c>
      <c r="L19" s="465" t="s">
        <v>59</v>
      </c>
      <c r="M19" s="767" t="s">
        <v>461</v>
      </c>
      <c r="N19" s="465" t="s">
        <v>59</v>
      </c>
      <c r="O19" s="767" t="s">
        <v>461</v>
      </c>
      <c r="P19" s="465" t="s">
        <v>59</v>
      </c>
      <c r="Q19" s="767" t="s">
        <v>461</v>
      </c>
      <c r="R19" s="465" t="s">
        <v>59</v>
      </c>
      <c r="S19" s="767" t="s">
        <v>461</v>
      </c>
      <c r="T19" s="465" t="s">
        <v>59</v>
      </c>
      <c r="U19" s="767" t="s">
        <v>461</v>
      </c>
      <c r="V19" s="465" t="s">
        <v>59</v>
      </c>
      <c r="W19" s="767" t="s">
        <v>461</v>
      </c>
      <c r="X19" s="465" t="s">
        <v>59</v>
      </c>
      <c r="Y19" s="767" t="s">
        <v>461</v>
      </c>
      <c r="Z19" s="465" t="s">
        <v>59</v>
      </c>
      <c r="AA19" s="767" t="s">
        <v>461</v>
      </c>
      <c r="AB19" s="465" t="s">
        <v>59</v>
      </c>
      <c r="AC19" s="767" t="s">
        <v>461</v>
      </c>
      <c r="AD19" s="465" t="s">
        <v>59</v>
      </c>
      <c r="AE19" s="767" t="s">
        <v>461</v>
      </c>
      <c r="AF19" s="465" t="s">
        <v>59</v>
      </c>
      <c r="AG19" s="767" t="s">
        <v>461</v>
      </c>
      <c r="AH19" s="465" t="s">
        <v>59</v>
      </c>
      <c r="AI19" s="767" t="s">
        <v>461</v>
      </c>
      <c r="AJ19" s="465" t="s">
        <v>59</v>
      </c>
      <c r="AK19" s="767" t="s">
        <v>461</v>
      </c>
      <c r="AL19" s="466" t="s">
        <v>59</v>
      </c>
      <c r="AM19" s="6626"/>
      <c r="AN19" s="5818"/>
      <c r="AO19" s="5818"/>
      <c r="AP19" s="5818"/>
      <c r="AQ19" s="5818"/>
      <c r="AR19" s="6468"/>
      <c r="AS19" s="1873"/>
      <c r="AT19" s="1873"/>
      <c r="AU19" s="1873"/>
      <c r="AV19" s="1873"/>
      <c r="AW19" s="1873"/>
      <c r="AX19" s="1873"/>
      <c r="AY19" s="1873"/>
      <c r="AZ19" s="1873"/>
      <c r="BA19" s="1873"/>
      <c r="BB19" s="1873"/>
      <c r="BC19" s="1873"/>
      <c r="BD19" s="1873"/>
      <c r="BE19" s="1873"/>
      <c r="BF19" s="1873"/>
      <c r="BG19" s="1873"/>
      <c r="BH19" s="1873"/>
      <c r="BI19" s="1873"/>
    </row>
    <row r="20" spans="1:97" ht="15" customHeight="1" x14ac:dyDescent="0.3">
      <c r="A20" s="3318" t="s">
        <v>1379</v>
      </c>
      <c r="B20" s="760">
        <f t="shared" ref="B20:B26" si="6">SUM(C20+D20)</f>
        <v>0</v>
      </c>
      <c r="C20" s="774">
        <f t="shared" ref="C20:D26" si="7">SUM(E20+G20+I20+K20+M20+O20+Q20+S20+U20+W20+Y20+AA20+AC20+AE20+AG20+AI20+AK20)</f>
        <v>0</v>
      </c>
      <c r="D20" s="141">
        <f t="shared" si="7"/>
        <v>0</v>
      </c>
      <c r="E20" s="290"/>
      <c r="F20" s="107"/>
      <c r="G20" s="290"/>
      <c r="H20" s="107"/>
      <c r="I20" s="290"/>
      <c r="J20" s="637"/>
      <c r="K20" s="290"/>
      <c r="L20" s="637"/>
      <c r="M20" s="290"/>
      <c r="N20" s="637"/>
      <c r="O20" s="245"/>
      <c r="P20" s="637"/>
      <c r="Q20" s="245"/>
      <c r="R20" s="637"/>
      <c r="S20" s="245"/>
      <c r="T20" s="637"/>
      <c r="U20" s="245"/>
      <c r="V20" s="637"/>
      <c r="W20" s="245"/>
      <c r="X20" s="637"/>
      <c r="Y20" s="245"/>
      <c r="Z20" s="637"/>
      <c r="AA20" s="245"/>
      <c r="AB20" s="637"/>
      <c r="AC20" s="245"/>
      <c r="AD20" s="637"/>
      <c r="AE20" s="245"/>
      <c r="AF20" s="637"/>
      <c r="AG20" s="245"/>
      <c r="AH20" s="637"/>
      <c r="AI20" s="245"/>
      <c r="AJ20" s="637"/>
      <c r="AK20" s="245"/>
      <c r="AL20" s="431"/>
      <c r="AM20" s="22"/>
      <c r="AN20" s="535"/>
      <c r="AO20" s="535"/>
      <c r="AP20" s="535"/>
      <c r="AQ20" s="960"/>
      <c r="AR20" s="871"/>
      <c r="AS20" s="3311" t="str">
        <f>$CA20&amp;$CB20&amp;$CC20&amp;$CD20&amp;$CE20&amp;$CF20</f>
        <v/>
      </c>
      <c r="AT20" s="3312"/>
      <c r="AU20" s="3312"/>
      <c r="AV20" s="3312"/>
      <c r="AW20" s="3312"/>
      <c r="AX20" s="3312"/>
      <c r="AY20" s="3312"/>
      <c r="AZ20" s="1873"/>
      <c r="BA20" s="1873"/>
      <c r="BB20" s="1873"/>
      <c r="BC20" s="1873"/>
      <c r="BD20" s="1873"/>
      <c r="BE20" s="1873"/>
      <c r="BF20" s="1873"/>
      <c r="BG20" s="1873"/>
      <c r="BH20" s="1873"/>
      <c r="BI20" s="1873"/>
      <c r="CA20" s="432" t="str">
        <f>IF(AND($B20&gt;0,AM20="")," * No olvide digitar la variable "&amp;AM$17&amp;""&amp;". Digite CERO si no tiene",IF(AM20&gt;$B20," * La variable "&amp;AM$20&amp;""&amp;" No puede ser mayor al Total.",""))</f>
        <v/>
      </c>
      <c r="CB20" s="432" t="str">
        <f>IF(AND($B20&gt;0,AN20="")," * No olvide digitar la variable "&amp;AN$17&amp;""&amp;". Digite CERO si no tiene",IF(AN20&gt;$B20," * La variable "&amp;AN$17&amp;""&amp;" No puede ser mayor al Total.",""))</f>
        <v/>
      </c>
      <c r="CC20" s="432" t="str">
        <f>IF(AND($B20&gt;0,AO20="")," * No olvide digitar la variable "&amp;AO$17&amp;""&amp;". Digite CERO si no tiene",IF(B20&gt;AO20," * La variable "&amp;AO$17&amp;""&amp;" No puede ser menor al Total.",""))</f>
        <v/>
      </c>
      <c r="CD20" s="432" t="str">
        <f>IF(AND($B20&gt;0,AP20="")," * No olvide digitar la variable "&amp;AP$17&amp;""&amp;". Digite CERO si no tiene",IF(AP20&gt;$B20," * La variable "&amp;AP$17&amp;""&amp;" No puede ser mayor al Total.",""))</f>
        <v/>
      </c>
      <c r="CE20" s="432" t="str">
        <f>IF(AND($B20&gt;0,AQ20="")," * No olvide digitar la variable "&amp;AQ$17&amp;""&amp;". Digite CERO si no tiene",IF(AQ20&gt;$B20," * La variable "&amp;AQ$17&amp;""&amp;" No puede ser mayor al Total.",""))</f>
        <v/>
      </c>
      <c r="CF20" s="432" t="str">
        <f>IF(AND($B20&gt;0,AR20="")," * No olvide digitar la variable "&amp;AR$17&amp;""&amp;". Digite CERO si no tiene",IF(AR20&gt;$B20," * La variable "&amp;AR$17&amp;""&amp;" No puede ser mayor al Total.",""))</f>
        <v/>
      </c>
      <c r="CG20" s="6"/>
      <c r="CM20" s="180">
        <f t="shared" ref="CM20:CR20" si="8">IF(AND($B20&gt;0,AM20=""),1,IF(AM20&gt;$B20,1,0))</f>
        <v>0</v>
      </c>
      <c r="CN20" s="180">
        <f t="shared" si="8"/>
        <v>0</v>
      </c>
      <c r="CO20" s="180">
        <f>IF(AND($B20&gt;0,AO20=""),1,IF(B20&gt;$AO20,1,0))</f>
        <v>0</v>
      </c>
      <c r="CP20" s="180">
        <f t="shared" si="8"/>
        <v>0</v>
      </c>
      <c r="CQ20" s="180">
        <f t="shared" si="8"/>
        <v>0</v>
      </c>
      <c r="CR20" s="3026">
        <f t="shared" si="8"/>
        <v>0</v>
      </c>
      <c r="CS20"/>
    </row>
    <row r="21" spans="1:97" ht="15" customHeight="1" x14ac:dyDescent="0.3">
      <c r="A21" s="319" t="s">
        <v>1380</v>
      </c>
      <c r="B21" s="760">
        <f t="shared" si="6"/>
        <v>0</v>
      </c>
      <c r="C21" s="774">
        <f t="shared" si="7"/>
        <v>0</v>
      </c>
      <c r="D21" s="141">
        <f t="shared" si="7"/>
        <v>0</v>
      </c>
      <c r="E21" s="290"/>
      <c r="F21" s="107"/>
      <c r="G21" s="290"/>
      <c r="H21" s="107"/>
      <c r="I21" s="290"/>
      <c r="J21" s="637"/>
      <c r="K21" s="290"/>
      <c r="L21" s="637"/>
      <c r="M21" s="290"/>
      <c r="N21" s="637"/>
      <c r="O21" s="245"/>
      <c r="P21" s="637"/>
      <c r="Q21" s="245"/>
      <c r="R21" s="637"/>
      <c r="S21" s="245"/>
      <c r="T21" s="637"/>
      <c r="U21" s="245"/>
      <c r="V21" s="637"/>
      <c r="W21" s="245"/>
      <c r="X21" s="637"/>
      <c r="Y21" s="245"/>
      <c r="Z21" s="637"/>
      <c r="AA21" s="245"/>
      <c r="AB21" s="637"/>
      <c r="AC21" s="245"/>
      <c r="AD21" s="637"/>
      <c r="AE21" s="245"/>
      <c r="AF21" s="637"/>
      <c r="AG21" s="245"/>
      <c r="AH21" s="637"/>
      <c r="AI21" s="245"/>
      <c r="AJ21" s="637"/>
      <c r="AK21" s="245"/>
      <c r="AL21" s="431"/>
      <c r="AM21" s="22"/>
      <c r="AN21" s="535"/>
      <c r="AO21" s="535"/>
      <c r="AP21" s="535"/>
      <c r="AQ21" s="1973"/>
      <c r="AR21" s="330"/>
      <c r="AS21" s="3311" t="str">
        <f t="shared" ref="AS21:AS26" si="9">$CA21&amp;$CB21&amp;$CC21&amp;$CD21&amp;$CE21&amp;$CF21</f>
        <v/>
      </c>
      <c r="AT21" s="3312"/>
      <c r="AU21" s="3312"/>
      <c r="AV21" s="3312"/>
      <c r="AW21" s="3312"/>
      <c r="AX21" s="3312"/>
      <c r="AY21" s="3312"/>
      <c r="AZ21" s="1873"/>
      <c r="BA21" s="1873"/>
      <c r="BB21" s="1873"/>
      <c r="BC21" s="1873"/>
      <c r="BD21" s="1873"/>
      <c r="BE21" s="1873"/>
      <c r="BF21" s="1873"/>
      <c r="BG21" s="1873"/>
      <c r="BH21" s="1873"/>
      <c r="BI21" s="1873"/>
      <c r="CA21" s="432" t="str">
        <f>IF(AND($B21&gt;0,AM21="")," * No olvide digitar la variable "&amp;AM$17&amp;""&amp;". Digite CERO si no tiene",IF(AM21&gt;$B21," * La variable "&amp;AM$20&amp;""&amp;" No puede ser mayor al Total.",""))</f>
        <v/>
      </c>
      <c r="CB21" s="432" t="str">
        <f>IF(AND($B21&gt;0,AN21="")," * No olvide digitar la variable "&amp;AN$17&amp;""&amp;". Digite CERO si no tiene",IF(AN21&gt;$B21," * La variable "&amp;AN$17&amp;""&amp;" No puede ser mayor al Total.",""))</f>
        <v/>
      </c>
      <c r="CC21" s="432" t="str">
        <f t="shared" ref="CC21:CC23" si="10">IF(AND($B21&gt;0,AO21="")," * No olvide digitar la variable "&amp;AO$17&amp;""&amp;". Digite CERO si no tiene",IF(B21&gt;AO21," * La variable "&amp;AO$17&amp;""&amp;" No puede ser menor al Total.",""))</f>
        <v/>
      </c>
      <c r="CD21" s="432" t="str">
        <f>IF(AND($B21&gt;0,AP21="")," * No olvide digitar la variable "&amp;AP$17&amp;""&amp;". Digite CERO si no tiene",IF(AP21&gt;$B21," * La variable "&amp;AP$17&amp;""&amp;" No puede ser mayor al Total.",""))</f>
        <v/>
      </c>
      <c r="CE21" s="432" t="str">
        <f t="shared" ref="CE21:CE23" si="11">IF(AND($B21&gt;0,AQ21="")," * No olvide digitar la variable "&amp;AQ$17&amp;""&amp;". Digite CERO si no tiene",IF(AQ21&gt;$B21," * La variable "&amp;AQ$17&amp;""&amp;" No puede ser mayor al Total.",""))</f>
        <v/>
      </c>
      <c r="CF21" s="432" t="str">
        <f t="shared" ref="CF21:CF23" si="12">IF(AND($B21&gt;0,AR21="")," * No olvide digitar la variable "&amp;AR$17&amp;""&amp;". Digite CERO si no tiene",IF(AR21&gt;$B21," * La variable "&amp;AR$17&amp;""&amp;" No puede ser mayor al Total.",""))</f>
        <v/>
      </c>
      <c r="CM21" s="180">
        <f t="shared" ref="CM21:CM25" si="13">IF(AND($B21&gt;0,AM21=""),1,IF(AM21&gt;$B21,1,0))</f>
        <v>0</v>
      </c>
      <c r="CN21" s="180">
        <f t="shared" ref="CN21:CN25" si="14">IF(AND($B21&gt;0,AN21=""),1,IF(AN21&gt;$B21,1,0))</f>
        <v>0</v>
      </c>
      <c r="CO21" s="180">
        <f t="shared" ref="CO21:CO23" si="15">IF(AND($B21&gt;0,AO21=""),1,IF(B21&gt;$AO21,1,0))</f>
        <v>0</v>
      </c>
      <c r="CP21" s="180">
        <f t="shared" ref="CP21:CP23" si="16">IF(AND($B21&gt;0,AP21=""),1,IF(AP21&gt;$B21,1,0))</f>
        <v>0</v>
      </c>
      <c r="CQ21" s="180">
        <f t="shared" ref="CQ21:CQ25" si="17">IF(AND($B21&gt;0,AQ21=""),1,IF(AQ21&gt;$B21,1,0))</f>
        <v>0</v>
      </c>
      <c r="CR21" s="3026">
        <f t="shared" ref="CR21:CR25" si="18">IF(AND($B21&gt;0,AR21=""),1,IF(AR21&gt;$B21,1,0))</f>
        <v>0</v>
      </c>
    </row>
    <row r="22" spans="1:97" ht="15" customHeight="1" x14ac:dyDescent="0.3">
      <c r="A22" s="361" t="s">
        <v>1381</v>
      </c>
      <c r="B22" s="760">
        <f t="shared" si="6"/>
        <v>0</v>
      </c>
      <c r="C22" s="774">
        <f t="shared" si="7"/>
        <v>0</v>
      </c>
      <c r="D22" s="345">
        <f t="shared" si="7"/>
        <v>0</v>
      </c>
      <c r="E22" s="346"/>
      <c r="F22" s="347"/>
      <c r="G22" s="346"/>
      <c r="H22" s="347"/>
      <c r="I22" s="346"/>
      <c r="J22" s="350"/>
      <c r="K22" s="346"/>
      <c r="L22" s="350"/>
      <c r="M22" s="346"/>
      <c r="N22" s="350"/>
      <c r="O22" s="351"/>
      <c r="P22" s="350"/>
      <c r="Q22" s="351"/>
      <c r="R22" s="350"/>
      <c r="S22" s="351"/>
      <c r="T22" s="350"/>
      <c r="U22" s="351"/>
      <c r="V22" s="350"/>
      <c r="W22" s="351"/>
      <c r="X22" s="350"/>
      <c r="Y22" s="351"/>
      <c r="Z22" s="350"/>
      <c r="AA22" s="351"/>
      <c r="AB22" s="350"/>
      <c r="AC22" s="351"/>
      <c r="AD22" s="350"/>
      <c r="AE22" s="351"/>
      <c r="AF22" s="350"/>
      <c r="AG22" s="351"/>
      <c r="AH22" s="350"/>
      <c r="AI22" s="351"/>
      <c r="AJ22" s="350"/>
      <c r="AK22" s="351"/>
      <c r="AL22" s="352"/>
      <c r="AM22" s="348"/>
      <c r="AN22" s="369"/>
      <c r="AO22" s="369"/>
      <c r="AP22" s="524"/>
      <c r="AQ22" s="1973"/>
      <c r="AR22" s="330"/>
      <c r="AS22" s="3311" t="str">
        <f t="shared" si="9"/>
        <v/>
      </c>
      <c r="AT22" s="3312"/>
      <c r="AU22" s="3312"/>
      <c r="AV22" s="3312"/>
      <c r="AW22" s="3312"/>
      <c r="AX22" s="3312"/>
      <c r="AY22" s="3312"/>
      <c r="AZ22" s="1873"/>
      <c r="BA22" s="1873"/>
      <c r="BB22" s="1873"/>
      <c r="BC22" s="1873"/>
      <c r="BD22" s="1873"/>
      <c r="BE22" s="1873"/>
      <c r="BF22" s="1873"/>
      <c r="BG22" s="1873"/>
      <c r="BH22" s="1873"/>
      <c r="BI22" s="1873"/>
      <c r="CA22" s="432" t="str">
        <f t="shared" ref="CA22:CA23" si="19">IF(AND($B22&gt;0,AM22="")," * No olvide digitar la variable "&amp;AM$17&amp;""&amp;". Digite CERO si no tiene",IF(AM22&gt;$B22," * La variable "&amp;AM$20&amp;""&amp;" No puede ser mayor al Total.",""))</f>
        <v/>
      </c>
      <c r="CB22" s="432" t="str">
        <f t="shared" ref="CB22:CB23" si="20">IF(AND($B22&gt;0,AN22="")," * No olvide digitar la variable "&amp;AN$17&amp;""&amp;". Digite CERO si no tiene",IF(AN22&gt;$B22," * La variable "&amp;AN$17&amp;""&amp;" No puede ser mayor al Total.",""))</f>
        <v/>
      </c>
      <c r="CC22" s="432" t="str">
        <f t="shared" si="10"/>
        <v/>
      </c>
      <c r="CD22" s="433"/>
      <c r="CE22" s="432" t="str">
        <f t="shared" si="11"/>
        <v/>
      </c>
      <c r="CF22" s="432" t="str">
        <f t="shared" si="12"/>
        <v/>
      </c>
      <c r="CM22" s="180">
        <f t="shared" si="13"/>
        <v>0</v>
      </c>
      <c r="CN22" s="180">
        <f t="shared" si="14"/>
        <v>0</v>
      </c>
      <c r="CO22" s="180">
        <f t="shared" si="15"/>
        <v>0</v>
      </c>
      <c r="CP22" s="433"/>
      <c r="CQ22" s="180">
        <f t="shared" si="17"/>
        <v>0</v>
      </c>
      <c r="CR22" s="3026">
        <f t="shared" si="18"/>
        <v>0</v>
      </c>
    </row>
    <row r="23" spans="1:97" ht="15" customHeight="1" thickBot="1" x14ac:dyDescent="0.35">
      <c r="A23" s="3319" t="s">
        <v>1382</v>
      </c>
      <c r="B23" s="763">
        <f t="shared" si="6"/>
        <v>0</v>
      </c>
      <c r="C23" s="775">
        <f t="shared" si="7"/>
        <v>0</v>
      </c>
      <c r="D23" s="10">
        <f t="shared" si="7"/>
        <v>0</v>
      </c>
      <c r="E23" s="192"/>
      <c r="F23" s="2"/>
      <c r="G23" s="192"/>
      <c r="H23" s="2"/>
      <c r="I23" s="192"/>
      <c r="J23" s="383"/>
      <c r="K23" s="482"/>
      <c r="L23" s="2"/>
      <c r="M23" s="192"/>
      <c r="N23" s="2"/>
      <c r="O23" s="192"/>
      <c r="P23" s="2"/>
      <c r="Q23" s="192"/>
      <c r="R23" s="2"/>
      <c r="S23" s="192"/>
      <c r="T23" s="2"/>
      <c r="U23" s="192"/>
      <c r="V23" s="2"/>
      <c r="W23" s="192"/>
      <c r="X23" s="2"/>
      <c r="Y23" s="192"/>
      <c r="Z23" s="2"/>
      <c r="AA23" s="192"/>
      <c r="AB23" s="2"/>
      <c r="AC23" s="192"/>
      <c r="AD23" s="2"/>
      <c r="AE23" s="192"/>
      <c r="AF23" s="2"/>
      <c r="AG23" s="192"/>
      <c r="AH23" s="2"/>
      <c r="AI23" s="192"/>
      <c r="AJ23" s="2"/>
      <c r="AK23" s="192"/>
      <c r="AL23" s="376"/>
      <c r="AM23" s="482"/>
      <c r="AN23" s="594"/>
      <c r="AO23" s="594"/>
      <c r="AP23" s="594"/>
      <c r="AQ23" s="1914"/>
      <c r="AR23" s="898"/>
      <c r="AS23" s="3311" t="str">
        <f t="shared" si="9"/>
        <v/>
      </c>
      <c r="AT23" s="3312"/>
      <c r="AU23" s="3312"/>
      <c r="AV23" s="3312"/>
      <c r="AW23" s="3312"/>
      <c r="AX23" s="3312"/>
      <c r="AY23" s="3312"/>
      <c r="AZ23" s="1873"/>
      <c r="BA23" s="1873"/>
      <c r="BB23" s="1873"/>
      <c r="BC23" s="1873"/>
      <c r="BD23" s="1873"/>
      <c r="BE23" s="1873"/>
      <c r="BF23" s="1873"/>
      <c r="BG23" s="1873"/>
      <c r="BH23" s="1873"/>
      <c r="BI23" s="1873"/>
      <c r="CA23" s="432" t="str">
        <f t="shared" si="19"/>
        <v/>
      </c>
      <c r="CB23" s="432" t="str">
        <f t="shared" si="20"/>
        <v/>
      </c>
      <c r="CC23" s="432" t="str">
        <f t="shared" si="10"/>
        <v/>
      </c>
      <c r="CD23" s="432" t="str">
        <f>IF(AND($B23&gt;0,AP23="")," * No olvide digitar la variable "&amp;AP$17&amp;""&amp;". Digite CERO si no tiene",IF(AP23&gt;$B23," * La variable "&amp;AP$17&amp;""&amp;" No puede ser mayor al Total.",""))</f>
        <v/>
      </c>
      <c r="CE23" s="432" t="str">
        <f t="shared" si="11"/>
        <v/>
      </c>
      <c r="CF23" s="432" t="str">
        <f t="shared" si="12"/>
        <v/>
      </c>
      <c r="CM23" s="180">
        <f t="shared" si="13"/>
        <v>0</v>
      </c>
      <c r="CN23" s="180">
        <f t="shared" si="14"/>
        <v>0</v>
      </c>
      <c r="CO23" s="180">
        <f t="shared" si="15"/>
        <v>0</v>
      </c>
      <c r="CP23" s="180">
        <f t="shared" si="16"/>
        <v>0</v>
      </c>
      <c r="CQ23" s="180">
        <f t="shared" si="17"/>
        <v>0</v>
      </c>
      <c r="CR23" s="3026">
        <f t="shared" si="18"/>
        <v>0</v>
      </c>
    </row>
    <row r="24" spans="1:97" ht="15" customHeight="1" thickTop="1" x14ac:dyDescent="0.3">
      <c r="A24" s="319" t="s">
        <v>1383</v>
      </c>
      <c r="B24" s="3320">
        <f t="shared" si="6"/>
        <v>0</v>
      </c>
      <c r="C24" s="3321">
        <f t="shared" si="7"/>
        <v>0</v>
      </c>
      <c r="D24" s="3322">
        <f t="shared" si="7"/>
        <v>0</v>
      </c>
      <c r="E24" s="3323"/>
      <c r="F24" s="3324"/>
      <c r="G24" s="3323"/>
      <c r="H24" s="3324"/>
      <c r="I24" s="3323"/>
      <c r="J24" s="3325"/>
      <c r="K24" s="3326"/>
      <c r="L24" s="3324"/>
      <c r="M24" s="3323"/>
      <c r="N24" s="3324"/>
      <c r="O24" s="3323"/>
      <c r="P24" s="3324"/>
      <c r="Q24" s="3323"/>
      <c r="R24" s="3324"/>
      <c r="S24" s="3323"/>
      <c r="T24" s="3324"/>
      <c r="U24" s="3323"/>
      <c r="V24" s="3324"/>
      <c r="W24" s="3323"/>
      <c r="X24" s="3324"/>
      <c r="Y24" s="3323"/>
      <c r="Z24" s="3324"/>
      <c r="AA24" s="3323"/>
      <c r="AB24" s="3324"/>
      <c r="AC24" s="3323"/>
      <c r="AD24" s="3324"/>
      <c r="AE24" s="3323"/>
      <c r="AF24" s="3324"/>
      <c r="AG24" s="3323"/>
      <c r="AH24" s="3324"/>
      <c r="AI24" s="3323"/>
      <c r="AJ24" s="3324"/>
      <c r="AK24" s="3323"/>
      <c r="AL24" s="3327"/>
      <c r="AM24" s="3326"/>
      <c r="AN24" s="3328"/>
      <c r="AO24" s="3329"/>
      <c r="AP24" s="3330"/>
      <c r="AQ24" s="3328"/>
      <c r="AR24" s="3324"/>
      <c r="AS24" s="3311" t="str">
        <f t="shared" si="9"/>
        <v/>
      </c>
      <c r="AT24" s="3312"/>
      <c r="AU24" s="3312"/>
      <c r="AV24" s="3312"/>
      <c r="AW24" s="3312"/>
      <c r="AX24" s="3312"/>
      <c r="AY24" s="3312"/>
      <c r="AZ24" s="1873"/>
      <c r="BA24" s="1873"/>
      <c r="BB24" s="1873"/>
      <c r="BC24" s="1873"/>
      <c r="BD24" s="1873"/>
      <c r="BE24" s="1873"/>
      <c r="BF24" s="1873"/>
      <c r="BG24" s="1873"/>
      <c r="BH24" s="1873"/>
      <c r="BI24" s="1873"/>
      <c r="CA24" s="432" t="str">
        <f>IF(AND($B24&gt;0,AM24="")," * No olvide digitar la variable "&amp;AM$17&amp;""&amp;". Digite CERO si no tiene",IF(AM24&gt;$B24," * La variable "&amp;AM$17&amp;""&amp;" No puede ser mayor al Total.",""))</f>
        <v/>
      </c>
      <c r="CB24" s="432" t="str">
        <f>IF(AND($B24&gt;0,AN24="")," * No olvide digitar la variable "&amp;AN$17&amp;""&amp;". Digite CERO si no tiene",IF(AN24&gt;$B24," * La variable "&amp;AN$17&amp;""&amp;" No puede ser mayor al Total.",""))</f>
        <v/>
      </c>
      <c r="CC24" s="433"/>
      <c r="CD24" s="433"/>
      <c r="CE24" s="432" t="str">
        <f>IF(AND($B24&gt;0,AQ24="")," * No olvide digitar la variable "&amp;AQ$17&amp;""&amp;" Otros Establecimientos de la Red. Digite CERO si no tiene",IF(AQ24&gt;$B24," * La variable "&amp;AQ$17&amp;""&amp;" Otros Establecimientos de la Red No puede ser mayor al Total.",""))</f>
        <v/>
      </c>
      <c r="CF24" s="432" t="str">
        <f>IF(AND($B24&gt;0,AR24="")," * No olvide digitar la variable "&amp;AR$17&amp;""&amp;". Digite CERO si no tiene",IF(AR24&gt;$B24," * La variable "&amp;AR$17&amp;""&amp;" No puede ser mayor al Total.",""))</f>
        <v/>
      </c>
      <c r="CM24" s="180">
        <f t="shared" si="13"/>
        <v>0</v>
      </c>
      <c r="CN24" s="180">
        <f t="shared" si="14"/>
        <v>0</v>
      </c>
      <c r="CO24" s="433"/>
      <c r="CP24" s="433"/>
      <c r="CQ24" s="180">
        <f t="shared" si="17"/>
        <v>0</v>
      </c>
      <c r="CR24" s="3026">
        <f t="shared" si="18"/>
        <v>0</v>
      </c>
    </row>
    <row r="25" spans="1:97" ht="15" customHeight="1" x14ac:dyDescent="0.3">
      <c r="A25" s="361" t="s">
        <v>1384</v>
      </c>
      <c r="B25" s="760">
        <f t="shared" si="6"/>
        <v>0</v>
      </c>
      <c r="C25" s="774">
        <f t="shared" si="7"/>
        <v>0</v>
      </c>
      <c r="D25" s="345">
        <f t="shared" si="7"/>
        <v>0</v>
      </c>
      <c r="E25" s="346"/>
      <c r="F25" s="347"/>
      <c r="G25" s="346"/>
      <c r="H25" s="347"/>
      <c r="I25" s="346"/>
      <c r="J25" s="350"/>
      <c r="K25" s="348"/>
      <c r="L25" s="347"/>
      <c r="M25" s="346"/>
      <c r="N25" s="347"/>
      <c r="O25" s="346"/>
      <c r="P25" s="347"/>
      <c r="Q25" s="346"/>
      <c r="R25" s="347"/>
      <c r="S25" s="346"/>
      <c r="T25" s="347"/>
      <c r="U25" s="346"/>
      <c r="V25" s="347"/>
      <c r="W25" s="346"/>
      <c r="X25" s="347"/>
      <c r="Y25" s="346"/>
      <c r="Z25" s="347"/>
      <c r="AA25" s="346"/>
      <c r="AB25" s="347"/>
      <c r="AC25" s="346"/>
      <c r="AD25" s="347"/>
      <c r="AE25" s="346"/>
      <c r="AF25" s="347"/>
      <c r="AG25" s="346"/>
      <c r="AH25" s="347"/>
      <c r="AI25" s="346"/>
      <c r="AJ25" s="347"/>
      <c r="AK25" s="346"/>
      <c r="AL25" s="481"/>
      <c r="AM25" s="348"/>
      <c r="AN25" s="369"/>
      <c r="AO25" s="524"/>
      <c r="AP25" s="524"/>
      <c r="AQ25" s="1973"/>
      <c r="AR25" s="330"/>
      <c r="AS25" s="3311" t="str">
        <f t="shared" si="9"/>
        <v/>
      </c>
      <c r="AT25" s="3312"/>
      <c r="AU25" s="3312"/>
      <c r="AV25" s="3312"/>
      <c r="AW25" s="3312"/>
      <c r="AX25" s="3312"/>
      <c r="AY25" s="3312"/>
      <c r="AZ25" s="1873"/>
      <c r="BA25" s="1873"/>
      <c r="BB25" s="1873"/>
      <c r="BC25" s="1873"/>
      <c r="BD25" s="1873"/>
      <c r="BE25" s="1873"/>
      <c r="BF25" s="1873"/>
      <c r="BG25" s="1873"/>
      <c r="BH25" s="1873"/>
      <c r="BI25" s="1873"/>
      <c r="CA25" s="432" t="str">
        <f t="shared" ref="CA25" si="21">IF(AND($B25&gt;0,AM25="")," * No olvide digitar la variable "&amp;AM$17&amp;""&amp;". Digite CERO si no tiene",IF(AM25&gt;$B25," * La variable "&amp;AM$17&amp;""&amp;" No puede ser mayor al Total.",""))</f>
        <v/>
      </c>
      <c r="CB25" s="432" t="str">
        <f>IF(AND($B25&gt;0,AN25="")," * No olvide digitar la variable "&amp;AN$17&amp;""&amp;". Digite CERO si no tiene",IF(AN25&gt;$B25," * La variable "&amp;AN$17&amp;""&amp;" No puede ser mayor al Total.",""))</f>
        <v/>
      </c>
      <c r="CC25" s="433"/>
      <c r="CD25" s="433"/>
      <c r="CE25" s="432" t="str">
        <f t="shared" ref="CE25" si="22">IF(AND($B25&gt;0,AQ25="")," * No olvide digitar la variable "&amp;AQ$17&amp;""&amp;" Otros Establecimientos de la Red. Digite CERO si no tiene",IF(AQ25&gt;$B25," * La variable "&amp;AQ$17&amp;""&amp;" Otros Establecimientos de la Red No puede ser mayor al Total.",""))</f>
        <v/>
      </c>
      <c r="CF25" s="432" t="str">
        <f t="shared" ref="CF25:CF26" si="23">IF(AND($B25&gt;0,AR25="")," * No olvide digitar la variable "&amp;AR$17&amp;""&amp;". Digite CERO si no tiene",IF(AR25&gt;$B25," * La variable "&amp;AR$17&amp;""&amp;" No puede ser mayor al Total.",""))</f>
        <v/>
      </c>
      <c r="CM25" s="180">
        <f t="shared" si="13"/>
        <v>0</v>
      </c>
      <c r="CN25" s="180">
        <f t="shared" si="14"/>
        <v>0</v>
      </c>
      <c r="CO25" s="433"/>
      <c r="CP25" s="433"/>
      <c r="CQ25" s="180">
        <f t="shared" si="17"/>
        <v>0</v>
      </c>
      <c r="CR25" s="3026">
        <f t="shared" si="18"/>
        <v>0</v>
      </c>
    </row>
    <row r="26" spans="1:97" ht="15" customHeight="1" x14ac:dyDescent="0.3">
      <c r="A26" s="3331" t="s">
        <v>1385</v>
      </c>
      <c r="B26" s="317">
        <f t="shared" si="6"/>
        <v>0</v>
      </c>
      <c r="C26" s="2233">
        <f t="shared" si="7"/>
        <v>0</v>
      </c>
      <c r="D26" s="896">
        <f t="shared" si="7"/>
        <v>0</v>
      </c>
      <c r="E26" s="1289"/>
      <c r="F26" s="3301"/>
      <c r="G26" s="1289"/>
      <c r="H26" s="3301"/>
      <c r="I26" s="1289"/>
      <c r="J26" s="311"/>
      <c r="K26" s="3332"/>
      <c r="L26" s="3301"/>
      <c r="M26" s="1289"/>
      <c r="N26" s="3301"/>
      <c r="O26" s="1289"/>
      <c r="P26" s="3301"/>
      <c r="Q26" s="1289"/>
      <c r="R26" s="3301"/>
      <c r="S26" s="1289"/>
      <c r="T26" s="3301"/>
      <c r="U26" s="1289"/>
      <c r="V26" s="3301"/>
      <c r="W26" s="1289"/>
      <c r="X26" s="3301"/>
      <c r="Y26" s="1289"/>
      <c r="Z26" s="3301"/>
      <c r="AA26" s="1289"/>
      <c r="AB26" s="3301"/>
      <c r="AC26" s="1289"/>
      <c r="AD26" s="3301"/>
      <c r="AE26" s="1289"/>
      <c r="AF26" s="3301"/>
      <c r="AG26" s="1289"/>
      <c r="AH26" s="3301"/>
      <c r="AI26" s="1289"/>
      <c r="AJ26" s="3301"/>
      <c r="AK26" s="1289"/>
      <c r="AL26" s="1475"/>
      <c r="AM26" s="3332"/>
      <c r="AN26" s="262"/>
      <c r="AO26" s="293"/>
      <c r="AP26" s="293"/>
      <c r="AQ26" s="1914"/>
      <c r="AR26" s="898"/>
      <c r="AS26" s="3311" t="str">
        <f t="shared" si="9"/>
        <v/>
      </c>
      <c r="AT26" s="3312"/>
      <c r="AU26" s="3312"/>
      <c r="AV26" s="3312"/>
      <c r="AW26" s="3312"/>
      <c r="AX26" s="3312"/>
      <c r="AY26" s="3312"/>
      <c r="AZ26" s="1873"/>
      <c r="BA26" s="1873"/>
      <c r="BB26" s="1873"/>
      <c r="BC26" s="1873"/>
      <c r="BD26" s="1873"/>
      <c r="BE26" s="1873"/>
      <c r="BF26" s="1873"/>
      <c r="BG26" s="1873"/>
      <c r="BH26" s="1873"/>
      <c r="BI26" s="1873"/>
      <c r="CA26" s="432" t="str">
        <f>IF(AND($B26&gt;0,AM26="")," * No olvide digitar la variable "&amp;AM$17&amp;""&amp;". Digite CERO si no tiene",IF(AM26&gt;$B26," * La variable "&amp;AM$17&amp;""&amp;" No puede ser mayor al Total.",""))</f>
        <v/>
      </c>
      <c r="CB26" s="432" t="str">
        <f>IF(AND($B26&gt;0,AN26="")," * No olvide digitar la variable "&amp;AN$17&amp;""&amp;". Digite CERO si no tiene",IF(AN26&gt;$B26," * La variable "&amp;AN$17&amp;""&amp;" No puede ser mayor al Total.",""))</f>
        <v/>
      </c>
      <c r="CC26" s="433"/>
      <c r="CD26" s="433"/>
      <c r="CE26" s="432" t="str">
        <f>IF(AND($B26&gt;0,AQ26="")," * No olvide digitar la variable "&amp;AQ$17&amp;""&amp;" Otros Establecimientos de la Red. Digite CERO si no tiene",IF(AQ26&gt;$B26," * La variable "&amp;AQ$17&amp;""&amp;" Otros Establecimientos de la Red No puede ser mayor al Total.",""))</f>
        <v/>
      </c>
      <c r="CF26" s="432" t="str">
        <f t="shared" si="23"/>
        <v/>
      </c>
      <c r="CM26" s="180">
        <f t="shared" ref="CM26" si="24">IF(AND($B26&gt;0,AM26=""),1,IF(AM26&gt;$B26,1,0))</f>
        <v>0</v>
      </c>
      <c r="CN26" s="180">
        <f t="shared" ref="CN26" si="25">IF(AND($B26&gt;0,AN26=""),1,IF(AN26&gt;$B26,1,0))</f>
        <v>0</v>
      </c>
      <c r="CO26" s="433"/>
      <c r="CP26" s="433"/>
      <c r="CQ26" s="180">
        <f t="shared" ref="CQ26" si="26">IF(AND($B26&gt;0,AQ26=""),1,IF(AQ26&gt;$B26,1,0))</f>
        <v>0</v>
      </c>
      <c r="CR26" s="3026">
        <f t="shared" ref="CR26" si="27">IF(AND($B26&gt;0,AR26=""),1,IF(AR26&gt;$B26,1,0))</f>
        <v>0</v>
      </c>
    </row>
    <row r="27" spans="1:97" s="8" customFormat="1" ht="18" customHeight="1" x14ac:dyDescent="0.2">
      <c r="A27" s="6624" t="s">
        <v>1386</v>
      </c>
      <c r="B27" s="6624"/>
      <c r="C27" s="6624"/>
      <c r="D27" s="6624"/>
      <c r="E27" s="6624"/>
      <c r="F27" s="6624"/>
      <c r="G27" s="6624"/>
      <c r="H27" s="6624"/>
      <c r="I27" s="1"/>
      <c r="J27" s="1"/>
      <c r="K27" s="1"/>
      <c r="L27" s="1"/>
      <c r="M27" s="1"/>
      <c r="N27" s="1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884"/>
      <c r="AN27" s="5"/>
      <c r="AO27" s="60"/>
      <c r="AP27" s="60"/>
      <c r="AQ27" s="3333"/>
      <c r="AR27" s="3334"/>
      <c r="AS27" s="3334"/>
      <c r="AT27" s="3334"/>
      <c r="AU27" s="3334"/>
      <c r="AV27" s="3334"/>
      <c r="AW27" s="3334"/>
      <c r="AX27" s="3334"/>
      <c r="AY27" s="3334"/>
      <c r="AZ27" s="5"/>
      <c r="BA27" s="5"/>
      <c r="BB27" s="5"/>
      <c r="BC27" s="5"/>
      <c r="BD27" s="5"/>
      <c r="BE27" s="5"/>
      <c r="BF27" s="5"/>
      <c r="BG27" s="5"/>
      <c r="BH27" s="5"/>
      <c r="BI27" s="5"/>
      <c r="BV27" s="5"/>
      <c r="BW27" s="5"/>
      <c r="BX27" s="3335"/>
      <c r="BY27" s="3335"/>
    </row>
    <row r="28" spans="1:97" ht="16.350000000000001" customHeight="1" x14ac:dyDescent="0.25">
      <c r="A28" s="6307" t="s">
        <v>27</v>
      </c>
      <c r="B28" s="5944" t="s">
        <v>1363</v>
      </c>
      <c r="C28" s="6242"/>
      <c r="D28" s="6243"/>
      <c r="E28" s="6436" t="s">
        <v>1364</v>
      </c>
      <c r="F28" s="6247"/>
      <c r="G28" s="6247"/>
      <c r="H28" s="6247"/>
      <c r="I28" s="6247"/>
      <c r="J28" s="6247"/>
      <c r="K28" s="6247"/>
      <c r="L28" s="6247"/>
      <c r="M28" s="6247"/>
      <c r="N28" s="6247"/>
      <c r="O28" s="6247"/>
      <c r="P28" s="6247"/>
      <c r="Q28" s="6247"/>
      <c r="R28" s="6247"/>
      <c r="S28" s="6247"/>
      <c r="T28" s="6247"/>
      <c r="U28" s="6247"/>
      <c r="V28" s="6247"/>
      <c r="W28" s="6247"/>
      <c r="X28" s="6247"/>
      <c r="Y28" s="6247"/>
      <c r="Z28" s="6247"/>
      <c r="AA28" s="6247"/>
      <c r="AB28" s="6247"/>
      <c r="AC28" s="6247"/>
      <c r="AD28" s="6247"/>
      <c r="AE28" s="6247"/>
      <c r="AF28" s="6247"/>
      <c r="AG28" s="6247"/>
      <c r="AH28" s="6247"/>
      <c r="AI28" s="6247"/>
      <c r="AJ28" s="6247"/>
      <c r="AK28" s="6247"/>
      <c r="AL28" s="6187"/>
      <c r="AM28" s="6224" t="s">
        <v>597</v>
      </c>
      <c r="AN28" s="6243" t="s">
        <v>1367</v>
      </c>
      <c r="AO28" s="3336"/>
      <c r="AP28" s="3336"/>
      <c r="AQ28" s="3311"/>
      <c r="AR28" s="3312"/>
      <c r="AS28" s="3312"/>
      <c r="AT28" s="3312"/>
      <c r="AU28" s="3312"/>
      <c r="AV28" s="3312"/>
      <c r="AW28" s="3312"/>
      <c r="AX28" s="3312"/>
      <c r="AY28" s="3312"/>
      <c r="AZ28" s="1873"/>
      <c r="BA28" s="1873"/>
      <c r="BB28" s="1873"/>
      <c r="BC28" s="1873"/>
      <c r="BD28" s="1873"/>
      <c r="BE28" s="1873"/>
      <c r="BF28" s="1873"/>
      <c r="BG28" s="1873"/>
      <c r="BH28" s="1873"/>
      <c r="BI28" s="1873"/>
    </row>
    <row r="29" spans="1:97" ht="16.350000000000001" customHeight="1" x14ac:dyDescent="0.25">
      <c r="A29" s="6559"/>
      <c r="B29" s="6466"/>
      <c r="C29" s="6467"/>
      <c r="D29" s="6468"/>
      <c r="E29" s="6436" t="s">
        <v>1387</v>
      </c>
      <c r="F29" s="6183"/>
      <c r="G29" s="6436" t="s">
        <v>1388</v>
      </c>
      <c r="H29" s="6183"/>
      <c r="I29" s="6436" t="s">
        <v>1389</v>
      </c>
      <c r="J29" s="6183"/>
      <c r="K29" s="6436" t="s">
        <v>1390</v>
      </c>
      <c r="L29" s="6183"/>
      <c r="M29" s="6436" t="s">
        <v>1391</v>
      </c>
      <c r="N29" s="6183"/>
      <c r="O29" s="6437" t="s">
        <v>1392</v>
      </c>
      <c r="P29" s="6180"/>
      <c r="Q29" s="6437" t="s">
        <v>1393</v>
      </c>
      <c r="R29" s="6180"/>
      <c r="S29" s="6437" t="s">
        <v>1394</v>
      </c>
      <c r="T29" s="6180"/>
      <c r="U29" s="6437" t="s">
        <v>1395</v>
      </c>
      <c r="V29" s="6180"/>
      <c r="W29" s="6437" t="s">
        <v>1396</v>
      </c>
      <c r="X29" s="6180"/>
      <c r="Y29" s="6437" t="s">
        <v>1397</v>
      </c>
      <c r="Z29" s="6180"/>
      <c r="AA29" s="6437" t="s">
        <v>1398</v>
      </c>
      <c r="AB29" s="6180"/>
      <c r="AC29" s="6437" t="s">
        <v>1399</v>
      </c>
      <c r="AD29" s="6180"/>
      <c r="AE29" s="6437" t="s">
        <v>1400</v>
      </c>
      <c r="AF29" s="6180"/>
      <c r="AG29" s="6437" t="s">
        <v>1401</v>
      </c>
      <c r="AH29" s="6180"/>
      <c r="AI29" s="6437" t="s">
        <v>1402</v>
      </c>
      <c r="AJ29" s="6180"/>
      <c r="AK29" s="6437" t="s">
        <v>1403</v>
      </c>
      <c r="AL29" s="6179"/>
      <c r="AM29" s="5837"/>
      <c r="AN29" s="5759"/>
      <c r="AO29" s="3336"/>
      <c r="AP29" s="3336"/>
      <c r="AQ29" s="3311"/>
      <c r="AR29" s="3312"/>
      <c r="AS29" s="3312"/>
      <c r="AT29" s="3312"/>
      <c r="AU29" s="3312"/>
      <c r="AV29" s="3312"/>
      <c r="AW29" s="3312"/>
      <c r="AX29" s="3312"/>
      <c r="AY29" s="3312"/>
      <c r="AZ29" s="1873"/>
      <c r="BA29" s="1873"/>
      <c r="BB29" s="1873"/>
      <c r="BC29" s="1873"/>
      <c r="BD29" s="1873"/>
      <c r="BE29" s="1873"/>
      <c r="BF29" s="1873"/>
      <c r="BG29" s="1873"/>
      <c r="BH29" s="1873"/>
      <c r="BI29" s="1873"/>
    </row>
    <row r="30" spans="1:97" ht="16.350000000000001" customHeight="1" x14ac:dyDescent="0.25">
      <c r="A30" s="6482"/>
      <c r="B30" s="889" t="s">
        <v>79</v>
      </c>
      <c r="C30" s="3307" t="s">
        <v>461</v>
      </c>
      <c r="D30" s="90" t="s">
        <v>59</v>
      </c>
      <c r="E30" s="1824" t="s">
        <v>461</v>
      </c>
      <c r="F30" s="1841" t="s">
        <v>59</v>
      </c>
      <c r="G30" s="1824" t="s">
        <v>461</v>
      </c>
      <c r="H30" s="1841" t="s">
        <v>59</v>
      </c>
      <c r="I30" s="1824" t="s">
        <v>461</v>
      </c>
      <c r="J30" s="1841" t="s">
        <v>59</v>
      </c>
      <c r="K30" s="1824" t="s">
        <v>461</v>
      </c>
      <c r="L30" s="1841" t="s">
        <v>59</v>
      </c>
      <c r="M30" s="1824" t="s">
        <v>461</v>
      </c>
      <c r="N30" s="1841" t="s">
        <v>59</v>
      </c>
      <c r="O30" s="1824" t="s">
        <v>461</v>
      </c>
      <c r="P30" s="1841" t="s">
        <v>59</v>
      </c>
      <c r="Q30" s="1824" t="s">
        <v>461</v>
      </c>
      <c r="R30" s="1841" t="s">
        <v>59</v>
      </c>
      <c r="S30" s="1824" t="s">
        <v>461</v>
      </c>
      <c r="T30" s="1841" t="s">
        <v>59</v>
      </c>
      <c r="U30" s="1824" t="s">
        <v>461</v>
      </c>
      <c r="V30" s="1841" t="s">
        <v>59</v>
      </c>
      <c r="W30" s="1824" t="s">
        <v>461</v>
      </c>
      <c r="X30" s="1841" t="s">
        <v>59</v>
      </c>
      <c r="Y30" s="1824" t="s">
        <v>461</v>
      </c>
      <c r="Z30" s="1841" t="s">
        <v>59</v>
      </c>
      <c r="AA30" s="1824" t="s">
        <v>461</v>
      </c>
      <c r="AB30" s="1841" t="s">
        <v>59</v>
      </c>
      <c r="AC30" s="1824" t="s">
        <v>461</v>
      </c>
      <c r="AD30" s="1841" t="s">
        <v>59</v>
      </c>
      <c r="AE30" s="1824" t="s">
        <v>461</v>
      </c>
      <c r="AF30" s="1841" t="s">
        <v>59</v>
      </c>
      <c r="AG30" s="1824" t="s">
        <v>461</v>
      </c>
      <c r="AH30" s="1841" t="s">
        <v>59</v>
      </c>
      <c r="AI30" s="1824" t="s">
        <v>461</v>
      </c>
      <c r="AJ30" s="1841" t="s">
        <v>59</v>
      </c>
      <c r="AK30" s="1824" t="s">
        <v>461</v>
      </c>
      <c r="AL30" s="1758" t="s">
        <v>59</v>
      </c>
      <c r="AM30" s="6626"/>
      <c r="AN30" s="6468"/>
      <c r="AO30" s="3336"/>
      <c r="AP30" s="3336"/>
      <c r="AQ30" s="3311"/>
      <c r="AR30" s="3312"/>
      <c r="AS30" s="3312"/>
      <c r="AT30" s="3312"/>
      <c r="AU30" s="3312"/>
      <c r="AV30" s="3312"/>
      <c r="AW30" s="3312"/>
      <c r="AX30" s="3312"/>
      <c r="AY30" s="3312"/>
      <c r="AZ30" s="1873"/>
      <c r="BA30" s="1873"/>
      <c r="BB30" s="1873"/>
      <c r="BC30" s="1873"/>
      <c r="BD30" s="1873"/>
      <c r="BE30" s="1873"/>
      <c r="BF30" s="1873"/>
      <c r="BG30" s="1873"/>
      <c r="BH30" s="1873"/>
      <c r="BI30" s="1873"/>
    </row>
    <row r="31" spans="1:97" ht="15" customHeight="1" x14ac:dyDescent="0.25">
      <c r="A31" s="3318" t="s">
        <v>959</v>
      </c>
      <c r="B31" s="3337">
        <f t="shared" ref="B31:B36" si="28">SUM(C31+D31)</f>
        <v>0</v>
      </c>
      <c r="C31" s="769">
        <f t="shared" ref="C31:D36" si="29">SUM(E31+G31+I31+K31+M31+O31+Q31+S31+U31+W31+Y31+AA31+AC31+AE31+AG31+AI31+AK31)</f>
        <v>0</v>
      </c>
      <c r="D31" s="621">
        <f t="shared" si="29"/>
        <v>0</v>
      </c>
      <c r="E31" s="290"/>
      <c r="F31" s="107"/>
      <c r="G31" s="290"/>
      <c r="H31" s="107"/>
      <c r="I31" s="290"/>
      <c r="J31" s="637"/>
      <c r="K31" s="290"/>
      <c r="L31" s="637"/>
      <c r="M31" s="290"/>
      <c r="N31" s="637"/>
      <c r="O31" s="245"/>
      <c r="P31" s="637"/>
      <c r="Q31" s="245"/>
      <c r="R31" s="637"/>
      <c r="S31" s="245"/>
      <c r="T31" s="637"/>
      <c r="U31" s="245"/>
      <c r="V31" s="637"/>
      <c r="W31" s="245"/>
      <c r="X31" s="637"/>
      <c r="Y31" s="245"/>
      <c r="Z31" s="637"/>
      <c r="AA31" s="245"/>
      <c r="AB31" s="637"/>
      <c r="AC31" s="245"/>
      <c r="AD31" s="637"/>
      <c r="AE31" s="245"/>
      <c r="AF31" s="637"/>
      <c r="AG31" s="245"/>
      <c r="AH31" s="637"/>
      <c r="AI31" s="245"/>
      <c r="AJ31" s="637"/>
      <c r="AK31" s="245"/>
      <c r="AL31" s="431"/>
      <c r="AM31" s="22"/>
      <c r="AN31" s="576"/>
      <c r="AO31" s="3336" t="str">
        <f>CA31&amp;CB31</f>
        <v/>
      </c>
      <c r="AP31" s="3336"/>
      <c r="AQ31" s="3311"/>
      <c r="AR31" s="3312"/>
      <c r="AS31" s="3312"/>
      <c r="AT31" s="3312"/>
      <c r="AU31" s="3312"/>
      <c r="AV31" s="3312"/>
      <c r="AW31" s="3312"/>
      <c r="AX31" s="3312"/>
      <c r="AY31" s="3312"/>
      <c r="AZ31" s="1873"/>
      <c r="BA31" s="1873"/>
      <c r="BB31" s="1873"/>
      <c r="BC31" s="1873"/>
      <c r="BD31" s="1873"/>
      <c r="BE31" s="1873"/>
      <c r="BF31" s="1873"/>
      <c r="BG31" s="1873"/>
      <c r="BH31" s="1873"/>
      <c r="BI31" s="1873"/>
      <c r="CA31" s="432" t="str">
        <f>IF(AND($B31&gt;0,AM31="")," * No olvide digitar la variable "&amp;AM$28&amp;""&amp;". Digite CERO si no tiene",IF(AM31&gt;$B31," * La variable "&amp;AM$28&amp;""&amp;" No puede ser mayor al Total.",""))</f>
        <v/>
      </c>
      <c r="CB31" s="432" t="str">
        <f>IF(AND($B31&gt;0,AN31="")," * No olvide digitar la variable "&amp;AN$28&amp;""&amp;". Digite CERO si no tiene",IF(B31&gt;AN31," * La variable "&amp;AN$28&amp;""&amp;" No puede ser menor al Total.",""))</f>
        <v/>
      </c>
      <c r="CM31" s="180">
        <f>IF(AND($B31&gt;0,AM31=""),1,IF(AM31&gt;$B31,1,0))</f>
        <v>0</v>
      </c>
      <c r="CN31" s="180">
        <f>IF(AND($B31&gt;0,AN31=""),1,IF(B31&gt;$AN31,1,0))</f>
        <v>0</v>
      </c>
    </row>
    <row r="32" spans="1:97" ht="15" customHeight="1" x14ac:dyDescent="0.25">
      <c r="A32" s="361" t="s">
        <v>1404</v>
      </c>
      <c r="B32" s="760">
        <f t="shared" si="28"/>
        <v>0</v>
      </c>
      <c r="C32" s="774">
        <f t="shared" si="29"/>
        <v>0</v>
      </c>
      <c r="D32" s="345">
        <f t="shared" si="29"/>
        <v>0</v>
      </c>
      <c r="E32" s="290"/>
      <c r="F32" s="107"/>
      <c r="G32" s="290"/>
      <c r="H32" s="107"/>
      <c r="I32" s="290"/>
      <c r="J32" s="637"/>
      <c r="K32" s="290"/>
      <c r="L32" s="637"/>
      <c r="M32" s="290"/>
      <c r="N32" s="637"/>
      <c r="O32" s="245"/>
      <c r="P32" s="637"/>
      <c r="Q32" s="245"/>
      <c r="R32" s="637"/>
      <c r="S32" s="245"/>
      <c r="T32" s="637"/>
      <c r="U32" s="245"/>
      <c r="V32" s="637"/>
      <c r="W32" s="245"/>
      <c r="X32" s="637"/>
      <c r="Y32" s="245"/>
      <c r="Z32" s="637"/>
      <c r="AA32" s="245"/>
      <c r="AB32" s="637"/>
      <c r="AC32" s="245"/>
      <c r="AD32" s="637"/>
      <c r="AE32" s="245"/>
      <c r="AF32" s="637"/>
      <c r="AG32" s="245"/>
      <c r="AH32" s="637"/>
      <c r="AI32" s="245"/>
      <c r="AJ32" s="637"/>
      <c r="AK32" s="245"/>
      <c r="AL32" s="431"/>
      <c r="AM32" s="22"/>
      <c r="AN32" s="3339"/>
      <c r="AO32" s="3336" t="str">
        <f>CA32</f>
        <v/>
      </c>
      <c r="AP32" s="3336"/>
      <c r="AQ32" s="3311"/>
      <c r="AR32" s="3312"/>
      <c r="AS32" s="3312"/>
      <c r="AT32" s="3312"/>
      <c r="AU32" s="3312"/>
      <c r="AV32" s="3312"/>
      <c r="AW32" s="3312"/>
      <c r="AX32" s="3312"/>
      <c r="AY32" s="3312"/>
      <c r="AZ32" s="1873"/>
      <c r="BA32" s="1873"/>
      <c r="BB32" s="1873"/>
      <c r="BC32" s="1873"/>
      <c r="BD32" s="1873"/>
      <c r="BE32" s="1873"/>
      <c r="BF32" s="1873"/>
      <c r="BG32" s="1873"/>
      <c r="BH32" s="1873"/>
      <c r="BI32" s="1873"/>
      <c r="CA32" s="432" t="str">
        <f t="shared" ref="CA32:CA36" si="30">IF(AND($B32&gt;0,AM32="")," * No olvide digitar la variable "&amp;AM$28&amp;""&amp;". Digite CERO si no tiene",IF(AM32&gt;$B32," * La variable "&amp;AM$28&amp;""&amp;" No puede ser mayor al Total.",""))</f>
        <v/>
      </c>
      <c r="CM32" s="180">
        <f t="shared" ref="CM32:CM35" si="31">IF(AND($B32&gt;0,AM32=""),1,IF(AM32&gt;$B32,1,0))</f>
        <v>0</v>
      </c>
    </row>
    <row r="33" spans="1:92" ht="15" customHeight="1" x14ac:dyDescent="0.25">
      <c r="A33" s="361" t="s">
        <v>1405</v>
      </c>
      <c r="B33" s="760">
        <f t="shared" si="28"/>
        <v>0</v>
      </c>
      <c r="C33" s="774">
        <f t="shared" si="29"/>
        <v>0</v>
      </c>
      <c r="D33" s="345">
        <f t="shared" si="29"/>
        <v>0</v>
      </c>
      <c r="E33" s="346"/>
      <c r="F33" s="347"/>
      <c r="G33" s="346"/>
      <c r="H33" s="347"/>
      <c r="I33" s="346"/>
      <c r="J33" s="350"/>
      <c r="K33" s="346"/>
      <c r="L33" s="350"/>
      <c r="M33" s="346"/>
      <c r="N33" s="350"/>
      <c r="O33" s="351"/>
      <c r="P33" s="350"/>
      <c r="Q33" s="351"/>
      <c r="R33" s="350"/>
      <c r="S33" s="351"/>
      <c r="T33" s="350"/>
      <c r="U33" s="351"/>
      <c r="V33" s="350"/>
      <c r="W33" s="351"/>
      <c r="X33" s="350"/>
      <c r="Y33" s="351"/>
      <c r="Z33" s="350"/>
      <c r="AA33" s="351"/>
      <c r="AB33" s="350"/>
      <c r="AC33" s="351"/>
      <c r="AD33" s="350"/>
      <c r="AE33" s="351"/>
      <c r="AF33" s="350"/>
      <c r="AG33" s="351"/>
      <c r="AH33" s="350"/>
      <c r="AI33" s="351"/>
      <c r="AJ33" s="350"/>
      <c r="AK33" s="351"/>
      <c r="AL33" s="352"/>
      <c r="AM33" s="348"/>
      <c r="AN33" s="3339"/>
      <c r="AO33" s="3336" t="str">
        <f t="shared" ref="AO33:AO36" si="32">CA33</f>
        <v/>
      </c>
      <c r="AP33" s="3336"/>
      <c r="AQ33" s="3311"/>
      <c r="AR33" s="3312"/>
      <c r="AS33" s="3312"/>
      <c r="AT33" s="3312"/>
      <c r="AU33" s="3312"/>
      <c r="AV33" s="3312"/>
      <c r="AW33" s="3312"/>
      <c r="AX33" s="3312"/>
      <c r="AY33" s="3312"/>
      <c r="AZ33" s="1873"/>
      <c r="BA33" s="1873"/>
      <c r="BB33" s="1873"/>
      <c r="BC33" s="1873"/>
      <c r="BD33" s="1873"/>
      <c r="BE33" s="1873"/>
      <c r="BF33" s="1873"/>
      <c r="BG33" s="1873"/>
      <c r="BH33" s="1873"/>
      <c r="BI33" s="1873"/>
      <c r="CA33" s="432" t="str">
        <f t="shared" si="30"/>
        <v/>
      </c>
      <c r="CM33" s="180">
        <f t="shared" si="31"/>
        <v>0</v>
      </c>
    </row>
    <row r="34" spans="1:92" ht="15" customHeight="1" x14ac:dyDescent="0.25">
      <c r="A34" s="361" t="s">
        <v>1406</v>
      </c>
      <c r="B34" s="760">
        <f t="shared" si="28"/>
        <v>0</v>
      </c>
      <c r="C34" s="774">
        <f t="shared" si="29"/>
        <v>0</v>
      </c>
      <c r="D34" s="345">
        <f t="shared" si="29"/>
        <v>0</v>
      </c>
      <c r="E34" s="346"/>
      <c r="F34" s="347"/>
      <c r="G34" s="346"/>
      <c r="H34" s="347"/>
      <c r="I34" s="346"/>
      <c r="J34" s="350"/>
      <c r="K34" s="346"/>
      <c r="L34" s="350"/>
      <c r="M34" s="346"/>
      <c r="N34" s="350"/>
      <c r="O34" s="351"/>
      <c r="P34" s="350"/>
      <c r="Q34" s="351"/>
      <c r="R34" s="350"/>
      <c r="S34" s="351"/>
      <c r="T34" s="350"/>
      <c r="U34" s="351"/>
      <c r="V34" s="350"/>
      <c r="W34" s="351"/>
      <c r="X34" s="350"/>
      <c r="Y34" s="351"/>
      <c r="Z34" s="350"/>
      <c r="AA34" s="351"/>
      <c r="AB34" s="350"/>
      <c r="AC34" s="351"/>
      <c r="AD34" s="350"/>
      <c r="AE34" s="351"/>
      <c r="AF34" s="350"/>
      <c r="AG34" s="351"/>
      <c r="AH34" s="350"/>
      <c r="AI34" s="351"/>
      <c r="AJ34" s="350"/>
      <c r="AK34" s="351"/>
      <c r="AL34" s="352"/>
      <c r="AM34" s="348"/>
      <c r="AN34" s="3339"/>
      <c r="AO34" s="3336" t="str">
        <f t="shared" si="32"/>
        <v/>
      </c>
      <c r="AP34" s="3336"/>
      <c r="AQ34" s="3311"/>
      <c r="AR34" s="3312"/>
      <c r="AS34" s="3312"/>
      <c r="AT34" s="3312"/>
      <c r="AU34" s="3312"/>
      <c r="AV34" s="3312"/>
      <c r="AW34" s="3312"/>
      <c r="AX34" s="3312"/>
      <c r="AY34" s="3312"/>
      <c r="AZ34" s="1873"/>
      <c r="BA34" s="1873"/>
      <c r="BB34" s="1873"/>
      <c r="BC34" s="1873"/>
      <c r="BD34" s="1873"/>
      <c r="BE34" s="1873"/>
      <c r="BF34" s="1873"/>
      <c r="BG34" s="1873"/>
      <c r="BH34" s="1873"/>
      <c r="BI34" s="1873"/>
      <c r="CA34" s="432" t="str">
        <f t="shared" si="30"/>
        <v/>
      </c>
      <c r="CM34" s="180">
        <f t="shared" si="31"/>
        <v>0</v>
      </c>
    </row>
    <row r="35" spans="1:92" ht="15" customHeight="1" x14ac:dyDescent="0.25">
      <c r="A35" s="361" t="s">
        <v>99</v>
      </c>
      <c r="B35" s="760">
        <f t="shared" si="28"/>
        <v>0</v>
      </c>
      <c r="C35" s="774">
        <f t="shared" si="29"/>
        <v>0</v>
      </c>
      <c r="D35" s="345">
        <f t="shared" si="29"/>
        <v>0</v>
      </c>
      <c r="E35" s="346"/>
      <c r="F35" s="347"/>
      <c r="G35" s="346"/>
      <c r="H35" s="347"/>
      <c r="I35" s="346"/>
      <c r="J35" s="350"/>
      <c r="K35" s="346"/>
      <c r="L35" s="350"/>
      <c r="M35" s="346"/>
      <c r="N35" s="350"/>
      <c r="O35" s="351"/>
      <c r="P35" s="350"/>
      <c r="Q35" s="351"/>
      <c r="R35" s="350"/>
      <c r="S35" s="351"/>
      <c r="T35" s="350"/>
      <c r="U35" s="351"/>
      <c r="V35" s="350"/>
      <c r="W35" s="351"/>
      <c r="X35" s="350"/>
      <c r="Y35" s="351"/>
      <c r="Z35" s="350"/>
      <c r="AA35" s="351"/>
      <c r="AB35" s="350"/>
      <c r="AC35" s="351"/>
      <c r="AD35" s="350"/>
      <c r="AE35" s="351"/>
      <c r="AF35" s="350"/>
      <c r="AG35" s="351"/>
      <c r="AH35" s="350"/>
      <c r="AI35" s="351"/>
      <c r="AJ35" s="350"/>
      <c r="AK35" s="351"/>
      <c r="AL35" s="352"/>
      <c r="AM35" s="348"/>
      <c r="AN35" s="3339"/>
      <c r="AO35" s="3336" t="str">
        <f t="shared" si="32"/>
        <v/>
      </c>
      <c r="AP35" s="3336"/>
      <c r="AQ35" s="3311"/>
      <c r="AR35" s="3312"/>
      <c r="AS35" s="3312"/>
      <c r="AT35" s="3312"/>
      <c r="AU35" s="3312"/>
      <c r="AV35" s="3312"/>
      <c r="AW35" s="3312"/>
      <c r="AX35" s="3312"/>
      <c r="AY35" s="3312"/>
      <c r="AZ35" s="1873"/>
      <c r="BA35" s="1873"/>
      <c r="BB35" s="1873"/>
      <c r="BC35" s="1873"/>
      <c r="BD35" s="1873"/>
      <c r="BE35" s="1873"/>
      <c r="BF35" s="1873"/>
      <c r="BG35" s="1873"/>
      <c r="BH35" s="1873"/>
      <c r="BI35" s="1873"/>
      <c r="CA35" s="432" t="str">
        <f t="shared" si="30"/>
        <v/>
      </c>
      <c r="CM35" s="180">
        <f t="shared" si="31"/>
        <v>0</v>
      </c>
    </row>
    <row r="36" spans="1:92" ht="15" customHeight="1" x14ac:dyDescent="0.25">
      <c r="A36" s="526" t="s">
        <v>1075</v>
      </c>
      <c r="B36" s="724">
        <f t="shared" si="28"/>
        <v>0</v>
      </c>
      <c r="C36" s="2236">
        <f t="shared" si="29"/>
        <v>0</v>
      </c>
      <c r="D36" s="640">
        <f t="shared" si="29"/>
        <v>0</v>
      </c>
      <c r="E36" s="380"/>
      <c r="F36" s="388"/>
      <c r="G36" s="380"/>
      <c r="H36" s="388"/>
      <c r="I36" s="380"/>
      <c r="J36" s="389"/>
      <c r="K36" s="380"/>
      <c r="L36" s="389"/>
      <c r="M36" s="380"/>
      <c r="N36" s="389"/>
      <c r="O36" s="682"/>
      <c r="P36" s="389"/>
      <c r="Q36" s="682"/>
      <c r="R36" s="389"/>
      <c r="S36" s="682"/>
      <c r="T36" s="389"/>
      <c r="U36" s="682"/>
      <c r="V36" s="389"/>
      <c r="W36" s="682"/>
      <c r="X36" s="389"/>
      <c r="Y36" s="682"/>
      <c r="Z36" s="389"/>
      <c r="AA36" s="682"/>
      <c r="AB36" s="389"/>
      <c r="AC36" s="682"/>
      <c r="AD36" s="389"/>
      <c r="AE36" s="682"/>
      <c r="AF36" s="389"/>
      <c r="AG36" s="682"/>
      <c r="AH36" s="389"/>
      <c r="AI36" s="682"/>
      <c r="AJ36" s="389"/>
      <c r="AK36" s="682"/>
      <c r="AL36" s="390"/>
      <c r="AM36" s="429"/>
      <c r="AN36" s="3340"/>
      <c r="AO36" s="3336" t="str">
        <f t="shared" si="32"/>
        <v/>
      </c>
      <c r="AP36" s="3336"/>
      <c r="AQ36" s="3311"/>
      <c r="AR36" s="3312"/>
      <c r="AS36" s="3312"/>
      <c r="AT36" s="3312"/>
      <c r="AU36" s="3312"/>
      <c r="AV36" s="3312"/>
      <c r="AW36" s="3312"/>
      <c r="AX36" s="3312"/>
      <c r="AY36" s="3312"/>
      <c r="AZ36" s="1873"/>
      <c r="BA36" s="1873"/>
      <c r="BB36" s="1873"/>
      <c r="BC36" s="1873"/>
      <c r="BD36" s="1873"/>
      <c r="BE36" s="1873"/>
      <c r="BF36" s="1873"/>
      <c r="BG36" s="1873"/>
      <c r="BH36" s="1873"/>
      <c r="BI36" s="1873"/>
      <c r="CA36" s="432" t="str">
        <f t="shared" si="30"/>
        <v/>
      </c>
      <c r="CM36" s="180">
        <f>IF(AND($B36&gt;0,AM36=""),1,IF(AM36&gt;$B36,1,0))</f>
        <v>0</v>
      </c>
    </row>
    <row r="37" spans="1:92" s="8" customFormat="1" ht="18" customHeight="1" x14ac:dyDescent="0.2">
      <c r="A37" s="3" t="s">
        <v>1407</v>
      </c>
      <c r="B37" s="3"/>
      <c r="C37" s="3"/>
      <c r="D37" s="3"/>
      <c r="E37" s="3"/>
      <c r="F37" s="3"/>
      <c r="G37" s="1"/>
      <c r="H37" s="1"/>
      <c r="I37" s="1"/>
      <c r="J37" s="1"/>
      <c r="K37" s="3"/>
      <c r="L37" s="1"/>
      <c r="M37" s="1"/>
      <c r="N37" s="1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V37" s="5"/>
      <c r="BW37" s="5"/>
      <c r="BX37" s="5"/>
      <c r="BY37" s="5"/>
    </row>
    <row r="38" spans="1:92" ht="16.350000000000001" customHeight="1" x14ac:dyDescent="0.25">
      <c r="A38" s="6307" t="s">
        <v>27</v>
      </c>
      <c r="B38" s="5944" t="s">
        <v>1363</v>
      </c>
      <c r="C38" s="6242"/>
      <c r="D38" s="6243"/>
      <c r="E38" s="6474" t="s">
        <v>1364</v>
      </c>
      <c r="F38" s="6474"/>
      <c r="G38" s="6474"/>
      <c r="H38" s="6474"/>
      <c r="I38" s="6474"/>
      <c r="J38" s="6474"/>
      <c r="K38" s="6474"/>
      <c r="L38" s="6474"/>
      <c r="M38" s="6474"/>
      <c r="N38" s="6474"/>
      <c r="O38" s="6474"/>
      <c r="P38" s="6474"/>
      <c r="Q38" s="6474"/>
      <c r="R38" s="6474"/>
      <c r="S38" s="6474"/>
      <c r="T38" s="6474"/>
      <c r="U38" s="6474"/>
      <c r="V38" s="6474"/>
      <c r="W38" s="6474"/>
      <c r="X38" s="6474"/>
      <c r="Y38" s="6474"/>
      <c r="Z38" s="6474"/>
      <c r="AA38" s="6474"/>
      <c r="AB38" s="6474"/>
      <c r="AC38" s="6474"/>
      <c r="AD38" s="6474"/>
      <c r="AE38" s="6474"/>
      <c r="AF38" s="6474"/>
      <c r="AG38" s="6474"/>
      <c r="AH38" s="6474"/>
      <c r="AI38" s="6474"/>
      <c r="AJ38" s="6474"/>
      <c r="AK38" s="6474"/>
      <c r="AL38" s="6476"/>
      <c r="AM38" s="6224" t="s">
        <v>597</v>
      </c>
      <c r="AN38" s="6243" t="s">
        <v>1367</v>
      </c>
      <c r="AO38" s="1873"/>
      <c r="AP38" s="1873"/>
      <c r="AQ38" s="1873"/>
      <c r="AR38" s="1873"/>
      <c r="AS38" s="1873"/>
      <c r="AT38" s="1873"/>
      <c r="AU38" s="1873"/>
      <c r="AV38" s="1873"/>
      <c r="AW38" s="1873"/>
      <c r="AX38" s="1873"/>
      <c r="AY38" s="1873"/>
      <c r="AZ38" s="1873"/>
      <c r="BA38" s="1873"/>
      <c r="BB38" s="1873"/>
      <c r="BC38" s="1873"/>
      <c r="BD38" s="1873"/>
      <c r="BE38" s="1873"/>
      <c r="BF38" s="1873"/>
      <c r="BG38" s="1873"/>
      <c r="BH38" s="1873"/>
      <c r="BI38" s="1873"/>
    </row>
    <row r="39" spans="1:92" ht="16.350000000000001" customHeight="1" x14ac:dyDescent="0.25">
      <c r="A39" s="6559"/>
      <c r="B39" s="6466"/>
      <c r="C39" s="6467"/>
      <c r="D39" s="6468"/>
      <c r="E39" s="6474" t="s">
        <v>343</v>
      </c>
      <c r="F39" s="6474"/>
      <c r="G39" s="6474" t="s">
        <v>326</v>
      </c>
      <c r="H39" s="6474"/>
      <c r="I39" s="6474" t="s">
        <v>94</v>
      </c>
      <c r="J39" s="6474"/>
      <c r="K39" s="6474" t="s">
        <v>44</v>
      </c>
      <c r="L39" s="6474"/>
      <c r="M39" s="6474" t="s">
        <v>45</v>
      </c>
      <c r="N39" s="6474"/>
      <c r="O39" s="6623" t="s">
        <v>46</v>
      </c>
      <c r="P39" s="6623"/>
      <c r="Q39" s="6623" t="s">
        <v>47</v>
      </c>
      <c r="R39" s="6623"/>
      <c r="S39" s="6623" t="s">
        <v>48</v>
      </c>
      <c r="T39" s="6623"/>
      <c r="U39" s="6623" t="s">
        <v>49</v>
      </c>
      <c r="V39" s="6623"/>
      <c r="W39" s="6623" t="s">
        <v>50</v>
      </c>
      <c r="X39" s="6623"/>
      <c r="Y39" s="6623" t="s">
        <v>51</v>
      </c>
      <c r="Z39" s="6623"/>
      <c r="AA39" s="6623" t="s">
        <v>52</v>
      </c>
      <c r="AB39" s="6623"/>
      <c r="AC39" s="6623" t="s">
        <v>53</v>
      </c>
      <c r="AD39" s="6623"/>
      <c r="AE39" s="6623" t="s">
        <v>54</v>
      </c>
      <c r="AF39" s="6623"/>
      <c r="AG39" s="6623" t="s">
        <v>55</v>
      </c>
      <c r="AH39" s="6623"/>
      <c r="AI39" s="6623" t="s">
        <v>56</v>
      </c>
      <c r="AJ39" s="6623"/>
      <c r="AK39" s="6623" t="s">
        <v>57</v>
      </c>
      <c r="AL39" s="6625"/>
      <c r="AM39" s="5837"/>
      <c r="AN39" s="5759"/>
      <c r="AO39" s="1873"/>
      <c r="AP39" s="1873"/>
      <c r="AQ39" s="1873"/>
      <c r="AR39" s="1873"/>
      <c r="AS39" s="1873"/>
      <c r="AT39" s="1873"/>
      <c r="AU39" s="1873"/>
      <c r="AV39" s="1873"/>
      <c r="AW39" s="1873"/>
      <c r="AX39" s="1873"/>
      <c r="AY39" s="1873"/>
      <c r="AZ39" s="1873"/>
      <c r="BA39" s="1873"/>
      <c r="BB39" s="1873"/>
      <c r="BC39" s="1873"/>
      <c r="BD39" s="1873"/>
      <c r="BE39" s="1873"/>
      <c r="BF39" s="1873"/>
      <c r="BG39" s="1873"/>
      <c r="BH39" s="1873"/>
      <c r="BI39" s="1873"/>
    </row>
    <row r="40" spans="1:92" ht="16.350000000000001" customHeight="1" x14ac:dyDescent="0.25">
      <c r="A40" s="6482"/>
      <c r="B40" s="889" t="s">
        <v>79</v>
      </c>
      <c r="C40" s="3307" t="s">
        <v>461</v>
      </c>
      <c r="D40" s="90" t="s">
        <v>59</v>
      </c>
      <c r="E40" s="1796" t="s">
        <v>461</v>
      </c>
      <c r="F40" s="465" t="s">
        <v>59</v>
      </c>
      <c r="G40" s="1796" t="s">
        <v>461</v>
      </c>
      <c r="H40" s="465" t="s">
        <v>59</v>
      </c>
      <c r="I40" s="1796" t="s">
        <v>461</v>
      </c>
      <c r="J40" s="465" t="s">
        <v>59</v>
      </c>
      <c r="K40" s="1796" t="s">
        <v>461</v>
      </c>
      <c r="L40" s="465" t="s">
        <v>59</v>
      </c>
      <c r="M40" s="1796" t="s">
        <v>461</v>
      </c>
      <c r="N40" s="465" t="s">
        <v>59</v>
      </c>
      <c r="O40" s="1796" t="s">
        <v>461</v>
      </c>
      <c r="P40" s="465" t="s">
        <v>59</v>
      </c>
      <c r="Q40" s="1796" t="s">
        <v>461</v>
      </c>
      <c r="R40" s="465" t="s">
        <v>59</v>
      </c>
      <c r="S40" s="1796" t="s">
        <v>461</v>
      </c>
      <c r="T40" s="465" t="s">
        <v>59</v>
      </c>
      <c r="U40" s="1796" t="s">
        <v>461</v>
      </c>
      <c r="V40" s="465" t="s">
        <v>59</v>
      </c>
      <c r="W40" s="1796" t="s">
        <v>461</v>
      </c>
      <c r="X40" s="465" t="s">
        <v>59</v>
      </c>
      <c r="Y40" s="1796" t="s">
        <v>461</v>
      </c>
      <c r="Z40" s="465" t="s">
        <v>59</v>
      </c>
      <c r="AA40" s="1796" t="s">
        <v>461</v>
      </c>
      <c r="AB40" s="465" t="s">
        <v>59</v>
      </c>
      <c r="AC40" s="1796" t="s">
        <v>461</v>
      </c>
      <c r="AD40" s="465" t="s">
        <v>59</v>
      </c>
      <c r="AE40" s="1796" t="s">
        <v>461</v>
      </c>
      <c r="AF40" s="465" t="s">
        <v>59</v>
      </c>
      <c r="AG40" s="1796" t="s">
        <v>461</v>
      </c>
      <c r="AH40" s="465" t="s">
        <v>59</v>
      </c>
      <c r="AI40" s="1796" t="s">
        <v>461</v>
      </c>
      <c r="AJ40" s="465" t="s">
        <v>59</v>
      </c>
      <c r="AK40" s="1796" t="s">
        <v>461</v>
      </c>
      <c r="AL40" s="466" t="s">
        <v>59</v>
      </c>
      <c r="AM40" s="6626"/>
      <c r="AN40" s="6468"/>
      <c r="AO40" s="283"/>
      <c r="AP40" s="1873"/>
      <c r="AQ40" s="1873"/>
      <c r="AR40" s="1873"/>
      <c r="AS40" s="1873"/>
      <c r="AT40" s="1873"/>
      <c r="AU40" s="1873"/>
      <c r="AV40" s="1873"/>
      <c r="AW40" s="1873"/>
      <c r="AX40" s="1873"/>
      <c r="AY40" s="1873"/>
      <c r="AZ40" s="1873"/>
      <c r="BA40" s="1873"/>
      <c r="BB40" s="1873"/>
      <c r="BC40" s="1873"/>
      <c r="BD40" s="1873"/>
      <c r="BE40" s="1873"/>
      <c r="BF40" s="1873"/>
      <c r="BG40" s="1873"/>
      <c r="BH40" s="1873"/>
      <c r="BI40" s="1873"/>
    </row>
    <row r="41" spans="1:92" ht="15" customHeight="1" x14ac:dyDescent="0.25">
      <c r="A41" s="3318" t="s">
        <v>959</v>
      </c>
      <c r="B41" s="3337">
        <f t="shared" ref="B41:B46" si="33">SUM(C41+D41)</f>
        <v>0</v>
      </c>
      <c r="C41" s="769">
        <f>SUM(E41+G41+I41+K41+M41+O41+Q41+S41+U41+W41+Y41+AA41+AC41+AE41+AG41+AI41+AK41)</f>
        <v>0</v>
      </c>
      <c r="D41" s="621">
        <f>SUM(F41+H41+J41+L41+N41+P41+R41+T41+V41+X41+Z41+AB41+AD41+AF41+AH41+AJ41+AL41)</f>
        <v>0</v>
      </c>
      <c r="E41" s="290"/>
      <c r="F41" s="107"/>
      <c r="G41" s="290"/>
      <c r="H41" s="107"/>
      <c r="I41" s="290"/>
      <c r="J41" s="637"/>
      <c r="K41" s="290"/>
      <c r="L41" s="637"/>
      <c r="M41" s="290"/>
      <c r="N41" s="637"/>
      <c r="O41" s="245"/>
      <c r="P41" s="637"/>
      <c r="Q41" s="245"/>
      <c r="R41" s="637"/>
      <c r="S41" s="245"/>
      <c r="T41" s="637"/>
      <c r="U41" s="245"/>
      <c r="V41" s="637"/>
      <c r="W41" s="245"/>
      <c r="X41" s="637"/>
      <c r="Y41" s="245"/>
      <c r="Z41" s="637"/>
      <c r="AA41" s="245"/>
      <c r="AB41" s="637"/>
      <c r="AC41" s="245"/>
      <c r="AD41" s="637"/>
      <c r="AE41" s="245"/>
      <c r="AF41" s="637"/>
      <c r="AG41" s="245"/>
      <c r="AH41" s="637"/>
      <c r="AI41" s="245"/>
      <c r="AJ41" s="637"/>
      <c r="AK41" s="245"/>
      <c r="AL41" s="431"/>
      <c r="AM41" s="22"/>
      <c r="AN41" s="576"/>
      <c r="AO41" s="3341" t="str">
        <f>CA41&amp;CB41</f>
        <v/>
      </c>
      <c r="AP41" s="3312"/>
      <c r="AQ41" s="3312"/>
      <c r="AR41" s="3312"/>
      <c r="AS41" s="3312"/>
      <c r="AT41" s="3312"/>
      <c r="AU41" s="3312"/>
      <c r="AV41" s="3312"/>
      <c r="AW41" s="3312"/>
      <c r="AX41" s="3312"/>
      <c r="AY41" s="3312"/>
      <c r="AZ41" s="1873"/>
      <c r="BA41" s="1873"/>
      <c r="BB41" s="1873"/>
      <c r="BC41" s="1873"/>
      <c r="BD41" s="1873"/>
      <c r="BE41" s="1873"/>
      <c r="BF41" s="1873"/>
      <c r="BG41" s="1873"/>
      <c r="BH41" s="1873"/>
      <c r="BI41" s="1873"/>
      <c r="CA41" s="432" t="str">
        <f>IF(AND($B41&gt;0,AM41="")," * No olvide digitar la variable "&amp;AM$38&amp;""&amp;". Digite CERO si no tiene",IF(AM41&gt;$B41," * La variable "&amp;AM$41&amp;""&amp;" No puede ser mayor al Total.",""))</f>
        <v/>
      </c>
      <c r="CB41" s="432" t="str">
        <f>IF(AND($B41&gt;0,AN41="")," * No olvide digitar la variable "&amp;AN$38&amp;""&amp;". Digite CERO si no tiene",IF(B41&gt;AN41," * La variable "&amp;AN$38&amp;""&amp;" No puede ser menor al Total.",""))</f>
        <v/>
      </c>
      <c r="CM41" s="180">
        <f>IF(AND($B41&gt;0,AM41=""),1,IF(AM41&gt;$B41,1,0))</f>
        <v>0</v>
      </c>
      <c r="CN41" s="180">
        <f>IF(AND($B41&gt;0,AN41=""),1,IF(B41&gt;$AN41,1,0))</f>
        <v>0</v>
      </c>
    </row>
    <row r="42" spans="1:92" ht="15" customHeight="1" x14ac:dyDescent="0.25">
      <c r="A42" s="361" t="s">
        <v>1404</v>
      </c>
      <c r="B42" s="760">
        <f t="shared" si="33"/>
        <v>0</v>
      </c>
      <c r="C42" s="774">
        <f t="shared" ref="C42:D46" si="34">SUM(E42+G42+I42+K42+M42+O42+Q42+S42+U42+W42+Y42+AA42+AC42+AE42+AG42+AI42+AK42)</f>
        <v>0</v>
      </c>
      <c r="D42" s="345">
        <f t="shared" si="34"/>
        <v>0</v>
      </c>
      <c r="E42" s="290"/>
      <c r="F42" s="107"/>
      <c r="G42" s="290"/>
      <c r="H42" s="107"/>
      <c r="I42" s="290"/>
      <c r="J42" s="637"/>
      <c r="K42" s="290"/>
      <c r="L42" s="637"/>
      <c r="M42" s="290"/>
      <c r="N42" s="637"/>
      <c r="O42" s="245"/>
      <c r="P42" s="637"/>
      <c r="Q42" s="245"/>
      <c r="R42" s="637"/>
      <c r="S42" s="245"/>
      <c r="T42" s="637"/>
      <c r="U42" s="245"/>
      <c r="V42" s="637"/>
      <c r="W42" s="245"/>
      <c r="X42" s="637"/>
      <c r="Y42" s="245"/>
      <c r="Z42" s="637"/>
      <c r="AA42" s="245"/>
      <c r="AB42" s="637"/>
      <c r="AC42" s="245"/>
      <c r="AD42" s="637"/>
      <c r="AE42" s="245"/>
      <c r="AF42" s="637"/>
      <c r="AG42" s="245"/>
      <c r="AH42" s="637"/>
      <c r="AI42" s="245"/>
      <c r="AJ42" s="637"/>
      <c r="AK42" s="245"/>
      <c r="AL42" s="431"/>
      <c r="AM42" s="22"/>
      <c r="AN42" s="347"/>
      <c r="AO42" s="3341" t="str">
        <f t="shared" ref="AO42:AO46" si="35">CA42&amp;CB42</f>
        <v/>
      </c>
      <c r="AP42" s="3312"/>
      <c r="AQ42" s="3312"/>
      <c r="AR42" s="3312"/>
      <c r="AS42" s="3312"/>
      <c r="AT42" s="3312"/>
      <c r="AU42" s="3312"/>
      <c r="AV42" s="3312"/>
      <c r="AW42" s="3312"/>
      <c r="AX42" s="3312"/>
      <c r="AY42" s="3312"/>
      <c r="AZ42" s="1873"/>
      <c r="BA42" s="1873"/>
      <c r="BB42" s="1873"/>
      <c r="BC42" s="1873"/>
      <c r="BD42" s="1873"/>
      <c r="BE42" s="1873"/>
      <c r="BF42" s="1873"/>
      <c r="BG42" s="1873"/>
      <c r="BH42" s="1873"/>
      <c r="BI42" s="1873"/>
      <c r="CA42" s="432" t="str">
        <f t="shared" ref="CA42:CA46" si="36">IF(AND($B42&gt;0,AM42="")," * No olvide digitar la variable "&amp;AM$38&amp;""&amp;". Digite CERO si no tiene",IF(AM42&gt;$B42," * La variable "&amp;AM$41&amp;""&amp;" No puede ser mayor al Total.",""))</f>
        <v/>
      </c>
      <c r="CB42" s="432" t="str">
        <f t="shared" ref="CB42:CB46" si="37">IF(AND($B42&gt;0,AN42="")," * No olvide digitar la variable "&amp;AN$38&amp;""&amp;". Digite CERO si no tiene",IF(B42&gt;AN42," * La variable "&amp;AN$38&amp;""&amp;" No puede ser menor al Total.",""))</f>
        <v/>
      </c>
      <c r="CM42" s="180">
        <f t="shared" ref="CM42:CM45" si="38">IF(AND($B42&gt;0,AM42=""),1,IF(AM42&gt;$B42,1,0))</f>
        <v>0</v>
      </c>
      <c r="CN42" s="180">
        <f t="shared" ref="CN42:CN46" si="39">IF(AND($B42&gt;0,AN42=""),1,IF(B42&gt;$AN42,1,0))</f>
        <v>0</v>
      </c>
    </row>
    <row r="43" spans="1:92" ht="15" customHeight="1" x14ac:dyDescent="0.25">
      <c r="A43" s="361" t="s">
        <v>1405</v>
      </c>
      <c r="B43" s="760">
        <f t="shared" si="33"/>
        <v>0</v>
      </c>
      <c r="C43" s="774">
        <f t="shared" si="34"/>
        <v>0</v>
      </c>
      <c r="D43" s="345">
        <f t="shared" si="34"/>
        <v>0</v>
      </c>
      <c r="E43" s="346"/>
      <c r="F43" s="347"/>
      <c r="G43" s="346"/>
      <c r="H43" s="347"/>
      <c r="I43" s="346"/>
      <c r="J43" s="350"/>
      <c r="K43" s="346"/>
      <c r="L43" s="350"/>
      <c r="M43" s="346"/>
      <c r="N43" s="350"/>
      <c r="O43" s="351"/>
      <c r="P43" s="350"/>
      <c r="Q43" s="351"/>
      <c r="R43" s="350"/>
      <c r="S43" s="351"/>
      <c r="T43" s="350"/>
      <c r="U43" s="351"/>
      <c r="V43" s="350"/>
      <c r="W43" s="351"/>
      <c r="X43" s="350"/>
      <c r="Y43" s="351"/>
      <c r="Z43" s="350"/>
      <c r="AA43" s="351"/>
      <c r="AB43" s="350"/>
      <c r="AC43" s="351"/>
      <c r="AD43" s="350"/>
      <c r="AE43" s="351"/>
      <c r="AF43" s="350"/>
      <c r="AG43" s="351"/>
      <c r="AH43" s="350"/>
      <c r="AI43" s="351"/>
      <c r="AJ43" s="350"/>
      <c r="AK43" s="351"/>
      <c r="AL43" s="352"/>
      <c r="AM43" s="348"/>
      <c r="AN43" s="347"/>
      <c r="AO43" s="3341" t="str">
        <f t="shared" si="35"/>
        <v/>
      </c>
      <c r="AP43" s="3312"/>
      <c r="AQ43" s="3312"/>
      <c r="AR43" s="3312"/>
      <c r="AS43" s="3312"/>
      <c r="AT43" s="3312"/>
      <c r="AU43" s="3312"/>
      <c r="AV43" s="3312"/>
      <c r="AW43" s="3312"/>
      <c r="AX43" s="3312"/>
      <c r="AY43" s="3312"/>
      <c r="AZ43" s="1873"/>
      <c r="BA43" s="1873"/>
      <c r="BB43" s="1873"/>
      <c r="BC43" s="1873"/>
      <c r="BD43" s="1873"/>
      <c r="BE43" s="1873"/>
      <c r="BF43" s="1873"/>
      <c r="BG43" s="1873"/>
      <c r="BH43" s="1873"/>
      <c r="BI43" s="1873"/>
      <c r="CA43" s="432" t="str">
        <f t="shared" si="36"/>
        <v/>
      </c>
      <c r="CB43" s="432" t="str">
        <f t="shared" si="37"/>
        <v/>
      </c>
      <c r="CM43" s="180">
        <f t="shared" si="38"/>
        <v>0</v>
      </c>
      <c r="CN43" s="180">
        <f t="shared" si="39"/>
        <v>0</v>
      </c>
    </row>
    <row r="44" spans="1:92" ht="15" customHeight="1" x14ac:dyDescent="0.25">
      <c r="A44" s="361" t="s">
        <v>1406</v>
      </c>
      <c r="B44" s="760">
        <f t="shared" si="33"/>
        <v>0</v>
      </c>
      <c r="C44" s="774">
        <f t="shared" si="34"/>
        <v>0</v>
      </c>
      <c r="D44" s="345">
        <f t="shared" si="34"/>
        <v>0</v>
      </c>
      <c r="E44" s="346"/>
      <c r="F44" s="347"/>
      <c r="G44" s="346"/>
      <c r="H44" s="347"/>
      <c r="I44" s="346"/>
      <c r="J44" s="350"/>
      <c r="K44" s="346"/>
      <c r="L44" s="350"/>
      <c r="M44" s="346"/>
      <c r="N44" s="350"/>
      <c r="O44" s="351"/>
      <c r="P44" s="350"/>
      <c r="Q44" s="351"/>
      <c r="R44" s="350"/>
      <c r="S44" s="351"/>
      <c r="T44" s="350"/>
      <c r="U44" s="351"/>
      <c r="V44" s="350"/>
      <c r="W44" s="351"/>
      <c r="X44" s="350"/>
      <c r="Y44" s="351"/>
      <c r="Z44" s="350"/>
      <c r="AA44" s="351"/>
      <c r="AB44" s="350"/>
      <c r="AC44" s="351"/>
      <c r="AD44" s="350"/>
      <c r="AE44" s="351"/>
      <c r="AF44" s="350"/>
      <c r="AG44" s="351"/>
      <c r="AH44" s="350"/>
      <c r="AI44" s="351"/>
      <c r="AJ44" s="350"/>
      <c r="AK44" s="351"/>
      <c r="AL44" s="352"/>
      <c r="AM44" s="348"/>
      <c r="AN44" s="347"/>
      <c r="AO44" s="3341" t="str">
        <f t="shared" si="35"/>
        <v/>
      </c>
      <c r="AP44" s="3312"/>
      <c r="AQ44" s="3312"/>
      <c r="AR44" s="3312"/>
      <c r="AS44" s="3312"/>
      <c r="AT44" s="3312"/>
      <c r="AU44" s="3312"/>
      <c r="AV44" s="3312"/>
      <c r="AW44" s="3312"/>
      <c r="AX44" s="3312"/>
      <c r="AY44" s="3312"/>
      <c r="AZ44" s="1873"/>
      <c r="BA44" s="1873"/>
      <c r="BB44" s="1873"/>
      <c r="BC44" s="1873"/>
      <c r="BD44" s="1873"/>
      <c r="BE44" s="1873"/>
      <c r="BF44" s="1873"/>
      <c r="BG44" s="1873"/>
      <c r="BH44" s="1873"/>
      <c r="BI44" s="1873"/>
      <c r="CA44" s="432" t="str">
        <f t="shared" si="36"/>
        <v/>
      </c>
      <c r="CB44" s="432" t="str">
        <f t="shared" si="37"/>
        <v/>
      </c>
      <c r="CM44" s="180">
        <f t="shared" si="38"/>
        <v>0</v>
      </c>
      <c r="CN44" s="180">
        <f t="shared" si="39"/>
        <v>0</v>
      </c>
    </row>
    <row r="45" spans="1:92" ht="15" customHeight="1" x14ac:dyDescent="0.25">
      <c r="A45" s="361" t="s">
        <v>99</v>
      </c>
      <c r="B45" s="760">
        <f t="shared" si="33"/>
        <v>0</v>
      </c>
      <c r="C45" s="774">
        <f t="shared" si="34"/>
        <v>0</v>
      </c>
      <c r="D45" s="345">
        <f t="shared" si="34"/>
        <v>0</v>
      </c>
      <c r="E45" s="346"/>
      <c r="F45" s="347"/>
      <c r="G45" s="346"/>
      <c r="H45" s="347"/>
      <c r="I45" s="346"/>
      <c r="J45" s="350"/>
      <c r="K45" s="346"/>
      <c r="L45" s="350"/>
      <c r="M45" s="346"/>
      <c r="N45" s="350"/>
      <c r="O45" s="351"/>
      <c r="P45" s="350"/>
      <c r="Q45" s="351"/>
      <c r="R45" s="350"/>
      <c r="S45" s="351"/>
      <c r="T45" s="350"/>
      <c r="U45" s="351"/>
      <c r="V45" s="350"/>
      <c r="W45" s="351"/>
      <c r="X45" s="350"/>
      <c r="Y45" s="351"/>
      <c r="Z45" s="350"/>
      <c r="AA45" s="351"/>
      <c r="AB45" s="350"/>
      <c r="AC45" s="351"/>
      <c r="AD45" s="350"/>
      <c r="AE45" s="351"/>
      <c r="AF45" s="350"/>
      <c r="AG45" s="351"/>
      <c r="AH45" s="350"/>
      <c r="AI45" s="351"/>
      <c r="AJ45" s="350"/>
      <c r="AK45" s="351"/>
      <c r="AL45" s="352"/>
      <c r="AM45" s="348"/>
      <c r="AN45" s="347"/>
      <c r="AO45" s="3341" t="str">
        <f t="shared" si="35"/>
        <v/>
      </c>
      <c r="AP45" s="3312"/>
      <c r="AQ45" s="3312"/>
      <c r="AR45" s="3312"/>
      <c r="AS45" s="3312"/>
      <c r="AT45" s="3312"/>
      <c r="AU45" s="3312"/>
      <c r="AV45" s="3312"/>
      <c r="AW45" s="3312"/>
      <c r="AX45" s="3312"/>
      <c r="AY45" s="3312"/>
      <c r="AZ45" s="1873"/>
      <c r="BA45" s="1873"/>
      <c r="BB45" s="1873"/>
      <c r="BC45" s="1873"/>
      <c r="BD45" s="1873"/>
      <c r="BE45" s="1873"/>
      <c r="BF45" s="1873"/>
      <c r="BG45" s="1873"/>
      <c r="BH45" s="1873"/>
      <c r="BI45" s="1873"/>
      <c r="CA45" s="432" t="str">
        <f t="shared" si="36"/>
        <v/>
      </c>
      <c r="CB45" s="432" t="str">
        <f t="shared" si="37"/>
        <v/>
      </c>
      <c r="CM45" s="180">
        <f t="shared" si="38"/>
        <v>0</v>
      </c>
      <c r="CN45" s="180">
        <f t="shared" si="39"/>
        <v>0</v>
      </c>
    </row>
    <row r="46" spans="1:92" ht="15" customHeight="1" x14ac:dyDescent="0.25">
      <c r="A46" s="526" t="s">
        <v>1075</v>
      </c>
      <c r="B46" s="724">
        <f t="shared" si="33"/>
        <v>0</v>
      </c>
      <c r="C46" s="2236">
        <f t="shared" si="34"/>
        <v>0</v>
      </c>
      <c r="D46" s="640">
        <f t="shared" si="34"/>
        <v>0</v>
      </c>
      <c r="E46" s="380"/>
      <c r="F46" s="388"/>
      <c r="G46" s="380"/>
      <c r="H46" s="388"/>
      <c r="I46" s="380"/>
      <c r="J46" s="389"/>
      <c r="K46" s="380"/>
      <c r="L46" s="389"/>
      <c r="M46" s="380"/>
      <c r="N46" s="389"/>
      <c r="O46" s="682"/>
      <c r="P46" s="389"/>
      <c r="Q46" s="682"/>
      <c r="R46" s="389"/>
      <c r="S46" s="682"/>
      <c r="T46" s="389"/>
      <c r="U46" s="682"/>
      <c r="V46" s="389"/>
      <c r="W46" s="682"/>
      <c r="X46" s="389"/>
      <c r="Y46" s="682"/>
      <c r="Z46" s="389"/>
      <c r="AA46" s="682"/>
      <c r="AB46" s="389"/>
      <c r="AC46" s="682"/>
      <c r="AD46" s="389"/>
      <c r="AE46" s="682"/>
      <c r="AF46" s="389"/>
      <c r="AG46" s="682"/>
      <c r="AH46" s="389"/>
      <c r="AI46" s="682"/>
      <c r="AJ46" s="389"/>
      <c r="AK46" s="682"/>
      <c r="AL46" s="390"/>
      <c r="AM46" s="429"/>
      <c r="AN46" s="388"/>
      <c r="AO46" s="3341" t="str">
        <f t="shared" si="35"/>
        <v/>
      </c>
      <c r="AP46" s="3312"/>
      <c r="AQ46" s="3312"/>
      <c r="AR46" s="3312"/>
      <c r="AS46" s="3312"/>
      <c r="AT46" s="3312"/>
      <c r="AU46" s="3312"/>
      <c r="AV46" s="3312"/>
      <c r="AW46" s="3312"/>
      <c r="AX46" s="3312"/>
      <c r="AY46" s="3312"/>
      <c r="AZ46" s="1873"/>
      <c r="BA46" s="1873"/>
      <c r="BB46" s="1873"/>
      <c r="BC46" s="1873"/>
      <c r="BD46" s="1873"/>
      <c r="BE46" s="1873"/>
      <c r="BF46" s="1873"/>
      <c r="BG46" s="1873"/>
      <c r="BH46" s="1873"/>
      <c r="BI46" s="1873"/>
      <c r="CA46" s="432" t="str">
        <f t="shared" si="36"/>
        <v/>
      </c>
      <c r="CB46" s="432" t="str">
        <f t="shared" si="37"/>
        <v/>
      </c>
      <c r="CM46" s="180">
        <f>IF(AND($B46&gt;0,AM46=""),1,IF(AM46&gt;$B46,1,0))</f>
        <v>0</v>
      </c>
      <c r="CN46" s="180">
        <f t="shared" si="39"/>
        <v>0</v>
      </c>
    </row>
    <row r="47" spans="1:92" s="8" customFormat="1" ht="18" customHeight="1" x14ac:dyDescent="0.2">
      <c r="A47" s="3" t="s">
        <v>1408</v>
      </c>
      <c r="B47" s="3"/>
      <c r="C47" s="3"/>
      <c r="D47" s="3"/>
      <c r="E47" s="3"/>
      <c r="F47" s="3"/>
      <c r="G47" s="3"/>
      <c r="H47" s="1"/>
      <c r="I47" s="1"/>
      <c r="J47" s="1"/>
      <c r="K47" s="1"/>
      <c r="L47" s="1"/>
      <c r="M47" s="1"/>
      <c r="N47" s="1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884"/>
      <c r="AN47" s="5"/>
      <c r="AO47" s="3333"/>
      <c r="AP47" s="3334"/>
      <c r="AQ47" s="3334"/>
      <c r="AR47" s="3334"/>
      <c r="AS47" s="3334"/>
      <c r="AT47" s="3334"/>
      <c r="AU47" s="3334"/>
      <c r="AV47" s="3334"/>
      <c r="AW47" s="3334"/>
      <c r="AX47" s="3334"/>
      <c r="AY47" s="3334"/>
      <c r="AZ47" s="5"/>
      <c r="BA47" s="5"/>
      <c r="BB47" s="5"/>
      <c r="BC47" s="5"/>
      <c r="BD47" s="5"/>
      <c r="BE47" s="5"/>
      <c r="BF47" s="5"/>
      <c r="BG47" s="5"/>
      <c r="BH47" s="5"/>
      <c r="BI47" s="5"/>
      <c r="BV47" s="5"/>
      <c r="BW47" s="5"/>
      <c r="BX47" s="3335"/>
      <c r="BY47" s="3335"/>
    </row>
    <row r="48" spans="1:92" ht="16.350000000000001" customHeight="1" x14ac:dyDescent="0.25">
      <c r="A48" s="6307" t="s">
        <v>27</v>
      </c>
      <c r="B48" s="5944" t="s">
        <v>1363</v>
      </c>
      <c r="C48" s="6242"/>
      <c r="D48" s="6243"/>
      <c r="E48" s="6436" t="s">
        <v>1409</v>
      </c>
      <c r="F48" s="6247"/>
      <c r="G48" s="6247"/>
      <c r="H48" s="6247"/>
      <c r="I48" s="6247"/>
      <c r="J48" s="6247"/>
      <c r="K48" s="6247"/>
      <c r="L48" s="6247"/>
      <c r="M48" s="6247"/>
      <c r="N48" s="6247"/>
      <c r="O48" s="6247"/>
      <c r="P48" s="6247"/>
      <c r="Q48" s="6247"/>
      <c r="R48" s="6247"/>
      <c r="S48" s="6247"/>
      <c r="T48" s="6247"/>
      <c r="U48" s="6247"/>
      <c r="V48" s="6247"/>
      <c r="W48" s="6247"/>
      <c r="X48" s="6247"/>
      <c r="Y48" s="6247"/>
      <c r="Z48" s="6247"/>
      <c r="AA48" s="6247"/>
      <c r="AB48" s="6247"/>
      <c r="AC48" s="6247"/>
      <c r="AD48" s="6247"/>
      <c r="AE48" s="6247"/>
      <c r="AF48" s="6247"/>
      <c r="AG48" s="6247"/>
      <c r="AH48" s="6247"/>
      <c r="AI48" s="6247"/>
      <c r="AJ48" s="6247"/>
      <c r="AK48" s="6247"/>
      <c r="AL48" s="6187"/>
      <c r="AM48" s="6224" t="s">
        <v>597</v>
      </c>
      <c r="AN48" s="6243" t="s">
        <v>1367</v>
      </c>
      <c r="AO48" s="3311"/>
      <c r="AP48" s="3312"/>
      <c r="AQ48" s="3312"/>
      <c r="AR48" s="3312"/>
      <c r="AS48" s="3312"/>
      <c r="AT48" s="3312"/>
      <c r="AU48" s="3312"/>
      <c r="AV48" s="3312"/>
      <c r="AW48" s="3312"/>
      <c r="AX48" s="3312"/>
      <c r="AY48" s="3312"/>
      <c r="AZ48" s="1873"/>
      <c r="BA48" s="1873"/>
      <c r="BB48" s="1873"/>
      <c r="BC48" s="1873"/>
      <c r="BD48" s="1873"/>
      <c r="BE48" s="1873"/>
      <c r="BF48" s="1873"/>
      <c r="BG48" s="1873"/>
      <c r="BH48" s="1873"/>
      <c r="BI48" s="1873"/>
    </row>
    <row r="49" spans="1:92" ht="16.350000000000001" customHeight="1" x14ac:dyDescent="0.25">
      <c r="A49" s="6559"/>
      <c r="B49" s="6466"/>
      <c r="C49" s="6467"/>
      <c r="D49" s="6468"/>
      <c r="E49" s="6436" t="s">
        <v>1387</v>
      </c>
      <c r="F49" s="6183"/>
      <c r="G49" s="6436" t="s">
        <v>1388</v>
      </c>
      <c r="H49" s="6183"/>
      <c r="I49" s="6436" t="s">
        <v>1389</v>
      </c>
      <c r="J49" s="6183"/>
      <c r="K49" s="6436" t="s">
        <v>1390</v>
      </c>
      <c r="L49" s="6183"/>
      <c r="M49" s="6436" t="s">
        <v>1391</v>
      </c>
      <c r="N49" s="6183"/>
      <c r="O49" s="6437" t="s">
        <v>1392</v>
      </c>
      <c r="P49" s="6180"/>
      <c r="Q49" s="6437" t="s">
        <v>1393</v>
      </c>
      <c r="R49" s="6180"/>
      <c r="S49" s="6437" t="s">
        <v>1394</v>
      </c>
      <c r="T49" s="6180"/>
      <c r="U49" s="6437" t="s">
        <v>1395</v>
      </c>
      <c r="V49" s="6180"/>
      <c r="W49" s="6437" t="s">
        <v>1396</v>
      </c>
      <c r="X49" s="6180"/>
      <c r="Y49" s="6437" t="s">
        <v>1397</v>
      </c>
      <c r="Z49" s="6180"/>
      <c r="AA49" s="6437" t="s">
        <v>1398</v>
      </c>
      <c r="AB49" s="6180"/>
      <c r="AC49" s="6437" t="s">
        <v>1399</v>
      </c>
      <c r="AD49" s="6180"/>
      <c r="AE49" s="6437" t="s">
        <v>1400</v>
      </c>
      <c r="AF49" s="6180"/>
      <c r="AG49" s="6437" t="s">
        <v>1401</v>
      </c>
      <c r="AH49" s="6180"/>
      <c r="AI49" s="6437" t="s">
        <v>1402</v>
      </c>
      <c r="AJ49" s="6180"/>
      <c r="AK49" s="6437" t="s">
        <v>1403</v>
      </c>
      <c r="AL49" s="6179"/>
      <c r="AM49" s="5837"/>
      <c r="AN49" s="5759"/>
      <c r="AO49" s="3311"/>
      <c r="AP49" s="3312"/>
      <c r="AQ49" s="3312"/>
      <c r="AR49" s="3312"/>
      <c r="AS49" s="3312"/>
      <c r="AT49" s="3312"/>
      <c r="AU49" s="3312"/>
      <c r="AV49" s="3312"/>
      <c r="AW49" s="3312"/>
      <c r="AX49" s="3312"/>
      <c r="AY49" s="3312"/>
      <c r="AZ49" s="1873"/>
      <c r="BA49" s="1873"/>
      <c r="BB49" s="1873"/>
      <c r="BC49" s="1873"/>
      <c r="BD49" s="1873"/>
      <c r="BE49" s="1873"/>
      <c r="BF49" s="1873"/>
      <c r="BG49" s="1873"/>
      <c r="BH49" s="1873"/>
      <c r="BI49" s="1873"/>
    </row>
    <row r="50" spans="1:92" ht="16.350000000000001" customHeight="1" x14ac:dyDescent="0.25">
      <c r="A50" s="6482"/>
      <c r="B50" s="889" t="s">
        <v>79</v>
      </c>
      <c r="C50" s="3307" t="s">
        <v>461</v>
      </c>
      <c r="D50" s="90" t="s">
        <v>59</v>
      </c>
      <c r="E50" s="767" t="s">
        <v>461</v>
      </c>
      <c r="F50" s="487" t="s">
        <v>59</v>
      </c>
      <c r="G50" s="767" t="s">
        <v>461</v>
      </c>
      <c r="H50" s="1838" t="s">
        <v>59</v>
      </c>
      <c r="I50" s="767" t="s">
        <v>461</v>
      </c>
      <c r="J50" s="487" t="s">
        <v>59</v>
      </c>
      <c r="K50" s="767" t="s">
        <v>461</v>
      </c>
      <c r="L50" s="487" t="s">
        <v>59</v>
      </c>
      <c r="M50" s="767" t="s">
        <v>461</v>
      </c>
      <c r="N50" s="487" t="s">
        <v>59</v>
      </c>
      <c r="O50" s="767" t="s">
        <v>461</v>
      </c>
      <c r="P50" s="487" t="s">
        <v>59</v>
      </c>
      <c r="Q50" s="767" t="s">
        <v>461</v>
      </c>
      <c r="R50" s="487" t="s">
        <v>59</v>
      </c>
      <c r="S50" s="767" t="s">
        <v>461</v>
      </c>
      <c r="T50" s="1838" t="s">
        <v>59</v>
      </c>
      <c r="U50" s="767" t="s">
        <v>461</v>
      </c>
      <c r="V50" s="1838" t="s">
        <v>59</v>
      </c>
      <c r="W50" s="767" t="s">
        <v>461</v>
      </c>
      <c r="X50" s="487" t="s">
        <v>59</v>
      </c>
      <c r="Y50" s="767" t="s">
        <v>461</v>
      </c>
      <c r="Z50" s="487" t="s">
        <v>59</v>
      </c>
      <c r="AA50" s="767" t="s">
        <v>461</v>
      </c>
      <c r="AB50" s="487" t="s">
        <v>59</v>
      </c>
      <c r="AC50" s="767" t="s">
        <v>461</v>
      </c>
      <c r="AD50" s="487" t="s">
        <v>59</v>
      </c>
      <c r="AE50" s="767" t="s">
        <v>461</v>
      </c>
      <c r="AF50" s="1838" t="s">
        <v>59</v>
      </c>
      <c r="AG50" s="767" t="s">
        <v>461</v>
      </c>
      <c r="AH50" s="487" t="s">
        <v>59</v>
      </c>
      <c r="AI50" s="767" t="s">
        <v>461</v>
      </c>
      <c r="AJ50" s="487" t="s">
        <v>59</v>
      </c>
      <c r="AK50" s="767" t="s">
        <v>461</v>
      </c>
      <c r="AL50" s="593" t="s">
        <v>59</v>
      </c>
      <c r="AM50" s="6626"/>
      <c r="AN50" s="6468"/>
      <c r="AO50" s="3311"/>
      <c r="AP50" s="3312"/>
      <c r="AQ50" s="3312"/>
      <c r="AR50" s="3312"/>
      <c r="AS50" s="3312"/>
      <c r="AT50" s="3312"/>
      <c r="AU50" s="3312"/>
      <c r="AV50" s="3312"/>
      <c r="AW50" s="3312"/>
      <c r="AX50" s="3312"/>
      <c r="AY50" s="3312"/>
      <c r="AZ50" s="1873"/>
      <c r="BA50" s="1873"/>
      <c r="BB50" s="1873"/>
      <c r="BC50" s="1873"/>
      <c r="BD50" s="1873"/>
      <c r="BE50" s="1873"/>
      <c r="BF50" s="1873"/>
      <c r="BG50" s="1873"/>
      <c r="BH50" s="1873"/>
      <c r="BI50" s="1873"/>
    </row>
    <row r="51" spans="1:92" ht="15" customHeight="1" x14ac:dyDescent="0.25">
      <c r="A51" s="3318" t="s">
        <v>959</v>
      </c>
      <c r="B51" s="3337">
        <f t="shared" ref="B51:B56" si="40">SUM(C51+D51)</f>
        <v>0</v>
      </c>
      <c r="C51" s="769">
        <f t="shared" ref="C51:D56" si="41">SUM(E51+G51+I51+K51+M51+O51+Q51+S51+U51+W51+Y51+AA51+AC51+AE51+AG51+AI51+AK51)</f>
        <v>0</v>
      </c>
      <c r="D51" s="621">
        <f t="shared" si="41"/>
        <v>0</v>
      </c>
      <c r="E51" s="290"/>
      <c r="F51" s="3211"/>
      <c r="G51" s="290"/>
      <c r="H51" s="107"/>
      <c r="I51" s="290"/>
      <c r="J51" s="3211"/>
      <c r="K51" s="290"/>
      <c r="L51" s="3211"/>
      <c r="M51" s="290"/>
      <c r="N51" s="3211"/>
      <c r="O51" s="245"/>
      <c r="P51" s="3211"/>
      <c r="Q51" s="245"/>
      <c r="R51" s="3211"/>
      <c r="S51" s="245"/>
      <c r="T51" s="637"/>
      <c r="U51" s="245"/>
      <c r="V51" s="637"/>
      <c r="W51" s="245"/>
      <c r="X51" s="3211"/>
      <c r="Y51" s="245"/>
      <c r="Z51" s="3211"/>
      <c r="AA51" s="245"/>
      <c r="AB51" s="3211"/>
      <c r="AC51" s="245"/>
      <c r="AD51" s="3211"/>
      <c r="AE51" s="245"/>
      <c r="AF51" s="637"/>
      <c r="AG51" s="245"/>
      <c r="AH51" s="3211"/>
      <c r="AI51" s="245"/>
      <c r="AJ51" s="3211"/>
      <c r="AK51" s="245"/>
      <c r="AL51" s="5656"/>
      <c r="AM51" s="22"/>
      <c r="AN51" s="576"/>
      <c r="AO51" s="3341" t="str">
        <f t="shared" ref="AO51:AO56" si="42">CA51&amp;CB51</f>
        <v/>
      </c>
      <c r="AP51" s="3312"/>
      <c r="AQ51" s="3312"/>
      <c r="AR51" s="3312"/>
      <c r="AS51" s="3312"/>
      <c r="AT51" s="3312"/>
      <c r="AU51" s="3312"/>
      <c r="AV51" s="3312"/>
      <c r="AW51" s="3312"/>
      <c r="AX51" s="3312"/>
      <c r="AY51" s="3312"/>
      <c r="AZ51" s="1873"/>
      <c r="BA51" s="1873"/>
      <c r="BB51" s="1873"/>
      <c r="BC51" s="1873"/>
      <c r="BD51" s="1873"/>
      <c r="BE51" s="1873"/>
      <c r="BF51" s="1873"/>
      <c r="BG51" s="1873"/>
      <c r="BH51" s="1873"/>
      <c r="BI51" s="1873"/>
      <c r="CA51" s="432" t="str">
        <f>IF(AND($B51&gt;0,AM51="")," * No olvide digitar la variable "&amp;AM$48&amp;""&amp;". Digite CERO si no tiene",IF(AM51&gt;$B51," * La variable "&amp;AM$48&amp;""&amp;" No puede ser mayor al Total.",""))</f>
        <v/>
      </c>
      <c r="CB51" s="432" t="str">
        <f>IF(AND($B51&gt;0,AN51="")," * No olvide digitar la variable "&amp;AN$48&amp;""&amp;". Digite CERO si no tiene",IF(B51&gt;AN51," * La variable "&amp;AN$48&amp;""&amp;" No puede ser menor al Total.",""))</f>
        <v/>
      </c>
      <c r="CM51" s="180">
        <f>IF(AND($B51&gt;0,AM51=""),1,IF(AM51&gt;$B51,1,0))</f>
        <v>0</v>
      </c>
      <c r="CN51" s="180">
        <f t="shared" ref="CN51:CN56" si="43">IF(AND($B51&gt;0,AN51=""),1,IF(B51&gt;$AN51,1,0))</f>
        <v>0</v>
      </c>
    </row>
    <row r="52" spans="1:92" ht="15" customHeight="1" x14ac:dyDescent="0.25">
      <c r="A52" s="361" t="s">
        <v>1404</v>
      </c>
      <c r="B52" s="760">
        <f t="shared" si="40"/>
        <v>0</v>
      </c>
      <c r="C52" s="774">
        <f t="shared" si="41"/>
        <v>0</v>
      </c>
      <c r="D52" s="345">
        <f t="shared" si="41"/>
        <v>0</v>
      </c>
      <c r="E52" s="290"/>
      <c r="F52" s="107"/>
      <c r="G52" s="290"/>
      <c r="H52" s="107"/>
      <c r="I52" s="290"/>
      <c r="J52" s="637"/>
      <c r="K52" s="290"/>
      <c r="L52" s="637"/>
      <c r="M52" s="290"/>
      <c r="N52" s="637"/>
      <c r="O52" s="245"/>
      <c r="P52" s="637"/>
      <c r="Q52" s="245"/>
      <c r="R52" s="637"/>
      <c r="S52" s="245"/>
      <c r="T52" s="637"/>
      <c r="U52" s="245"/>
      <c r="V52" s="637"/>
      <c r="W52" s="245"/>
      <c r="X52" s="637"/>
      <c r="Y52" s="245"/>
      <c r="Z52" s="637"/>
      <c r="AA52" s="245"/>
      <c r="AB52" s="637"/>
      <c r="AC52" s="245"/>
      <c r="AD52" s="637"/>
      <c r="AE52" s="245"/>
      <c r="AF52" s="637"/>
      <c r="AG52" s="245"/>
      <c r="AH52" s="637"/>
      <c r="AI52" s="245"/>
      <c r="AJ52" s="637"/>
      <c r="AK52" s="245"/>
      <c r="AL52" s="431"/>
      <c r="AM52" s="22"/>
      <c r="AN52" s="347"/>
      <c r="AO52" s="3341" t="str">
        <f t="shared" si="42"/>
        <v/>
      </c>
      <c r="AP52" s="3312"/>
      <c r="AQ52" s="3312"/>
      <c r="AR52" s="3312"/>
      <c r="AS52" s="3312"/>
      <c r="AT52" s="3312"/>
      <c r="AU52" s="3312"/>
      <c r="AV52" s="3312"/>
      <c r="AW52" s="3312"/>
      <c r="AX52" s="3312"/>
      <c r="AY52" s="3312"/>
      <c r="AZ52" s="1873"/>
      <c r="BA52" s="1873"/>
      <c r="BB52" s="1873"/>
      <c r="BC52" s="1873"/>
      <c r="BD52" s="1873"/>
      <c r="BE52" s="1873"/>
      <c r="BF52" s="1873"/>
      <c r="BG52" s="1873"/>
      <c r="BH52" s="1873"/>
      <c r="BI52" s="1873"/>
      <c r="CA52" s="432" t="str">
        <f t="shared" ref="CA52:CA55" si="44">IF(AND($B52&gt;0,AM52="")," * No olvide digitar la variable "&amp;AM$48&amp;""&amp;". Digite CERO si no tiene",IF(AM52&gt;$B52," * La variable "&amp;AM$48&amp;""&amp;" No puede ser mayor al Total.",""))</f>
        <v/>
      </c>
      <c r="CB52" s="432" t="str">
        <f t="shared" ref="CB52:CB56" si="45">IF(AND($B52&gt;0,AN52="")," * No olvide digitar la variable "&amp;AN$48&amp;""&amp;". Digite CERO si no tiene",IF(B52&gt;AN52," * La variable "&amp;AN$48&amp;""&amp;" No puede ser menor al Total.",""))</f>
        <v/>
      </c>
      <c r="CM52" s="180">
        <f t="shared" ref="CM52:CM55" si="46">IF(AND($B52&gt;0,AM52=""),1,IF(AM52&gt;$B52,1,0))</f>
        <v>0</v>
      </c>
      <c r="CN52" s="180">
        <f t="shared" si="43"/>
        <v>0</v>
      </c>
    </row>
    <row r="53" spans="1:92" ht="15" customHeight="1" x14ac:dyDescent="0.25">
      <c r="A53" s="361" t="s">
        <v>1405</v>
      </c>
      <c r="B53" s="760">
        <f t="shared" si="40"/>
        <v>0</v>
      </c>
      <c r="C53" s="774">
        <f t="shared" si="41"/>
        <v>0</v>
      </c>
      <c r="D53" s="345">
        <f t="shared" si="41"/>
        <v>0</v>
      </c>
      <c r="E53" s="346"/>
      <c r="F53" s="347"/>
      <c r="G53" s="346"/>
      <c r="H53" s="347"/>
      <c r="I53" s="346"/>
      <c r="J53" s="350"/>
      <c r="K53" s="346"/>
      <c r="L53" s="350"/>
      <c r="M53" s="346"/>
      <c r="N53" s="350"/>
      <c r="O53" s="351"/>
      <c r="P53" s="350"/>
      <c r="Q53" s="351"/>
      <c r="R53" s="350"/>
      <c r="S53" s="351"/>
      <c r="T53" s="350"/>
      <c r="U53" s="351"/>
      <c r="V53" s="350"/>
      <c r="W53" s="351"/>
      <c r="X53" s="350"/>
      <c r="Y53" s="351"/>
      <c r="Z53" s="350"/>
      <c r="AA53" s="351"/>
      <c r="AB53" s="350"/>
      <c r="AC53" s="351"/>
      <c r="AD53" s="350"/>
      <c r="AE53" s="351"/>
      <c r="AF53" s="350"/>
      <c r="AG53" s="351"/>
      <c r="AH53" s="350"/>
      <c r="AI53" s="351"/>
      <c r="AJ53" s="350"/>
      <c r="AK53" s="351"/>
      <c r="AL53" s="352"/>
      <c r="AM53" s="348"/>
      <c r="AN53" s="347"/>
      <c r="AO53" s="3341" t="str">
        <f t="shared" si="42"/>
        <v/>
      </c>
      <c r="AP53" s="3312"/>
      <c r="AQ53" s="3312"/>
      <c r="AR53" s="3312"/>
      <c r="AS53" s="3312"/>
      <c r="AT53" s="3312"/>
      <c r="AU53" s="3312"/>
      <c r="AV53" s="3312"/>
      <c r="AW53" s="3312"/>
      <c r="AX53" s="3312"/>
      <c r="AY53" s="3312"/>
      <c r="AZ53" s="1873"/>
      <c r="BA53" s="1873"/>
      <c r="BB53" s="1873"/>
      <c r="BC53" s="1873"/>
      <c r="BD53" s="1873"/>
      <c r="BE53" s="1873"/>
      <c r="BF53" s="1873"/>
      <c r="BG53" s="1873"/>
      <c r="BH53" s="1873"/>
      <c r="BI53" s="1873"/>
      <c r="CA53" s="432" t="str">
        <f t="shared" si="44"/>
        <v/>
      </c>
      <c r="CB53" s="432" t="str">
        <f t="shared" si="45"/>
        <v/>
      </c>
      <c r="CM53" s="180">
        <f t="shared" si="46"/>
        <v>0</v>
      </c>
      <c r="CN53" s="180">
        <f t="shared" si="43"/>
        <v>0</v>
      </c>
    </row>
    <row r="54" spans="1:92" ht="15" customHeight="1" x14ac:dyDescent="0.25">
      <c r="A54" s="361" t="s">
        <v>1406</v>
      </c>
      <c r="B54" s="760">
        <f t="shared" si="40"/>
        <v>0</v>
      </c>
      <c r="C54" s="774">
        <f t="shared" si="41"/>
        <v>0</v>
      </c>
      <c r="D54" s="345">
        <f t="shared" si="41"/>
        <v>0</v>
      </c>
      <c r="E54" s="346"/>
      <c r="F54" s="347"/>
      <c r="G54" s="346"/>
      <c r="H54" s="347"/>
      <c r="I54" s="346"/>
      <c r="J54" s="350"/>
      <c r="K54" s="346"/>
      <c r="L54" s="350"/>
      <c r="M54" s="346"/>
      <c r="N54" s="350"/>
      <c r="O54" s="351"/>
      <c r="P54" s="350"/>
      <c r="Q54" s="351"/>
      <c r="R54" s="350"/>
      <c r="S54" s="351"/>
      <c r="T54" s="350"/>
      <c r="U54" s="351"/>
      <c r="V54" s="350"/>
      <c r="W54" s="351"/>
      <c r="X54" s="350"/>
      <c r="Y54" s="351"/>
      <c r="Z54" s="350"/>
      <c r="AA54" s="351"/>
      <c r="AB54" s="350"/>
      <c r="AC54" s="351"/>
      <c r="AD54" s="350"/>
      <c r="AE54" s="351"/>
      <c r="AF54" s="350"/>
      <c r="AG54" s="351"/>
      <c r="AH54" s="350"/>
      <c r="AI54" s="351"/>
      <c r="AJ54" s="350"/>
      <c r="AK54" s="351"/>
      <c r="AL54" s="352"/>
      <c r="AM54" s="348"/>
      <c r="AN54" s="347"/>
      <c r="AO54" s="3341" t="str">
        <f t="shared" si="42"/>
        <v/>
      </c>
      <c r="AP54" s="3312"/>
      <c r="AQ54" s="3312"/>
      <c r="AR54" s="3312"/>
      <c r="AS54" s="3312"/>
      <c r="AT54" s="3312"/>
      <c r="AU54" s="3312"/>
      <c r="AV54" s="3312"/>
      <c r="AW54" s="3312"/>
      <c r="AX54" s="3312"/>
      <c r="AY54" s="3312"/>
      <c r="AZ54" s="1873"/>
      <c r="BA54" s="1873"/>
      <c r="BB54" s="1873"/>
      <c r="BC54" s="1873"/>
      <c r="BD54" s="1873"/>
      <c r="BE54" s="1873"/>
      <c r="BF54" s="1873"/>
      <c r="BG54" s="1873"/>
      <c r="BH54" s="1873"/>
      <c r="BI54" s="1873"/>
      <c r="CA54" s="432" t="str">
        <f t="shared" si="44"/>
        <v/>
      </c>
      <c r="CB54" s="432" t="str">
        <f t="shared" si="45"/>
        <v/>
      </c>
      <c r="CM54" s="180">
        <f t="shared" si="46"/>
        <v>0</v>
      </c>
      <c r="CN54" s="180">
        <f t="shared" si="43"/>
        <v>0</v>
      </c>
    </row>
    <row r="55" spans="1:92" ht="15" customHeight="1" x14ac:dyDescent="0.25">
      <c r="A55" s="361" t="s">
        <v>99</v>
      </c>
      <c r="B55" s="760">
        <f t="shared" si="40"/>
        <v>0</v>
      </c>
      <c r="C55" s="774">
        <f t="shared" si="41"/>
        <v>0</v>
      </c>
      <c r="D55" s="345">
        <f t="shared" si="41"/>
        <v>0</v>
      </c>
      <c r="E55" s="346"/>
      <c r="F55" s="347"/>
      <c r="G55" s="346"/>
      <c r="H55" s="347"/>
      <c r="I55" s="346"/>
      <c r="J55" s="350"/>
      <c r="K55" s="346"/>
      <c r="L55" s="350"/>
      <c r="M55" s="346"/>
      <c r="N55" s="350"/>
      <c r="O55" s="351"/>
      <c r="P55" s="350"/>
      <c r="Q55" s="351"/>
      <c r="R55" s="350"/>
      <c r="S55" s="351"/>
      <c r="T55" s="350"/>
      <c r="U55" s="351"/>
      <c r="V55" s="350"/>
      <c r="W55" s="351"/>
      <c r="X55" s="350"/>
      <c r="Y55" s="351"/>
      <c r="Z55" s="350"/>
      <c r="AA55" s="351"/>
      <c r="AB55" s="350"/>
      <c r="AC55" s="351"/>
      <c r="AD55" s="350"/>
      <c r="AE55" s="351"/>
      <c r="AF55" s="350"/>
      <c r="AG55" s="351"/>
      <c r="AH55" s="350"/>
      <c r="AI55" s="351"/>
      <c r="AJ55" s="350"/>
      <c r="AK55" s="351"/>
      <c r="AL55" s="352"/>
      <c r="AM55" s="348"/>
      <c r="AN55" s="347"/>
      <c r="AO55" s="3341" t="str">
        <f t="shared" si="42"/>
        <v/>
      </c>
      <c r="AP55" s="3312"/>
      <c r="AQ55" s="3312"/>
      <c r="AR55" s="3312"/>
      <c r="AS55" s="3312"/>
      <c r="AT55" s="3312"/>
      <c r="AU55" s="3312"/>
      <c r="AV55" s="3312"/>
      <c r="AW55" s="3312"/>
      <c r="AX55" s="3312"/>
      <c r="AY55" s="3312"/>
      <c r="AZ55" s="1873"/>
      <c r="BA55" s="1873"/>
      <c r="BB55" s="1873"/>
      <c r="BC55" s="1873"/>
      <c r="BD55" s="1873"/>
      <c r="BE55" s="1873"/>
      <c r="BF55" s="1873"/>
      <c r="BG55" s="1873"/>
      <c r="BH55" s="1873"/>
      <c r="BI55" s="1873"/>
      <c r="CA55" s="432" t="str">
        <f t="shared" si="44"/>
        <v/>
      </c>
      <c r="CB55" s="432" t="str">
        <f t="shared" si="45"/>
        <v/>
      </c>
      <c r="CM55" s="180">
        <f t="shared" si="46"/>
        <v>0</v>
      </c>
      <c r="CN55" s="180">
        <f t="shared" si="43"/>
        <v>0</v>
      </c>
    </row>
    <row r="56" spans="1:92" ht="15" customHeight="1" x14ac:dyDescent="0.25">
      <c r="A56" s="526" t="s">
        <v>1075</v>
      </c>
      <c r="B56" s="724">
        <f t="shared" si="40"/>
        <v>0</v>
      </c>
      <c r="C56" s="2236">
        <f t="shared" si="41"/>
        <v>0</v>
      </c>
      <c r="D56" s="640">
        <f t="shared" si="41"/>
        <v>0</v>
      </c>
      <c r="E56" s="380"/>
      <c r="F56" s="388"/>
      <c r="G56" s="380"/>
      <c r="H56" s="388"/>
      <c r="I56" s="380"/>
      <c r="J56" s="389"/>
      <c r="K56" s="380"/>
      <c r="L56" s="389"/>
      <c r="M56" s="380"/>
      <c r="N56" s="389"/>
      <c r="O56" s="682"/>
      <c r="P56" s="389"/>
      <c r="Q56" s="682"/>
      <c r="R56" s="389"/>
      <c r="S56" s="682"/>
      <c r="T56" s="389"/>
      <c r="U56" s="682"/>
      <c r="V56" s="389"/>
      <c r="W56" s="682"/>
      <c r="X56" s="389"/>
      <c r="Y56" s="682"/>
      <c r="Z56" s="389"/>
      <c r="AA56" s="682"/>
      <c r="AB56" s="389"/>
      <c r="AC56" s="682"/>
      <c r="AD56" s="389"/>
      <c r="AE56" s="682"/>
      <c r="AF56" s="389"/>
      <c r="AG56" s="682"/>
      <c r="AH56" s="389"/>
      <c r="AI56" s="682"/>
      <c r="AJ56" s="389"/>
      <c r="AK56" s="682"/>
      <c r="AL56" s="390"/>
      <c r="AM56" s="429"/>
      <c r="AN56" s="388"/>
      <c r="AO56" s="3341" t="str">
        <f t="shared" si="42"/>
        <v/>
      </c>
      <c r="AP56" s="3312"/>
      <c r="AQ56" s="3312"/>
      <c r="AR56" s="3312"/>
      <c r="AS56" s="3312"/>
      <c r="AT56" s="3312"/>
      <c r="AU56" s="3312"/>
      <c r="AV56" s="3312"/>
      <c r="AW56" s="3312"/>
      <c r="AX56" s="3312"/>
      <c r="AY56" s="3312"/>
      <c r="AZ56" s="1873"/>
      <c r="BA56" s="1873"/>
      <c r="BB56" s="1873"/>
      <c r="BC56" s="1873"/>
      <c r="BD56" s="1873"/>
      <c r="BE56" s="1873"/>
      <c r="BF56" s="1873"/>
      <c r="BG56" s="1873"/>
      <c r="BH56" s="1873"/>
      <c r="BI56" s="1873"/>
      <c r="CA56" s="432" t="str">
        <f>IF(AND($B56&gt;0,AM56="")," * No olvide digitar la variable "&amp;AM$48&amp;""&amp;". Digite CERO si no tiene",IF(AM56&gt;$B56," * La variable "&amp;AM$48&amp;""&amp;" No puede ser mayor al Total.",""))</f>
        <v/>
      </c>
      <c r="CB56" s="432" t="str">
        <f t="shared" si="45"/>
        <v/>
      </c>
      <c r="CM56" s="180">
        <f>IF(AND($B56&gt;0,AM56=""),1,IF(AM56&gt;$B56,1,0))</f>
        <v>0</v>
      </c>
      <c r="CN56" s="180">
        <f t="shared" si="43"/>
        <v>0</v>
      </c>
    </row>
    <row r="57" spans="1:92" s="4" customFormat="1" ht="18" customHeight="1" x14ac:dyDescent="0.2">
      <c r="A57" s="3219" t="s">
        <v>1410</v>
      </c>
      <c r="B57" s="3219"/>
      <c r="C57" s="3219"/>
      <c r="D57" s="3219"/>
      <c r="E57" s="3219"/>
      <c r="F57" s="3219"/>
      <c r="G57" s="3219"/>
      <c r="H57" s="3219"/>
      <c r="I57" s="3219"/>
      <c r="J57" s="3129"/>
      <c r="K57" s="3129"/>
      <c r="L57" s="3129"/>
      <c r="M57" s="3129"/>
      <c r="N57" s="3129"/>
      <c r="O57" s="3129"/>
      <c r="P57" s="3129"/>
      <c r="Q57" s="3129"/>
      <c r="R57" s="3129"/>
      <c r="S57" s="3129"/>
      <c r="T57" s="3129"/>
      <c r="U57" s="3129"/>
      <c r="V57" s="3129"/>
      <c r="W57" s="3129"/>
      <c r="X57" s="3129"/>
      <c r="Y57" s="3129"/>
      <c r="Z57" s="3129"/>
      <c r="AA57" s="3129"/>
      <c r="AB57" s="3129"/>
      <c r="AC57" s="3129"/>
      <c r="AD57" s="3129"/>
      <c r="AE57" s="3129"/>
      <c r="AF57" s="3129"/>
      <c r="AG57" s="3129"/>
      <c r="AH57" s="3129"/>
      <c r="AI57" s="3129"/>
      <c r="AJ57" s="3129"/>
      <c r="AK57" s="3129"/>
      <c r="AL57" s="3129"/>
      <c r="AM57" s="3129"/>
      <c r="AN57" s="3129"/>
      <c r="AO57" s="8"/>
      <c r="AP57" s="8"/>
      <c r="AQ57" s="8"/>
      <c r="AR57" s="5"/>
      <c r="AS57" s="5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5"/>
      <c r="BW57" s="5"/>
      <c r="BX57" s="5"/>
      <c r="BY57" s="5"/>
    </row>
    <row r="58" spans="1:92" ht="16.350000000000001" customHeight="1" x14ac:dyDescent="0.25">
      <c r="A58" s="6242" t="s">
        <v>1411</v>
      </c>
      <c r="B58" s="6631" t="s">
        <v>77</v>
      </c>
      <c r="C58" s="6493"/>
      <c r="D58" s="6494"/>
      <c r="E58" s="6633" t="s">
        <v>1364</v>
      </c>
      <c r="F58" s="6634"/>
      <c r="G58" s="6634"/>
      <c r="H58" s="6634"/>
      <c r="I58" s="6634"/>
      <c r="J58" s="6634"/>
      <c r="K58" s="6634"/>
      <c r="L58" s="6634"/>
      <c r="M58" s="6634"/>
      <c r="N58" s="6634"/>
      <c r="O58" s="6634"/>
      <c r="P58" s="6634"/>
      <c r="Q58" s="6634"/>
      <c r="R58" s="6634"/>
      <c r="S58" s="6634"/>
      <c r="T58" s="6634"/>
      <c r="U58" s="6634"/>
      <c r="V58" s="6634"/>
      <c r="W58" s="6634"/>
      <c r="X58" s="6634"/>
      <c r="Y58" s="6634"/>
      <c r="Z58" s="6634"/>
      <c r="AA58" s="6634"/>
      <c r="AB58" s="6634"/>
      <c r="AC58" s="6634"/>
      <c r="AD58" s="6634"/>
      <c r="AE58" s="6634"/>
      <c r="AF58" s="6634"/>
      <c r="AG58" s="6634"/>
      <c r="AH58" s="6634"/>
      <c r="AI58" s="6634"/>
      <c r="AJ58" s="6634"/>
      <c r="AK58" s="6634"/>
      <c r="AL58" s="6635"/>
      <c r="AM58" s="6627" t="s">
        <v>1412</v>
      </c>
      <c r="AN58" s="6628"/>
      <c r="AO58" s="3306"/>
      <c r="AP58" s="3306"/>
      <c r="AQ58" s="3306"/>
      <c r="AR58" s="3342"/>
      <c r="AS58" s="3342"/>
      <c r="AT58" s="3306"/>
      <c r="BX58" s="1873"/>
      <c r="BY58" s="1873"/>
    </row>
    <row r="59" spans="1:92" ht="16.350000000000001" customHeight="1" x14ac:dyDescent="0.25">
      <c r="A59" s="5777"/>
      <c r="B59" s="6632"/>
      <c r="C59" s="6496"/>
      <c r="D59" s="6497"/>
      <c r="E59" s="6474" t="s">
        <v>343</v>
      </c>
      <c r="F59" s="6474"/>
      <c r="G59" s="6474" t="s">
        <v>326</v>
      </c>
      <c r="H59" s="6474"/>
      <c r="I59" s="6474" t="s">
        <v>94</v>
      </c>
      <c r="J59" s="6474"/>
      <c r="K59" s="6474" t="s">
        <v>44</v>
      </c>
      <c r="L59" s="6474"/>
      <c r="M59" s="6474" t="s">
        <v>45</v>
      </c>
      <c r="N59" s="6474"/>
      <c r="O59" s="6623" t="s">
        <v>46</v>
      </c>
      <c r="P59" s="6623"/>
      <c r="Q59" s="6623" t="s">
        <v>47</v>
      </c>
      <c r="R59" s="6623"/>
      <c r="S59" s="6623" t="s">
        <v>48</v>
      </c>
      <c r="T59" s="6623"/>
      <c r="U59" s="6623" t="s">
        <v>49</v>
      </c>
      <c r="V59" s="6623"/>
      <c r="W59" s="6623" t="s">
        <v>50</v>
      </c>
      <c r="X59" s="6623"/>
      <c r="Y59" s="6623" t="s">
        <v>51</v>
      </c>
      <c r="Z59" s="6623"/>
      <c r="AA59" s="6623" t="s">
        <v>52</v>
      </c>
      <c r="AB59" s="6623"/>
      <c r="AC59" s="6623" t="s">
        <v>53</v>
      </c>
      <c r="AD59" s="6623"/>
      <c r="AE59" s="6623" t="s">
        <v>54</v>
      </c>
      <c r="AF59" s="6623"/>
      <c r="AG59" s="6623" t="s">
        <v>55</v>
      </c>
      <c r="AH59" s="6623"/>
      <c r="AI59" s="6623" t="s">
        <v>56</v>
      </c>
      <c r="AJ59" s="6623"/>
      <c r="AK59" s="6623" t="s">
        <v>57</v>
      </c>
      <c r="AL59" s="6625"/>
      <c r="AM59" s="6629"/>
      <c r="AN59" s="6630"/>
      <c r="AO59" s="3342"/>
      <c r="AP59" s="3342"/>
      <c r="AQ59" s="3342"/>
      <c r="AR59" s="3342"/>
      <c r="AS59" s="3342"/>
      <c r="AT59" s="3342"/>
      <c r="AU59" s="1873"/>
      <c r="AV59" s="1873"/>
      <c r="AW59" s="1873"/>
      <c r="AX59" s="1873"/>
      <c r="AY59" s="1873"/>
      <c r="AZ59" s="1873"/>
      <c r="BA59" s="1873"/>
      <c r="BB59" s="1873"/>
      <c r="BC59" s="1873"/>
      <c r="BX59" s="1873"/>
      <c r="BY59" s="1873"/>
    </row>
    <row r="60" spans="1:92" ht="32.1" customHeight="1" x14ac:dyDescent="0.25">
      <c r="A60" s="6467"/>
      <c r="B60" s="464" t="s">
        <v>79</v>
      </c>
      <c r="C60" s="739" t="s">
        <v>58</v>
      </c>
      <c r="D60" s="465" t="s">
        <v>59</v>
      </c>
      <c r="E60" s="767" t="s">
        <v>58</v>
      </c>
      <c r="F60" s="465" t="s">
        <v>59</v>
      </c>
      <c r="G60" s="767" t="s">
        <v>58</v>
      </c>
      <c r="H60" s="465" t="s">
        <v>59</v>
      </c>
      <c r="I60" s="767" t="s">
        <v>58</v>
      </c>
      <c r="J60" s="465" t="s">
        <v>59</v>
      </c>
      <c r="K60" s="767" t="s">
        <v>58</v>
      </c>
      <c r="L60" s="465" t="s">
        <v>59</v>
      </c>
      <c r="M60" s="767" t="s">
        <v>58</v>
      </c>
      <c r="N60" s="465" t="s">
        <v>59</v>
      </c>
      <c r="O60" s="767" t="s">
        <v>58</v>
      </c>
      <c r="P60" s="465" t="s">
        <v>59</v>
      </c>
      <c r="Q60" s="767" t="s">
        <v>58</v>
      </c>
      <c r="R60" s="465" t="s">
        <v>59</v>
      </c>
      <c r="S60" s="767" t="s">
        <v>58</v>
      </c>
      <c r="T60" s="465" t="s">
        <v>59</v>
      </c>
      <c r="U60" s="767" t="s">
        <v>58</v>
      </c>
      <c r="V60" s="604" t="s">
        <v>59</v>
      </c>
      <c r="W60" s="767" t="s">
        <v>58</v>
      </c>
      <c r="X60" s="465" t="s">
        <v>59</v>
      </c>
      <c r="Y60" s="767" t="s">
        <v>58</v>
      </c>
      <c r="Z60" s="465" t="s">
        <v>59</v>
      </c>
      <c r="AA60" s="767" t="s">
        <v>58</v>
      </c>
      <c r="AB60" s="465" t="s">
        <v>59</v>
      </c>
      <c r="AC60" s="767" t="s">
        <v>58</v>
      </c>
      <c r="AD60" s="465" t="s">
        <v>59</v>
      </c>
      <c r="AE60" s="767" t="s">
        <v>58</v>
      </c>
      <c r="AF60" s="465" t="s">
        <v>59</v>
      </c>
      <c r="AG60" s="767" t="s">
        <v>58</v>
      </c>
      <c r="AH60" s="465" t="s">
        <v>59</v>
      </c>
      <c r="AI60" s="767" t="s">
        <v>58</v>
      </c>
      <c r="AJ60" s="465" t="s">
        <v>59</v>
      </c>
      <c r="AK60" s="767" t="s">
        <v>58</v>
      </c>
      <c r="AL60" s="466" t="s">
        <v>59</v>
      </c>
      <c r="AM60" s="554" t="s">
        <v>1413</v>
      </c>
      <c r="AN60" s="465" t="s">
        <v>1414</v>
      </c>
      <c r="AO60" s="3342"/>
      <c r="AP60" s="3342"/>
      <c r="AQ60" s="3342"/>
      <c r="AR60" s="3342"/>
      <c r="AS60" s="3342"/>
      <c r="AT60" s="3342"/>
      <c r="AU60" s="1873"/>
      <c r="AV60" s="1873"/>
      <c r="AW60" s="1873"/>
      <c r="AX60" s="1873"/>
      <c r="AY60" s="1873"/>
      <c r="AZ60" s="1873"/>
      <c r="BA60" s="1873"/>
      <c r="BB60" s="1873"/>
      <c r="BC60" s="1873"/>
      <c r="BX60" s="1873"/>
      <c r="BY60" s="1873"/>
    </row>
    <row r="61" spans="1:92" ht="15" customHeight="1" x14ac:dyDescent="0.25">
      <c r="A61" s="3343" t="s">
        <v>1415</v>
      </c>
      <c r="B61" s="3337">
        <f t="shared" ref="B61:B66" si="47">SUM(C61+D61)</f>
        <v>0</v>
      </c>
      <c r="C61" s="769">
        <f>SUM(E61+G61+I61+K61+M61+O61+Q61+S61+U61+W61+Y61+AA61+AC61+AE61+AG61+AI61+AK61)</f>
        <v>0</v>
      </c>
      <c r="D61" s="621">
        <f>SUM(F61+H61+J61+L61+N61+P61+R61+T61+V61+X61+Z61+AB61+AD61+AF61+AH61+AJ61+AL61)</f>
        <v>0</v>
      </c>
      <c r="E61" s="3310"/>
      <c r="F61" s="576"/>
      <c r="G61" s="3310"/>
      <c r="H61" s="771"/>
      <c r="I61" s="3310"/>
      <c r="J61" s="771"/>
      <c r="K61" s="3310"/>
      <c r="L61" s="771"/>
      <c r="M61" s="3310"/>
      <c r="N61" s="771"/>
      <c r="O61" s="3310"/>
      <c r="P61" s="771"/>
      <c r="Q61" s="3310"/>
      <c r="R61" s="771"/>
      <c r="S61" s="3310"/>
      <c r="T61" s="771"/>
      <c r="U61" s="3310"/>
      <c r="V61" s="3344"/>
      <c r="W61" s="3310"/>
      <c r="X61" s="771"/>
      <c r="Y61" s="3310"/>
      <c r="Z61" s="771"/>
      <c r="AA61" s="3310"/>
      <c r="AB61" s="771"/>
      <c r="AC61" s="3310"/>
      <c r="AD61" s="771"/>
      <c r="AE61" s="3310"/>
      <c r="AF61" s="771"/>
      <c r="AG61" s="3310"/>
      <c r="AH61" s="771"/>
      <c r="AI61" s="3310"/>
      <c r="AJ61" s="771"/>
      <c r="AK61" s="3338"/>
      <c r="AL61" s="759"/>
      <c r="AM61" s="559"/>
      <c r="AN61" s="771"/>
      <c r="AO61" s="3341" t="str">
        <f t="shared" ref="AO61:AO65" si="48">CA61&amp;CB61</f>
        <v/>
      </c>
      <c r="AP61" s="3312"/>
      <c r="AQ61" s="3312"/>
      <c r="AR61" s="3312"/>
      <c r="AS61" s="3312"/>
      <c r="AT61" s="3312"/>
      <c r="AU61" s="3312"/>
      <c r="AV61" s="3312"/>
      <c r="AW61" s="3312"/>
      <c r="AX61" s="3312"/>
      <c r="AY61" s="3312"/>
      <c r="AZ61" s="3312"/>
      <c r="BA61" s="1873"/>
      <c r="BB61" s="1873"/>
      <c r="BC61" s="1873"/>
      <c r="BX61" s="1873"/>
      <c r="BY61" s="1873"/>
      <c r="CA61" s="432" t="str">
        <f>IF(AND($B61&gt;0,AM61="")," * No olvide digitar la variable "&amp;AM$58&amp;""&amp;" Discrecional. Digite CERO si no tiene",IF(AM61&gt;$B61," * La variable "&amp;AM$58&amp;""&amp;" Discrecional No puede ser mayor al Total.",""))</f>
        <v/>
      </c>
      <c r="CB61" s="432" t="str">
        <f>IF(AND($B61&gt;0,AN61="")," * No olvide digitar la variable "&amp;AM$58&amp;""&amp;" Estructurado (ESI). Digite CERO si no tiene",IF(AN61&gt;$B61," * La variable "&amp;AM$58&amp;""&amp;" Estructurado (ESI) No puede ser mayor al Total.",""))</f>
        <v/>
      </c>
      <c r="CM61" s="180">
        <f>IF(AND($B61&gt;0,AM61=""),1,IF(AM61&gt;$B61,1,0))</f>
        <v>0</v>
      </c>
      <c r="CN61" s="180">
        <f>IF(AND($B61&gt;0,AN61=""),1,IF(AN61&gt;$B61,1,0))</f>
        <v>0</v>
      </c>
    </row>
    <row r="62" spans="1:92" ht="15" customHeight="1" x14ac:dyDescent="0.25">
      <c r="A62" s="3345" t="s">
        <v>1416</v>
      </c>
      <c r="B62" s="760">
        <f t="shared" si="47"/>
        <v>0</v>
      </c>
      <c r="C62" s="774">
        <f t="shared" ref="C62:D66" si="49">SUM(E62+G62+I62+K62+M62+O62+Q62+S62+U62+W62+Y62+AA62+AC62+AE62+AG62+AI62+AK62)</f>
        <v>0</v>
      </c>
      <c r="D62" s="345">
        <f t="shared" si="49"/>
        <v>0</v>
      </c>
      <c r="E62" s="346"/>
      <c r="F62" s="347"/>
      <c r="G62" s="346"/>
      <c r="H62" s="350"/>
      <c r="I62" s="346"/>
      <c r="J62" s="350"/>
      <c r="K62" s="346"/>
      <c r="L62" s="350"/>
      <c r="M62" s="346"/>
      <c r="N62" s="350"/>
      <c r="O62" s="346"/>
      <c r="P62" s="350"/>
      <c r="Q62" s="346"/>
      <c r="R62" s="350"/>
      <c r="S62" s="346"/>
      <c r="T62" s="350"/>
      <c r="U62" s="346"/>
      <c r="V62" s="349"/>
      <c r="W62" s="346"/>
      <c r="X62" s="350"/>
      <c r="Y62" s="346"/>
      <c r="Z62" s="350"/>
      <c r="AA62" s="346"/>
      <c r="AB62" s="350"/>
      <c r="AC62" s="346"/>
      <c r="AD62" s="350"/>
      <c r="AE62" s="346"/>
      <c r="AF62" s="350"/>
      <c r="AG62" s="346"/>
      <c r="AH62" s="350"/>
      <c r="AI62" s="346"/>
      <c r="AJ62" s="350"/>
      <c r="AK62" s="351"/>
      <c r="AL62" s="352"/>
      <c r="AM62" s="561"/>
      <c r="AN62" s="350"/>
      <c r="AO62" s="3341" t="str">
        <f t="shared" si="48"/>
        <v/>
      </c>
      <c r="AP62" s="3312"/>
      <c r="AQ62" s="3312"/>
      <c r="AR62" s="3312"/>
      <c r="AS62" s="3312"/>
      <c r="AT62" s="3312"/>
      <c r="AU62" s="3312"/>
      <c r="AV62" s="3312"/>
      <c r="AW62" s="3312"/>
      <c r="AX62" s="3312"/>
      <c r="AY62" s="3312"/>
      <c r="AZ62" s="3312"/>
      <c r="BA62" s="1873"/>
      <c r="BB62" s="1873"/>
      <c r="BC62" s="1873"/>
      <c r="BX62" s="1873"/>
      <c r="BY62" s="1873"/>
      <c r="CA62" s="432" t="str">
        <f t="shared" ref="CA62:CA65" si="50">IF(AND($B62&gt;0,AM62="")," * No olvide digitar la variable "&amp;AM$58&amp;""&amp;" Discrecional. Digite CERO si no tiene",IF(AM62&gt;$B62," * La variable "&amp;AM$58&amp;""&amp;" Discrecional No puede ser mayor al Total.",""))</f>
        <v/>
      </c>
      <c r="CB62" s="432" t="str">
        <f t="shared" ref="CB62:CB65" si="51">IF(AND($B62&gt;0,AN62="")," * No olvide digitar la variable "&amp;AM$58&amp;""&amp;" Estructurado (ESI). Digite CERO si no tiene",IF(AN62&gt;$B62," * La variable "&amp;AM$58&amp;""&amp;" Estructurado (ESI) No puede ser mayor al Total.",""))</f>
        <v/>
      </c>
      <c r="CM62" s="180">
        <f t="shared" ref="CM62:CM65" si="52">IF(AND($B62&gt;0,AM62=""),1,IF(AM62&gt;$B62,1,0))</f>
        <v>0</v>
      </c>
      <c r="CN62" s="180">
        <f t="shared" ref="CN62:CN65" si="53">IF(AND($B62&gt;0,AN62=""),1,IF(AN62&gt;$B62,1,0))</f>
        <v>0</v>
      </c>
    </row>
    <row r="63" spans="1:92" ht="15" customHeight="1" x14ac:dyDescent="0.25">
      <c r="A63" s="3345" t="s">
        <v>1417</v>
      </c>
      <c r="B63" s="760">
        <f t="shared" si="47"/>
        <v>0</v>
      </c>
      <c r="C63" s="774">
        <f t="shared" si="49"/>
        <v>0</v>
      </c>
      <c r="D63" s="345">
        <f t="shared" si="49"/>
        <v>0</v>
      </c>
      <c r="E63" s="346"/>
      <c r="F63" s="347"/>
      <c r="G63" s="346"/>
      <c r="H63" s="350"/>
      <c r="I63" s="346"/>
      <c r="J63" s="350"/>
      <c r="K63" s="346"/>
      <c r="L63" s="350"/>
      <c r="M63" s="346"/>
      <c r="N63" s="350"/>
      <c r="O63" s="346"/>
      <c r="P63" s="350"/>
      <c r="Q63" s="346"/>
      <c r="R63" s="350"/>
      <c r="S63" s="346"/>
      <c r="T63" s="350"/>
      <c r="U63" s="346"/>
      <c r="V63" s="349"/>
      <c r="W63" s="346"/>
      <c r="X63" s="350"/>
      <c r="Y63" s="346"/>
      <c r="Z63" s="350"/>
      <c r="AA63" s="346"/>
      <c r="AB63" s="350"/>
      <c r="AC63" s="346"/>
      <c r="AD63" s="350"/>
      <c r="AE63" s="346"/>
      <c r="AF63" s="350"/>
      <c r="AG63" s="346"/>
      <c r="AH63" s="350"/>
      <c r="AI63" s="346"/>
      <c r="AJ63" s="350"/>
      <c r="AK63" s="351"/>
      <c r="AL63" s="352"/>
      <c r="AM63" s="561"/>
      <c r="AN63" s="350"/>
      <c r="AO63" s="3341" t="str">
        <f t="shared" si="48"/>
        <v/>
      </c>
      <c r="AP63" s="3312"/>
      <c r="AQ63" s="3312"/>
      <c r="AR63" s="3312"/>
      <c r="AS63" s="3312"/>
      <c r="AT63" s="3312"/>
      <c r="AU63" s="3312"/>
      <c r="AV63" s="3312"/>
      <c r="AW63" s="3312"/>
      <c r="AX63" s="3312"/>
      <c r="AY63" s="3312"/>
      <c r="AZ63" s="3312"/>
      <c r="BA63" s="1873"/>
      <c r="BB63" s="1873"/>
      <c r="BC63" s="1873"/>
      <c r="BX63" s="1873"/>
      <c r="BY63" s="1873"/>
      <c r="CA63" s="432" t="str">
        <f t="shared" si="50"/>
        <v/>
      </c>
      <c r="CB63" s="432" t="str">
        <f t="shared" si="51"/>
        <v/>
      </c>
      <c r="CM63" s="180">
        <f t="shared" si="52"/>
        <v>0</v>
      </c>
      <c r="CN63" s="180">
        <f t="shared" si="53"/>
        <v>0</v>
      </c>
    </row>
    <row r="64" spans="1:92" ht="15" customHeight="1" x14ac:dyDescent="0.25">
      <c r="A64" s="3345" t="s">
        <v>1418</v>
      </c>
      <c r="B64" s="760">
        <f t="shared" si="47"/>
        <v>0</v>
      </c>
      <c r="C64" s="774">
        <f t="shared" si="49"/>
        <v>0</v>
      </c>
      <c r="D64" s="345">
        <f t="shared" si="49"/>
        <v>0</v>
      </c>
      <c r="E64" s="346"/>
      <c r="F64" s="347"/>
      <c r="G64" s="346"/>
      <c r="H64" s="350"/>
      <c r="I64" s="346"/>
      <c r="J64" s="350"/>
      <c r="K64" s="346"/>
      <c r="L64" s="350"/>
      <c r="M64" s="346"/>
      <c r="N64" s="350"/>
      <c r="O64" s="346"/>
      <c r="P64" s="350"/>
      <c r="Q64" s="346"/>
      <c r="R64" s="350"/>
      <c r="S64" s="346"/>
      <c r="T64" s="350"/>
      <c r="U64" s="346"/>
      <c r="V64" s="349"/>
      <c r="W64" s="346"/>
      <c r="X64" s="350"/>
      <c r="Y64" s="346"/>
      <c r="Z64" s="350"/>
      <c r="AA64" s="346"/>
      <c r="AB64" s="350"/>
      <c r="AC64" s="346"/>
      <c r="AD64" s="350"/>
      <c r="AE64" s="346"/>
      <c r="AF64" s="350"/>
      <c r="AG64" s="346"/>
      <c r="AH64" s="350"/>
      <c r="AI64" s="346"/>
      <c r="AJ64" s="350"/>
      <c r="AK64" s="351"/>
      <c r="AL64" s="352"/>
      <c r="AM64" s="561"/>
      <c r="AN64" s="350"/>
      <c r="AO64" s="3341" t="str">
        <f t="shared" si="48"/>
        <v/>
      </c>
      <c r="AP64" s="3312"/>
      <c r="AQ64" s="3312"/>
      <c r="AR64" s="3312"/>
      <c r="AS64" s="3312"/>
      <c r="AT64" s="3312"/>
      <c r="AU64" s="3312"/>
      <c r="AV64" s="3312"/>
      <c r="AW64" s="3312"/>
      <c r="AX64" s="3312"/>
      <c r="AY64" s="3312"/>
      <c r="AZ64" s="3312"/>
      <c r="BA64" s="1873"/>
      <c r="BB64" s="1873"/>
      <c r="BC64" s="1873"/>
      <c r="BX64" s="1873"/>
      <c r="BY64" s="1873"/>
      <c r="CA64" s="432" t="str">
        <f t="shared" si="50"/>
        <v/>
      </c>
      <c r="CB64" s="432" t="str">
        <f t="shared" si="51"/>
        <v/>
      </c>
      <c r="CM64" s="180">
        <f t="shared" si="52"/>
        <v>0</v>
      </c>
      <c r="CN64" s="180">
        <f t="shared" si="53"/>
        <v>0</v>
      </c>
    </row>
    <row r="65" spans="1:95" ht="15" customHeight="1" x14ac:dyDescent="0.25">
      <c r="A65" s="3346" t="s">
        <v>1419</v>
      </c>
      <c r="B65" s="202">
        <f t="shared" si="47"/>
        <v>0</v>
      </c>
      <c r="C65" s="775">
        <f t="shared" si="49"/>
        <v>0</v>
      </c>
      <c r="D65" s="10">
        <f t="shared" si="49"/>
        <v>0</v>
      </c>
      <c r="E65" s="192"/>
      <c r="F65" s="2"/>
      <c r="G65" s="192"/>
      <c r="H65" s="383"/>
      <c r="I65" s="192"/>
      <c r="J65" s="383"/>
      <c r="K65" s="192"/>
      <c r="L65" s="383"/>
      <c r="M65" s="192"/>
      <c r="N65" s="383"/>
      <c r="O65" s="192"/>
      <c r="P65" s="383"/>
      <c r="Q65" s="192"/>
      <c r="R65" s="383"/>
      <c r="S65" s="192"/>
      <c r="T65" s="383"/>
      <c r="U65" s="192"/>
      <c r="V65" s="1123"/>
      <c r="W65" s="192"/>
      <c r="X65" s="383"/>
      <c r="Y65" s="192"/>
      <c r="Z65" s="383"/>
      <c r="AA65" s="192"/>
      <c r="AB65" s="383"/>
      <c r="AC65" s="192"/>
      <c r="AD65" s="383"/>
      <c r="AE65" s="192"/>
      <c r="AF65" s="383"/>
      <c r="AG65" s="192"/>
      <c r="AH65" s="383"/>
      <c r="AI65" s="192"/>
      <c r="AJ65" s="383"/>
      <c r="AK65" s="776"/>
      <c r="AL65" s="384"/>
      <c r="AM65" s="64"/>
      <c r="AN65" s="383"/>
      <c r="AO65" s="3341" t="str">
        <f t="shared" si="48"/>
        <v/>
      </c>
      <c r="AP65" s="3312"/>
      <c r="AQ65" s="3312"/>
      <c r="AR65" s="3312"/>
      <c r="AS65" s="3312"/>
      <c r="AT65" s="3312"/>
      <c r="AU65" s="3312"/>
      <c r="AV65" s="3312"/>
      <c r="AW65" s="3312"/>
      <c r="AX65" s="3312"/>
      <c r="AY65" s="3312"/>
      <c r="AZ65" s="3312"/>
      <c r="BA65" s="1873"/>
      <c r="BB65" s="1873"/>
      <c r="BC65" s="1873"/>
      <c r="BX65" s="1873"/>
      <c r="BY65" s="1873"/>
      <c r="CA65" s="432" t="str">
        <f t="shared" si="50"/>
        <v/>
      </c>
      <c r="CB65" s="432" t="str">
        <f t="shared" si="51"/>
        <v/>
      </c>
      <c r="CM65" s="180">
        <f t="shared" si="52"/>
        <v>0</v>
      </c>
      <c r="CN65" s="180">
        <f t="shared" si="53"/>
        <v>0</v>
      </c>
    </row>
    <row r="66" spans="1:95" ht="15" customHeight="1" x14ac:dyDescent="0.25">
      <c r="A66" s="3347" t="s">
        <v>1420</v>
      </c>
      <c r="B66" s="724">
        <f t="shared" si="47"/>
        <v>0</v>
      </c>
      <c r="C66" s="2236">
        <f t="shared" si="49"/>
        <v>0</v>
      </c>
      <c r="D66" s="640">
        <f t="shared" si="49"/>
        <v>0</v>
      </c>
      <c r="E66" s="380"/>
      <c r="F66" s="388"/>
      <c r="G66" s="380"/>
      <c r="H66" s="389"/>
      <c r="I66" s="380"/>
      <c r="J66" s="389"/>
      <c r="K66" s="380"/>
      <c r="L66" s="389"/>
      <c r="M66" s="380"/>
      <c r="N66" s="389"/>
      <c r="O66" s="380"/>
      <c r="P66" s="389"/>
      <c r="Q66" s="380"/>
      <c r="R66" s="389"/>
      <c r="S66" s="380"/>
      <c r="T66" s="389"/>
      <c r="U66" s="380"/>
      <c r="V66" s="502"/>
      <c r="W66" s="380"/>
      <c r="X66" s="389"/>
      <c r="Y66" s="380"/>
      <c r="Z66" s="389"/>
      <c r="AA66" s="380"/>
      <c r="AB66" s="389"/>
      <c r="AC66" s="380"/>
      <c r="AD66" s="389"/>
      <c r="AE66" s="380"/>
      <c r="AF66" s="389"/>
      <c r="AG66" s="380"/>
      <c r="AH66" s="389"/>
      <c r="AI66" s="380"/>
      <c r="AJ66" s="389"/>
      <c r="AK66" s="682"/>
      <c r="AL66" s="390"/>
      <c r="AM66" s="3316"/>
      <c r="AN66" s="3348"/>
      <c r="AO66" s="3349"/>
      <c r="AP66" s="3312"/>
      <c r="AQ66" s="3312"/>
      <c r="AR66" s="3312"/>
      <c r="AS66" s="3312"/>
      <c r="AT66" s="3312"/>
      <c r="AU66" s="3312"/>
      <c r="AV66" s="3312"/>
      <c r="AW66" s="3312"/>
      <c r="AX66" s="3312"/>
      <c r="AY66" s="3312"/>
      <c r="AZ66" s="3312"/>
      <c r="BA66" s="1873"/>
      <c r="BB66" s="1873"/>
      <c r="BC66" s="1873"/>
      <c r="BX66" s="1873"/>
      <c r="BY66" s="1873"/>
      <c r="CA66" s="433"/>
      <c r="CB66" s="433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33"/>
      <c r="CN66" s="433"/>
    </row>
    <row r="67" spans="1:95" ht="15" customHeight="1" x14ac:dyDescent="0.25">
      <c r="A67" s="1796" t="s">
        <v>77</v>
      </c>
      <c r="B67" s="781">
        <f t="shared" ref="B67:AL67" si="54">SUM(B61:B66)</f>
        <v>0</v>
      </c>
      <c r="C67" s="782">
        <f t="shared" si="54"/>
        <v>0</v>
      </c>
      <c r="D67" s="626">
        <f t="shared" si="54"/>
        <v>0</v>
      </c>
      <c r="E67" s="779">
        <f t="shared" si="54"/>
        <v>0</v>
      </c>
      <c r="F67" s="515">
        <f t="shared" si="54"/>
        <v>0</v>
      </c>
      <c r="G67" s="779">
        <f t="shared" si="54"/>
        <v>0</v>
      </c>
      <c r="H67" s="586">
        <f t="shared" si="54"/>
        <v>0</v>
      </c>
      <c r="I67" s="779">
        <f t="shared" si="54"/>
        <v>0</v>
      </c>
      <c r="J67" s="586">
        <f t="shared" si="54"/>
        <v>0</v>
      </c>
      <c r="K67" s="779">
        <f t="shared" si="54"/>
        <v>0</v>
      </c>
      <c r="L67" s="586">
        <f t="shared" si="54"/>
        <v>0</v>
      </c>
      <c r="M67" s="779">
        <f t="shared" si="54"/>
        <v>0</v>
      </c>
      <c r="N67" s="586">
        <f t="shared" si="54"/>
        <v>0</v>
      </c>
      <c r="O67" s="779">
        <f t="shared" si="54"/>
        <v>0</v>
      </c>
      <c r="P67" s="586">
        <f t="shared" si="54"/>
        <v>0</v>
      </c>
      <c r="Q67" s="779">
        <f t="shared" si="54"/>
        <v>0</v>
      </c>
      <c r="R67" s="586">
        <f t="shared" si="54"/>
        <v>0</v>
      </c>
      <c r="S67" s="779">
        <f t="shared" si="54"/>
        <v>0</v>
      </c>
      <c r="T67" s="586">
        <f t="shared" si="54"/>
        <v>0</v>
      </c>
      <c r="U67" s="572">
        <f t="shared" si="54"/>
        <v>0</v>
      </c>
      <c r="V67" s="3350">
        <f t="shared" si="54"/>
        <v>0</v>
      </c>
      <c r="W67" s="779">
        <f t="shared" si="54"/>
        <v>0</v>
      </c>
      <c r="X67" s="586">
        <f t="shared" si="54"/>
        <v>0</v>
      </c>
      <c r="Y67" s="779">
        <f t="shared" si="54"/>
        <v>0</v>
      </c>
      <c r="Z67" s="586">
        <f t="shared" si="54"/>
        <v>0</v>
      </c>
      <c r="AA67" s="779">
        <f t="shared" si="54"/>
        <v>0</v>
      </c>
      <c r="AB67" s="586">
        <f t="shared" si="54"/>
        <v>0</v>
      </c>
      <c r="AC67" s="779">
        <f t="shared" si="54"/>
        <v>0</v>
      </c>
      <c r="AD67" s="586">
        <f t="shared" si="54"/>
        <v>0</v>
      </c>
      <c r="AE67" s="779">
        <f t="shared" si="54"/>
        <v>0</v>
      </c>
      <c r="AF67" s="586">
        <f t="shared" si="54"/>
        <v>0</v>
      </c>
      <c r="AG67" s="779">
        <f t="shared" si="54"/>
        <v>0</v>
      </c>
      <c r="AH67" s="586">
        <f t="shared" si="54"/>
        <v>0</v>
      </c>
      <c r="AI67" s="779">
        <f t="shared" si="54"/>
        <v>0</v>
      </c>
      <c r="AJ67" s="586">
        <f t="shared" si="54"/>
        <v>0</v>
      </c>
      <c r="AK67" s="780">
        <f t="shared" si="54"/>
        <v>0</v>
      </c>
      <c r="AL67" s="513">
        <f t="shared" si="54"/>
        <v>0</v>
      </c>
      <c r="AM67" s="3351">
        <f>SUM(AM61:AM65)</f>
        <v>0</v>
      </c>
      <c r="AN67" s="586">
        <f>SUM(AN61:AN65)</f>
        <v>0</v>
      </c>
      <c r="AO67" s="3342"/>
      <c r="AP67" s="3342"/>
      <c r="AQ67" s="3342"/>
      <c r="AR67" s="3342"/>
      <c r="AS67" s="3342"/>
      <c r="AT67" s="3342"/>
      <c r="AU67" s="3342"/>
      <c r="AV67" s="3342"/>
      <c r="AW67" s="3342"/>
      <c r="AX67" s="3342"/>
      <c r="AY67" s="3342"/>
      <c r="AZ67" s="3342"/>
      <c r="BA67" s="3342"/>
      <c r="BB67" s="3342"/>
      <c r="BC67" s="3342"/>
      <c r="BD67" s="3306"/>
      <c r="BE67" s="3306"/>
      <c r="BX67" s="1873"/>
      <c r="BY67" s="1873"/>
      <c r="CA67" s="6"/>
      <c r="CB67" s="6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6"/>
      <c r="CN67" s="6"/>
    </row>
    <row r="68" spans="1:95" s="6" customFormat="1" ht="18" customHeight="1" x14ac:dyDescent="0.25">
      <c r="A68" s="3219" t="s">
        <v>1421</v>
      </c>
      <c r="B68" s="3219"/>
      <c r="C68" s="3219"/>
      <c r="D68" s="3219"/>
      <c r="E68" s="3219"/>
      <c r="F68" s="3219"/>
      <c r="G68" s="3219"/>
      <c r="H68" s="3219"/>
      <c r="I68" s="3219"/>
      <c r="J68" s="2548"/>
      <c r="K68" s="2548"/>
      <c r="L68" s="2548"/>
      <c r="M68" s="2548"/>
      <c r="N68" s="2548"/>
      <c r="O68" s="2548"/>
      <c r="P68" s="2548"/>
      <c r="Q68" s="2548"/>
      <c r="R68" s="2548"/>
      <c r="S68" s="2548"/>
      <c r="T68" s="2548"/>
      <c r="U68" s="2548"/>
      <c r="V68" s="2548"/>
      <c r="W68" s="2548"/>
      <c r="X68" s="2548"/>
      <c r="Y68" s="2548"/>
      <c r="Z68" s="2548"/>
      <c r="AA68" s="2548"/>
      <c r="AB68" s="2548"/>
      <c r="AC68" s="2548"/>
      <c r="AD68" s="2548"/>
      <c r="AE68" s="2548"/>
      <c r="AF68" s="2548"/>
      <c r="AG68" s="2548"/>
      <c r="AH68" s="2548"/>
      <c r="AI68" s="2548"/>
      <c r="AJ68" s="2548"/>
      <c r="AK68" s="2548"/>
      <c r="AL68" s="2548"/>
      <c r="AM68" s="2548"/>
      <c r="AN68" s="2548"/>
    </row>
    <row r="69" spans="1:95" customFormat="1" ht="14.4" x14ac:dyDescent="0.3">
      <c r="A69" s="6242" t="s">
        <v>1411</v>
      </c>
      <c r="B69" s="6307" t="s">
        <v>77</v>
      </c>
      <c r="C69" s="6223"/>
      <c r="D69" s="6308"/>
      <c r="E69" s="6437" t="s">
        <v>101</v>
      </c>
      <c r="F69" s="6266"/>
      <c r="G69" s="6266"/>
      <c r="H69" s="6266"/>
      <c r="I69" s="6266"/>
      <c r="J69" s="6266"/>
      <c r="K69" s="6266"/>
      <c r="L69" s="6266"/>
      <c r="M69" s="6266"/>
      <c r="N69" s="6266"/>
      <c r="O69" s="6266"/>
      <c r="P69" s="6266"/>
      <c r="Q69" s="6266"/>
      <c r="R69" s="6266"/>
      <c r="S69" s="6266"/>
      <c r="T69" s="6266"/>
      <c r="U69" s="6266"/>
      <c r="V69" s="6266"/>
      <c r="W69" s="6266"/>
      <c r="X69" s="6266"/>
      <c r="Y69" s="6266"/>
      <c r="Z69" s="6266"/>
      <c r="AA69" s="6266"/>
      <c r="AB69" s="6266"/>
      <c r="AC69" s="6266"/>
      <c r="AD69" s="6266"/>
      <c r="AE69" s="6266"/>
      <c r="AF69" s="6266"/>
      <c r="AG69" s="6266"/>
      <c r="AH69" s="6266"/>
      <c r="AI69" s="6266"/>
      <c r="AJ69" s="6266"/>
      <c r="AK69" s="6266"/>
      <c r="AL69" s="6180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</row>
    <row r="70" spans="1:95" customFormat="1" ht="14.4" x14ac:dyDescent="0.3">
      <c r="A70" s="5777"/>
      <c r="B70" s="6482"/>
      <c r="C70" s="6481"/>
      <c r="D70" s="6560"/>
      <c r="E70" s="6436" t="s">
        <v>343</v>
      </c>
      <c r="F70" s="6183"/>
      <c r="G70" s="6436" t="s">
        <v>326</v>
      </c>
      <c r="H70" s="6183"/>
      <c r="I70" s="6436" t="s">
        <v>94</v>
      </c>
      <c r="J70" s="6183"/>
      <c r="K70" s="6436" t="s">
        <v>44</v>
      </c>
      <c r="L70" s="6183"/>
      <c r="M70" s="6436" t="s">
        <v>45</v>
      </c>
      <c r="N70" s="6183"/>
      <c r="O70" s="6437" t="s">
        <v>46</v>
      </c>
      <c r="P70" s="6180"/>
      <c r="Q70" s="6437" t="s">
        <v>47</v>
      </c>
      <c r="R70" s="6180"/>
      <c r="S70" s="6437" t="s">
        <v>48</v>
      </c>
      <c r="T70" s="6180"/>
      <c r="U70" s="6437" t="s">
        <v>49</v>
      </c>
      <c r="V70" s="6180"/>
      <c r="W70" s="6437" t="s">
        <v>50</v>
      </c>
      <c r="X70" s="6180"/>
      <c r="Y70" s="6437" t="s">
        <v>51</v>
      </c>
      <c r="Z70" s="6180"/>
      <c r="AA70" s="6437" t="s">
        <v>52</v>
      </c>
      <c r="AB70" s="6180"/>
      <c r="AC70" s="6437" t="s">
        <v>53</v>
      </c>
      <c r="AD70" s="6180"/>
      <c r="AE70" s="6437" t="s">
        <v>54</v>
      </c>
      <c r="AF70" s="6180"/>
      <c r="AG70" s="6437" t="s">
        <v>55</v>
      </c>
      <c r="AH70" s="6180"/>
      <c r="AI70" s="6437" t="s">
        <v>56</v>
      </c>
      <c r="AJ70" s="6180"/>
      <c r="AK70" s="6437" t="s">
        <v>57</v>
      </c>
      <c r="AL70" s="6180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</row>
    <row r="71" spans="1:95" customFormat="1" ht="14.4" x14ac:dyDescent="0.3">
      <c r="A71" s="6467"/>
      <c r="B71" s="464" t="s">
        <v>79</v>
      </c>
      <c r="C71" s="739" t="s">
        <v>58</v>
      </c>
      <c r="D71" s="465" t="s">
        <v>59</v>
      </c>
      <c r="E71" s="767" t="s">
        <v>58</v>
      </c>
      <c r="F71" s="465" t="s">
        <v>59</v>
      </c>
      <c r="G71" s="767" t="s">
        <v>58</v>
      </c>
      <c r="H71" s="465" t="s">
        <v>59</v>
      </c>
      <c r="I71" s="767" t="s">
        <v>58</v>
      </c>
      <c r="J71" s="465" t="s">
        <v>59</v>
      </c>
      <c r="K71" s="767" t="s">
        <v>58</v>
      </c>
      <c r="L71" s="465" t="s">
        <v>59</v>
      </c>
      <c r="M71" s="767" t="s">
        <v>58</v>
      </c>
      <c r="N71" s="465" t="s">
        <v>59</v>
      </c>
      <c r="O71" s="767" t="s">
        <v>58</v>
      </c>
      <c r="P71" s="465" t="s">
        <v>59</v>
      </c>
      <c r="Q71" s="767" t="s">
        <v>58</v>
      </c>
      <c r="R71" s="465" t="s">
        <v>59</v>
      </c>
      <c r="S71" s="767" t="s">
        <v>58</v>
      </c>
      <c r="T71" s="465" t="s">
        <v>59</v>
      </c>
      <c r="U71" s="767" t="s">
        <v>58</v>
      </c>
      <c r="V71" s="604" t="s">
        <v>59</v>
      </c>
      <c r="W71" s="767" t="s">
        <v>58</v>
      </c>
      <c r="X71" s="465" t="s">
        <v>59</v>
      </c>
      <c r="Y71" s="767" t="s">
        <v>58</v>
      </c>
      <c r="Z71" s="465" t="s">
        <v>59</v>
      </c>
      <c r="AA71" s="767" t="s">
        <v>58</v>
      </c>
      <c r="AB71" s="465" t="s">
        <v>59</v>
      </c>
      <c r="AC71" s="767" t="s">
        <v>58</v>
      </c>
      <c r="AD71" s="465" t="s">
        <v>59</v>
      </c>
      <c r="AE71" s="767" t="s">
        <v>58</v>
      </c>
      <c r="AF71" s="465" t="s">
        <v>59</v>
      </c>
      <c r="AG71" s="767" t="s">
        <v>58</v>
      </c>
      <c r="AH71" s="465" t="s">
        <v>59</v>
      </c>
      <c r="AI71" s="767" t="s">
        <v>58</v>
      </c>
      <c r="AJ71" s="465" t="s">
        <v>59</v>
      </c>
      <c r="AK71" s="767" t="s">
        <v>58</v>
      </c>
      <c r="AL71" s="465" t="s">
        <v>59</v>
      </c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</row>
    <row r="72" spans="1:95" customFormat="1" ht="15" customHeight="1" x14ac:dyDescent="0.3">
      <c r="A72" s="3343" t="s">
        <v>1415</v>
      </c>
      <c r="B72" s="3337">
        <f t="shared" ref="B72:B77" si="55">SUM(C72+D72)</f>
        <v>0</v>
      </c>
      <c r="C72" s="769">
        <f>SUM(E72+G72+I72+K72+M72+O72+Q72+S72+U72+W72+Y72+AA72+AC72+AE72+AG72+AI72+AK72)</f>
        <v>0</v>
      </c>
      <c r="D72" s="621">
        <f>SUM(F72+H72+J72+L72+N72+P72+R72+T72+V72+X72+Z72+AB72+AD72+AF72+AH72+AJ72+AL72)</f>
        <v>0</v>
      </c>
      <c r="E72" s="3310"/>
      <c r="F72" s="576"/>
      <c r="G72" s="3310"/>
      <c r="H72" s="771"/>
      <c r="I72" s="3310"/>
      <c r="J72" s="771"/>
      <c r="K72" s="3310"/>
      <c r="L72" s="771"/>
      <c r="M72" s="3310"/>
      <c r="N72" s="771"/>
      <c r="O72" s="3310"/>
      <c r="P72" s="771"/>
      <c r="Q72" s="3310"/>
      <c r="R72" s="771"/>
      <c r="S72" s="3310"/>
      <c r="T72" s="771"/>
      <c r="U72" s="3310"/>
      <c r="V72" s="3344"/>
      <c r="W72" s="3310"/>
      <c r="X72" s="771"/>
      <c r="Y72" s="3310"/>
      <c r="Z72" s="771"/>
      <c r="AA72" s="3310"/>
      <c r="AB72" s="771"/>
      <c r="AC72" s="3310"/>
      <c r="AD72" s="771"/>
      <c r="AE72" s="3310"/>
      <c r="AF72" s="771"/>
      <c r="AG72" s="3310"/>
      <c r="AH72" s="771"/>
      <c r="AI72" s="3310"/>
      <c r="AJ72" s="771"/>
      <c r="AK72" s="3338"/>
      <c r="AL72" s="771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</row>
    <row r="73" spans="1:95" customFormat="1" ht="15" customHeight="1" x14ac:dyDescent="0.3">
      <c r="A73" s="3345" t="s">
        <v>1416</v>
      </c>
      <c r="B73" s="760">
        <f t="shared" si="55"/>
        <v>0</v>
      </c>
      <c r="C73" s="774">
        <f t="shared" ref="C73:D77" si="56">SUM(E73+G73+I73+K73+M73+O73+Q73+S73+U73+W73+Y73+AA73+AC73+AE73+AG73+AI73+AK73)</f>
        <v>0</v>
      </c>
      <c r="D73" s="345">
        <f t="shared" si="56"/>
        <v>0</v>
      </c>
      <c r="E73" s="346"/>
      <c r="F73" s="347"/>
      <c r="G73" s="346"/>
      <c r="H73" s="350"/>
      <c r="I73" s="346"/>
      <c r="J73" s="350"/>
      <c r="K73" s="346"/>
      <c r="L73" s="350"/>
      <c r="M73" s="346"/>
      <c r="N73" s="350"/>
      <c r="O73" s="346"/>
      <c r="P73" s="350"/>
      <c r="Q73" s="346"/>
      <c r="R73" s="350"/>
      <c r="S73" s="346"/>
      <c r="T73" s="350"/>
      <c r="U73" s="346"/>
      <c r="V73" s="349"/>
      <c r="W73" s="346"/>
      <c r="X73" s="350"/>
      <c r="Y73" s="346"/>
      <c r="Z73" s="350"/>
      <c r="AA73" s="346"/>
      <c r="AB73" s="350"/>
      <c r="AC73" s="346"/>
      <c r="AD73" s="350"/>
      <c r="AE73" s="346"/>
      <c r="AF73" s="350"/>
      <c r="AG73" s="346"/>
      <c r="AH73" s="350"/>
      <c r="AI73" s="346"/>
      <c r="AJ73" s="350"/>
      <c r="AK73" s="351"/>
      <c r="AL73" s="350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</row>
    <row r="74" spans="1:95" customFormat="1" ht="15" customHeight="1" x14ac:dyDescent="0.3">
      <c r="A74" s="3345" t="s">
        <v>1417</v>
      </c>
      <c r="B74" s="760">
        <f t="shared" si="55"/>
        <v>0</v>
      </c>
      <c r="C74" s="774">
        <f t="shared" si="56"/>
        <v>0</v>
      </c>
      <c r="D74" s="345">
        <f t="shared" si="56"/>
        <v>0</v>
      </c>
      <c r="E74" s="346"/>
      <c r="F74" s="347"/>
      <c r="G74" s="346"/>
      <c r="H74" s="350"/>
      <c r="I74" s="346"/>
      <c r="J74" s="350"/>
      <c r="K74" s="346"/>
      <c r="L74" s="350"/>
      <c r="M74" s="346"/>
      <c r="N74" s="350"/>
      <c r="O74" s="346"/>
      <c r="P74" s="350"/>
      <c r="Q74" s="346"/>
      <c r="R74" s="350"/>
      <c r="S74" s="346"/>
      <c r="T74" s="350"/>
      <c r="U74" s="346"/>
      <c r="V74" s="349"/>
      <c r="W74" s="346"/>
      <c r="X74" s="350"/>
      <c r="Y74" s="346"/>
      <c r="Z74" s="350"/>
      <c r="AA74" s="346"/>
      <c r="AB74" s="350"/>
      <c r="AC74" s="346"/>
      <c r="AD74" s="350"/>
      <c r="AE74" s="346"/>
      <c r="AF74" s="350"/>
      <c r="AG74" s="346"/>
      <c r="AH74" s="350"/>
      <c r="AI74" s="346"/>
      <c r="AJ74" s="350"/>
      <c r="AK74" s="351"/>
      <c r="AL74" s="350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</row>
    <row r="75" spans="1:95" customFormat="1" ht="15" customHeight="1" x14ac:dyDescent="0.3">
      <c r="A75" s="3345" t="s">
        <v>1418</v>
      </c>
      <c r="B75" s="760">
        <f t="shared" si="55"/>
        <v>0</v>
      </c>
      <c r="C75" s="774">
        <f t="shared" si="56"/>
        <v>0</v>
      </c>
      <c r="D75" s="345">
        <f t="shared" si="56"/>
        <v>0</v>
      </c>
      <c r="E75" s="346"/>
      <c r="F75" s="347"/>
      <c r="G75" s="346"/>
      <c r="H75" s="350"/>
      <c r="I75" s="346"/>
      <c r="J75" s="350"/>
      <c r="K75" s="346"/>
      <c r="L75" s="350"/>
      <c r="M75" s="346"/>
      <c r="N75" s="350"/>
      <c r="O75" s="346"/>
      <c r="P75" s="350"/>
      <c r="Q75" s="346"/>
      <c r="R75" s="350"/>
      <c r="S75" s="346"/>
      <c r="T75" s="350"/>
      <c r="U75" s="346"/>
      <c r="V75" s="349"/>
      <c r="W75" s="346"/>
      <c r="X75" s="350"/>
      <c r="Y75" s="346"/>
      <c r="Z75" s="350"/>
      <c r="AA75" s="346"/>
      <c r="AB75" s="350"/>
      <c r="AC75" s="346"/>
      <c r="AD75" s="350"/>
      <c r="AE75" s="346"/>
      <c r="AF75" s="350"/>
      <c r="AG75" s="346"/>
      <c r="AH75" s="350"/>
      <c r="AI75" s="346"/>
      <c r="AJ75" s="350"/>
      <c r="AK75" s="351"/>
      <c r="AL75" s="350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</row>
    <row r="76" spans="1:95" customFormat="1" ht="15" customHeight="1" x14ac:dyDescent="0.3">
      <c r="A76" s="3346" t="s">
        <v>1419</v>
      </c>
      <c r="B76" s="202">
        <f t="shared" si="55"/>
        <v>0</v>
      </c>
      <c r="C76" s="775">
        <f t="shared" si="56"/>
        <v>0</v>
      </c>
      <c r="D76" s="10">
        <f t="shared" si="56"/>
        <v>0</v>
      </c>
      <c r="E76" s="192"/>
      <c r="F76" s="2"/>
      <c r="G76" s="192"/>
      <c r="H76" s="383"/>
      <c r="I76" s="192"/>
      <c r="J76" s="383"/>
      <c r="K76" s="192"/>
      <c r="L76" s="383"/>
      <c r="M76" s="192"/>
      <c r="N76" s="383"/>
      <c r="O76" s="192"/>
      <c r="P76" s="383"/>
      <c r="Q76" s="192"/>
      <c r="R76" s="383"/>
      <c r="S76" s="192"/>
      <c r="T76" s="383"/>
      <c r="U76" s="192"/>
      <c r="V76" s="1123"/>
      <c r="W76" s="192"/>
      <c r="X76" s="383"/>
      <c r="Y76" s="192"/>
      <c r="Z76" s="383"/>
      <c r="AA76" s="192"/>
      <c r="AB76" s="383"/>
      <c r="AC76" s="192"/>
      <c r="AD76" s="383"/>
      <c r="AE76" s="192"/>
      <c r="AF76" s="383"/>
      <c r="AG76" s="192"/>
      <c r="AH76" s="383"/>
      <c r="AI76" s="192"/>
      <c r="AJ76" s="383"/>
      <c r="AK76" s="776"/>
      <c r="AL76" s="383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</row>
    <row r="77" spans="1:95" customFormat="1" ht="15" customHeight="1" x14ac:dyDescent="0.3">
      <c r="A77" s="3347" t="s">
        <v>1420</v>
      </c>
      <c r="B77" s="724">
        <f t="shared" si="55"/>
        <v>0</v>
      </c>
      <c r="C77" s="2236">
        <f t="shared" si="56"/>
        <v>0</v>
      </c>
      <c r="D77" s="640">
        <f t="shared" si="56"/>
        <v>0</v>
      </c>
      <c r="E77" s="380"/>
      <c r="F77" s="388"/>
      <c r="G77" s="380"/>
      <c r="H77" s="389"/>
      <c r="I77" s="380"/>
      <c r="J77" s="389"/>
      <c r="K77" s="380"/>
      <c r="L77" s="389"/>
      <c r="M77" s="380"/>
      <c r="N77" s="389"/>
      <c r="O77" s="380"/>
      <c r="P77" s="389"/>
      <c r="Q77" s="380"/>
      <c r="R77" s="389"/>
      <c r="S77" s="380"/>
      <c r="T77" s="389"/>
      <c r="U77" s="380"/>
      <c r="V77" s="502"/>
      <c r="W77" s="380"/>
      <c r="X77" s="389"/>
      <c r="Y77" s="380"/>
      <c r="Z77" s="389"/>
      <c r="AA77" s="380"/>
      <c r="AB77" s="389"/>
      <c r="AC77" s="380"/>
      <c r="AD77" s="389"/>
      <c r="AE77" s="380"/>
      <c r="AF77" s="389"/>
      <c r="AG77" s="380"/>
      <c r="AH77" s="389"/>
      <c r="AI77" s="380"/>
      <c r="AJ77" s="389"/>
      <c r="AK77" s="682"/>
      <c r="AL77" s="389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</row>
    <row r="78" spans="1:95" customFormat="1" ht="15" customHeight="1" x14ac:dyDescent="0.3">
      <c r="A78" s="1796" t="s">
        <v>77</v>
      </c>
      <c r="B78" s="781">
        <f t="shared" ref="B78:AL78" si="57">SUM(B72:B77)</f>
        <v>0</v>
      </c>
      <c r="C78" s="782">
        <f t="shared" si="57"/>
        <v>0</v>
      </c>
      <c r="D78" s="626">
        <f t="shared" si="57"/>
        <v>0</v>
      </c>
      <c r="E78" s="779">
        <f t="shared" si="57"/>
        <v>0</v>
      </c>
      <c r="F78" s="515">
        <f t="shared" si="57"/>
        <v>0</v>
      </c>
      <c r="G78" s="779">
        <f t="shared" si="57"/>
        <v>0</v>
      </c>
      <c r="H78" s="586">
        <f t="shared" si="57"/>
        <v>0</v>
      </c>
      <c r="I78" s="779">
        <f t="shared" si="57"/>
        <v>0</v>
      </c>
      <c r="J78" s="586">
        <f t="shared" si="57"/>
        <v>0</v>
      </c>
      <c r="K78" s="779">
        <f t="shared" si="57"/>
        <v>0</v>
      </c>
      <c r="L78" s="586">
        <f t="shared" si="57"/>
        <v>0</v>
      </c>
      <c r="M78" s="779">
        <f t="shared" si="57"/>
        <v>0</v>
      </c>
      <c r="N78" s="586">
        <f t="shared" si="57"/>
        <v>0</v>
      </c>
      <c r="O78" s="779">
        <f t="shared" si="57"/>
        <v>0</v>
      </c>
      <c r="P78" s="586">
        <f t="shared" si="57"/>
        <v>0</v>
      </c>
      <c r="Q78" s="779">
        <f t="shared" si="57"/>
        <v>0</v>
      </c>
      <c r="R78" s="586">
        <f t="shared" si="57"/>
        <v>0</v>
      </c>
      <c r="S78" s="779">
        <f t="shared" si="57"/>
        <v>0</v>
      </c>
      <c r="T78" s="586">
        <f t="shared" si="57"/>
        <v>0</v>
      </c>
      <c r="U78" s="572">
        <f t="shared" si="57"/>
        <v>0</v>
      </c>
      <c r="V78" s="3350">
        <f t="shared" si="57"/>
        <v>0</v>
      </c>
      <c r="W78" s="779">
        <f t="shared" si="57"/>
        <v>0</v>
      </c>
      <c r="X78" s="586">
        <f t="shared" si="57"/>
        <v>0</v>
      </c>
      <c r="Y78" s="779">
        <f t="shared" si="57"/>
        <v>0</v>
      </c>
      <c r="Z78" s="586">
        <f t="shared" si="57"/>
        <v>0</v>
      </c>
      <c r="AA78" s="779">
        <f t="shared" si="57"/>
        <v>0</v>
      </c>
      <c r="AB78" s="586">
        <f t="shared" si="57"/>
        <v>0</v>
      </c>
      <c r="AC78" s="779">
        <f t="shared" si="57"/>
        <v>0</v>
      </c>
      <c r="AD78" s="586">
        <f t="shared" si="57"/>
        <v>0</v>
      </c>
      <c r="AE78" s="779">
        <f t="shared" si="57"/>
        <v>0</v>
      </c>
      <c r="AF78" s="586">
        <f t="shared" si="57"/>
        <v>0</v>
      </c>
      <c r="AG78" s="779">
        <f t="shared" si="57"/>
        <v>0</v>
      </c>
      <c r="AH78" s="586">
        <f t="shared" si="57"/>
        <v>0</v>
      </c>
      <c r="AI78" s="779">
        <f t="shared" si="57"/>
        <v>0</v>
      </c>
      <c r="AJ78" s="586">
        <f t="shared" si="57"/>
        <v>0</v>
      </c>
      <c r="AK78" s="780">
        <f t="shared" si="57"/>
        <v>0</v>
      </c>
      <c r="AL78" s="586">
        <f t="shared" si="57"/>
        <v>0</v>
      </c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</row>
    <row r="79" spans="1:95" s="8" customFormat="1" ht="18" customHeight="1" x14ac:dyDescent="0.2">
      <c r="A79" s="3219" t="s">
        <v>1422</v>
      </c>
      <c r="B79" s="3352"/>
      <c r="C79" s="3352"/>
      <c r="D79" s="3352"/>
      <c r="E79" s="3352"/>
      <c r="F79" s="3352"/>
      <c r="G79" s="3352"/>
      <c r="H79" s="3352"/>
      <c r="I79" s="1"/>
      <c r="J79" s="1"/>
      <c r="K79" s="1"/>
      <c r="L79" s="1"/>
      <c r="M79" s="1"/>
      <c r="N79" s="1"/>
      <c r="O79" s="1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V79" s="5"/>
      <c r="BW79" s="5"/>
      <c r="BX79" s="5"/>
      <c r="BY79" s="5"/>
    </row>
    <row r="80" spans="1:95" ht="20.399999999999999" x14ac:dyDescent="0.25">
      <c r="A80" s="1788" t="s">
        <v>1423</v>
      </c>
      <c r="B80" s="1799" t="s">
        <v>1363</v>
      </c>
      <c r="C80" s="767" t="s">
        <v>1424</v>
      </c>
      <c r="D80" s="555" t="s">
        <v>1425</v>
      </c>
      <c r="E80" s="465" t="s">
        <v>591</v>
      </c>
      <c r="F80" s="50"/>
      <c r="G80" s="7"/>
      <c r="H80" s="7"/>
      <c r="I80" s="7"/>
      <c r="J80" s="7"/>
      <c r="K80" s="7"/>
      <c r="L80" s="7"/>
      <c r="M80" s="7"/>
      <c r="N80" s="3353" t="s">
        <v>10</v>
      </c>
      <c r="O80" s="7"/>
      <c r="P80" s="7"/>
      <c r="Q80" s="7"/>
      <c r="R80" s="3306"/>
      <c r="S80" s="3306"/>
      <c r="T80" s="3306"/>
      <c r="U80" s="3306"/>
      <c r="V80" s="3306"/>
      <c r="W80" s="3306"/>
      <c r="X80" s="7"/>
      <c r="Y80" s="7"/>
      <c r="AO80" s="1873"/>
      <c r="AP80" s="1873"/>
      <c r="AQ80" s="1873"/>
      <c r="AR80" s="1873"/>
      <c r="AS80" s="1873"/>
      <c r="AT80" s="1873"/>
      <c r="AU80" s="1873"/>
      <c r="AV80" s="1873"/>
      <c r="AW80" s="1873"/>
      <c r="AX80" s="1873"/>
      <c r="AY80" s="1873"/>
      <c r="AZ80" s="1873"/>
      <c r="BA80" s="1873"/>
      <c r="BB80" s="1873"/>
      <c r="BC80" s="1873"/>
    </row>
    <row r="81" spans="1:55" ht="15" customHeight="1" x14ac:dyDescent="0.25">
      <c r="A81" s="3354" t="s">
        <v>1209</v>
      </c>
      <c r="B81" s="3355">
        <f>SUM(C81:E81)</f>
        <v>0</v>
      </c>
      <c r="C81" s="3310"/>
      <c r="D81" s="773"/>
      <c r="E81" s="576"/>
      <c r="F81" s="3356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3306"/>
      <c r="S81" s="3306"/>
      <c r="T81" s="3306"/>
      <c r="U81" s="3306"/>
      <c r="V81" s="3306"/>
      <c r="W81" s="3306"/>
      <c r="X81" s="7"/>
      <c r="Y81" s="7"/>
      <c r="AO81" s="1873"/>
      <c r="AP81" s="1873"/>
      <c r="AQ81" s="1873"/>
      <c r="AR81" s="1873"/>
      <c r="AS81" s="1873"/>
      <c r="AT81" s="1873"/>
      <c r="AU81" s="1873"/>
      <c r="AV81" s="1873"/>
      <c r="AW81" s="1873"/>
      <c r="AX81" s="1873"/>
      <c r="AY81" s="1873"/>
      <c r="AZ81" s="1873"/>
      <c r="BA81" s="1873"/>
      <c r="BB81" s="1873"/>
      <c r="BC81" s="1873"/>
    </row>
    <row r="82" spans="1:55" ht="15" customHeight="1" x14ac:dyDescent="0.25">
      <c r="A82" s="333" t="s">
        <v>1426</v>
      </c>
      <c r="B82" s="498">
        <f t="shared" ref="B82:B98" si="58">SUM(C82:E82)</f>
        <v>0</v>
      </c>
      <c r="C82" s="346"/>
      <c r="D82" s="369"/>
      <c r="E82" s="347"/>
      <c r="F82" s="3356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3306"/>
      <c r="S82" s="3306"/>
      <c r="T82" s="3306"/>
      <c r="U82" s="3306"/>
      <c r="V82" s="3306"/>
      <c r="W82" s="3306"/>
      <c r="X82" s="7"/>
      <c r="Y82" s="7"/>
      <c r="AO82" s="1873"/>
      <c r="AP82" s="1873"/>
      <c r="AQ82" s="1873"/>
      <c r="AR82" s="1873"/>
      <c r="AS82" s="1873"/>
      <c r="AT82" s="1873"/>
      <c r="AU82" s="1873"/>
      <c r="AV82" s="1873"/>
      <c r="AW82" s="1873"/>
      <c r="AX82" s="1873"/>
      <c r="AY82" s="1873"/>
      <c r="AZ82" s="1873"/>
      <c r="BA82" s="1873"/>
      <c r="BB82" s="1873"/>
      <c r="BC82" s="1873"/>
    </row>
    <row r="83" spans="1:55" ht="15" customHeight="1" x14ac:dyDescent="0.25">
      <c r="A83" s="333" t="s">
        <v>1223</v>
      </c>
      <c r="B83" s="498">
        <f t="shared" si="58"/>
        <v>0</v>
      </c>
      <c r="C83" s="346"/>
      <c r="D83" s="369"/>
      <c r="E83" s="347"/>
      <c r="F83" s="3356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3306"/>
      <c r="S83" s="3306"/>
      <c r="T83" s="3306"/>
      <c r="U83" s="3306"/>
      <c r="V83" s="3306"/>
      <c r="W83" s="3306"/>
      <c r="X83" s="7"/>
      <c r="Y83" s="7"/>
      <c r="AO83" s="1873"/>
      <c r="AP83" s="1873"/>
      <c r="AQ83" s="1873"/>
      <c r="AR83" s="1873"/>
      <c r="AS83" s="1873"/>
      <c r="AT83" s="1873"/>
      <c r="AU83" s="1873"/>
      <c r="AV83" s="1873"/>
      <c r="AW83" s="1873"/>
      <c r="AX83" s="1873"/>
      <c r="AY83" s="1873"/>
      <c r="AZ83" s="1873"/>
      <c r="BA83" s="1873"/>
      <c r="BB83" s="1873"/>
      <c r="BC83" s="1873"/>
    </row>
    <row r="84" spans="1:55" ht="15" customHeight="1" x14ac:dyDescent="0.25">
      <c r="A84" s="333" t="s">
        <v>1427</v>
      </c>
      <c r="B84" s="498">
        <f t="shared" si="58"/>
        <v>0</v>
      </c>
      <c r="C84" s="346"/>
      <c r="D84" s="369"/>
      <c r="E84" s="347"/>
      <c r="F84" s="3356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3306"/>
      <c r="S84" s="3306"/>
      <c r="T84" s="3306"/>
      <c r="U84" s="3306"/>
      <c r="V84" s="3306"/>
      <c r="W84" s="3306"/>
      <c r="X84" s="7"/>
      <c r="Y84" s="7"/>
      <c r="AO84" s="1873"/>
      <c r="AP84" s="1873"/>
      <c r="AQ84" s="1873"/>
      <c r="AR84" s="1873"/>
      <c r="AS84" s="1873"/>
      <c r="AT84" s="1873"/>
      <c r="AU84" s="1873"/>
      <c r="AV84" s="1873"/>
      <c r="AW84" s="1873"/>
      <c r="AX84" s="1873"/>
      <c r="AY84" s="1873"/>
      <c r="AZ84" s="1873"/>
      <c r="BA84" s="1873"/>
      <c r="BB84" s="1873"/>
      <c r="BC84" s="1873"/>
    </row>
    <row r="85" spans="1:55" ht="15" customHeight="1" x14ac:dyDescent="0.25">
      <c r="A85" s="333" t="s">
        <v>1237</v>
      </c>
      <c r="B85" s="498">
        <f t="shared" si="58"/>
        <v>0</v>
      </c>
      <c r="C85" s="346"/>
      <c r="D85" s="369"/>
      <c r="E85" s="347"/>
      <c r="F85" s="3356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3306"/>
      <c r="S85" s="3306"/>
      <c r="T85" s="3306"/>
      <c r="U85" s="3306"/>
      <c r="V85" s="3306"/>
      <c r="W85" s="3306"/>
      <c r="X85" s="7"/>
      <c r="Y85" s="7"/>
      <c r="AO85" s="1873"/>
      <c r="AP85" s="1873"/>
      <c r="AQ85" s="1873"/>
      <c r="AR85" s="1873"/>
      <c r="AS85" s="1873"/>
      <c r="AT85" s="1873"/>
      <c r="AU85" s="1873"/>
      <c r="AV85" s="1873"/>
      <c r="AW85" s="1873"/>
      <c r="AX85" s="1873"/>
      <c r="AY85" s="1873"/>
      <c r="AZ85" s="1873"/>
      <c r="BA85" s="1873"/>
      <c r="BB85" s="1873"/>
      <c r="BC85" s="1873"/>
    </row>
    <row r="86" spans="1:55" ht="15" customHeight="1" x14ac:dyDescent="0.25">
      <c r="A86" s="333" t="s">
        <v>1238</v>
      </c>
      <c r="B86" s="498">
        <f t="shared" si="58"/>
        <v>0</v>
      </c>
      <c r="C86" s="346"/>
      <c r="D86" s="369"/>
      <c r="E86" s="347"/>
      <c r="F86" s="3356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3306"/>
      <c r="S86" s="3306"/>
      <c r="T86" s="3306"/>
      <c r="U86" s="3306"/>
      <c r="V86" s="3306"/>
      <c r="W86" s="3306"/>
      <c r="X86" s="7"/>
      <c r="Y86" s="7"/>
      <c r="AO86" s="1873"/>
      <c r="AP86" s="1873"/>
      <c r="AQ86" s="1873"/>
      <c r="AR86" s="1873"/>
      <c r="AS86" s="1873"/>
      <c r="AT86" s="1873"/>
      <c r="AU86" s="1873"/>
      <c r="AV86" s="1873"/>
      <c r="AW86" s="1873"/>
      <c r="AX86" s="1873"/>
      <c r="AY86" s="1873"/>
      <c r="AZ86" s="1873"/>
      <c r="BA86" s="1873"/>
      <c r="BB86" s="1873"/>
      <c r="BC86" s="1873"/>
    </row>
    <row r="87" spans="1:55" ht="15" customHeight="1" x14ac:dyDescent="0.25">
      <c r="A87" s="333" t="s">
        <v>1208</v>
      </c>
      <c r="B87" s="498">
        <f t="shared" si="58"/>
        <v>0</v>
      </c>
      <c r="C87" s="346"/>
      <c r="D87" s="369"/>
      <c r="E87" s="347"/>
      <c r="F87" s="3356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3306"/>
      <c r="S87" s="3306"/>
      <c r="T87" s="3306"/>
      <c r="U87" s="3306"/>
      <c r="V87" s="3306"/>
      <c r="W87" s="3306"/>
      <c r="X87" s="7"/>
      <c r="Y87" s="7"/>
      <c r="AO87" s="1873"/>
      <c r="AP87" s="1873"/>
      <c r="AQ87" s="1873"/>
      <c r="AR87" s="1873"/>
      <c r="AS87" s="1873"/>
      <c r="AT87" s="1873"/>
      <c r="AU87" s="1873"/>
      <c r="AV87" s="1873"/>
      <c r="AW87" s="1873"/>
      <c r="AX87" s="1873"/>
      <c r="AY87" s="1873"/>
      <c r="AZ87" s="1873"/>
      <c r="BA87" s="1873"/>
      <c r="BB87" s="1873"/>
      <c r="BC87" s="1873"/>
    </row>
    <row r="88" spans="1:55" ht="15" customHeight="1" x14ac:dyDescent="0.25">
      <c r="A88" s="333" t="s">
        <v>1428</v>
      </c>
      <c r="B88" s="498">
        <f t="shared" si="58"/>
        <v>0</v>
      </c>
      <c r="C88" s="346"/>
      <c r="D88" s="369"/>
      <c r="E88" s="347"/>
      <c r="F88" s="3356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3306"/>
      <c r="S88" s="3306"/>
      <c r="T88" s="3306"/>
      <c r="U88" s="3306"/>
      <c r="V88" s="3306"/>
      <c r="W88" s="3306"/>
      <c r="X88" s="7"/>
      <c r="Y88" s="7"/>
      <c r="AO88" s="1873"/>
      <c r="AP88" s="1873"/>
      <c r="AQ88" s="1873"/>
      <c r="AR88" s="1873"/>
      <c r="AS88" s="1873"/>
      <c r="AT88" s="1873"/>
      <c r="AU88" s="1873"/>
      <c r="AV88" s="1873"/>
      <c r="AW88" s="1873"/>
      <c r="AX88" s="1873"/>
      <c r="AY88" s="1873"/>
      <c r="AZ88" s="1873"/>
      <c r="BA88" s="1873"/>
      <c r="BB88" s="1873"/>
      <c r="BC88" s="1873"/>
    </row>
    <row r="89" spans="1:55" ht="15" customHeight="1" x14ac:dyDescent="0.25">
      <c r="A89" s="333" t="s">
        <v>1234</v>
      </c>
      <c r="B89" s="498">
        <f t="shared" si="58"/>
        <v>0</v>
      </c>
      <c r="C89" s="346"/>
      <c r="D89" s="369"/>
      <c r="E89" s="347"/>
      <c r="F89" s="3356"/>
      <c r="G89" s="3304"/>
      <c r="H89" s="3304"/>
      <c r="I89" s="7"/>
      <c r="J89" s="7"/>
      <c r="K89" s="7"/>
      <c r="L89" s="7"/>
      <c r="M89" s="7"/>
      <c r="N89" s="7"/>
      <c r="O89" s="7"/>
      <c r="P89" s="7"/>
      <c r="Q89" s="7"/>
      <c r="R89" s="3306"/>
      <c r="S89" s="3306"/>
      <c r="T89" s="3306"/>
      <c r="U89" s="3306"/>
      <c r="V89" s="3306"/>
      <c r="W89" s="3306"/>
      <c r="X89" s="7"/>
      <c r="Y89" s="7"/>
    </row>
    <row r="90" spans="1:55" ht="15" customHeight="1" x14ac:dyDescent="0.25">
      <c r="A90" s="333" t="s">
        <v>1429</v>
      </c>
      <c r="B90" s="498">
        <f t="shared" si="58"/>
        <v>0</v>
      </c>
      <c r="C90" s="346"/>
      <c r="D90" s="369"/>
      <c r="E90" s="347"/>
      <c r="F90" s="3356"/>
      <c r="G90" s="3304"/>
      <c r="H90" s="3304"/>
      <c r="I90" s="7"/>
      <c r="J90" s="7"/>
      <c r="K90" s="7"/>
      <c r="L90" s="7"/>
      <c r="M90" s="7"/>
      <c r="N90" s="7"/>
      <c r="O90" s="7"/>
      <c r="P90" s="7"/>
      <c r="Q90" s="7"/>
      <c r="R90" s="3306"/>
      <c r="S90" s="3306"/>
      <c r="T90" s="3306"/>
      <c r="U90" s="3306"/>
      <c r="V90" s="3306"/>
      <c r="W90" s="3306"/>
      <c r="X90" s="7"/>
      <c r="Y90" s="7"/>
    </row>
    <row r="91" spans="1:55" ht="15" customHeight="1" x14ac:dyDescent="0.25">
      <c r="A91" s="333" t="s">
        <v>1430</v>
      </c>
      <c r="B91" s="498">
        <f t="shared" si="58"/>
        <v>0</v>
      </c>
      <c r="C91" s="346"/>
      <c r="D91" s="369"/>
      <c r="E91" s="347"/>
      <c r="F91" s="3356"/>
      <c r="G91" s="3304"/>
      <c r="H91" s="3304"/>
      <c r="I91" s="7"/>
      <c r="J91" s="7"/>
      <c r="K91" s="7"/>
      <c r="L91" s="7"/>
      <c r="M91" s="7"/>
      <c r="N91" s="7"/>
      <c r="O91" s="7"/>
      <c r="P91" s="7"/>
      <c r="Q91" s="7"/>
      <c r="R91" s="3306"/>
      <c r="S91" s="3306"/>
      <c r="T91" s="3306"/>
      <c r="U91" s="3306"/>
      <c r="V91" s="3306"/>
      <c r="W91" s="3306"/>
      <c r="X91" s="7"/>
      <c r="Y91" s="7"/>
    </row>
    <row r="92" spans="1:55" ht="15" customHeight="1" x14ac:dyDescent="0.25">
      <c r="A92" s="3357" t="s">
        <v>1431</v>
      </c>
      <c r="B92" s="498">
        <f t="shared" si="58"/>
        <v>0</v>
      </c>
      <c r="C92" s="346"/>
      <c r="D92" s="369"/>
      <c r="E92" s="347"/>
      <c r="F92" s="3356"/>
      <c r="G92" s="3304"/>
      <c r="H92" s="3304"/>
      <c r="I92" s="7"/>
      <c r="J92" s="7"/>
      <c r="K92" s="7"/>
      <c r="L92" s="7"/>
      <c r="M92" s="7"/>
      <c r="N92" s="7"/>
      <c r="O92" s="7"/>
      <c r="P92" s="7"/>
      <c r="Q92" s="7"/>
      <c r="R92" s="3306"/>
      <c r="S92" s="3306"/>
      <c r="T92" s="3306"/>
      <c r="U92" s="3306"/>
      <c r="V92" s="3306"/>
      <c r="W92" s="3306"/>
      <c r="X92" s="7"/>
      <c r="Y92" s="7"/>
    </row>
    <row r="93" spans="1:55" ht="15" customHeight="1" x14ac:dyDescent="0.25">
      <c r="A93" s="333" t="s">
        <v>1432</v>
      </c>
      <c r="B93" s="498">
        <f t="shared" si="58"/>
        <v>0</v>
      </c>
      <c r="C93" s="346"/>
      <c r="D93" s="369"/>
      <c r="E93" s="347"/>
      <c r="F93" s="3356"/>
      <c r="G93" s="3304"/>
      <c r="H93" s="3304"/>
      <c r="I93" s="7"/>
      <c r="J93" s="7"/>
      <c r="K93" s="7"/>
      <c r="L93" s="7"/>
      <c r="M93" s="7"/>
      <c r="N93" s="7"/>
      <c r="O93" s="7"/>
      <c r="P93" s="7"/>
      <c r="Q93" s="7"/>
      <c r="R93" s="3306"/>
      <c r="S93" s="3306"/>
      <c r="T93" s="3306"/>
      <c r="U93" s="3306"/>
      <c r="V93" s="3306"/>
      <c r="W93" s="3306"/>
      <c r="X93" s="7"/>
      <c r="Y93" s="7"/>
    </row>
    <row r="94" spans="1:55" ht="15" customHeight="1" x14ac:dyDescent="0.25">
      <c r="A94" s="333" t="s">
        <v>1233</v>
      </c>
      <c r="B94" s="498">
        <f t="shared" si="58"/>
        <v>0</v>
      </c>
      <c r="C94" s="346"/>
      <c r="D94" s="369"/>
      <c r="E94" s="347"/>
      <c r="F94" s="3356"/>
      <c r="G94" s="3304"/>
      <c r="H94" s="3304"/>
      <c r="I94" s="7"/>
      <c r="J94" s="7"/>
      <c r="K94" s="7"/>
      <c r="L94" s="7"/>
      <c r="M94" s="7"/>
      <c r="N94" s="7"/>
      <c r="O94" s="7"/>
      <c r="P94" s="7"/>
      <c r="Q94" s="7"/>
      <c r="R94" s="3306"/>
      <c r="S94" s="3306"/>
      <c r="T94" s="3306"/>
      <c r="U94" s="3306"/>
      <c r="V94" s="3306"/>
      <c r="W94" s="3306"/>
      <c r="X94" s="7"/>
      <c r="Y94" s="7"/>
    </row>
    <row r="95" spans="1:55" ht="15" customHeight="1" x14ac:dyDescent="0.25">
      <c r="A95" s="333" t="s">
        <v>1433</v>
      </c>
      <c r="B95" s="498">
        <f t="shared" si="58"/>
        <v>0</v>
      </c>
      <c r="C95" s="346"/>
      <c r="D95" s="369"/>
      <c r="E95" s="347"/>
      <c r="F95" s="3356"/>
      <c r="G95" s="3304"/>
      <c r="H95" s="3304"/>
      <c r="I95" s="7"/>
      <c r="J95" s="7"/>
      <c r="K95" s="7"/>
      <c r="L95" s="7"/>
      <c r="M95" s="7"/>
      <c r="N95" s="7"/>
      <c r="O95" s="7"/>
      <c r="P95" s="7"/>
      <c r="Q95" s="7"/>
      <c r="R95" s="3306"/>
      <c r="S95" s="3306"/>
      <c r="T95" s="3306"/>
      <c r="U95" s="3306"/>
      <c r="V95" s="3306"/>
      <c r="W95" s="3306"/>
      <c r="X95" s="7"/>
      <c r="Y95" s="7"/>
    </row>
    <row r="96" spans="1:55" ht="15" customHeight="1" x14ac:dyDescent="0.25">
      <c r="A96" s="333" t="s">
        <v>1228</v>
      </c>
      <c r="B96" s="498">
        <f t="shared" si="58"/>
        <v>0</v>
      </c>
      <c r="C96" s="346"/>
      <c r="D96" s="369"/>
      <c r="E96" s="347"/>
      <c r="F96" s="3356"/>
      <c r="G96" s="3304"/>
      <c r="H96" s="3304"/>
      <c r="I96" s="7"/>
      <c r="J96" s="7"/>
      <c r="K96" s="7"/>
      <c r="L96" s="7"/>
      <c r="M96" s="7"/>
      <c r="N96" s="7"/>
      <c r="O96" s="7"/>
      <c r="P96" s="7"/>
      <c r="Q96" s="7"/>
      <c r="R96" s="3306"/>
      <c r="S96" s="3306"/>
      <c r="T96" s="3306"/>
      <c r="U96" s="3306"/>
      <c r="V96" s="3306"/>
      <c r="W96" s="3306"/>
      <c r="X96" s="7"/>
      <c r="Y96" s="7"/>
    </row>
    <row r="97" spans="1:92" ht="15" customHeight="1" x14ac:dyDescent="0.25">
      <c r="A97" s="333" t="s">
        <v>1434</v>
      </c>
      <c r="B97" s="498">
        <f t="shared" si="58"/>
        <v>0</v>
      </c>
      <c r="C97" s="346"/>
      <c r="D97" s="369"/>
      <c r="E97" s="347"/>
      <c r="F97" s="3356"/>
      <c r="G97" s="3304"/>
      <c r="H97" s="3304"/>
      <c r="I97" s="7"/>
      <c r="J97" s="7"/>
      <c r="K97" s="7"/>
      <c r="L97" s="7"/>
      <c r="M97" s="7"/>
      <c r="N97" s="7"/>
      <c r="O97" s="7"/>
      <c r="P97" s="7"/>
      <c r="Q97" s="7"/>
      <c r="R97" s="3306"/>
      <c r="S97" s="3306"/>
      <c r="T97" s="3306"/>
      <c r="U97" s="3306"/>
      <c r="V97" s="3306"/>
      <c r="W97" s="3306"/>
      <c r="X97" s="7"/>
      <c r="Y97" s="7"/>
    </row>
    <row r="98" spans="1:92" ht="15" customHeight="1" x14ac:dyDescent="0.25">
      <c r="A98" s="333" t="s">
        <v>1236</v>
      </c>
      <c r="B98" s="498">
        <f t="shared" si="58"/>
        <v>0</v>
      </c>
      <c r="C98" s="346"/>
      <c r="D98" s="369"/>
      <c r="E98" s="347"/>
      <c r="F98" s="3356"/>
      <c r="G98" s="3304"/>
      <c r="H98" s="3304"/>
      <c r="I98" s="7"/>
      <c r="J98" s="7"/>
      <c r="K98" s="7"/>
      <c r="L98" s="7"/>
      <c r="M98" s="7"/>
      <c r="N98" s="7"/>
      <c r="O98" s="7"/>
      <c r="P98" s="7"/>
      <c r="Q98" s="7"/>
      <c r="R98" s="3306"/>
      <c r="S98" s="3306"/>
      <c r="T98" s="3306"/>
      <c r="U98" s="3306"/>
      <c r="V98" s="3306"/>
      <c r="W98" s="3306"/>
      <c r="X98" s="7"/>
      <c r="Y98" s="7"/>
    </row>
    <row r="99" spans="1:92" ht="15" customHeight="1" x14ac:dyDescent="0.25">
      <c r="A99" s="333" t="s">
        <v>1230</v>
      </c>
      <c r="B99" s="498">
        <f>SUM(C99:E99)</f>
        <v>0</v>
      </c>
      <c r="C99" s="346"/>
      <c r="D99" s="369"/>
      <c r="E99" s="347"/>
      <c r="F99" s="3356"/>
      <c r="G99" s="3304"/>
      <c r="H99" s="3304"/>
      <c r="I99" s="7"/>
      <c r="J99" s="7"/>
      <c r="K99" s="7"/>
      <c r="L99" s="7"/>
      <c r="M99" s="7"/>
      <c r="N99" s="7"/>
      <c r="O99" s="7"/>
      <c r="P99" s="7"/>
      <c r="Q99" s="7"/>
      <c r="R99" s="3306"/>
      <c r="S99" s="3306"/>
      <c r="T99" s="3306"/>
      <c r="U99" s="3306"/>
      <c r="V99" s="3306"/>
      <c r="W99" s="3306"/>
      <c r="X99" s="7"/>
      <c r="Y99" s="7"/>
    </row>
    <row r="100" spans="1:92" ht="15" customHeight="1" x14ac:dyDescent="0.25">
      <c r="A100" s="333" t="s">
        <v>587</v>
      </c>
      <c r="B100" s="498">
        <f>SUM(C100:E100)</f>
        <v>0</v>
      </c>
      <c r="C100" s="346"/>
      <c r="D100" s="369"/>
      <c r="E100" s="347"/>
      <c r="F100" s="3356"/>
      <c r="G100" s="3304"/>
      <c r="H100" s="3304"/>
      <c r="I100" s="7"/>
      <c r="J100" s="7"/>
      <c r="K100" s="7"/>
      <c r="L100" s="7"/>
      <c r="M100" s="7"/>
      <c r="N100" s="7"/>
      <c r="O100" s="7"/>
      <c r="P100" s="7"/>
      <c r="Q100" s="7"/>
      <c r="R100" s="3306"/>
      <c r="S100" s="3306"/>
      <c r="T100" s="3306"/>
      <c r="U100" s="3306"/>
      <c r="V100" s="3306"/>
      <c r="W100" s="3306"/>
      <c r="X100" s="7"/>
      <c r="Y100" s="7"/>
    </row>
    <row r="101" spans="1:92" ht="15" customHeight="1" x14ac:dyDescent="0.25">
      <c r="A101" s="1796" t="s">
        <v>77</v>
      </c>
      <c r="B101" s="801">
        <f>SUM(B81:B100)</f>
        <v>0</v>
      </c>
      <c r="C101" s="779">
        <f>SUM(C81:C100)</f>
        <v>0</v>
      </c>
      <c r="D101" s="512">
        <f t="shared" ref="D101:E101" si="59">SUM(D81:D100)</f>
        <v>0</v>
      </c>
      <c r="E101" s="515">
        <f t="shared" si="59"/>
        <v>0</v>
      </c>
      <c r="F101" s="3356"/>
      <c r="G101" s="3304"/>
      <c r="H101" s="3304"/>
      <c r="I101" s="7"/>
      <c r="J101" s="7"/>
      <c r="K101" s="7"/>
      <c r="L101" s="7"/>
      <c r="M101" s="7"/>
      <c r="N101" s="7"/>
      <c r="O101" s="7"/>
      <c r="P101" s="7"/>
      <c r="Q101" s="7"/>
      <c r="R101" s="3306"/>
      <c r="S101" s="3306"/>
      <c r="T101" s="3306"/>
      <c r="U101" s="3306"/>
      <c r="V101" s="3306"/>
      <c r="W101" s="3306"/>
      <c r="X101" s="7"/>
      <c r="Y101" s="7"/>
    </row>
    <row r="102" spans="1:92" s="8" customFormat="1" ht="18" customHeight="1" x14ac:dyDescent="0.2">
      <c r="A102" s="1" t="s">
        <v>1435</v>
      </c>
      <c r="BV102" s="5"/>
      <c r="BW102" s="5"/>
      <c r="BX102" s="5"/>
      <c r="BY102" s="5"/>
    </row>
    <row r="103" spans="1:92" ht="16.350000000000001" customHeight="1" x14ac:dyDescent="0.25">
      <c r="A103" s="5944" t="s">
        <v>1436</v>
      </c>
      <c r="B103" s="6243"/>
      <c r="C103" s="5944" t="s">
        <v>1363</v>
      </c>
      <c r="D103" s="6242"/>
      <c r="E103" s="6243"/>
      <c r="F103" s="6436" t="s">
        <v>1364</v>
      </c>
      <c r="G103" s="6247"/>
      <c r="H103" s="6247"/>
      <c r="I103" s="6247"/>
      <c r="J103" s="6247"/>
      <c r="K103" s="6247"/>
      <c r="L103" s="6247"/>
      <c r="M103" s="6247"/>
      <c r="N103" s="6247"/>
      <c r="O103" s="6247"/>
      <c r="P103" s="6247"/>
      <c r="Q103" s="6247"/>
      <c r="R103" s="6247"/>
      <c r="S103" s="6247"/>
      <c r="T103" s="6247"/>
      <c r="U103" s="6247"/>
      <c r="V103" s="6247"/>
      <c r="W103" s="6247"/>
      <c r="X103" s="6247"/>
      <c r="Y103" s="6247"/>
      <c r="Z103" s="6247"/>
      <c r="AA103" s="6247"/>
      <c r="AB103" s="6247"/>
      <c r="AC103" s="6247"/>
      <c r="AD103" s="6247"/>
      <c r="AE103" s="6247"/>
      <c r="AF103" s="6247"/>
      <c r="AG103" s="6247"/>
      <c r="AH103" s="6247"/>
      <c r="AI103" s="6247"/>
      <c r="AJ103" s="6247"/>
      <c r="AK103" s="6247"/>
      <c r="AL103" s="6247"/>
      <c r="AM103" s="6187"/>
      <c r="AN103" s="6224" t="s">
        <v>597</v>
      </c>
      <c r="AO103" s="6243" t="s">
        <v>1437</v>
      </c>
      <c r="AP103" s="1873"/>
      <c r="AQ103" s="1873"/>
      <c r="AR103" s="1873"/>
      <c r="AS103" s="1873"/>
      <c r="AT103" s="1873"/>
      <c r="AU103" s="1873"/>
      <c r="AV103" s="1873"/>
      <c r="AW103" s="1873"/>
      <c r="AX103" s="1873"/>
      <c r="AY103" s="1873"/>
      <c r="AZ103" s="1873"/>
      <c r="BA103" s="1873"/>
      <c r="BB103" s="1873"/>
    </row>
    <row r="104" spans="1:92" ht="16.350000000000001" customHeight="1" x14ac:dyDescent="0.25">
      <c r="A104" s="5776"/>
      <c r="B104" s="5759"/>
      <c r="C104" s="6466"/>
      <c r="D104" s="6467"/>
      <c r="E104" s="6468"/>
      <c r="F104" s="6436" t="s">
        <v>343</v>
      </c>
      <c r="G104" s="6183"/>
      <c r="H104" s="6436" t="s">
        <v>326</v>
      </c>
      <c r="I104" s="6183"/>
      <c r="J104" s="6436" t="s">
        <v>94</v>
      </c>
      <c r="K104" s="6183"/>
      <c r="L104" s="6436" t="s">
        <v>44</v>
      </c>
      <c r="M104" s="6183"/>
      <c r="N104" s="6436" t="s">
        <v>45</v>
      </c>
      <c r="O104" s="6183"/>
      <c r="P104" s="6437" t="s">
        <v>46</v>
      </c>
      <c r="Q104" s="6180"/>
      <c r="R104" s="6437" t="s">
        <v>47</v>
      </c>
      <c r="S104" s="6180"/>
      <c r="T104" s="6437" t="s">
        <v>48</v>
      </c>
      <c r="U104" s="6180"/>
      <c r="V104" s="6437" t="s">
        <v>49</v>
      </c>
      <c r="W104" s="6180"/>
      <c r="X104" s="6437" t="s">
        <v>50</v>
      </c>
      <c r="Y104" s="6180"/>
      <c r="Z104" s="6437" t="s">
        <v>51</v>
      </c>
      <c r="AA104" s="6180"/>
      <c r="AB104" s="6437" t="s">
        <v>52</v>
      </c>
      <c r="AC104" s="6180"/>
      <c r="AD104" s="6437" t="s">
        <v>53</v>
      </c>
      <c r="AE104" s="6180"/>
      <c r="AF104" s="6437" t="s">
        <v>54</v>
      </c>
      <c r="AG104" s="6180"/>
      <c r="AH104" s="6437" t="s">
        <v>55</v>
      </c>
      <c r="AI104" s="6180"/>
      <c r="AJ104" s="6437" t="s">
        <v>56</v>
      </c>
      <c r="AK104" s="6180"/>
      <c r="AL104" s="6437" t="s">
        <v>57</v>
      </c>
      <c r="AM104" s="6179"/>
      <c r="AN104" s="5837"/>
      <c r="AO104" s="5759"/>
      <c r="AP104" s="1873"/>
      <c r="AQ104" s="1873"/>
      <c r="AR104" s="1873"/>
      <c r="AS104" s="1873"/>
      <c r="AT104" s="1873"/>
      <c r="AU104" s="1873"/>
      <c r="AV104" s="1873"/>
      <c r="AW104" s="1873"/>
      <c r="AX104" s="1873"/>
      <c r="AY104" s="1873"/>
      <c r="AZ104" s="1873"/>
      <c r="BA104" s="1873"/>
      <c r="BB104" s="1873"/>
    </row>
    <row r="105" spans="1:92" ht="16.350000000000001" customHeight="1" x14ac:dyDescent="0.25">
      <c r="A105" s="6466"/>
      <c r="B105" s="6467"/>
      <c r="C105" s="767" t="s">
        <v>79</v>
      </c>
      <c r="D105" s="555" t="s">
        <v>461</v>
      </c>
      <c r="E105" s="465" t="s">
        <v>59</v>
      </c>
      <c r="F105" s="767" t="s">
        <v>461</v>
      </c>
      <c r="G105" s="465" t="s">
        <v>59</v>
      </c>
      <c r="H105" s="767" t="s">
        <v>461</v>
      </c>
      <c r="I105" s="604" t="s">
        <v>59</v>
      </c>
      <c r="J105" s="767" t="s">
        <v>461</v>
      </c>
      <c r="K105" s="465" t="s">
        <v>59</v>
      </c>
      <c r="L105" s="767" t="s">
        <v>461</v>
      </c>
      <c r="M105" s="604" t="s">
        <v>59</v>
      </c>
      <c r="N105" s="767" t="s">
        <v>461</v>
      </c>
      <c r="O105" s="465" t="s">
        <v>59</v>
      </c>
      <c r="P105" s="767" t="s">
        <v>461</v>
      </c>
      <c r="Q105" s="604" t="s">
        <v>59</v>
      </c>
      <c r="R105" s="767" t="s">
        <v>461</v>
      </c>
      <c r="S105" s="465" t="s">
        <v>59</v>
      </c>
      <c r="T105" s="767" t="s">
        <v>461</v>
      </c>
      <c r="U105" s="604" t="s">
        <v>59</v>
      </c>
      <c r="V105" s="767" t="s">
        <v>461</v>
      </c>
      <c r="W105" s="465" t="s">
        <v>59</v>
      </c>
      <c r="X105" s="767" t="s">
        <v>461</v>
      </c>
      <c r="Y105" s="465" t="s">
        <v>59</v>
      </c>
      <c r="Z105" s="767" t="s">
        <v>461</v>
      </c>
      <c r="AA105" s="604" t="s">
        <v>59</v>
      </c>
      <c r="AB105" s="767" t="s">
        <v>461</v>
      </c>
      <c r="AC105" s="465" t="s">
        <v>59</v>
      </c>
      <c r="AD105" s="767" t="s">
        <v>461</v>
      </c>
      <c r="AE105" s="604" t="s">
        <v>59</v>
      </c>
      <c r="AF105" s="767" t="s">
        <v>461</v>
      </c>
      <c r="AG105" s="465" t="s">
        <v>59</v>
      </c>
      <c r="AH105" s="767" t="s">
        <v>461</v>
      </c>
      <c r="AI105" s="604" t="s">
        <v>59</v>
      </c>
      <c r="AJ105" s="767" t="s">
        <v>461</v>
      </c>
      <c r="AK105" s="465" t="s">
        <v>59</v>
      </c>
      <c r="AL105" s="767" t="s">
        <v>461</v>
      </c>
      <c r="AM105" s="466" t="s">
        <v>59</v>
      </c>
      <c r="AN105" s="6626"/>
      <c r="AO105" s="6468"/>
      <c r="AP105" s="1873"/>
      <c r="AQ105" s="1873"/>
      <c r="AR105" s="1873"/>
      <c r="AS105" s="1873"/>
      <c r="AT105" s="1873"/>
      <c r="AU105" s="1873"/>
      <c r="AV105" s="1873"/>
      <c r="AW105" s="1873"/>
      <c r="AX105" s="1873"/>
      <c r="AY105" s="1873"/>
      <c r="AZ105" s="1873"/>
      <c r="BA105" s="1873"/>
      <c r="BB105" s="1873"/>
    </row>
    <row r="106" spans="1:92" ht="15" customHeight="1" x14ac:dyDescent="0.25">
      <c r="A106" s="6439" t="s">
        <v>1438</v>
      </c>
      <c r="B106" s="6327"/>
      <c r="C106" s="3337">
        <f>SUM(C107:C113)</f>
        <v>0</v>
      </c>
      <c r="D106" s="620">
        <f>SUM(D107:D113)</f>
        <v>0</v>
      </c>
      <c r="E106" s="621">
        <f>SUM(E107:E113)</f>
        <v>0</v>
      </c>
      <c r="F106" s="781">
        <f t="shared" ref="F106:AN106" si="60">SUM(F107:F113)</f>
        <v>0</v>
      </c>
      <c r="G106" s="3358">
        <f t="shared" si="60"/>
        <v>0</v>
      </c>
      <c r="H106" s="781">
        <f t="shared" si="60"/>
        <v>0</v>
      </c>
      <c r="I106" s="3358">
        <f t="shared" si="60"/>
        <v>0</v>
      </c>
      <c r="J106" s="781">
        <f t="shared" si="60"/>
        <v>0</v>
      </c>
      <c r="K106" s="3358">
        <f t="shared" si="60"/>
        <v>0</v>
      </c>
      <c r="L106" s="781">
        <f t="shared" si="60"/>
        <v>0</v>
      </c>
      <c r="M106" s="3358">
        <f t="shared" si="60"/>
        <v>0</v>
      </c>
      <c r="N106" s="781">
        <f t="shared" si="60"/>
        <v>0</v>
      </c>
      <c r="O106" s="3358">
        <f t="shared" si="60"/>
        <v>0</v>
      </c>
      <c r="P106" s="781">
        <f t="shared" si="60"/>
        <v>0</v>
      </c>
      <c r="Q106" s="3358">
        <f t="shared" si="60"/>
        <v>0</v>
      </c>
      <c r="R106" s="781">
        <f t="shared" si="60"/>
        <v>0</v>
      </c>
      <c r="S106" s="3358">
        <f t="shared" si="60"/>
        <v>0</v>
      </c>
      <c r="T106" s="781">
        <f t="shared" si="60"/>
        <v>0</v>
      </c>
      <c r="U106" s="3358">
        <f t="shared" si="60"/>
        <v>0</v>
      </c>
      <c r="V106" s="781">
        <f t="shared" si="60"/>
        <v>0</v>
      </c>
      <c r="W106" s="3358">
        <f t="shared" si="60"/>
        <v>0</v>
      </c>
      <c r="X106" s="781">
        <f t="shared" si="60"/>
        <v>0</v>
      </c>
      <c r="Y106" s="3358">
        <f t="shared" si="60"/>
        <v>0</v>
      </c>
      <c r="Z106" s="781">
        <f t="shared" si="60"/>
        <v>0</v>
      </c>
      <c r="AA106" s="3358">
        <f t="shared" si="60"/>
        <v>0</v>
      </c>
      <c r="AB106" s="781">
        <f t="shared" si="60"/>
        <v>0</v>
      </c>
      <c r="AC106" s="3358">
        <f t="shared" si="60"/>
        <v>0</v>
      </c>
      <c r="AD106" s="781">
        <f t="shared" si="60"/>
        <v>0</v>
      </c>
      <c r="AE106" s="3358">
        <f t="shared" si="60"/>
        <v>0</v>
      </c>
      <c r="AF106" s="781">
        <f t="shared" si="60"/>
        <v>0</v>
      </c>
      <c r="AG106" s="3358">
        <f t="shared" si="60"/>
        <v>0</v>
      </c>
      <c r="AH106" s="781">
        <f t="shared" si="60"/>
        <v>0</v>
      </c>
      <c r="AI106" s="3358">
        <f t="shared" si="60"/>
        <v>0</v>
      </c>
      <c r="AJ106" s="781">
        <f t="shared" si="60"/>
        <v>0</v>
      </c>
      <c r="AK106" s="3358">
        <f t="shared" si="60"/>
        <v>0</v>
      </c>
      <c r="AL106" s="781">
        <f t="shared" si="60"/>
        <v>0</v>
      </c>
      <c r="AM106" s="3359">
        <f t="shared" si="60"/>
        <v>0</v>
      </c>
      <c r="AN106" s="3360">
        <f t="shared" si="60"/>
        <v>0</v>
      </c>
      <c r="AO106" s="757">
        <f>SUM(AO107:AO109)</f>
        <v>0</v>
      </c>
      <c r="AP106" s="1873"/>
      <c r="AQ106" s="1873"/>
      <c r="AR106" s="1873"/>
      <c r="AS106" s="1873"/>
      <c r="AT106" s="1873"/>
      <c r="AU106" s="1873"/>
      <c r="AV106" s="1873"/>
      <c r="AW106" s="1873"/>
      <c r="AX106" s="1873"/>
      <c r="AY106" s="1873"/>
      <c r="AZ106" s="1873"/>
      <c r="BA106" s="1873"/>
      <c r="BB106" s="1873"/>
    </row>
    <row r="107" spans="1:92" ht="15" customHeight="1" x14ac:dyDescent="0.25">
      <c r="A107" s="6185" t="s">
        <v>1439</v>
      </c>
      <c r="B107" s="737" t="s">
        <v>1440</v>
      </c>
      <c r="C107" s="3337">
        <f t="shared" ref="C107:C113" si="61">SUM(D107+E107)</f>
        <v>0</v>
      </c>
      <c r="D107" s="620">
        <f t="shared" ref="D107:E113" si="62">SUM(F107+H107+J107+L107+N107+P107+R107+T107+V107+X107+Z107+AB107+AD107+AF107+AH107+AJ107+AL107)</f>
        <v>0</v>
      </c>
      <c r="E107" s="621">
        <f t="shared" si="62"/>
        <v>0</v>
      </c>
      <c r="F107" s="3361"/>
      <c r="G107" s="3362"/>
      <c r="H107" s="3363"/>
      <c r="I107" s="890"/>
      <c r="J107" s="3363"/>
      <c r="K107" s="890"/>
      <c r="L107" s="3361"/>
      <c r="M107" s="3362"/>
      <c r="N107" s="3363"/>
      <c r="O107" s="890"/>
      <c r="P107" s="3363"/>
      <c r="Q107" s="890"/>
      <c r="R107" s="3363"/>
      <c r="S107" s="890"/>
      <c r="T107" s="3363"/>
      <c r="U107" s="890"/>
      <c r="V107" s="3363"/>
      <c r="W107" s="890"/>
      <c r="X107" s="3363"/>
      <c r="Y107" s="890"/>
      <c r="Z107" s="3363"/>
      <c r="AA107" s="890"/>
      <c r="AB107" s="3363"/>
      <c r="AC107" s="890"/>
      <c r="AD107" s="3363"/>
      <c r="AE107" s="890"/>
      <c r="AF107" s="3363"/>
      <c r="AG107" s="890"/>
      <c r="AH107" s="3363"/>
      <c r="AI107" s="890"/>
      <c r="AJ107" s="3363"/>
      <c r="AK107" s="890"/>
      <c r="AL107" s="3363"/>
      <c r="AM107" s="892"/>
      <c r="AN107" s="3362"/>
      <c r="AO107" s="871"/>
      <c r="AP107" s="3341" t="str">
        <f>CA107&amp;CB107</f>
        <v/>
      </c>
      <c r="AQ107" s="3312"/>
      <c r="AR107" s="3312"/>
      <c r="AS107" s="3312"/>
      <c r="AT107" s="3312"/>
      <c r="AU107" s="3312"/>
      <c r="AV107" s="3312"/>
      <c r="AW107" s="3312"/>
      <c r="AX107" s="3312"/>
      <c r="AY107" s="3312"/>
      <c r="AZ107" s="3312"/>
      <c r="BA107" s="1873"/>
      <c r="BB107" s="1873"/>
      <c r="CA107" s="432" t="str">
        <f>IF(AND($C107&gt;0,AN107="")," * No olvide digitar la variable "&amp;AN$103&amp;""&amp;". Digite CERO si no tiene",IF(AN107&gt;$C107," * La variable "&amp;AN$103&amp;""&amp;" No puede ser mayor al Total.",""))</f>
        <v/>
      </c>
      <c r="CB107" s="432" t="str">
        <f>IF(AND($C107&gt;0,AO107="")," * No olvide digitar la variable "&amp;AO$103&amp;""&amp;". Digite CERO si no tiene",IF(AO107&gt;$C107," * La variable "&amp;AO$103&amp;""&amp;" No puede ser mayor al Total.",""))</f>
        <v/>
      </c>
      <c r="CM107" s="180">
        <f>IF(AND($C107&gt;0,AN107=""),1,IF(AN107&gt;$C107,1,0))</f>
        <v>0</v>
      </c>
      <c r="CN107" s="180">
        <f>IF(AND($C107&gt;0,AO107=""),1,IF(AO107&gt;$C107,1,0))</f>
        <v>0</v>
      </c>
    </row>
    <row r="108" spans="1:92" ht="15" customHeight="1" x14ac:dyDescent="0.25">
      <c r="A108" s="5844"/>
      <c r="B108" s="3364" t="s">
        <v>1441</v>
      </c>
      <c r="C108" s="202">
        <f t="shared" si="61"/>
        <v>0</v>
      </c>
      <c r="D108" s="248">
        <f t="shared" si="62"/>
        <v>0</v>
      </c>
      <c r="E108" s="2438">
        <f t="shared" si="62"/>
        <v>0</v>
      </c>
      <c r="F108" s="3365"/>
      <c r="G108" s="874"/>
      <c r="H108" s="3366"/>
      <c r="I108" s="3367"/>
      <c r="J108" s="3365"/>
      <c r="K108" s="3368"/>
      <c r="L108" s="3366"/>
      <c r="M108" s="3369"/>
      <c r="N108" s="3365"/>
      <c r="O108" s="3368"/>
      <c r="P108" s="3367"/>
      <c r="Q108" s="3369"/>
      <c r="R108" s="3370"/>
      <c r="S108" s="3368"/>
      <c r="T108" s="3367"/>
      <c r="U108" s="3369"/>
      <c r="V108" s="3370"/>
      <c r="W108" s="3368"/>
      <c r="X108" s="3367"/>
      <c r="Y108" s="3368"/>
      <c r="Z108" s="3370"/>
      <c r="AA108" s="3369"/>
      <c r="AB108" s="3370"/>
      <c r="AC108" s="3368"/>
      <c r="AD108" s="3367"/>
      <c r="AE108" s="3369"/>
      <c r="AF108" s="3370"/>
      <c r="AG108" s="3368"/>
      <c r="AH108" s="3367"/>
      <c r="AI108" s="3369"/>
      <c r="AJ108" s="3370"/>
      <c r="AK108" s="3368"/>
      <c r="AL108" s="3367"/>
      <c r="AM108" s="3371"/>
      <c r="AN108" s="3366"/>
      <c r="AO108" s="874"/>
      <c r="AP108" s="3341" t="str">
        <f t="shared" ref="AP108:AP109" si="63">CA108&amp;CB108</f>
        <v/>
      </c>
      <c r="AQ108" s="3312"/>
      <c r="AR108" s="3312"/>
      <c r="AS108" s="3312"/>
      <c r="AT108" s="3312"/>
      <c r="AU108" s="3312"/>
      <c r="AV108" s="3312"/>
      <c r="AW108" s="3312"/>
      <c r="AX108" s="3312"/>
      <c r="AY108" s="3312"/>
      <c r="AZ108" s="3312"/>
      <c r="BA108" s="1873"/>
      <c r="BB108" s="1873"/>
      <c r="CA108" s="432" t="str">
        <f t="shared" ref="CA108:CA112" si="64">IF(AND($C108&gt;0,AN108="")," * No olvide digitar la variable "&amp;AN$103&amp;""&amp;". Digite CERO si no tiene",IF(AN108&gt;$C108," * La variable "&amp;AN$103&amp;""&amp;" No puede ser mayor al Total.",""))</f>
        <v/>
      </c>
      <c r="CB108" s="432" t="str">
        <f t="shared" ref="CB108:CB109" si="65">IF(AND($C108&gt;0,AO108="")," * No olvide digitar la variable "&amp;AO$103&amp;""&amp;". Digite CERO si no tiene",IF(AO108&gt;$C108," * La variable "&amp;AO$103&amp;""&amp;" No puede ser mayor al Total.",""))</f>
        <v/>
      </c>
      <c r="CM108" s="180">
        <f t="shared" ref="CM108:CM113" si="66">IF(AND($C108&gt;0,AN108=""),1,IF(AN108&gt;$C108,1,0))</f>
        <v>0</v>
      </c>
      <c r="CN108" s="180">
        <f t="shared" ref="CN108:CN109" si="67">IF(AND($C108&gt;0,AO108=""),1,IF(AO108&gt;$C108,1,0))</f>
        <v>0</v>
      </c>
    </row>
    <row r="109" spans="1:92" ht="15" customHeight="1" thickBot="1" x14ac:dyDescent="0.3">
      <c r="A109" s="6643"/>
      <c r="B109" s="886" t="s">
        <v>1442</v>
      </c>
      <c r="C109" s="3372">
        <f t="shared" si="61"/>
        <v>0</v>
      </c>
      <c r="D109" s="3373">
        <f t="shared" si="62"/>
        <v>0</v>
      </c>
      <c r="E109" s="3374">
        <f t="shared" si="62"/>
        <v>0</v>
      </c>
      <c r="F109" s="3375"/>
      <c r="G109" s="3376"/>
      <c r="H109" s="3377"/>
      <c r="I109" s="3378"/>
      <c r="J109" s="3375"/>
      <c r="K109" s="3379"/>
      <c r="L109" s="3377"/>
      <c r="M109" s="3380"/>
      <c r="N109" s="3375"/>
      <c r="O109" s="3379"/>
      <c r="P109" s="3378"/>
      <c r="Q109" s="3380"/>
      <c r="R109" s="3381"/>
      <c r="S109" s="3379"/>
      <c r="T109" s="3378"/>
      <c r="U109" s="3380"/>
      <c r="V109" s="3381"/>
      <c r="W109" s="3379"/>
      <c r="X109" s="3378"/>
      <c r="Y109" s="3379"/>
      <c r="Z109" s="3381"/>
      <c r="AA109" s="3380"/>
      <c r="AB109" s="3381"/>
      <c r="AC109" s="3379"/>
      <c r="AD109" s="3378"/>
      <c r="AE109" s="3380"/>
      <c r="AF109" s="3381"/>
      <c r="AG109" s="3379"/>
      <c r="AH109" s="3378"/>
      <c r="AI109" s="3380"/>
      <c r="AJ109" s="3381"/>
      <c r="AK109" s="3379"/>
      <c r="AL109" s="3378"/>
      <c r="AM109" s="3382"/>
      <c r="AN109" s="3377"/>
      <c r="AO109" s="3376"/>
      <c r="AP109" s="3341" t="str">
        <f t="shared" si="63"/>
        <v/>
      </c>
      <c r="AQ109" s="3312"/>
      <c r="AR109" s="3312"/>
      <c r="AS109" s="3312"/>
      <c r="AT109" s="3312"/>
      <c r="AU109" s="3312"/>
      <c r="AV109" s="3312"/>
      <c r="AW109" s="3312"/>
      <c r="AX109" s="3312"/>
      <c r="AY109" s="3312"/>
      <c r="AZ109" s="3312"/>
      <c r="BA109" s="1873"/>
      <c r="BB109" s="1873"/>
      <c r="CA109" s="432" t="str">
        <f t="shared" si="64"/>
        <v/>
      </c>
      <c r="CB109" s="432" t="str">
        <f t="shared" si="65"/>
        <v/>
      </c>
      <c r="CM109" s="180">
        <f t="shared" si="66"/>
        <v>0</v>
      </c>
      <c r="CN109" s="180">
        <f t="shared" si="67"/>
        <v>0</v>
      </c>
    </row>
    <row r="110" spans="1:92" ht="15" customHeight="1" thickTop="1" x14ac:dyDescent="0.25">
      <c r="A110" s="6641" t="s">
        <v>1443</v>
      </c>
      <c r="B110" s="6642"/>
      <c r="C110" s="317">
        <f t="shared" si="61"/>
        <v>0</v>
      </c>
      <c r="D110" s="774">
        <f t="shared" si="62"/>
        <v>0</v>
      </c>
      <c r="E110" s="224">
        <f t="shared" si="62"/>
        <v>0</v>
      </c>
      <c r="F110" s="3383"/>
      <c r="G110" s="3384"/>
      <c r="H110" s="3385"/>
      <c r="I110" s="3386"/>
      <c r="J110" s="3387"/>
      <c r="K110" s="3384"/>
      <c r="L110" s="3385"/>
      <c r="M110" s="3388"/>
      <c r="N110" s="3387"/>
      <c r="O110" s="3384"/>
      <c r="P110" s="3386"/>
      <c r="Q110" s="3388"/>
      <c r="R110" s="3389"/>
      <c r="S110" s="3384"/>
      <c r="T110" s="3386"/>
      <c r="U110" s="3388"/>
      <c r="V110" s="3389"/>
      <c r="W110" s="3384"/>
      <c r="X110" s="3386"/>
      <c r="Y110" s="3384"/>
      <c r="Z110" s="3389"/>
      <c r="AA110" s="3388"/>
      <c r="AB110" s="3389"/>
      <c r="AC110" s="3384"/>
      <c r="AD110" s="3386"/>
      <c r="AE110" s="3388"/>
      <c r="AF110" s="3389"/>
      <c r="AG110" s="3384"/>
      <c r="AH110" s="3386"/>
      <c r="AI110" s="3388"/>
      <c r="AJ110" s="3389"/>
      <c r="AK110" s="3384"/>
      <c r="AL110" s="3386"/>
      <c r="AM110" s="3390"/>
      <c r="AN110" s="3385"/>
      <c r="AO110" s="3391"/>
      <c r="AP110" s="3341" t="str">
        <f>CA110</f>
        <v/>
      </c>
      <c r="AQ110" s="3312"/>
      <c r="AR110" s="3312"/>
      <c r="AS110" s="3312"/>
      <c r="AT110" s="3312"/>
      <c r="AU110" s="3312"/>
      <c r="AV110" s="3312"/>
      <c r="AW110" s="3312"/>
      <c r="AX110" s="3312"/>
      <c r="AY110" s="3312"/>
      <c r="AZ110" s="3312"/>
      <c r="BA110" s="1873"/>
      <c r="BB110" s="1873"/>
      <c r="CA110" s="432" t="str">
        <f t="shared" si="64"/>
        <v/>
      </c>
      <c r="CM110" s="180">
        <f t="shared" si="66"/>
        <v>0</v>
      </c>
    </row>
    <row r="111" spans="1:92" ht="15" customHeight="1" x14ac:dyDescent="0.25">
      <c r="A111" s="6565" t="s">
        <v>1444</v>
      </c>
      <c r="B111" s="6566"/>
      <c r="C111" s="201">
        <f t="shared" si="61"/>
        <v>0</v>
      </c>
      <c r="D111" s="774">
        <f t="shared" si="62"/>
        <v>0</v>
      </c>
      <c r="E111" s="2439">
        <f t="shared" si="62"/>
        <v>0</v>
      </c>
      <c r="F111" s="3392"/>
      <c r="G111" s="3393"/>
      <c r="H111" s="3394"/>
      <c r="I111" s="3395"/>
      <c r="J111" s="3383"/>
      <c r="K111" s="3396"/>
      <c r="L111" s="3394"/>
      <c r="M111" s="3397"/>
      <c r="N111" s="3383"/>
      <c r="O111" s="3396"/>
      <c r="P111" s="3395"/>
      <c r="Q111" s="3397"/>
      <c r="R111" s="3398"/>
      <c r="S111" s="3396"/>
      <c r="T111" s="3395"/>
      <c r="U111" s="3397"/>
      <c r="V111" s="3398"/>
      <c r="W111" s="3396"/>
      <c r="X111" s="3395"/>
      <c r="Y111" s="3396"/>
      <c r="Z111" s="3398"/>
      <c r="AA111" s="3397"/>
      <c r="AB111" s="3398"/>
      <c r="AC111" s="3396"/>
      <c r="AD111" s="3395"/>
      <c r="AE111" s="3397"/>
      <c r="AF111" s="3398"/>
      <c r="AG111" s="3396"/>
      <c r="AH111" s="3395"/>
      <c r="AI111" s="3397"/>
      <c r="AJ111" s="3398"/>
      <c r="AK111" s="3396"/>
      <c r="AL111" s="3395"/>
      <c r="AM111" s="3399"/>
      <c r="AN111" s="3394"/>
      <c r="AO111" s="3400"/>
      <c r="AP111" s="3341" t="str">
        <f t="shared" ref="AP111:AP113" si="68">CA111</f>
        <v/>
      </c>
      <c r="AQ111" s="3312"/>
      <c r="AR111" s="3312"/>
      <c r="AS111" s="3312"/>
      <c r="AT111" s="3312"/>
      <c r="AU111" s="3312"/>
      <c r="AV111" s="3312"/>
      <c r="AW111" s="3312"/>
      <c r="AX111" s="3312"/>
      <c r="AY111" s="3312"/>
      <c r="AZ111" s="3312"/>
      <c r="BA111" s="1873"/>
      <c r="BB111" s="1873"/>
      <c r="CA111" s="432" t="str">
        <f t="shared" si="64"/>
        <v/>
      </c>
      <c r="CM111" s="180">
        <f t="shared" si="66"/>
        <v>0</v>
      </c>
    </row>
    <row r="112" spans="1:92" ht="15" customHeight="1" x14ac:dyDescent="0.25">
      <c r="A112" s="6565" t="s">
        <v>1445</v>
      </c>
      <c r="B112" s="6566"/>
      <c r="C112" s="202">
        <f t="shared" si="61"/>
        <v>0</v>
      </c>
      <c r="D112" s="248">
        <f t="shared" si="62"/>
        <v>0</v>
      </c>
      <c r="E112" s="3401">
        <f t="shared" si="62"/>
        <v>0</v>
      </c>
      <c r="F112" s="3365"/>
      <c r="G112" s="874"/>
      <c r="H112" s="3366"/>
      <c r="I112" s="3367"/>
      <c r="J112" s="3365"/>
      <c r="K112" s="3368"/>
      <c r="L112" s="3366"/>
      <c r="M112" s="3369"/>
      <c r="N112" s="3365"/>
      <c r="O112" s="3368"/>
      <c r="P112" s="3367"/>
      <c r="Q112" s="3369"/>
      <c r="R112" s="3370"/>
      <c r="S112" s="3368"/>
      <c r="T112" s="3367"/>
      <c r="U112" s="3369"/>
      <c r="V112" s="3370"/>
      <c r="W112" s="3368"/>
      <c r="X112" s="3367"/>
      <c r="Y112" s="3368"/>
      <c r="Z112" s="3370"/>
      <c r="AA112" s="3369"/>
      <c r="AB112" s="3370"/>
      <c r="AC112" s="3368"/>
      <c r="AD112" s="3367"/>
      <c r="AE112" s="3369"/>
      <c r="AF112" s="3370"/>
      <c r="AG112" s="3368"/>
      <c r="AH112" s="3367"/>
      <c r="AI112" s="3369"/>
      <c r="AJ112" s="3370"/>
      <c r="AK112" s="3368"/>
      <c r="AL112" s="3367"/>
      <c r="AM112" s="3371"/>
      <c r="AN112" s="3366"/>
      <c r="AO112" s="3402"/>
      <c r="AP112" s="3341" t="str">
        <f t="shared" si="68"/>
        <v/>
      </c>
      <c r="AQ112" s="3312"/>
      <c r="AR112" s="3312"/>
      <c r="AS112" s="3312"/>
      <c r="AT112" s="3312"/>
      <c r="AU112" s="3312"/>
      <c r="AV112" s="3312"/>
      <c r="AW112" s="3312"/>
      <c r="AX112" s="3312"/>
      <c r="AY112" s="3312"/>
      <c r="AZ112" s="3312"/>
      <c r="BA112" s="1873"/>
      <c r="BB112" s="1873"/>
      <c r="CA112" s="432" t="str">
        <f t="shared" si="64"/>
        <v/>
      </c>
      <c r="CM112" s="180">
        <f t="shared" si="66"/>
        <v>0</v>
      </c>
    </row>
    <row r="113" spans="1:91" ht="15" customHeight="1" x14ac:dyDescent="0.25">
      <c r="A113" s="6569" t="s">
        <v>1446</v>
      </c>
      <c r="B113" s="6570"/>
      <c r="C113" s="724">
        <f t="shared" si="61"/>
        <v>0</v>
      </c>
      <c r="D113" s="2236">
        <f t="shared" si="62"/>
        <v>0</v>
      </c>
      <c r="E113" s="765">
        <f t="shared" si="62"/>
        <v>0</v>
      </c>
      <c r="F113" s="3403"/>
      <c r="G113" s="3404"/>
      <c r="H113" s="3405"/>
      <c r="I113" s="3406"/>
      <c r="J113" s="3403"/>
      <c r="K113" s="3407"/>
      <c r="L113" s="3405"/>
      <c r="M113" s="3408"/>
      <c r="N113" s="3403"/>
      <c r="O113" s="3407"/>
      <c r="P113" s="3406"/>
      <c r="Q113" s="3408"/>
      <c r="R113" s="3409"/>
      <c r="S113" s="3407"/>
      <c r="T113" s="3406"/>
      <c r="U113" s="3408"/>
      <c r="V113" s="3409"/>
      <c r="W113" s="3407"/>
      <c r="X113" s="3406"/>
      <c r="Y113" s="3407"/>
      <c r="Z113" s="3409"/>
      <c r="AA113" s="3408"/>
      <c r="AB113" s="3409"/>
      <c r="AC113" s="3407"/>
      <c r="AD113" s="3406"/>
      <c r="AE113" s="3408"/>
      <c r="AF113" s="3409"/>
      <c r="AG113" s="3407"/>
      <c r="AH113" s="3406"/>
      <c r="AI113" s="3408"/>
      <c r="AJ113" s="3409"/>
      <c r="AK113" s="3407"/>
      <c r="AL113" s="3406"/>
      <c r="AM113" s="3410"/>
      <c r="AN113" s="3405"/>
      <c r="AO113" s="3411"/>
      <c r="AP113" s="3341" t="str">
        <f t="shared" si="68"/>
        <v/>
      </c>
      <c r="AQ113" s="3312"/>
      <c r="AR113" s="3312"/>
      <c r="AS113" s="3312"/>
      <c r="AT113" s="3312"/>
      <c r="AU113" s="3312"/>
      <c r="AV113" s="3312"/>
      <c r="AW113" s="3312"/>
      <c r="AX113" s="3312"/>
      <c r="AY113" s="3312"/>
      <c r="AZ113" s="3312"/>
      <c r="BA113" s="1873"/>
      <c r="BB113" s="1873"/>
      <c r="CA113" s="432" t="str">
        <f>IF(AND($C113&gt;0,AN113="")," * No olvide digitar la variable "&amp;AN$103&amp;""&amp;". Digite CERO si no tiene",IF(AN113&gt;$C113," * La variable "&amp;AN$103&amp;""&amp;" No puede ser mayor al Total.",""))</f>
        <v/>
      </c>
      <c r="CM113" s="180">
        <f t="shared" si="66"/>
        <v>0</v>
      </c>
    </row>
    <row r="114" spans="1:91" s="8" customFormat="1" ht="18" customHeight="1" x14ac:dyDescent="0.25">
      <c r="A114" s="1" t="s">
        <v>1447</v>
      </c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V114" s="5"/>
      <c r="BW114" s="5"/>
      <c r="BX114" s="5"/>
      <c r="BY114" s="5"/>
      <c r="CM114" s="6"/>
    </row>
    <row r="115" spans="1:91" ht="16.350000000000001" customHeight="1" x14ac:dyDescent="0.25">
      <c r="A115" s="6436" t="s">
        <v>1448</v>
      </c>
      <c r="B115" s="6247"/>
      <c r="C115" s="6183"/>
      <c r="D115" s="1799" t="s">
        <v>77</v>
      </c>
      <c r="AO115" s="1873"/>
      <c r="AP115" s="1873"/>
      <c r="AQ115" s="1873"/>
      <c r="AR115" s="1873"/>
      <c r="AS115" s="1873"/>
      <c r="AT115" s="1873"/>
      <c r="AU115" s="1873"/>
      <c r="AV115" s="1873"/>
      <c r="AW115" s="1873"/>
      <c r="AX115" s="1873"/>
      <c r="AY115" s="1873"/>
      <c r="AZ115" s="1873"/>
      <c r="BA115" s="1873"/>
      <c r="BB115" s="1873"/>
    </row>
    <row r="116" spans="1:91" ht="24" customHeight="1" x14ac:dyDescent="0.25">
      <c r="A116" s="6636" t="s">
        <v>1449</v>
      </c>
      <c r="B116" s="6374"/>
      <c r="C116" s="3412" t="s">
        <v>1450</v>
      </c>
      <c r="D116" s="3413"/>
      <c r="E116" s="3356"/>
    </row>
    <row r="117" spans="1:91" ht="15" customHeight="1" x14ac:dyDescent="0.25">
      <c r="A117" s="6637"/>
      <c r="B117" s="6375"/>
      <c r="C117" s="3414" t="s">
        <v>1451</v>
      </c>
      <c r="D117" s="872"/>
      <c r="E117" s="3356"/>
    </row>
    <row r="118" spans="1:91" ht="15" customHeight="1" x14ac:dyDescent="0.25">
      <c r="A118" s="6638"/>
      <c r="B118" s="6639"/>
      <c r="C118" s="3415" t="s">
        <v>1452</v>
      </c>
      <c r="D118" s="875"/>
      <c r="E118" s="3356"/>
    </row>
    <row r="119" spans="1:91" s="8" customFormat="1" ht="18" customHeight="1" x14ac:dyDescent="0.2">
      <c r="A119" s="6475" t="s">
        <v>1453</v>
      </c>
      <c r="B119" s="6475"/>
      <c r="C119" s="6475"/>
      <c r="D119" s="6475"/>
      <c r="E119" s="6475"/>
      <c r="F119" s="6475"/>
      <c r="G119" s="6475"/>
      <c r="H119" s="6475"/>
      <c r="I119" s="6475"/>
      <c r="J119" s="6475"/>
      <c r="K119" s="6640"/>
      <c r="L119" s="3416"/>
      <c r="M119" s="3417"/>
      <c r="N119" s="3417"/>
      <c r="O119" s="3418"/>
      <c r="P119" s="4"/>
      <c r="Q119" s="3417"/>
      <c r="R119" s="3418"/>
      <c r="S119" s="4"/>
      <c r="T119" s="3417"/>
      <c r="U119" s="4"/>
      <c r="V119" s="4"/>
      <c r="W119" s="3418"/>
      <c r="X119" s="3418"/>
      <c r="Y119" s="3418"/>
      <c r="Z119" s="3419"/>
      <c r="AA119" s="4"/>
      <c r="AB119" s="3418"/>
      <c r="AC119" s="3418"/>
      <c r="AD119" s="3418"/>
      <c r="AE119" s="3418"/>
      <c r="AF119" s="3419"/>
      <c r="AG119" s="4"/>
      <c r="AH119" s="3418"/>
      <c r="AI119" s="3418"/>
      <c r="AJ119" s="3418"/>
      <c r="AK119" s="4"/>
      <c r="AL119" s="3417"/>
      <c r="AM119" s="3418"/>
      <c r="AN119" s="3417"/>
      <c r="AO119" s="3420"/>
      <c r="AP119" s="4"/>
      <c r="BV119" s="5"/>
      <c r="BW119" s="5"/>
      <c r="BX119" s="5"/>
      <c r="BY119" s="5"/>
    </row>
    <row r="120" spans="1:91" ht="16.350000000000001" customHeight="1" x14ac:dyDescent="0.25">
      <c r="A120" s="6307" t="s">
        <v>1436</v>
      </c>
      <c r="B120" s="6308"/>
      <c r="C120" s="5944" t="s">
        <v>1363</v>
      </c>
      <c r="D120" s="6242"/>
      <c r="E120" s="6243"/>
      <c r="F120" s="6436" t="s">
        <v>1364</v>
      </c>
      <c r="G120" s="6247"/>
      <c r="H120" s="6247"/>
      <c r="I120" s="6247"/>
      <c r="J120" s="6247"/>
      <c r="K120" s="6247"/>
      <c r="L120" s="6247"/>
      <c r="M120" s="6247"/>
      <c r="N120" s="6247"/>
      <c r="O120" s="6247"/>
      <c r="P120" s="6247"/>
      <c r="Q120" s="6247"/>
      <c r="R120" s="6247"/>
      <c r="S120" s="6247"/>
      <c r="T120" s="6247"/>
      <c r="U120" s="6247"/>
      <c r="V120" s="6247"/>
      <c r="W120" s="6247"/>
      <c r="X120" s="6247"/>
      <c r="Y120" s="6247"/>
      <c r="Z120" s="6247"/>
      <c r="AA120" s="6247"/>
      <c r="AB120" s="6247"/>
      <c r="AC120" s="6247"/>
      <c r="AD120" s="6247"/>
      <c r="AE120" s="6247"/>
      <c r="AF120" s="6247"/>
      <c r="AG120" s="6247"/>
      <c r="AH120" s="6247"/>
      <c r="AI120" s="6247"/>
      <c r="AJ120" s="6247"/>
      <c r="AK120" s="6247"/>
      <c r="AL120" s="6247"/>
      <c r="AM120" s="6187"/>
      <c r="AN120" s="6183" t="s">
        <v>597</v>
      </c>
      <c r="AO120" s="3421"/>
    </row>
    <row r="121" spans="1:91" ht="16.350000000000001" customHeight="1" x14ac:dyDescent="0.25">
      <c r="A121" s="6559"/>
      <c r="B121" s="6063"/>
      <c r="C121" s="6466"/>
      <c r="D121" s="6467"/>
      <c r="E121" s="6468"/>
      <c r="F121" s="6436" t="s">
        <v>343</v>
      </c>
      <c r="G121" s="6183"/>
      <c r="H121" s="6436" t="s">
        <v>326</v>
      </c>
      <c r="I121" s="6183"/>
      <c r="J121" s="6436" t="s">
        <v>94</v>
      </c>
      <c r="K121" s="6183"/>
      <c r="L121" s="6436" t="s">
        <v>44</v>
      </c>
      <c r="M121" s="6183"/>
      <c r="N121" s="6436" t="s">
        <v>45</v>
      </c>
      <c r="O121" s="6183"/>
      <c r="P121" s="6437" t="s">
        <v>46</v>
      </c>
      <c r="Q121" s="6180"/>
      <c r="R121" s="6437" t="s">
        <v>47</v>
      </c>
      <c r="S121" s="6180"/>
      <c r="T121" s="6437" t="s">
        <v>48</v>
      </c>
      <c r="U121" s="6180"/>
      <c r="V121" s="6437" t="s">
        <v>49</v>
      </c>
      <c r="W121" s="6180"/>
      <c r="X121" s="6437" t="s">
        <v>50</v>
      </c>
      <c r="Y121" s="6180"/>
      <c r="Z121" s="6437" t="s">
        <v>51</v>
      </c>
      <c r="AA121" s="6180"/>
      <c r="AB121" s="6437" t="s">
        <v>52</v>
      </c>
      <c r="AC121" s="6180"/>
      <c r="AD121" s="6437" t="s">
        <v>53</v>
      </c>
      <c r="AE121" s="6180"/>
      <c r="AF121" s="6437" t="s">
        <v>54</v>
      </c>
      <c r="AG121" s="6180"/>
      <c r="AH121" s="6437" t="s">
        <v>55</v>
      </c>
      <c r="AI121" s="6180"/>
      <c r="AJ121" s="6437" t="s">
        <v>56</v>
      </c>
      <c r="AK121" s="6180"/>
      <c r="AL121" s="6437" t="s">
        <v>57</v>
      </c>
      <c r="AM121" s="6179"/>
      <c r="AN121" s="6183"/>
      <c r="AO121" s="1873"/>
      <c r="AP121" s="1873"/>
      <c r="AQ121" s="1873"/>
      <c r="AR121" s="1873"/>
      <c r="AS121" s="1873"/>
      <c r="AT121" s="1873"/>
      <c r="AU121" s="1873"/>
      <c r="AV121" s="1873"/>
      <c r="AW121" s="1873"/>
      <c r="AX121" s="1873"/>
      <c r="AY121" s="1873"/>
      <c r="AZ121" s="1873"/>
      <c r="BA121" s="1873"/>
    </row>
    <row r="122" spans="1:91" ht="16.350000000000001" customHeight="1" x14ac:dyDescent="0.25">
      <c r="A122" s="6482"/>
      <c r="B122" s="6645"/>
      <c r="C122" s="889" t="s">
        <v>79</v>
      </c>
      <c r="D122" s="491" t="s">
        <v>461</v>
      </c>
      <c r="E122" s="465" t="s">
        <v>59</v>
      </c>
      <c r="F122" s="767" t="s">
        <v>461</v>
      </c>
      <c r="G122" s="465" t="s">
        <v>59</v>
      </c>
      <c r="H122" s="767" t="s">
        <v>461</v>
      </c>
      <c r="I122" s="465" t="s">
        <v>59</v>
      </c>
      <c r="J122" s="767" t="s">
        <v>461</v>
      </c>
      <c r="K122" s="465" t="s">
        <v>59</v>
      </c>
      <c r="L122" s="767" t="s">
        <v>461</v>
      </c>
      <c r="M122" s="465" t="s">
        <v>59</v>
      </c>
      <c r="N122" s="767" t="s">
        <v>461</v>
      </c>
      <c r="O122" s="465" t="s">
        <v>59</v>
      </c>
      <c r="P122" s="767" t="s">
        <v>461</v>
      </c>
      <c r="Q122" s="465" t="s">
        <v>59</v>
      </c>
      <c r="R122" s="767" t="s">
        <v>461</v>
      </c>
      <c r="S122" s="465" t="s">
        <v>59</v>
      </c>
      <c r="T122" s="767" t="s">
        <v>461</v>
      </c>
      <c r="U122" s="465" t="s">
        <v>59</v>
      </c>
      <c r="V122" s="767" t="s">
        <v>461</v>
      </c>
      <c r="W122" s="465" t="s">
        <v>59</v>
      </c>
      <c r="X122" s="767" t="s">
        <v>461</v>
      </c>
      <c r="Y122" s="465" t="s">
        <v>59</v>
      </c>
      <c r="Z122" s="767" t="s">
        <v>461</v>
      </c>
      <c r="AA122" s="465" t="s">
        <v>59</v>
      </c>
      <c r="AB122" s="767" t="s">
        <v>461</v>
      </c>
      <c r="AC122" s="465" t="s">
        <v>59</v>
      </c>
      <c r="AD122" s="767" t="s">
        <v>461</v>
      </c>
      <c r="AE122" s="604" t="s">
        <v>59</v>
      </c>
      <c r="AF122" s="767" t="s">
        <v>461</v>
      </c>
      <c r="AG122" s="465" t="s">
        <v>59</v>
      </c>
      <c r="AH122" s="767" t="s">
        <v>461</v>
      </c>
      <c r="AI122" s="604" t="s">
        <v>59</v>
      </c>
      <c r="AJ122" s="767" t="s">
        <v>461</v>
      </c>
      <c r="AK122" s="465" t="s">
        <v>59</v>
      </c>
      <c r="AL122" s="767" t="s">
        <v>461</v>
      </c>
      <c r="AM122" s="466" t="s">
        <v>59</v>
      </c>
      <c r="AN122" s="6183"/>
      <c r="AO122" s="3422"/>
      <c r="AP122" s="1873"/>
      <c r="AQ122" s="1873"/>
      <c r="AR122" s="1873"/>
      <c r="AS122" s="1873"/>
      <c r="AT122" s="1873"/>
      <c r="AU122" s="1873"/>
      <c r="AV122" s="1873"/>
      <c r="AW122" s="1873"/>
      <c r="AX122" s="1873"/>
      <c r="AY122" s="1873"/>
      <c r="AZ122" s="1873"/>
      <c r="BA122" s="1873"/>
    </row>
    <row r="123" spans="1:91" ht="15" customHeight="1" x14ac:dyDescent="0.25">
      <c r="A123" s="6646" t="s">
        <v>1454</v>
      </c>
      <c r="B123" s="6647"/>
      <c r="C123" s="317">
        <f>SUM(D123+E123)</f>
        <v>0</v>
      </c>
      <c r="D123" s="2233">
        <f t="shared" ref="D123:E125" si="69">SUM(F123+H123+J123+L123+N123+P123+R123+T123+V123+X123+Z123+AB123+AD123+AF123+AH123+AJ123+AL123)</f>
        <v>0</v>
      </c>
      <c r="E123" s="141">
        <f t="shared" si="69"/>
        <v>0</v>
      </c>
      <c r="F123" s="327"/>
      <c r="G123" s="905"/>
      <c r="H123" s="327"/>
      <c r="I123" s="905"/>
      <c r="J123" s="327"/>
      <c r="K123" s="905"/>
      <c r="L123" s="327"/>
      <c r="M123" s="905"/>
      <c r="N123" s="327"/>
      <c r="O123" s="905"/>
      <c r="P123" s="327"/>
      <c r="Q123" s="905"/>
      <c r="R123" s="327"/>
      <c r="S123" s="905"/>
      <c r="T123" s="327"/>
      <c r="U123" s="905"/>
      <c r="V123" s="327"/>
      <c r="W123" s="905"/>
      <c r="X123" s="327"/>
      <c r="Y123" s="905"/>
      <c r="Z123" s="327"/>
      <c r="AA123" s="905"/>
      <c r="AB123" s="327"/>
      <c r="AC123" s="905"/>
      <c r="AD123" s="44"/>
      <c r="AE123" s="1158"/>
      <c r="AF123" s="327"/>
      <c r="AG123" s="905"/>
      <c r="AH123" s="44"/>
      <c r="AI123" s="1158"/>
      <c r="AJ123" s="327"/>
      <c r="AK123" s="905"/>
      <c r="AL123" s="44"/>
      <c r="AM123" s="1026"/>
      <c r="AN123" s="142"/>
      <c r="AO123" s="3341"/>
      <c r="AP123" s="3312"/>
      <c r="AQ123" s="3312"/>
      <c r="AR123" s="3312"/>
      <c r="AS123" s="3312"/>
      <c r="AT123" s="3312"/>
      <c r="AU123" s="3312"/>
      <c r="AV123" s="3312"/>
      <c r="AW123" s="3312"/>
      <c r="AX123" s="3312"/>
      <c r="AY123" s="3312"/>
      <c r="AZ123" s="3312"/>
      <c r="BA123" s="1873"/>
      <c r="CA123" s="432" t="str">
        <f>IF(AND($C123&gt;0,AN123="")," * No olvide digitar la variable "&amp;AN$120&amp;""&amp;". Digite CERO si no tiene",IF(AN123&gt;$C123," * La variable "&amp;AN$120&amp;""&amp;" No puede ser mayor al Total.",""))</f>
        <v/>
      </c>
      <c r="CM123" s="180">
        <f>IF(AND($C123&gt;0,AN123=""),1,IF(AN123&gt;$C123,1,0))</f>
        <v>0</v>
      </c>
    </row>
    <row r="124" spans="1:91" ht="15" customHeight="1" x14ac:dyDescent="0.25">
      <c r="A124" s="6349" t="s">
        <v>1455</v>
      </c>
      <c r="B124" s="6350"/>
      <c r="C124" s="760">
        <f>SUM(D124+E124)</f>
        <v>0</v>
      </c>
      <c r="D124" s="774">
        <f t="shared" si="69"/>
        <v>0</v>
      </c>
      <c r="E124" s="345">
        <f t="shared" si="69"/>
        <v>0</v>
      </c>
      <c r="F124" s="329"/>
      <c r="G124" s="2003"/>
      <c r="H124" s="329"/>
      <c r="I124" s="2003"/>
      <c r="J124" s="329"/>
      <c r="K124" s="2003"/>
      <c r="L124" s="329"/>
      <c r="M124" s="2003"/>
      <c r="N124" s="329"/>
      <c r="O124" s="2003"/>
      <c r="P124" s="329"/>
      <c r="Q124" s="2003"/>
      <c r="R124" s="329"/>
      <c r="S124" s="2003"/>
      <c r="T124" s="329"/>
      <c r="U124" s="2003"/>
      <c r="V124" s="329"/>
      <c r="W124" s="2003"/>
      <c r="X124" s="329"/>
      <c r="Y124" s="2003"/>
      <c r="Z124" s="329"/>
      <c r="AA124" s="2003"/>
      <c r="AB124" s="329"/>
      <c r="AC124" s="2003"/>
      <c r="AD124" s="2068"/>
      <c r="AE124" s="2235"/>
      <c r="AF124" s="329"/>
      <c r="AG124" s="2003"/>
      <c r="AH124" s="2068"/>
      <c r="AI124" s="2235"/>
      <c r="AJ124" s="329"/>
      <c r="AK124" s="2003"/>
      <c r="AL124" s="2068"/>
      <c r="AM124" s="332"/>
      <c r="AN124" s="330"/>
      <c r="AO124" s="3341"/>
      <c r="AP124" s="3312"/>
      <c r="AQ124" s="3312"/>
      <c r="AR124" s="3312"/>
      <c r="AS124" s="3312"/>
      <c r="AT124" s="3312"/>
      <c r="AU124" s="3312"/>
      <c r="AV124" s="3312"/>
      <c r="AW124" s="3312"/>
      <c r="AX124" s="3312"/>
      <c r="AY124" s="3312"/>
      <c r="AZ124" s="3312"/>
      <c r="BA124" s="1873"/>
      <c r="CA124" s="432" t="str">
        <f t="shared" ref="CA124:CA125" si="70">IF(AND($C124&gt;0,AN124="")," * No olvide digitar la variable "&amp;AN$120&amp;""&amp;". Digite CERO si no tiene",IF(AN124&gt;$C124," * La variable "&amp;AN$120&amp;""&amp;" No puede ser mayor al Total.",""))</f>
        <v/>
      </c>
      <c r="CM124" s="180">
        <f t="shared" ref="CM124:CM125" si="71">IF(AND($C124&gt;0,AN124=""),1,IF(AN124&gt;$C124,1,0))</f>
        <v>0</v>
      </c>
    </row>
    <row r="125" spans="1:91" ht="15" customHeight="1" x14ac:dyDescent="0.25">
      <c r="A125" s="6648" t="s">
        <v>1456</v>
      </c>
      <c r="B125" s="6649"/>
      <c r="C125" s="724">
        <f>SUM(D125+E125)</f>
        <v>0</v>
      </c>
      <c r="D125" s="2236">
        <f t="shared" si="69"/>
        <v>0</v>
      </c>
      <c r="E125" s="640">
        <f t="shared" si="69"/>
        <v>0</v>
      </c>
      <c r="F125" s="876"/>
      <c r="G125" s="2009"/>
      <c r="H125" s="876"/>
      <c r="I125" s="2009"/>
      <c r="J125" s="876"/>
      <c r="K125" s="2009"/>
      <c r="L125" s="876"/>
      <c r="M125" s="2009"/>
      <c r="N125" s="876"/>
      <c r="O125" s="2009"/>
      <c r="P125" s="876"/>
      <c r="Q125" s="2009"/>
      <c r="R125" s="876"/>
      <c r="S125" s="2009"/>
      <c r="T125" s="876"/>
      <c r="U125" s="2009"/>
      <c r="V125" s="876"/>
      <c r="W125" s="2009"/>
      <c r="X125" s="876"/>
      <c r="Y125" s="2009"/>
      <c r="Z125" s="876"/>
      <c r="AA125" s="2009"/>
      <c r="AB125" s="876"/>
      <c r="AC125" s="2009"/>
      <c r="AD125" s="1911"/>
      <c r="AE125" s="2237"/>
      <c r="AF125" s="876"/>
      <c r="AG125" s="2009"/>
      <c r="AH125" s="1911"/>
      <c r="AI125" s="2237"/>
      <c r="AJ125" s="876"/>
      <c r="AK125" s="2009"/>
      <c r="AL125" s="1911"/>
      <c r="AM125" s="1953"/>
      <c r="AN125" s="877"/>
      <c r="AO125" s="3341"/>
      <c r="AP125" s="3312"/>
      <c r="AQ125" s="3312"/>
      <c r="AR125" s="3312"/>
      <c r="AS125" s="3312"/>
      <c r="AT125" s="3312"/>
      <c r="AU125" s="3312"/>
      <c r="AV125" s="3312"/>
      <c r="AW125" s="3312"/>
      <c r="AX125" s="3312"/>
      <c r="AY125" s="3312"/>
      <c r="AZ125" s="3312"/>
      <c r="BA125" s="1873"/>
      <c r="CA125" s="432" t="str">
        <f t="shared" si="70"/>
        <v/>
      </c>
      <c r="CM125" s="180">
        <f t="shared" si="71"/>
        <v>0</v>
      </c>
    </row>
    <row r="126" spans="1:91" s="8" customFormat="1" ht="18" customHeight="1" x14ac:dyDescent="0.2">
      <c r="A126" s="1" t="s">
        <v>1457</v>
      </c>
      <c r="X126" s="5"/>
      <c r="Y126" s="5"/>
      <c r="BV126" s="5"/>
      <c r="BW126" s="5"/>
      <c r="BX126" s="3335"/>
      <c r="BY126" s="3335"/>
    </row>
    <row r="127" spans="1:91" ht="26.25" customHeight="1" x14ac:dyDescent="0.25">
      <c r="A127" s="6307" t="s">
        <v>285</v>
      </c>
      <c r="B127" s="6308"/>
      <c r="C127" s="6307" t="s">
        <v>77</v>
      </c>
      <c r="D127" s="6223"/>
      <c r="E127" s="6308"/>
      <c r="F127" s="6436" t="s">
        <v>458</v>
      </c>
      <c r="G127" s="6183"/>
      <c r="H127" s="6650" t="s">
        <v>1458</v>
      </c>
      <c r="I127" s="6183"/>
      <c r="J127" s="6436" t="s">
        <v>1204</v>
      </c>
      <c r="K127" s="6183"/>
      <c r="L127" s="6436" t="s">
        <v>45</v>
      </c>
      <c r="M127" s="6183"/>
      <c r="N127" s="6436" t="s">
        <v>1459</v>
      </c>
      <c r="O127" s="6183"/>
      <c r="P127" s="6436" t="s">
        <v>1460</v>
      </c>
      <c r="Q127" s="6183"/>
      <c r="R127" s="6437" t="s">
        <v>1461</v>
      </c>
      <c r="S127" s="6180"/>
      <c r="T127" s="6437" t="s">
        <v>1462</v>
      </c>
      <c r="U127" s="6180"/>
      <c r="V127" s="6437" t="s">
        <v>1463</v>
      </c>
      <c r="W127" s="6266"/>
      <c r="X127" s="6437" t="s">
        <v>1464</v>
      </c>
      <c r="Y127" s="6180"/>
      <c r="Z127" s="6658" t="s">
        <v>1465</v>
      </c>
      <c r="AA127" s="6266"/>
      <c r="AB127" s="6266"/>
      <c r="AC127" s="6266"/>
      <c r="AD127" s="6180"/>
      <c r="AE127" s="6476" t="s">
        <v>1466</v>
      </c>
      <c r="AF127" s="6249" t="s">
        <v>34</v>
      </c>
      <c r="AG127" s="6243" t="s">
        <v>35</v>
      </c>
      <c r="AH127" s="6651" t="s">
        <v>1467</v>
      </c>
      <c r="AI127" s="6652" t="s">
        <v>453</v>
      </c>
      <c r="AJ127" s="6377" t="s">
        <v>36</v>
      </c>
      <c r="AK127" s="6243" t="s">
        <v>37</v>
      </c>
      <c r="BV127" s="9"/>
      <c r="BW127" s="9"/>
      <c r="BX127" s="9"/>
      <c r="BY127" s="9"/>
    </row>
    <row r="128" spans="1:91" ht="26.25" customHeight="1" x14ac:dyDescent="0.25">
      <c r="A128" s="6482"/>
      <c r="B128" s="6645"/>
      <c r="C128" s="889" t="s">
        <v>79</v>
      </c>
      <c r="D128" s="491" t="s">
        <v>58</v>
      </c>
      <c r="E128" s="584" t="s">
        <v>59</v>
      </c>
      <c r="F128" s="767" t="s">
        <v>461</v>
      </c>
      <c r="G128" s="469" t="s">
        <v>59</v>
      </c>
      <c r="H128" s="767" t="s">
        <v>461</v>
      </c>
      <c r="I128" s="469" t="s">
        <v>59</v>
      </c>
      <c r="J128" s="767" t="s">
        <v>461</v>
      </c>
      <c r="K128" s="469" t="s">
        <v>59</v>
      </c>
      <c r="L128" s="767" t="s">
        <v>461</v>
      </c>
      <c r="M128" s="469" t="s">
        <v>59</v>
      </c>
      <c r="N128" s="767" t="s">
        <v>461</v>
      </c>
      <c r="O128" s="469" t="s">
        <v>59</v>
      </c>
      <c r="P128" s="767" t="s">
        <v>461</v>
      </c>
      <c r="Q128" s="469" t="s">
        <v>59</v>
      </c>
      <c r="R128" s="767" t="s">
        <v>461</v>
      </c>
      <c r="S128" s="469" t="s">
        <v>59</v>
      </c>
      <c r="T128" s="767" t="s">
        <v>461</v>
      </c>
      <c r="U128" s="469" t="s">
        <v>59</v>
      </c>
      <c r="V128" s="767" t="s">
        <v>461</v>
      </c>
      <c r="W128" s="2743" t="s">
        <v>59</v>
      </c>
      <c r="X128" s="767" t="s">
        <v>461</v>
      </c>
      <c r="Y128" s="469" t="s">
        <v>59</v>
      </c>
      <c r="Z128" s="557" t="s">
        <v>1468</v>
      </c>
      <c r="AA128" s="555" t="s">
        <v>1469</v>
      </c>
      <c r="AB128" s="3424" t="s">
        <v>1470</v>
      </c>
      <c r="AC128" s="555" t="s">
        <v>1471</v>
      </c>
      <c r="AD128" s="604" t="s">
        <v>1472</v>
      </c>
      <c r="AE128" s="6476"/>
      <c r="AF128" s="5767"/>
      <c r="AG128" s="6468"/>
      <c r="AH128" s="6651"/>
      <c r="AI128" s="6652"/>
      <c r="AJ128" s="5818"/>
      <c r="AK128" s="6468"/>
      <c r="BV128" s="9"/>
      <c r="BW128" s="9"/>
      <c r="BX128" s="9"/>
      <c r="BY128" s="9"/>
    </row>
    <row r="129" spans="1:96" ht="15" customHeight="1" x14ac:dyDescent="0.3">
      <c r="A129" s="6646" t="s">
        <v>1473</v>
      </c>
      <c r="B129" s="6647"/>
      <c r="C129" s="3337">
        <f>SUM(D129+E129)</f>
        <v>0</v>
      </c>
      <c r="D129" s="769">
        <f t="shared" ref="D129:E131" si="72">SUM(F129+H129+J129+L129+N129+P129+R129+T129+V129+X129)</f>
        <v>0</v>
      </c>
      <c r="E129" s="621">
        <f t="shared" si="72"/>
        <v>0</v>
      </c>
      <c r="F129" s="3361"/>
      <c r="G129" s="871"/>
      <c r="H129" s="3361"/>
      <c r="I129" s="871"/>
      <c r="J129" s="3361"/>
      <c r="K129" s="871"/>
      <c r="L129" s="3361"/>
      <c r="M129" s="871"/>
      <c r="N129" s="3361"/>
      <c r="O129" s="871"/>
      <c r="P129" s="3361"/>
      <c r="Q129" s="871"/>
      <c r="R129" s="3361"/>
      <c r="S129" s="871"/>
      <c r="T129" s="3361"/>
      <c r="U129" s="871"/>
      <c r="V129" s="3361"/>
      <c r="W129" s="871"/>
      <c r="X129" s="3361"/>
      <c r="Y129" s="3425"/>
      <c r="Z129" s="3126"/>
      <c r="AA129" s="960"/>
      <c r="AB129" s="960"/>
      <c r="AC129" s="960"/>
      <c r="AD129" s="871"/>
      <c r="AE129" s="3426"/>
      <c r="AF129" s="3126"/>
      <c r="AG129" s="871"/>
      <c r="AH129" s="3361"/>
      <c r="AI129" s="960"/>
      <c r="AJ129" s="960"/>
      <c r="AK129" s="871"/>
      <c r="AL129" s="9" t="str">
        <f>CA129&amp;CB129&amp;CC129&amp;CD129&amp;CE129&amp;CF129</f>
        <v/>
      </c>
      <c r="BV129" s="9"/>
      <c r="BW129" s="9"/>
      <c r="BX129" s="9"/>
      <c r="BY129" s="9"/>
      <c r="CA129" s="432" t="str">
        <f>IF(AND($C129&gt;0,AF129="")," * No olvide digitar la variable "&amp;AF$127&amp;""&amp;". Digite CERO si no tiene",IF(AF129&gt;$C129," * La variable "&amp;AF$127&amp;""&amp;" No puede ser mayor al Total.",""))</f>
        <v/>
      </c>
      <c r="CB129" s="432" t="str">
        <f>IF(AND($C129&gt;0,AG129="")," * No olvide digitar la variable "&amp;AG$127&amp;""&amp;". Digite CERO si no tiene",IF(AG129&gt;$C129," * La variable "&amp;AG$127&amp;""&amp;" No puede ser mayor al Total.",""))</f>
        <v/>
      </c>
      <c r="CC129" s="432" t="str">
        <f>IF(AND($C129&gt;0,AH129="")," * No olvide digitar la variable "&amp;AH$127&amp;""&amp;". Digite CERO si no tiene",IF(AH129&gt;$C129," * La variable "&amp;AH$127&amp;""&amp;" No puede ser mayor al Total.",""))</f>
        <v/>
      </c>
      <c r="CD129" s="432" t="str">
        <f>IF(AND($E129&gt;0,AI129="")," * No olvide digitar la variable "&amp;AI$127&amp;""&amp;". Digite CERO si no tiene",IF(AI129&gt;$E129," * La variable "&amp;AI$127&amp;""&amp;" No puede ser mayor al Total.",""))</f>
        <v/>
      </c>
      <c r="CE129" s="432" t="str">
        <f>IF(AND($C129&gt;0,AJ129="")," * No olvide digitar la variable "&amp;AJ$127&amp;""&amp;". Digite CERO si no tiene",IF(AJ129&gt;$C129," * La variable "&amp;AJ$127&amp;""&amp;" No puede ser mayor al Total.",""))</f>
        <v/>
      </c>
      <c r="CF129" s="432" t="str">
        <f>IF(AND($C129&gt;0,AK129="")," * No olvide digitar la variable "&amp;AK$127&amp;""&amp;". Digite CERO si no tiene",IF(AK129&gt;$C129," * La variable "&amp;AK$127&amp;""&amp;" No puede ser mayor al Total.",""))</f>
        <v/>
      </c>
      <c r="CM129" s="180">
        <f>IF(AND($C129&gt;0,AF129=""),1,IF(AF129&gt;$C129,1,0))</f>
        <v>0</v>
      </c>
      <c r="CN129" s="180">
        <f t="shared" ref="CN129:CQ129" si="73">IF(AND($C129&gt;0,AG129=""),1,IF(AG129&gt;$C129,1,0))</f>
        <v>0</v>
      </c>
      <c r="CO129" s="180">
        <f t="shared" si="73"/>
        <v>0</v>
      </c>
      <c r="CP129" s="180">
        <f t="shared" si="73"/>
        <v>0</v>
      </c>
      <c r="CQ129" s="180">
        <f t="shared" si="73"/>
        <v>0</v>
      </c>
      <c r="CR129" s="3026">
        <f>IF(AND($C129&gt;0,AK129=""),1,IF(AK129&gt;$C129,1,0))</f>
        <v>0</v>
      </c>
    </row>
    <row r="130" spans="1:96" ht="15" customHeight="1" x14ac:dyDescent="0.3">
      <c r="A130" s="6641" t="s">
        <v>1474</v>
      </c>
      <c r="B130" s="6642"/>
      <c r="C130" s="303">
        <f>SUM(D130+E130)</f>
        <v>0</v>
      </c>
      <c r="D130" s="2233">
        <f t="shared" si="72"/>
        <v>0</v>
      </c>
      <c r="E130" s="141">
        <f t="shared" si="72"/>
        <v>0</v>
      </c>
      <c r="F130" s="327"/>
      <c r="G130" s="142"/>
      <c r="H130" s="327"/>
      <c r="I130" s="142"/>
      <c r="J130" s="327"/>
      <c r="K130" s="142"/>
      <c r="L130" s="327"/>
      <c r="M130" s="142"/>
      <c r="N130" s="327"/>
      <c r="O130" s="142"/>
      <c r="P130" s="327"/>
      <c r="Q130" s="142"/>
      <c r="R130" s="327"/>
      <c r="S130" s="142"/>
      <c r="T130" s="327"/>
      <c r="U130" s="142"/>
      <c r="V130" s="327"/>
      <c r="W130" s="142"/>
      <c r="X130" s="327"/>
      <c r="Y130" s="1918"/>
      <c r="Z130" s="337"/>
      <c r="AA130" s="1039"/>
      <c r="AB130" s="1039"/>
      <c r="AC130" s="1039"/>
      <c r="AD130" s="142"/>
      <c r="AE130" s="3427"/>
      <c r="AF130" s="337"/>
      <c r="AG130" s="142"/>
      <c r="AH130" s="327"/>
      <c r="AI130" s="1039"/>
      <c r="AJ130" s="1039"/>
      <c r="AK130" s="142"/>
      <c r="AL130" s="9" t="str">
        <f t="shared" ref="AL130:AL131" si="74">CA130&amp;CB130&amp;CC130&amp;CD130&amp;CE130&amp;CF130</f>
        <v/>
      </c>
      <c r="BV130" s="9"/>
      <c r="BW130" s="9"/>
      <c r="BX130" s="9"/>
      <c r="BY130" s="9"/>
      <c r="CA130" s="432" t="str">
        <f t="shared" ref="CA130:CA131" si="75">IF(AND($C130&gt;0,AF130="")," * No olvide digitar la variable "&amp;AF$127&amp;""&amp;". Digite CERO si no tiene",IF(AF130&gt;$C130," * La variable "&amp;AF$127&amp;""&amp;" No puede ser mayor al Total.",""))</f>
        <v/>
      </c>
      <c r="CB130" s="432" t="str">
        <f t="shared" ref="CB130:CB131" si="76">IF(AND($C130&gt;0,AG130="")," * No olvide digitar la variable "&amp;AG$127&amp;""&amp;". Digite CERO si no tiene",IF(AG130&gt;$C130," * La variable "&amp;AG$127&amp;""&amp;" No puede ser mayor al Total.",""))</f>
        <v/>
      </c>
      <c r="CC130" s="432" t="str">
        <f t="shared" ref="CC130:CC131" si="77">IF(AND($C130&gt;0,AH130="")," * No olvide digitar la variable "&amp;AH$127&amp;""&amp;". Digite CERO si no tiene",IF(AH130&gt;$C130," * La variable "&amp;AH$127&amp;""&amp;" No puede ser mayor al Total.",""))</f>
        <v/>
      </c>
      <c r="CD130" s="432" t="str">
        <f t="shared" ref="CD130:CD131" si="78">IF(AND($E130&gt;0,AI130="")," * No olvide digitar la variable "&amp;AI$127&amp;""&amp;". Digite CERO si no tiene",IF(AI130&gt;$E130," * La variable "&amp;AI$127&amp;""&amp;" No puede ser mayor al Total.",""))</f>
        <v/>
      </c>
      <c r="CE130" s="432" t="str">
        <f t="shared" ref="CE130:CE131" si="79">IF(AND($C130&gt;0,AJ130="")," * No olvide digitar la variable "&amp;AJ$127&amp;""&amp;". Digite CERO si no tiene",IF(AJ130&gt;$C130," * La variable "&amp;AJ$127&amp;""&amp;" No puede ser mayor al Total.",""))</f>
        <v/>
      </c>
      <c r="CF130" s="432" t="str">
        <f t="shared" ref="CF130:CF131" si="80">IF(AND($C130&gt;0,AK130="")," * No olvide digitar la variable "&amp;AK$127&amp;""&amp;". Digite CERO si no tiene",IF(AK130&gt;$C130," * La variable "&amp;AK$127&amp;""&amp;" No puede ser mayor al Total.",""))</f>
        <v/>
      </c>
      <c r="CM130" s="180">
        <f t="shared" ref="CM130:CM131" si="81">IF(AND($C130&gt;0,AF130=""),1,IF(AF130&gt;$C130,1,0))</f>
        <v>0</v>
      </c>
      <c r="CN130" s="180">
        <f t="shared" ref="CN130:CN131" si="82">IF(AND($C130&gt;0,AG130=""),1,IF(AG130&gt;$C130,1,0))</f>
        <v>0</v>
      </c>
      <c r="CO130" s="180">
        <f t="shared" ref="CO130:CO131" si="83">IF(AND($C130&gt;0,AH130=""),1,IF(AH130&gt;$C130,1,0))</f>
        <v>0</v>
      </c>
      <c r="CP130" s="180">
        <f t="shared" ref="CP130:CP131" si="84">IF(AND($C130&gt;0,AI130=""),1,IF(AI130&gt;$C130,1,0))</f>
        <v>0</v>
      </c>
      <c r="CQ130" s="180">
        <f t="shared" ref="CQ130:CQ131" si="85">IF(AND($C130&gt;0,AJ130=""),1,IF(AJ130&gt;$C130,1,0))</f>
        <v>0</v>
      </c>
      <c r="CR130" s="3026">
        <f t="shared" ref="CR130:CR131" si="86">IF(AND($C130&gt;0,AK130=""),1,IF(AK130&gt;$C130,1,0))</f>
        <v>0</v>
      </c>
    </row>
    <row r="131" spans="1:96" ht="15" customHeight="1" x14ac:dyDescent="0.3">
      <c r="A131" s="6653" t="s">
        <v>1475</v>
      </c>
      <c r="B131" s="6654"/>
      <c r="C131" s="1083">
        <f>SUM(D131+E131)</f>
        <v>0</v>
      </c>
      <c r="D131" s="318">
        <f t="shared" si="72"/>
        <v>0</v>
      </c>
      <c r="E131" s="3429">
        <f t="shared" si="72"/>
        <v>0</v>
      </c>
      <c r="F131" s="897"/>
      <c r="G131" s="898"/>
      <c r="H131" s="897"/>
      <c r="I131" s="898"/>
      <c r="J131" s="897"/>
      <c r="K131" s="898"/>
      <c r="L131" s="897"/>
      <c r="M131" s="898"/>
      <c r="N131" s="897"/>
      <c r="O131" s="898"/>
      <c r="P131" s="897"/>
      <c r="Q131" s="898"/>
      <c r="R131" s="897"/>
      <c r="S131" s="898"/>
      <c r="T131" s="897"/>
      <c r="U131" s="898"/>
      <c r="V131" s="897"/>
      <c r="W131" s="898"/>
      <c r="X131" s="897"/>
      <c r="Y131" s="3430"/>
      <c r="Z131" s="2109"/>
      <c r="AA131" s="1914"/>
      <c r="AB131" s="1914"/>
      <c r="AC131" s="1914"/>
      <c r="AD131" s="898"/>
      <c r="AE131" s="3431"/>
      <c r="AF131" s="2109"/>
      <c r="AG131" s="898"/>
      <c r="AH131" s="897"/>
      <c r="AI131" s="1914"/>
      <c r="AJ131" s="1914"/>
      <c r="AK131" s="898"/>
      <c r="AL131" s="9" t="str">
        <f t="shared" si="74"/>
        <v/>
      </c>
      <c r="BV131" s="9"/>
      <c r="BW131" s="9"/>
      <c r="BX131" s="9"/>
      <c r="BY131" s="9"/>
      <c r="CA131" s="432" t="str">
        <f t="shared" si="75"/>
        <v/>
      </c>
      <c r="CB131" s="432" t="str">
        <f t="shared" si="76"/>
        <v/>
      </c>
      <c r="CC131" s="432" t="str">
        <f t="shared" si="77"/>
        <v/>
      </c>
      <c r="CD131" s="432" t="str">
        <f t="shared" si="78"/>
        <v/>
      </c>
      <c r="CE131" s="432" t="str">
        <f t="shared" si="79"/>
        <v/>
      </c>
      <c r="CF131" s="432" t="str">
        <f t="shared" si="80"/>
        <v/>
      </c>
      <c r="CM131" s="180">
        <f t="shared" si="81"/>
        <v>0</v>
      </c>
      <c r="CN131" s="180">
        <f t="shared" si="82"/>
        <v>0</v>
      </c>
      <c r="CO131" s="180">
        <f t="shared" si="83"/>
        <v>0</v>
      </c>
      <c r="CP131" s="180">
        <f t="shared" si="84"/>
        <v>0</v>
      </c>
      <c r="CQ131" s="180">
        <f t="shared" si="85"/>
        <v>0</v>
      </c>
      <c r="CR131" s="3026">
        <f t="shared" si="86"/>
        <v>0</v>
      </c>
    </row>
    <row r="132" spans="1:96" s="8" customFormat="1" ht="18" customHeight="1" x14ac:dyDescent="0.2">
      <c r="A132" s="11" t="s">
        <v>4339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AL132" s="5"/>
      <c r="AM132" s="5"/>
      <c r="AN132" s="5"/>
      <c r="AO132" s="5"/>
      <c r="AP132" s="5"/>
      <c r="AQ132" s="5"/>
      <c r="AR132" s="3335"/>
      <c r="AS132" s="3335"/>
      <c r="AT132" s="3335"/>
      <c r="AU132" s="3335"/>
      <c r="AV132" s="3335"/>
      <c r="AW132" s="3335"/>
      <c r="AX132" s="3335"/>
      <c r="AY132" s="3335"/>
      <c r="AZ132" s="3335"/>
      <c r="BA132" s="3335"/>
      <c r="BB132" s="3335"/>
      <c r="BC132" s="3335"/>
      <c r="BD132" s="3335"/>
      <c r="BE132" s="3335"/>
      <c r="BF132" s="3335"/>
      <c r="BG132" s="3335"/>
      <c r="BH132" s="3335"/>
      <c r="BI132" s="3335"/>
      <c r="BJ132" s="3335"/>
      <c r="BK132" s="3335"/>
      <c r="BL132" s="3335"/>
      <c r="BM132" s="3335"/>
      <c r="BN132" s="3335"/>
      <c r="BO132" s="3335"/>
      <c r="BP132" s="3335"/>
      <c r="BQ132" s="3335"/>
      <c r="BV132" s="5"/>
      <c r="BW132" s="5"/>
      <c r="BX132" s="5"/>
      <c r="BY132" s="5"/>
    </row>
    <row r="133" spans="1:96" ht="16.350000000000001" customHeight="1" x14ac:dyDescent="0.25">
      <c r="A133" s="6655" t="s">
        <v>285</v>
      </c>
      <c r="B133" s="6266" t="s">
        <v>1476</v>
      </c>
      <c r="C133" s="6266"/>
      <c r="D133" s="6266"/>
      <c r="E133" s="6180"/>
      <c r="F133" s="6657" t="s">
        <v>919</v>
      </c>
      <c r="G133" s="6657"/>
      <c r="AB133" s="3432"/>
      <c r="AC133" s="3432"/>
      <c r="AD133" s="3432"/>
      <c r="AH133" s="3432"/>
      <c r="AI133" s="3432"/>
      <c r="AJ133" s="3432"/>
      <c r="AK133" s="283"/>
      <c r="AL133" s="283"/>
      <c r="AM133" s="283"/>
      <c r="AN133" s="283"/>
      <c r="AO133" s="283"/>
      <c r="AP133" s="283"/>
      <c r="AQ133" s="283"/>
      <c r="AR133" s="283"/>
      <c r="AS133" s="283"/>
      <c r="AT133" s="283"/>
      <c r="AU133" s="283"/>
      <c r="AV133" s="283"/>
      <c r="AW133" s="283"/>
      <c r="AX133" s="283"/>
      <c r="AY133" s="283"/>
      <c r="AZ133" s="283"/>
      <c r="BA133" s="283"/>
      <c r="BB133" s="283"/>
      <c r="BC133" s="283"/>
      <c r="BD133" s="283"/>
      <c r="BE133" s="283"/>
      <c r="BF133" s="283"/>
      <c r="BG133" s="283"/>
      <c r="BH133" s="283"/>
      <c r="BI133" s="283"/>
      <c r="BJ133" s="283"/>
      <c r="BK133" s="1873"/>
      <c r="BL133" s="1873"/>
      <c r="BM133" s="1873"/>
      <c r="BN133" s="1873"/>
      <c r="BO133" s="1873"/>
      <c r="BP133" s="1873"/>
      <c r="BU133" s="1873"/>
      <c r="BX133" s="1873"/>
      <c r="BY133" s="1873"/>
    </row>
    <row r="134" spans="1:96" ht="21" customHeight="1" x14ac:dyDescent="0.25">
      <c r="A134" s="6656"/>
      <c r="B134" s="3433" t="s">
        <v>1477</v>
      </c>
      <c r="C134" s="3434" t="s">
        <v>1478</v>
      </c>
      <c r="D134" s="555" t="s">
        <v>1479</v>
      </c>
      <c r="E134" s="465" t="s">
        <v>1480</v>
      </c>
      <c r="F134" s="3435" t="s">
        <v>522</v>
      </c>
      <c r="G134" s="3436" t="s">
        <v>751</v>
      </c>
      <c r="AB134" s="3432"/>
      <c r="AC134" s="3432"/>
      <c r="AD134" s="3432"/>
      <c r="AH134" s="3432"/>
      <c r="AI134" s="3432"/>
      <c r="AJ134" s="3432"/>
      <c r="AK134" s="283"/>
      <c r="AL134" s="283"/>
      <c r="AM134" s="283"/>
      <c r="AN134" s="283"/>
      <c r="AO134" s="283"/>
      <c r="AP134" s="283"/>
      <c r="AQ134" s="283"/>
      <c r="AR134" s="283"/>
      <c r="AS134" s="283"/>
      <c r="AT134" s="283"/>
      <c r="AU134" s="283"/>
      <c r="AV134" s="283"/>
      <c r="AW134" s="283"/>
      <c r="AX134" s="283"/>
      <c r="AY134" s="283"/>
      <c r="AZ134" s="283"/>
      <c r="BA134" s="283"/>
      <c r="BB134" s="283"/>
      <c r="BC134" s="283"/>
      <c r="BD134" s="283"/>
      <c r="BE134" s="283"/>
      <c r="BF134" s="283"/>
      <c r="BG134" s="283"/>
      <c r="BH134" s="283"/>
      <c r="BI134" s="283"/>
      <c r="BJ134" s="283"/>
      <c r="BK134" s="1873"/>
      <c r="BL134" s="1873"/>
      <c r="BM134" s="1873"/>
      <c r="BN134" s="1873"/>
      <c r="BO134" s="1873"/>
      <c r="BP134" s="1873"/>
      <c r="BU134" s="1873"/>
      <c r="BX134" s="1873"/>
      <c r="BY134" s="1873"/>
    </row>
    <row r="135" spans="1:96" ht="15" customHeight="1" x14ac:dyDescent="0.3">
      <c r="A135" s="3437" t="s">
        <v>1473</v>
      </c>
      <c r="B135" s="3361"/>
      <c r="C135" s="960"/>
      <c r="D135" s="3209"/>
      <c r="E135" s="3438"/>
      <c r="F135" s="3361"/>
      <c r="G135" s="871"/>
      <c r="P135" s="3432"/>
      <c r="AB135" s="3432"/>
      <c r="AC135" s="3432"/>
      <c r="AD135" s="3432"/>
      <c r="AF135"/>
      <c r="AG135"/>
      <c r="AH135" s="3432"/>
      <c r="AI135" s="3432"/>
      <c r="AJ135" s="3432"/>
      <c r="AK135" s="283"/>
      <c r="AL135" s="283"/>
      <c r="AM135" s="283"/>
      <c r="AN135" s="283"/>
      <c r="AO135" s="283"/>
      <c r="AP135" s="283"/>
      <c r="AQ135" s="283"/>
      <c r="AR135" s="283"/>
      <c r="AS135" s="283"/>
      <c r="AT135" s="283"/>
      <c r="AU135" s="283"/>
      <c r="AV135" s="283"/>
      <c r="AW135" s="283"/>
      <c r="AX135" s="283"/>
      <c r="AY135" s="283"/>
      <c r="AZ135" s="283"/>
      <c r="BA135" s="283"/>
      <c r="BB135" s="283"/>
      <c r="BC135" s="283"/>
      <c r="BD135" s="283"/>
      <c r="BE135" s="283"/>
      <c r="BF135" s="283"/>
      <c r="BG135" s="283"/>
      <c r="BH135" s="283"/>
      <c r="BI135" s="283"/>
      <c r="BJ135" s="283"/>
      <c r="BK135" s="1873"/>
      <c r="BL135" s="1873"/>
      <c r="BM135" s="1873"/>
      <c r="BN135" s="1873"/>
      <c r="BO135" s="1873"/>
      <c r="BP135" s="1873"/>
      <c r="BU135" s="1873"/>
      <c r="BX135" s="1873"/>
      <c r="BY135" s="1873"/>
    </row>
    <row r="136" spans="1:96" ht="15" customHeight="1" x14ac:dyDescent="0.3">
      <c r="A136" s="3439" t="s">
        <v>1474</v>
      </c>
      <c r="B136" s="2340"/>
      <c r="C136" s="3440"/>
      <c r="D136" s="1973"/>
      <c r="E136" s="330"/>
      <c r="F136" s="329"/>
      <c r="G136" s="330"/>
      <c r="P136" s="3432"/>
      <c r="AB136" s="3432"/>
      <c r="AC136" s="3432"/>
      <c r="AD136" s="3432"/>
      <c r="AF136"/>
      <c r="AG136"/>
      <c r="AH136" s="3432"/>
      <c r="AI136" s="3432"/>
      <c r="AJ136" s="3432"/>
      <c r="AK136" s="283"/>
      <c r="AL136" s="283"/>
      <c r="AM136" s="283"/>
      <c r="AN136" s="283"/>
      <c r="AO136" s="283"/>
      <c r="AP136" s="283"/>
      <c r="AQ136" s="283"/>
      <c r="AR136" s="283"/>
      <c r="AS136" s="283"/>
      <c r="AT136" s="283"/>
      <c r="AU136" s="283"/>
      <c r="AV136" s="283"/>
      <c r="AW136" s="283"/>
      <c r="AX136" s="283"/>
      <c r="AY136" s="283"/>
      <c r="AZ136" s="283"/>
      <c r="BA136" s="283"/>
      <c r="BB136" s="283"/>
      <c r="BC136" s="283"/>
      <c r="BD136" s="283"/>
      <c r="BE136" s="283"/>
      <c r="BF136" s="283"/>
      <c r="BG136" s="283"/>
      <c r="BH136" s="283"/>
      <c r="BI136" s="283"/>
      <c r="BJ136" s="283"/>
      <c r="BK136" s="1873"/>
      <c r="BL136" s="1873"/>
      <c r="BM136" s="1873"/>
      <c r="BN136" s="1873"/>
      <c r="BO136" s="1873"/>
      <c r="BP136" s="1873"/>
      <c r="BU136" s="1873"/>
      <c r="BX136" s="1873"/>
      <c r="BY136" s="1873"/>
    </row>
    <row r="137" spans="1:96" ht="15" customHeight="1" x14ac:dyDescent="0.3">
      <c r="A137" s="1472" t="s">
        <v>1475</v>
      </c>
      <c r="B137" s="897"/>
      <c r="C137" s="1914"/>
      <c r="D137" s="1914"/>
      <c r="E137" s="898"/>
      <c r="F137" s="897"/>
      <c r="G137" s="898"/>
      <c r="P137" s="3432"/>
      <c r="AB137" s="3432"/>
      <c r="AC137" s="3432"/>
      <c r="AD137" s="3432"/>
      <c r="AF137"/>
      <c r="AG137"/>
      <c r="AH137" s="3432"/>
      <c r="AI137" s="3432"/>
      <c r="AJ137" s="3432"/>
      <c r="AK137" s="283"/>
      <c r="AL137" s="283"/>
      <c r="AM137" s="283"/>
      <c r="AN137" s="283"/>
      <c r="AO137" s="283"/>
      <c r="AP137" s="283"/>
      <c r="AQ137" s="283"/>
      <c r="AR137" s="283"/>
      <c r="AS137" s="283"/>
      <c r="AT137" s="283"/>
      <c r="AU137" s="283"/>
      <c r="AV137" s="283"/>
      <c r="AW137" s="283"/>
      <c r="AX137" s="283"/>
      <c r="AY137" s="283"/>
      <c r="AZ137" s="283"/>
      <c r="BA137" s="283"/>
      <c r="BB137" s="283"/>
      <c r="BC137" s="283"/>
      <c r="BD137" s="283"/>
      <c r="BE137" s="283"/>
      <c r="BF137" s="283"/>
      <c r="BG137" s="283"/>
      <c r="BH137" s="283"/>
      <c r="BI137" s="283"/>
      <c r="BJ137" s="283"/>
      <c r="BK137" s="1873"/>
      <c r="BL137" s="1873"/>
      <c r="BM137" s="1873"/>
      <c r="BN137" s="1873"/>
      <c r="BO137" s="1873"/>
      <c r="BP137" s="1873"/>
      <c r="BU137" s="1873"/>
      <c r="BX137" s="1873"/>
      <c r="BY137" s="1873"/>
    </row>
    <row r="138" spans="1:96" s="8" customFormat="1" ht="18" customHeight="1" x14ac:dyDescent="0.2">
      <c r="A138" s="1" t="s">
        <v>1481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BV138" s="5"/>
      <c r="BW138" s="5"/>
      <c r="BX138" s="5"/>
      <c r="BY138" s="5"/>
    </row>
    <row r="139" spans="1:96" ht="16.350000000000001" customHeight="1" x14ac:dyDescent="0.25">
      <c r="A139" s="6307" t="s">
        <v>285</v>
      </c>
      <c r="B139" s="6308"/>
      <c r="C139" s="6176" t="s">
        <v>77</v>
      </c>
      <c r="D139" s="6436" t="s">
        <v>1364</v>
      </c>
      <c r="E139" s="6247"/>
      <c r="F139" s="6247"/>
      <c r="G139" s="6247"/>
      <c r="H139" s="6247"/>
      <c r="I139" s="6187"/>
      <c r="J139" s="6243" t="s">
        <v>597</v>
      </c>
      <c r="K139" s="7"/>
      <c r="L139" s="3306"/>
      <c r="M139" s="3306"/>
      <c r="N139" s="3306"/>
      <c r="O139" s="3306"/>
      <c r="P139" s="3306"/>
      <c r="Q139" s="3306"/>
      <c r="AD139" s="1873"/>
      <c r="AE139" s="1873"/>
      <c r="AF139" s="1873"/>
      <c r="AG139" s="1873"/>
      <c r="AH139" s="1873"/>
      <c r="AI139" s="1873"/>
      <c r="AJ139" s="1873"/>
      <c r="AK139" s="1873"/>
      <c r="AL139" s="1873"/>
      <c r="AM139" s="1873"/>
      <c r="AN139" s="1873"/>
      <c r="AO139" s="1873"/>
      <c r="AP139" s="1873"/>
      <c r="AQ139" s="1873"/>
      <c r="AR139" s="1873"/>
    </row>
    <row r="140" spans="1:96" ht="16.350000000000001" customHeight="1" x14ac:dyDescent="0.25">
      <c r="A140" s="6482"/>
      <c r="B140" s="6645"/>
      <c r="C140" s="6465"/>
      <c r="D140" s="767" t="s">
        <v>94</v>
      </c>
      <c r="E140" s="555" t="s">
        <v>44</v>
      </c>
      <c r="F140" s="555" t="s">
        <v>45</v>
      </c>
      <c r="G140" s="555" t="s">
        <v>1459</v>
      </c>
      <c r="H140" s="555" t="s">
        <v>1460</v>
      </c>
      <c r="I140" s="470" t="s">
        <v>1461</v>
      </c>
      <c r="J140" s="6468"/>
      <c r="K140" s="7"/>
      <c r="L140" s="3306"/>
      <c r="M140" s="3306"/>
      <c r="N140" s="3306"/>
      <c r="O140" s="3306"/>
      <c r="P140" s="3306"/>
      <c r="Q140" s="3306"/>
    </row>
    <row r="141" spans="1:96" ht="15" customHeight="1" x14ac:dyDescent="0.25">
      <c r="A141" s="6185" t="s">
        <v>1482</v>
      </c>
      <c r="B141" s="3441" t="s">
        <v>1483</v>
      </c>
      <c r="C141" s="3442">
        <f>SUM(D141:I141)</f>
        <v>0</v>
      </c>
      <c r="D141" s="3310"/>
      <c r="E141" s="773"/>
      <c r="F141" s="773"/>
      <c r="G141" s="773"/>
      <c r="H141" s="773"/>
      <c r="I141" s="759"/>
      <c r="J141" s="576"/>
      <c r="K141" s="3341" t="str">
        <f>CA141</f>
        <v/>
      </c>
      <c r="L141" s="3312"/>
      <c r="M141" s="3312"/>
      <c r="N141" s="3312"/>
      <c r="O141" s="3312"/>
      <c r="P141" s="3312"/>
      <c r="Q141" s="3312"/>
      <c r="R141" s="3312"/>
      <c r="S141" s="3312"/>
      <c r="T141" s="3312"/>
      <c r="U141" s="3312"/>
      <c r="V141" s="3312"/>
      <c r="W141" s="1873"/>
      <c r="X141" s="1873"/>
      <c r="Y141" s="1873"/>
      <c r="CA141" s="432" t="str">
        <f>IF(AND($C141&gt;0,J141="")," * No olvide digitar la variable "&amp;J$139&amp;""&amp;". Digite CERO si no tiene",IF(J141&gt;$C141," * La variable "&amp;J$139&amp;""&amp;" No puede ser mayor al Total.",""))</f>
        <v/>
      </c>
      <c r="CM141" s="180">
        <f>IF(AND($C141&gt;0,J141=""),1,IF(J141&gt;$C141,1,0))</f>
        <v>0</v>
      </c>
    </row>
    <row r="142" spans="1:96" ht="15" customHeight="1" x14ac:dyDescent="0.25">
      <c r="A142" s="6574"/>
      <c r="B142" s="2019" t="s">
        <v>1484</v>
      </c>
      <c r="C142" s="519">
        <f>SUM(D142:I142)</f>
        <v>0</v>
      </c>
      <c r="D142" s="380"/>
      <c r="E142" s="2911"/>
      <c r="F142" s="2911"/>
      <c r="G142" s="2911"/>
      <c r="H142" s="2911"/>
      <c r="I142" s="390"/>
      <c r="J142" s="388"/>
      <c r="K142" s="3341" t="str">
        <f>CA142</f>
        <v/>
      </c>
      <c r="L142" s="3312"/>
      <c r="M142" s="3312"/>
      <c r="N142" s="3312"/>
      <c r="O142" s="3312"/>
      <c r="P142" s="3312"/>
      <c r="Q142" s="3312"/>
      <c r="R142" s="3312"/>
      <c r="S142" s="3312"/>
      <c r="T142" s="3312"/>
      <c r="U142" s="3312"/>
      <c r="V142" s="3312"/>
      <c r="W142" s="1873"/>
      <c r="X142" s="1873"/>
      <c r="Y142" s="1873"/>
      <c r="CA142" s="432" t="str">
        <f>IF(AND($C142&gt;0,J142="")," * No olvide digitar la variable "&amp;J$139&amp;""&amp;". Digite CERO si no tiene",IF(J142&gt;$C142," * La variable "&amp;J$139&amp;""&amp;" No puede ser mayor al Total.",""))</f>
        <v/>
      </c>
      <c r="CM142" s="180">
        <f>IF(AND($C142&gt;0,J142=""),1,IF(J142&gt;$C142,1,0))</f>
        <v>0</v>
      </c>
    </row>
    <row r="143" spans="1:96" s="8" customFormat="1" ht="18" customHeight="1" x14ac:dyDescent="0.2">
      <c r="A143" s="1" t="s">
        <v>1485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BV143" s="5"/>
      <c r="BW143" s="5"/>
      <c r="BX143" s="3335"/>
      <c r="BY143" s="3335"/>
    </row>
    <row r="144" spans="1:96" ht="16.350000000000001" customHeight="1" x14ac:dyDescent="0.25">
      <c r="A144" s="6190" t="s">
        <v>712</v>
      </c>
      <c r="B144" s="6190" t="s">
        <v>1486</v>
      </c>
      <c r="C144" s="7"/>
      <c r="D144" s="2418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77" ht="16.350000000000001" customHeight="1" x14ac:dyDescent="0.25">
      <c r="A145" s="6471"/>
      <c r="B145" s="6471"/>
      <c r="C145" s="7"/>
      <c r="D145" s="2418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77" ht="15" customHeight="1" x14ac:dyDescent="0.25">
      <c r="A146" s="3443" t="s">
        <v>1487</v>
      </c>
      <c r="B146" s="3444"/>
      <c r="C146" s="3356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77" ht="15" customHeight="1" x14ac:dyDescent="0.25">
      <c r="A147" s="393" t="s">
        <v>1488</v>
      </c>
      <c r="B147" s="2729"/>
      <c r="C147" s="3356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77" ht="15" customHeight="1" x14ac:dyDescent="0.25">
      <c r="A148" s="393" t="s">
        <v>717</v>
      </c>
      <c r="B148" s="2729"/>
      <c r="C148" s="3356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77" ht="15" customHeight="1" x14ac:dyDescent="0.25">
      <c r="A149" s="393" t="s">
        <v>719</v>
      </c>
      <c r="B149" s="2729"/>
      <c r="C149" s="3356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77" ht="15" customHeight="1" x14ac:dyDescent="0.25">
      <c r="A150" s="393" t="s">
        <v>1489</v>
      </c>
      <c r="B150" s="2729"/>
      <c r="C150" s="3356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77" ht="15" customHeight="1" x14ac:dyDescent="0.25">
      <c r="A151" s="3445" t="s">
        <v>1490</v>
      </c>
      <c r="B151" s="813"/>
      <c r="C151" s="3356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77" ht="15" customHeight="1" x14ac:dyDescent="0.25">
      <c r="A152" s="3445" t="s">
        <v>1491</v>
      </c>
      <c r="B152" s="813"/>
      <c r="C152" s="3356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77" ht="15" customHeight="1" x14ac:dyDescent="0.25">
      <c r="A153" s="3445" t="s">
        <v>1492</v>
      </c>
      <c r="B153" s="2729"/>
      <c r="C153" s="3356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77" ht="15" customHeight="1" x14ac:dyDescent="0.25">
      <c r="A154" s="3445" t="s">
        <v>1493</v>
      </c>
      <c r="B154" s="813"/>
      <c r="C154" s="3356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BX154" s="1873"/>
      <c r="BY154" s="1873"/>
    </row>
    <row r="155" spans="1:77" ht="15" customHeight="1" x14ac:dyDescent="0.25">
      <c r="A155" s="2284" t="s">
        <v>1494</v>
      </c>
      <c r="B155" s="3446"/>
      <c r="C155" s="3356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77" ht="15" customHeight="1" x14ac:dyDescent="0.25">
      <c r="A156" s="196" t="s">
        <v>1495</v>
      </c>
      <c r="B156" s="3446"/>
      <c r="C156" s="3356"/>
      <c r="D156" s="7"/>
      <c r="E156" s="7"/>
      <c r="F156" s="7"/>
      <c r="G156" s="2181"/>
      <c r="H156" s="2181"/>
      <c r="I156" s="2181"/>
      <c r="J156" s="2181"/>
      <c r="K156" s="2181"/>
      <c r="L156" s="2181"/>
      <c r="M156" s="2181"/>
      <c r="N156" s="2181"/>
      <c r="O156" s="2181"/>
      <c r="P156" s="2181"/>
      <c r="Q156" s="2181"/>
      <c r="R156" s="2181"/>
      <c r="S156" s="2181"/>
      <c r="T156" s="2181"/>
      <c r="U156" s="2181"/>
      <c r="V156" s="2181"/>
      <c r="W156" s="7"/>
    </row>
    <row r="157" spans="1:77" ht="15" customHeight="1" x14ac:dyDescent="0.25">
      <c r="A157" s="196" t="s">
        <v>1496</v>
      </c>
      <c r="B157" s="3446"/>
      <c r="C157" s="3356"/>
      <c r="D157" s="7"/>
      <c r="E157" s="7"/>
      <c r="F157" s="7"/>
      <c r="G157" s="2181"/>
      <c r="H157" s="2181"/>
      <c r="I157" s="2181"/>
      <c r="J157" s="2181"/>
      <c r="K157" s="2181"/>
      <c r="L157" s="2181"/>
      <c r="M157" s="2181"/>
      <c r="N157" s="2181"/>
      <c r="O157" s="2181"/>
      <c r="P157" s="2181"/>
      <c r="Q157" s="2181"/>
      <c r="R157" s="2181"/>
      <c r="S157" s="2181"/>
      <c r="T157" s="2181"/>
      <c r="U157" s="2181"/>
      <c r="V157" s="2181"/>
      <c r="W157" s="7"/>
    </row>
    <row r="158" spans="1:77" ht="26.25" customHeight="1" x14ac:dyDescent="0.25">
      <c r="A158" s="777" t="s">
        <v>77</v>
      </c>
      <c r="B158" s="801">
        <f>SUM(B146:B157)</f>
        <v>0</v>
      </c>
      <c r="C158" s="7"/>
      <c r="D158" s="7"/>
      <c r="E158" s="7"/>
      <c r="F158" s="7"/>
      <c r="G158" s="2181"/>
      <c r="H158" s="2181"/>
      <c r="I158" s="2181"/>
      <c r="J158" s="2181"/>
      <c r="K158" s="2181"/>
      <c r="L158" s="2181"/>
      <c r="M158" s="2181"/>
      <c r="N158" s="2181"/>
      <c r="O158" s="2181"/>
      <c r="P158" s="2181"/>
      <c r="Q158" s="2181"/>
      <c r="R158" s="2181"/>
      <c r="S158" s="2181"/>
      <c r="T158" s="2181"/>
      <c r="U158" s="2181"/>
      <c r="V158" s="2181"/>
      <c r="W158" s="7"/>
      <c r="BW158" s="283"/>
    </row>
    <row r="159" spans="1:77" s="8" customFormat="1" ht="18" customHeight="1" x14ac:dyDescent="0.2">
      <c r="A159" s="3" t="s">
        <v>1497</v>
      </c>
      <c r="B159" s="1"/>
      <c r="C159" s="1"/>
      <c r="BV159" s="5"/>
      <c r="BW159" s="5"/>
      <c r="BX159" s="3335"/>
      <c r="BY159" s="3335"/>
    </row>
    <row r="160" spans="1:77" ht="24" customHeight="1" x14ac:dyDescent="0.25">
      <c r="A160" s="6436" t="s">
        <v>1498</v>
      </c>
      <c r="B160" s="6183"/>
      <c r="C160" s="1799" t="s">
        <v>1499</v>
      </c>
      <c r="D160" s="1799" t="s">
        <v>1500</v>
      </c>
      <c r="BV160" s="283"/>
      <c r="BW160" s="283"/>
    </row>
    <row r="161" spans="1:77" ht="15" customHeight="1" x14ac:dyDescent="0.25">
      <c r="A161" s="785" t="s">
        <v>1501</v>
      </c>
      <c r="B161" s="1796" t="s">
        <v>1502</v>
      </c>
      <c r="C161" s="3447"/>
      <c r="D161" s="3447"/>
      <c r="BV161" s="283"/>
      <c r="BW161" s="283"/>
    </row>
    <row r="162" spans="1:77" s="8" customFormat="1" ht="18" customHeight="1" x14ac:dyDescent="0.2">
      <c r="A162" s="1" t="s">
        <v>1503</v>
      </c>
      <c r="B162" s="1"/>
      <c r="C162" s="1"/>
      <c r="D162" s="1"/>
      <c r="E162" s="1"/>
      <c r="F162" s="1"/>
      <c r="G162" s="11"/>
      <c r="H162" s="11"/>
      <c r="I162" s="11"/>
      <c r="J162" s="11"/>
      <c r="K162" s="11"/>
      <c r="L162" s="11"/>
      <c r="M162" s="5"/>
      <c r="BV162" s="5"/>
      <c r="BW162" s="5"/>
      <c r="BX162" s="3335"/>
      <c r="BY162" s="3335"/>
    </row>
    <row r="163" spans="1:77" ht="24" customHeight="1" x14ac:dyDescent="0.25">
      <c r="A163" s="6307" t="s">
        <v>1498</v>
      </c>
      <c r="B163" s="6308"/>
      <c r="C163" s="6437" t="s">
        <v>1504</v>
      </c>
      <c r="D163" s="6266"/>
      <c r="E163" s="6180"/>
      <c r="F163" s="6190" t="s">
        <v>597</v>
      </c>
      <c r="G163" s="6247" t="s">
        <v>1505</v>
      </c>
      <c r="H163" s="6247"/>
      <c r="I163" s="6183"/>
      <c r="J163" s="6436" t="s">
        <v>1506</v>
      </c>
      <c r="K163" s="6247"/>
      <c r="L163" s="6183"/>
      <c r="BW163" s="283"/>
    </row>
    <row r="164" spans="1:77" ht="22.2" customHeight="1" x14ac:dyDescent="0.25">
      <c r="A164" s="6482"/>
      <c r="B164" s="6645"/>
      <c r="C164" s="766" t="s">
        <v>77</v>
      </c>
      <c r="D164" s="464" t="s">
        <v>1507</v>
      </c>
      <c r="E164" s="487" t="s">
        <v>1508</v>
      </c>
      <c r="F164" s="6471"/>
      <c r="G164" s="464" t="s">
        <v>1509</v>
      </c>
      <c r="H164" s="504" t="s">
        <v>1510</v>
      </c>
      <c r="I164" s="487" t="s">
        <v>1511</v>
      </c>
      <c r="J164" s="464" t="s">
        <v>1509</v>
      </c>
      <c r="K164" s="504" t="s">
        <v>1510</v>
      </c>
      <c r="L164" s="487" t="s">
        <v>1511</v>
      </c>
      <c r="BW164" s="283"/>
    </row>
    <row r="165" spans="1:77" ht="15" customHeight="1" x14ac:dyDescent="0.25">
      <c r="A165" s="6185" t="s">
        <v>1512</v>
      </c>
      <c r="B165" s="3448" t="s">
        <v>1513</v>
      </c>
      <c r="C165" s="3442">
        <f>SUM(D165+E165)</f>
        <v>0</v>
      </c>
      <c r="D165" s="3310"/>
      <c r="E165" s="576"/>
      <c r="F165" s="3444"/>
      <c r="G165" s="3310"/>
      <c r="H165" s="3309"/>
      <c r="I165" s="576"/>
      <c r="J165" s="3310"/>
      <c r="K165" s="3309"/>
      <c r="L165" s="576"/>
      <c r="BW165" s="283"/>
    </row>
    <row r="166" spans="1:77" ht="15" customHeight="1" x14ac:dyDescent="0.25">
      <c r="A166" s="6574"/>
      <c r="B166" s="3449" t="s">
        <v>1514</v>
      </c>
      <c r="C166" s="3190">
        <f>SUM(D166+E166)</f>
        <v>0</v>
      </c>
      <c r="D166" s="1289"/>
      <c r="E166" s="1474"/>
      <c r="F166" s="3450"/>
      <c r="G166" s="1289"/>
      <c r="H166" s="3332"/>
      <c r="I166" s="1474"/>
      <c r="J166" s="1289"/>
      <c r="K166" s="3332"/>
      <c r="L166" s="1474"/>
      <c r="BW166" s="283"/>
    </row>
    <row r="167" spans="1:77" s="8" customFormat="1" ht="18" customHeight="1" x14ac:dyDescent="0.2">
      <c r="A167" s="3" t="s">
        <v>1515</v>
      </c>
      <c r="BV167" s="5"/>
      <c r="BW167" s="5"/>
      <c r="BX167" s="3335"/>
      <c r="BY167" s="3335"/>
    </row>
    <row r="168" spans="1:77" ht="28.2" customHeight="1" x14ac:dyDescent="0.25">
      <c r="A168" s="6437" t="s">
        <v>277</v>
      </c>
      <c r="B168" s="6180"/>
      <c r="C168" s="1799" t="s">
        <v>919</v>
      </c>
      <c r="D168" s="767" t="s">
        <v>597</v>
      </c>
      <c r="E168" s="555" t="s">
        <v>1516</v>
      </c>
      <c r="F168" s="465" t="s">
        <v>591</v>
      </c>
      <c r="G168" s="2181"/>
    </row>
    <row r="169" spans="1:77" ht="15" customHeight="1" x14ac:dyDescent="0.25">
      <c r="A169" s="6185" t="s">
        <v>1517</v>
      </c>
      <c r="B169" s="1780" t="s">
        <v>1518</v>
      </c>
      <c r="C169" s="3444"/>
      <c r="D169" s="3310"/>
      <c r="E169" s="3451"/>
      <c r="F169" s="840"/>
      <c r="G169" s="3341"/>
    </row>
    <row r="170" spans="1:77" ht="15" customHeight="1" x14ac:dyDescent="0.25">
      <c r="A170" s="6574"/>
      <c r="B170" s="526" t="s">
        <v>889</v>
      </c>
      <c r="C170" s="3450"/>
      <c r="D170" s="1289"/>
      <c r="E170" s="3452"/>
      <c r="F170" s="1482"/>
      <c r="G170" s="3341"/>
    </row>
    <row r="171" spans="1:77" ht="15" customHeight="1" x14ac:dyDescent="0.25">
      <c r="A171" s="1781" t="s">
        <v>1519</v>
      </c>
      <c r="B171" s="1781" t="s">
        <v>1518</v>
      </c>
      <c r="C171" s="3447"/>
      <c r="D171" s="783"/>
      <c r="E171" s="531"/>
      <c r="F171" s="754"/>
      <c r="G171" s="3341"/>
    </row>
    <row r="172" spans="1:77" ht="15" customHeight="1" x14ac:dyDescent="0.25">
      <c r="A172" s="6185" t="s">
        <v>1520</v>
      </c>
      <c r="B172" s="1780" t="s">
        <v>592</v>
      </c>
      <c r="C172" s="3444"/>
      <c r="D172" s="3310"/>
      <c r="E172" s="773"/>
      <c r="F172" s="840"/>
      <c r="G172" s="3341"/>
    </row>
    <row r="173" spans="1:77" ht="15" customHeight="1" x14ac:dyDescent="0.25">
      <c r="A173" s="5844"/>
      <c r="B173" s="361" t="s">
        <v>1521</v>
      </c>
      <c r="C173" s="2729"/>
      <c r="D173" s="290"/>
      <c r="E173" s="535"/>
      <c r="F173" s="107"/>
      <c r="G173" s="3341"/>
    </row>
    <row r="174" spans="1:77" ht="15" customHeight="1" x14ac:dyDescent="0.25">
      <c r="A174" s="6574"/>
      <c r="B174" s="526" t="s">
        <v>1522</v>
      </c>
      <c r="C174" s="3450"/>
      <c r="D174" s="1289"/>
      <c r="E174" s="262"/>
      <c r="F174" s="1474"/>
      <c r="G174" s="3341"/>
    </row>
    <row r="175" spans="1:77" s="8" customFormat="1" ht="18" customHeight="1" x14ac:dyDescent="0.2">
      <c r="A175" s="3453" t="s">
        <v>1523</v>
      </c>
      <c r="B175" s="1"/>
      <c r="C175" s="1"/>
      <c r="D175" s="1"/>
      <c r="E175" s="1"/>
      <c r="F175" s="1"/>
      <c r="G175" s="1"/>
      <c r="H175" s="1"/>
      <c r="I175" s="1"/>
      <c r="BV175" s="5"/>
      <c r="BW175" s="5"/>
      <c r="BX175" s="3335"/>
      <c r="BY175" s="3335"/>
    </row>
    <row r="176" spans="1:77" x14ac:dyDescent="0.25">
      <c r="A176" s="6307" t="s">
        <v>1498</v>
      </c>
      <c r="B176" s="6308"/>
      <c r="C176" s="6437" t="s">
        <v>1524</v>
      </c>
      <c r="D176" s="6266"/>
      <c r="E176" s="6266"/>
      <c r="F176" s="6438" t="s">
        <v>597</v>
      </c>
      <c r="G176" s="6652" t="s">
        <v>1516</v>
      </c>
      <c r="H176" s="6183" t="s">
        <v>591</v>
      </c>
      <c r="BW176" s="283"/>
    </row>
    <row r="177" spans="1:77" x14ac:dyDescent="0.25">
      <c r="A177" s="6482"/>
      <c r="B177" s="6645"/>
      <c r="C177" s="766" t="s">
        <v>1525</v>
      </c>
      <c r="D177" s="767" t="s">
        <v>1517</v>
      </c>
      <c r="E177" s="465" t="s">
        <v>1526</v>
      </c>
      <c r="F177" s="6438"/>
      <c r="G177" s="6652"/>
      <c r="H177" s="6183"/>
      <c r="BW177" s="283"/>
    </row>
    <row r="178" spans="1:77" ht="15.6" customHeight="1" x14ac:dyDescent="0.25">
      <c r="A178" s="6659" t="s">
        <v>1527</v>
      </c>
      <c r="B178" s="3454" t="s">
        <v>1522</v>
      </c>
      <c r="C178" s="3442">
        <f t="shared" ref="C178:C183" si="87">SUM(D178:E178)</f>
        <v>0</v>
      </c>
      <c r="D178" s="3310"/>
      <c r="E178" s="576"/>
      <c r="F178" s="3310"/>
      <c r="G178" s="773"/>
      <c r="H178" s="576"/>
      <c r="I178" s="3432"/>
      <c r="BW178" s="283"/>
    </row>
    <row r="179" spans="1:77" ht="15.6" customHeight="1" x14ac:dyDescent="0.25">
      <c r="A179" s="5782"/>
      <c r="B179" s="333" t="s">
        <v>592</v>
      </c>
      <c r="C179" s="358">
        <f t="shared" si="87"/>
        <v>0</v>
      </c>
      <c r="D179" s="346"/>
      <c r="E179" s="347"/>
      <c r="F179" s="346"/>
      <c r="G179" s="369"/>
      <c r="H179" s="347"/>
      <c r="I179" s="3432"/>
      <c r="BW179" s="283"/>
    </row>
    <row r="180" spans="1:77" ht="15.6" customHeight="1" x14ac:dyDescent="0.25">
      <c r="A180" s="6044"/>
      <c r="B180" s="3449" t="s">
        <v>1521</v>
      </c>
      <c r="C180" s="519">
        <f t="shared" si="87"/>
        <v>0</v>
      </c>
      <c r="D180" s="1289"/>
      <c r="E180" s="1474"/>
      <c r="F180" s="1289"/>
      <c r="G180" s="262"/>
      <c r="H180" s="1474"/>
      <c r="I180" s="3432"/>
      <c r="BW180" s="283"/>
    </row>
    <row r="181" spans="1:77" ht="18.600000000000001" customHeight="1" x14ac:dyDescent="0.25">
      <c r="A181" s="6185" t="s">
        <v>1528</v>
      </c>
      <c r="B181" s="3454" t="s">
        <v>1522</v>
      </c>
      <c r="C181" s="3442">
        <f t="shared" si="87"/>
        <v>0</v>
      </c>
      <c r="D181" s="3310"/>
      <c r="E181" s="576"/>
      <c r="F181" s="3310"/>
      <c r="G181" s="773"/>
      <c r="H181" s="576"/>
      <c r="I181" s="3432"/>
      <c r="BW181" s="283"/>
    </row>
    <row r="182" spans="1:77" ht="20.399999999999999" customHeight="1" x14ac:dyDescent="0.25">
      <c r="A182" s="5844"/>
      <c r="B182" s="333" t="s">
        <v>592</v>
      </c>
      <c r="C182" s="358">
        <f t="shared" si="87"/>
        <v>0</v>
      </c>
      <c r="D182" s="346"/>
      <c r="E182" s="347"/>
      <c r="F182" s="346"/>
      <c r="G182" s="369"/>
      <c r="H182" s="347"/>
      <c r="I182" s="3432"/>
      <c r="BW182" s="283"/>
    </row>
    <row r="183" spans="1:77" ht="21" customHeight="1" x14ac:dyDescent="0.25">
      <c r="A183" s="6574"/>
      <c r="B183" s="3449" t="s">
        <v>1521</v>
      </c>
      <c r="C183" s="519">
        <f t="shared" si="87"/>
        <v>0</v>
      </c>
      <c r="D183" s="1289"/>
      <c r="E183" s="1474"/>
      <c r="F183" s="1289"/>
      <c r="G183" s="262"/>
      <c r="H183" s="1474"/>
      <c r="I183" s="3432"/>
      <c r="BW183" s="283"/>
    </row>
    <row r="184" spans="1:77" s="8" customFormat="1" ht="18" customHeight="1" x14ac:dyDescent="0.2">
      <c r="A184" s="928" t="s">
        <v>1529</v>
      </c>
      <c r="B184" s="928"/>
      <c r="C184" s="928"/>
      <c r="D184" s="928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BV184" s="5"/>
      <c r="BW184" s="5"/>
      <c r="BX184" s="3335"/>
      <c r="BY184" s="3335"/>
    </row>
    <row r="185" spans="1:77" x14ac:dyDescent="0.25">
      <c r="A185" s="6662" t="s">
        <v>1530</v>
      </c>
      <c r="B185" s="6631" t="s">
        <v>1531</v>
      </c>
      <c r="C185" s="6493"/>
      <c r="D185" s="6494"/>
      <c r="E185" s="6665" t="s">
        <v>1364</v>
      </c>
      <c r="F185" s="6666"/>
      <c r="G185" s="6666"/>
      <c r="H185" s="6666"/>
      <c r="I185" s="6666"/>
      <c r="J185" s="6666"/>
      <c r="K185" s="6666"/>
      <c r="L185" s="6666"/>
      <c r="M185" s="6666"/>
      <c r="N185" s="6666"/>
      <c r="O185" s="6666"/>
      <c r="P185" s="6666"/>
      <c r="Q185" s="6666"/>
      <c r="R185" s="6666"/>
      <c r="S185" s="6666"/>
      <c r="T185" s="6666"/>
      <c r="U185" s="6666"/>
      <c r="V185" s="6666"/>
      <c r="W185" s="6666"/>
      <c r="X185" s="6666"/>
      <c r="Y185" s="6666"/>
      <c r="Z185" s="6666"/>
      <c r="AA185" s="6666"/>
      <c r="AB185" s="6666"/>
      <c r="AC185" s="6666"/>
      <c r="AD185" s="6666"/>
      <c r="AE185" s="6666"/>
      <c r="AF185" s="6666"/>
      <c r="AG185" s="6666"/>
      <c r="AH185" s="6666"/>
      <c r="AI185" s="6666"/>
      <c r="AJ185" s="6666"/>
      <c r="AK185" s="6666"/>
      <c r="AL185" s="6667"/>
      <c r="BW185" s="283"/>
    </row>
    <row r="186" spans="1:77" x14ac:dyDescent="0.25">
      <c r="A186" s="6663"/>
      <c r="B186" s="6632"/>
      <c r="C186" s="6496"/>
      <c r="D186" s="6497"/>
      <c r="E186" s="6436" t="s">
        <v>343</v>
      </c>
      <c r="F186" s="6183"/>
      <c r="G186" s="6436" t="s">
        <v>326</v>
      </c>
      <c r="H186" s="6183"/>
      <c r="I186" s="6436" t="s">
        <v>94</v>
      </c>
      <c r="J186" s="6183"/>
      <c r="K186" s="6436" t="s">
        <v>44</v>
      </c>
      <c r="L186" s="6183"/>
      <c r="M186" s="6436" t="s">
        <v>45</v>
      </c>
      <c r="N186" s="6183"/>
      <c r="O186" s="6437" t="s">
        <v>46</v>
      </c>
      <c r="P186" s="6180"/>
      <c r="Q186" s="6437" t="s">
        <v>47</v>
      </c>
      <c r="R186" s="6180"/>
      <c r="S186" s="6437" t="s">
        <v>48</v>
      </c>
      <c r="T186" s="6180"/>
      <c r="U186" s="6437" t="s">
        <v>49</v>
      </c>
      <c r="V186" s="6180"/>
      <c r="W186" s="6437" t="s">
        <v>50</v>
      </c>
      <c r="X186" s="6180"/>
      <c r="Y186" s="6437" t="s">
        <v>51</v>
      </c>
      <c r="Z186" s="6180"/>
      <c r="AA186" s="6437" t="s">
        <v>52</v>
      </c>
      <c r="AB186" s="6180"/>
      <c r="AC186" s="6437" t="s">
        <v>53</v>
      </c>
      <c r="AD186" s="6180"/>
      <c r="AE186" s="6437" t="s">
        <v>54</v>
      </c>
      <c r="AF186" s="6180"/>
      <c r="AG186" s="6437" t="s">
        <v>55</v>
      </c>
      <c r="AH186" s="6180"/>
      <c r="AI186" s="6437" t="s">
        <v>56</v>
      </c>
      <c r="AJ186" s="6180"/>
      <c r="AK186" s="6437" t="s">
        <v>57</v>
      </c>
      <c r="AL186" s="6180"/>
      <c r="BW186" s="283"/>
    </row>
    <row r="187" spans="1:77" x14ac:dyDescent="0.25">
      <c r="A187" s="6664"/>
      <c r="B187" s="3456" t="s">
        <v>79</v>
      </c>
      <c r="C187" s="3457" t="s">
        <v>58</v>
      </c>
      <c r="D187" s="3455" t="s">
        <v>59</v>
      </c>
      <c r="E187" s="767" t="s">
        <v>461</v>
      </c>
      <c r="F187" s="465" t="s">
        <v>59</v>
      </c>
      <c r="G187" s="767" t="s">
        <v>461</v>
      </c>
      <c r="H187" s="465" t="s">
        <v>59</v>
      </c>
      <c r="I187" s="767" t="s">
        <v>461</v>
      </c>
      <c r="J187" s="465" t="s">
        <v>59</v>
      </c>
      <c r="K187" s="767" t="s">
        <v>461</v>
      </c>
      <c r="L187" s="604" t="s">
        <v>59</v>
      </c>
      <c r="M187" s="767" t="s">
        <v>461</v>
      </c>
      <c r="N187" s="465" t="s">
        <v>59</v>
      </c>
      <c r="O187" s="767" t="s">
        <v>461</v>
      </c>
      <c r="P187" s="604" t="s">
        <v>59</v>
      </c>
      <c r="Q187" s="767" t="s">
        <v>461</v>
      </c>
      <c r="R187" s="465" t="s">
        <v>59</v>
      </c>
      <c r="S187" s="767" t="s">
        <v>461</v>
      </c>
      <c r="T187" s="604" t="s">
        <v>59</v>
      </c>
      <c r="U187" s="767" t="s">
        <v>461</v>
      </c>
      <c r="V187" s="465" t="s">
        <v>59</v>
      </c>
      <c r="W187" s="767" t="s">
        <v>461</v>
      </c>
      <c r="X187" s="604" t="s">
        <v>59</v>
      </c>
      <c r="Y187" s="767" t="s">
        <v>461</v>
      </c>
      <c r="Z187" s="465" t="s">
        <v>59</v>
      </c>
      <c r="AA187" s="767" t="s">
        <v>461</v>
      </c>
      <c r="AB187" s="465" t="s">
        <v>59</v>
      </c>
      <c r="AC187" s="767" t="s">
        <v>461</v>
      </c>
      <c r="AD187" s="465" t="s">
        <v>59</v>
      </c>
      <c r="AE187" s="767" t="s">
        <v>461</v>
      </c>
      <c r="AF187" s="465" t="s">
        <v>59</v>
      </c>
      <c r="AG187" s="767" t="s">
        <v>461</v>
      </c>
      <c r="AH187" s="465" t="s">
        <v>59</v>
      </c>
      <c r="AI187" s="767" t="s">
        <v>461</v>
      </c>
      <c r="AJ187" s="465" t="s">
        <v>59</v>
      </c>
      <c r="AK187" s="767" t="s">
        <v>461</v>
      </c>
      <c r="AL187" s="465" t="s">
        <v>59</v>
      </c>
      <c r="BW187" s="283"/>
    </row>
    <row r="188" spans="1:77" ht="15" customHeight="1" x14ac:dyDescent="0.25">
      <c r="A188" s="3458" t="s">
        <v>1532</v>
      </c>
      <c r="B188" s="3459">
        <f>SUM(C188+D188)</f>
        <v>0</v>
      </c>
      <c r="C188" s="3460">
        <f>SUM(O188+Q188+S188+U188+W188+Y188+AA188+AC188+AE188+AG188+AI188+AK188)</f>
        <v>0</v>
      </c>
      <c r="D188" s="3461">
        <f>SUM(P188+R188+T188+V188+X188+Z188+AB188+AD188+AF188+AH188+AJ188+AL188)</f>
        <v>0</v>
      </c>
      <c r="E188" s="3462"/>
      <c r="F188" s="211"/>
      <c r="G188" s="3463"/>
      <c r="H188" s="3464"/>
      <c r="I188" s="3462"/>
      <c r="J188" s="211"/>
      <c r="K188" s="3463"/>
      <c r="L188" s="3464"/>
      <c r="M188" s="3463"/>
      <c r="N188" s="3464"/>
      <c r="O188" s="3465"/>
      <c r="P188" s="3466"/>
      <c r="Q188" s="3467"/>
      <c r="R188" s="3468"/>
      <c r="S188" s="3465"/>
      <c r="T188" s="3466"/>
      <c r="U188" s="3467"/>
      <c r="V188" s="3468"/>
      <c r="W188" s="3465"/>
      <c r="X188" s="3466"/>
      <c r="Y188" s="3467"/>
      <c r="Z188" s="3468"/>
      <c r="AA188" s="3467"/>
      <c r="AB188" s="3468"/>
      <c r="AC188" s="3467"/>
      <c r="AD188" s="3468"/>
      <c r="AE188" s="3467"/>
      <c r="AF188" s="3468"/>
      <c r="AG188" s="3467"/>
      <c r="AH188" s="3468"/>
      <c r="AI188" s="3467"/>
      <c r="AJ188" s="3468"/>
      <c r="AK188" s="3467"/>
      <c r="AL188" s="3468"/>
      <c r="BW188" s="283"/>
    </row>
    <row r="189" spans="1:77" ht="15" customHeight="1" x14ac:dyDescent="0.25">
      <c r="A189" s="3469" t="s">
        <v>1533</v>
      </c>
      <c r="B189" s="3470">
        <f>SUM(C189+D189)</f>
        <v>0</v>
      </c>
      <c r="C189" s="3471">
        <f t="shared" ref="C189:D191" si="88">SUM(E189+G189+I189+K189+M189+O189+Q189+S189+U189+W189+Y189+AA189+AC189+AE189+AG189+AI189+AK189)</f>
        <v>0</v>
      </c>
      <c r="D189" s="2663">
        <f t="shared" si="88"/>
        <v>0</v>
      </c>
      <c r="E189" s="3472"/>
      <c r="F189" s="3473"/>
      <c r="G189" s="3472"/>
      <c r="H189" s="3473"/>
      <c r="I189" s="3472"/>
      <c r="J189" s="3473"/>
      <c r="K189" s="3474"/>
      <c r="L189" s="3475"/>
      <c r="M189" s="3472"/>
      <c r="N189" s="3473"/>
      <c r="O189" s="3474"/>
      <c r="P189" s="3475"/>
      <c r="Q189" s="3472"/>
      <c r="R189" s="3473"/>
      <c r="S189" s="3474"/>
      <c r="T189" s="3475"/>
      <c r="U189" s="3472"/>
      <c r="V189" s="3473"/>
      <c r="W189" s="3474"/>
      <c r="X189" s="3475"/>
      <c r="Y189" s="3472"/>
      <c r="Z189" s="3473"/>
      <c r="AA189" s="3472"/>
      <c r="AB189" s="3473"/>
      <c r="AC189" s="3472"/>
      <c r="AD189" s="3473"/>
      <c r="AE189" s="3472"/>
      <c r="AF189" s="3473"/>
      <c r="AG189" s="3472"/>
      <c r="AH189" s="3473"/>
      <c r="AI189" s="3472"/>
      <c r="AJ189" s="3473"/>
      <c r="AK189" s="3472"/>
      <c r="AL189" s="3473"/>
      <c r="BW189" s="283"/>
    </row>
    <row r="190" spans="1:77" ht="15" customHeight="1" x14ac:dyDescent="0.25">
      <c r="A190" s="3476" t="s">
        <v>1534</v>
      </c>
      <c r="B190" s="3470">
        <f>SUM(C190+D190)</f>
        <v>0</v>
      </c>
      <c r="C190" s="3471">
        <f t="shared" si="88"/>
        <v>0</v>
      </c>
      <c r="D190" s="2663">
        <f t="shared" si="88"/>
        <v>0</v>
      </c>
      <c r="E190" s="3472"/>
      <c r="F190" s="3473"/>
      <c r="G190" s="3472"/>
      <c r="H190" s="3473"/>
      <c r="I190" s="3472"/>
      <c r="J190" s="3473"/>
      <c r="K190" s="3474"/>
      <c r="L190" s="3475"/>
      <c r="M190" s="3472"/>
      <c r="N190" s="3473"/>
      <c r="O190" s="3474"/>
      <c r="P190" s="3475"/>
      <c r="Q190" s="3472"/>
      <c r="R190" s="3473"/>
      <c r="S190" s="3474"/>
      <c r="T190" s="3475"/>
      <c r="U190" s="3472"/>
      <c r="V190" s="3473"/>
      <c r="W190" s="3474"/>
      <c r="X190" s="3475"/>
      <c r="Y190" s="3472"/>
      <c r="Z190" s="3473"/>
      <c r="AA190" s="3472"/>
      <c r="AB190" s="3473"/>
      <c r="AC190" s="3472"/>
      <c r="AD190" s="3473"/>
      <c r="AE190" s="3472"/>
      <c r="AF190" s="3473"/>
      <c r="AG190" s="3472"/>
      <c r="AH190" s="3473"/>
      <c r="AI190" s="3472"/>
      <c r="AJ190" s="3473"/>
      <c r="AK190" s="3472"/>
      <c r="AL190" s="3473"/>
      <c r="BW190" s="283"/>
    </row>
    <row r="191" spans="1:77" ht="15" customHeight="1" x14ac:dyDescent="0.25">
      <c r="A191" s="3477" t="s">
        <v>591</v>
      </c>
      <c r="B191" s="3478">
        <f>SUM(C191+D191)</f>
        <v>0</v>
      </c>
      <c r="C191" s="3479">
        <f t="shared" si="88"/>
        <v>0</v>
      </c>
      <c r="D191" s="3480">
        <f t="shared" si="88"/>
        <v>0</v>
      </c>
      <c r="E191" s="3481"/>
      <c r="F191" s="3482"/>
      <c r="G191" s="3481"/>
      <c r="H191" s="3482"/>
      <c r="I191" s="3481"/>
      <c r="J191" s="3482"/>
      <c r="K191" s="3483"/>
      <c r="L191" s="3484"/>
      <c r="M191" s="3481"/>
      <c r="N191" s="3482"/>
      <c r="O191" s="3483"/>
      <c r="P191" s="3484"/>
      <c r="Q191" s="3481"/>
      <c r="R191" s="3482"/>
      <c r="S191" s="3483"/>
      <c r="T191" s="3484"/>
      <c r="U191" s="3481"/>
      <c r="V191" s="3482"/>
      <c r="W191" s="3483"/>
      <c r="X191" s="3484"/>
      <c r="Y191" s="3481"/>
      <c r="Z191" s="3482"/>
      <c r="AA191" s="3481"/>
      <c r="AB191" s="3482"/>
      <c r="AC191" s="3481"/>
      <c r="AD191" s="3482"/>
      <c r="AE191" s="3481"/>
      <c r="AF191" s="3482"/>
      <c r="AG191" s="3481"/>
      <c r="AH191" s="3482"/>
      <c r="AI191" s="3481"/>
      <c r="AJ191" s="3482"/>
      <c r="AK191" s="3481"/>
      <c r="AL191" s="3482"/>
      <c r="BW191" s="283"/>
    </row>
    <row r="192" spans="1:77" s="8" customFormat="1" ht="18" customHeight="1" x14ac:dyDescent="0.2">
      <c r="A192" s="3352" t="s">
        <v>1535</v>
      </c>
      <c r="B192" s="348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BV192" s="5"/>
      <c r="BW192" s="3335"/>
      <c r="BX192" s="3335"/>
      <c r="BY192" s="3335"/>
    </row>
    <row r="193" spans="1:95" ht="24" customHeight="1" x14ac:dyDescent="0.25">
      <c r="A193" s="6644" t="s">
        <v>285</v>
      </c>
      <c r="B193" s="6644"/>
      <c r="C193" s="6644" t="s">
        <v>77</v>
      </c>
      <c r="D193" s="6644"/>
      <c r="E193" s="6644"/>
      <c r="F193" s="6660" t="s">
        <v>343</v>
      </c>
      <c r="G193" s="6660"/>
      <c r="H193" s="6660" t="s">
        <v>326</v>
      </c>
      <c r="I193" s="6660"/>
      <c r="J193" s="6660" t="s">
        <v>94</v>
      </c>
      <c r="K193" s="6660"/>
      <c r="L193" s="6660" t="s">
        <v>1203</v>
      </c>
      <c r="M193" s="6660"/>
      <c r="N193" s="6660" t="s">
        <v>1536</v>
      </c>
      <c r="O193" s="6660"/>
      <c r="P193" s="6644" t="s">
        <v>366</v>
      </c>
      <c r="Q193" s="6644"/>
      <c r="R193" s="6644" t="s">
        <v>307</v>
      </c>
      <c r="S193" s="6644"/>
      <c r="T193" s="6644" t="s">
        <v>1537</v>
      </c>
      <c r="U193" s="6661"/>
      <c r="V193" s="6243" t="s">
        <v>453</v>
      </c>
      <c r="W193" s="6190" t="s">
        <v>1538</v>
      </c>
      <c r="X193" s="6190" t="s">
        <v>1539</v>
      </c>
      <c r="Y193" s="6190" t="s">
        <v>1540</v>
      </c>
      <c r="Z193" s="6190" t="s">
        <v>1541</v>
      </c>
      <c r="AA193" s="6190" t="s">
        <v>1542</v>
      </c>
      <c r="AB193" s="6437" t="s">
        <v>1543</v>
      </c>
      <c r="AC193" s="6673"/>
      <c r="AD193" s="6673"/>
      <c r="AE193" s="6180"/>
      <c r="AF193" s="6665" t="s">
        <v>919</v>
      </c>
      <c r="AG193" s="6674"/>
      <c r="AH193" s="6668" t="s">
        <v>1466</v>
      </c>
      <c r="AI193" s="6668" t="s">
        <v>1467</v>
      </c>
      <c r="AJ193" s="6190" t="s">
        <v>36</v>
      </c>
      <c r="AK193" s="6190" t="s">
        <v>37</v>
      </c>
      <c r="AL193" s="6186" t="s">
        <v>34</v>
      </c>
      <c r="AM193" s="6243" t="s">
        <v>35</v>
      </c>
      <c r="AN193" s="1873"/>
      <c r="AO193" s="1873"/>
      <c r="AP193" s="1873"/>
      <c r="AQ193" s="1873"/>
      <c r="AR193" s="1873"/>
      <c r="AS193" s="1873"/>
      <c r="AT193" s="1873"/>
      <c r="AU193" s="1873"/>
      <c r="BX193" s="1873"/>
    </row>
    <row r="194" spans="1:95" ht="29.25" customHeight="1" x14ac:dyDescent="0.25">
      <c r="A194" s="6644"/>
      <c r="B194" s="6644"/>
      <c r="C194" s="889" t="s">
        <v>79</v>
      </c>
      <c r="D194" s="491" t="s">
        <v>461</v>
      </c>
      <c r="E194" s="584" t="s">
        <v>59</v>
      </c>
      <c r="F194" s="767" t="s">
        <v>461</v>
      </c>
      <c r="G194" s="469" t="s">
        <v>59</v>
      </c>
      <c r="H194" s="767" t="s">
        <v>461</v>
      </c>
      <c r="I194" s="469" t="s">
        <v>59</v>
      </c>
      <c r="J194" s="767" t="s">
        <v>461</v>
      </c>
      <c r="K194" s="469" t="s">
        <v>59</v>
      </c>
      <c r="L194" s="767" t="s">
        <v>461</v>
      </c>
      <c r="M194" s="469" t="s">
        <v>59</v>
      </c>
      <c r="N194" s="767" t="s">
        <v>461</v>
      </c>
      <c r="O194" s="469" t="s">
        <v>59</v>
      </c>
      <c r="P194" s="767" t="s">
        <v>461</v>
      </c>
      <c r="Q194" s="469" t="s">
        <v>59</v>
      </c>
      <c r="R194" s="767" t="s">
        <v>461</v>
      </c>
      <c r="S194" s="469" t="s">
        <v>59</v>
      </c>
      <c r="T194" s="3488" t="s">
        <v>461</v>
      </c>
      <c r="U194" s="470" t="s">
        <v>59</v>
      </c>
      <c r="V194" s="6468"/>
      <c r="W194" s="6471"/>
      <c r="X194" s="6471"/>
      <c r="Y194" s="6471"/>
      <c r="Z194" s="6471"/>
      <c r="AA194" s="6471"/>
      <c r="AB194" s="1799" t="s">
        <v>1477</v>
      </c>
      <c r="AC194" s="1799" t="s">
        <v>1478</v>
      </c>
      <c r="AD194" s="1799" t="s">
        <v>1479</v>
      </c>
      <c r="AE194" s="465" t="s">
        <v>1480</v>
      </c>
      <c r="AF194" s="3489" t="s">
        <v>522</v>
      </c>
      <c r="AG194" s="3490" t="s">
        <v>751</v>
      </c>
      <c r="AH194" s="6669"/>
      <c r="AI194" s="6669"/>
      <c r="AJ194" s="6471"/>
      <c r="AK194" s="6471"/>
      <c r="AL194" s="6483"/>
      <c r="AM194" s="6468"/>
      <c r="AN194" s="1873"/>
      <c r="AO194" s="1873"/>
      <c r="AP194" s="1873"/>
      <c r="AQ194" s="1873"/>
      <c r="AR194" s="1873"/>
      <c r="AS194" s="1873"/>
      <c r="AT194" s="1873"/>
      <c r="AU194" s="1873"/>
      <c r="BX194" s="1873"/>
    </row>
    <row r="195" spans="1:95" ht="15" customHeight="1" x14ac:dyDescent="0.25">
      <c r="A195" s="6670" t="s">
        <v>853</v>
      </c>
      <c r="B195" s="3318" t="s">
        <v>1544</v>
      </c>
      <c r="C195" s="3337">
        <f>SUM(D195:E195)</f>
        <v>0</v>
      </c>
      <c r="D195" s="3491">
        <f>SUM(F195+H195+J195+L195+N195+P195+R195+T195)</f>
        <v>0</v>
      </c>
      <c r="E195" s="598">
        <f>G195+I195+K195+M195+O195+Q195+S195+U195</f>
        <v>0</v>
      </c>
      <c r="F195" s="3361"/>
      <c r="G195" s="3492"/>
      <c r="H195" s="3361"/>
      <c r="I195" s="3492"/>
      <c r="J195" s="3361"/>
      <c r="K195" s="3492"/>
      <c r="L195" s="3361"/>
      <c r="M195" s="3492"/>
      <c r="N195" s="3361"/>
      <c r="O195" s="3492"/>
      <c r="P195" s="3361"/>
      <c r="Q195" s="3492"/>
      <c r="R195" s="3361"/>
      <c r="S195" s="3492"/>
      <c r="T195" s="3361"/>
      <c r="U195" s="3493"/>
      <c r="V195" s="3494"/>
      <c r="W195" s="3495"/>
      <c r="X195" s="3495"/>
      <c r="Y195" s="3495"/>
      <c r="Z195" s="3495"/>
      <c r="AA195" s="3362"/>
      <c r="AB195" s="3495"/>
      <c r="AC195" s="3495"/>
      <c r="AD195" s="3495"/>
      <c r="AE195" s="871"/>
      <c r="AF195" s="3495"/>
      <c r="AG195" s="3425"/>
      <c r="AH195" s="3496"/>
      <c r="AI195" s="871"/>
      <c r="AJ195" s="3495"/>
      <c r="AK195" s="3495"/>
      <c r="AL195" s="3361"/>
      <c r="AM195" s="871"/>
      <c r="AN195" s="3312" t="str">
        <f>CA195&amp;CB195&amp;CC195&amp;CD195&amp;CE195</f>
        <v/>
      </c>
      <c r="AO195" s="3312"/>
      <c r="AP195" s="3312"/>
      <c r="AQ195" s="3312"/>
      <c r="AR195" s="3312"/>
      <c r="AS195" s="1873"/>
      <c r="AT195" s="1873"/>
      <c r="BX195" s="1873"/>
      <c r="CA195" s="432" t="str">
        <f t="shared" ref="CA195:CE196" si="89">IF(AND($C195&gt;0,AI195="")," * No olvide digitar la variable "&amp;AI$193&amp;""&amp;". Digite CERO si no tiene",IF(AI195&gt;$C195," * La variable "&amp;AI$193&amp;""&amp;" No puede ser mayor al Total.",""))</f>
        <v/>
      </c>
      <c r="CB195" s="432" t="str">
        <f t="shared" si="89"/>
        <v/>
      </c>
      <c r="CC195" s="432" t="str">
        <f t="shared" si="89"/>
        <v/>
      </c>
      <c r="CD195" s="432" t="str">
        <f t="shared" si="89"/>
        <v/>
      </c>
      <c r="CE195" s="432" t="str">
        <f t="shared" si="89"/>
        <v/>
      </c>
      <c r="CM195" s="180">
        <f>IF(AND($C195&gt;0,AI195=""),1,IF(AI195&gt;$C195,1,0))</f>
        <v>0</v>
      </c>
      <c r="CN195" s="180">
        <f t="shared" ref="CN195:CP195" si="90">IF(AND($C195&gt;0,AJ195=""),1,IF(AJ195&gt;$C195,1,0))</f>
        <v>0</v>
      </c>
      <c r="CO195" s="180">
        <f t="shared" si="90"/>
        <v>0</v>
      </c>
      <c r="CP195" s="180">
        <f t="shared" si="90"/>
        <v>0</v>
      </c>
      <c r="CQ195" s="180">
        <f>IF(AND($C195&gt;0,AM195=""),1,IF(AM195&gt;$C195,1,0))</f>
        <v>0</v>
      </c>
    </row>
    <row r="196" spans="1:95" ht="15" customHeight="1" x14ac:dyDescent="0.25">
      <c r="A196" s="6670"/>
      <c r="B196" s="526" t="s">
        <v>1545</v>
      </c>
      <c r="C196" s="894">
        <f>SUM(D196:E196)</f>
        <v>0</v>
      </c>
      <c r="D196" s="304">
        <f>SUM(F196+H196+J196+L196+N196+P196+R196+T196)</f>
        <v>0</v>
      </c>
      <c r="E196" s="3497">
        <f>G196+I196+K196+M196+O196+Q196+S196+U196</f>
        <v>0</v>
      </c>
      <c r="F196" s="876"/>
      <c r="G196" s="1907"/>
      <c r="H196" s="876"/>
      <c r="I196" s="1907"/>
      <c r="J196" s="876"/>
      <c r="K196" s="1907"/>
      <c r="L196" s="876"/>
      <c r="M196" s="1907"/>
      <c r="N196" s="876"/>
      <c r="O196" s="1907"/>
      <c r="P196" s="876"/>
      <c r="Q196" s="1907"/>
      <c r="R196" s="876"/>
      <c r="S196" s="1907"/>
      <c r="T196" s="876"/>
      <c r="U196" s="1953"/>
      <c r="V196" s="993"/>
      <c r="W196" s="1954"/>
      <c r="X196" s="1954"/>
      <c r="Y196" s="1954"/>
      <c r="Z196" s="1954"/>
      <c r="AA196" s="1911"/>
      <c r="AB196" s="1954"/>
      <c r="AC196" s="1954"/>
      <c r="AD196" s="1954"/>
      <c r="AE196" s="877"/>
      <c r="AF196" s="1954"/>
      <c r="AG196" s="1912"/>
      <c r="AH196" s="3498"/>
      <c r="AI196" s="877"/>
      <c r="AJ196" s="1954"/>
      <c r="AK196" s="1954"/>
      <c r="AL196" s="897"/>
      <c r="AM196" s="3499"/>
      <c r="AN196" s="3312" t="str">
        <f>CA196&amp;CB196&amp;CC196&amp;CD196&amp;CE196</f>
        <v/>
      </c>
      <c r="AO196" s="3312"/>
      <c r="AP196" s="3312"/>
      <c r="AQ196" s="3312"/>
      <c r="AR196" s="3312"/>
      <c r="AS196" s="1873"/>
      <c r="AT196" s="1873"/>
      <c r="BX196" s="1873"/>
      <c r="CA196" s="432" t="str">
        <f t="shared" si="89"/>
        <v/>
      </c>
      <c r="CB196" s="432" t="str">
        <f t="shared" si="89"/>
        <v/>
      </c>
      <c r="CC196" s="432" t="str">
        <f t="shared" si="89"/>
        <v/>
      </c>
      <c r="CD196" s="432" t="str">
        <f t="shared" si="89"/>
        <v/>
      </c>
      <c r="CE196" s="432" t="str">
        <f t="shared" si="89"/>
        <v/>
      </c>
      <c r="CM196" s="180">
        <f>IF(AND($C196&gt;0,AI196=""),1,IF(AI196&gt;$C196,1,0))</f>
        <v>0</v>
      </c>
      <c r="CN196" s="180">
        <f t="shared" ref="CN196" si="91">IF(AND($C196&gt;0,AJ196=""),1,IF(AJ196&gt;$C196,1,0))</f>
        <v>0</v>
      </c>
      <c r="CO196" s="180">
        <f t="shared" ref="CO196" si="92">IF(AND($C196&gt;0,AK196=""),1,IF(AK196&gt;$C196,1,0))</f>
        <v>0</v>
      </c>
      <c r="CP196" s="180">
        <f t="shared" ref="CP196" si="93">IF(AND($C196&gt;0,AL196=""),1,IF(AL196&gt;$C196,1,0))</f>
        <v>0</v>
      </c>
      <c r="CQ196" s="180">
        <f>IF(AND($C196&gt;0,AM196=""),1,IF(AM196&gt;$C196,1,0))</f>
        <v>0</v>
      </c>
    </row>
    <row r="197" spans="1:95" s="8" customFormat="1" ht="18" customHeight="1" x14ac:dyDescent="0.2">
      <c r="A197" s="1" t="s">
        <v>1546</v>
      </c>
      <c r="B197" s="1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BV197" s="5"/>
      <c r="BW197" s="5"/>
      <c r="BX197" s="5"/>
      <c r="BY197" s="5"/>
    </row>
    <row r="198" spans="1:95" ht="16.350000000000001" customHeight="1" x14ac:dyDescent="0.25">
      <c r="A198" s="766" t="s">
        <v>1362</v>
      </c>
      <c r="B198" s="766" t="s">
        <v>77</v>
      </c>
      <c r="C198" s="464" t="s">
        <v>1547</v>
      </c>
      <c r="D198" s="487" t="s">
        <v>1548</v>
      </c>
      <c r="AI198" s="1873"/>
      <c r="AJ198" s="1873"/>
      <c r="AK198" s="1873"/>
      <c r="AL198" s="1873"/>
      <c r="AM198" s="1873"/>
      <c r="AN198" s="1873"/>
      <c r="AO198" s="1873"/>
      <c r="AP198" s="1873"/>
      <c r="AQ198" s="1873"/>
      <c r="AR198" s="1873"/>
      <c r="AS198" s="1873"/>
      <c r="AT198" s="1873"/>
      <c r="AU198" s="1873"/>
      <c r="AV198" s="1873"/>
    </row>
    <row r="199" spans="1:95" ht="15" customHeight="1" x14ac:dyDescent="0.25">
      <c r="A199" s="3318" t="s">
        <v>1549</v>
      </c>
      <c r="B199" s="3500">
        <f>SUM(C199:D199)</f>
        <v>0</v>
      </c>
      <c r="C199" s="3361"/>
      <c r="D199" s="871"/>
      <c r="AI199" s="1873"/>
      <c r="AJ199" s="1873"/>
      <c r="AK199" s="1873"/>
      <c r="AL199" s="1873"/>
      <c r="AM199" s="1873"/>
      <c r="AN199" s="1873"/>
      <c r="AO199" s="1873"/>
      <c r="AP199" s="1873"/>
      <c r="AQ199" s="1873"/>
      <c r="AR199" s="1873"/>
      <c r="AS199" s="1873"/>
      <c r="AT199" s="1873"/>
      <c r="AU199" s="1873"/>
      <c r="AV199" s="1873"/>
    </row>
    <row r="200" spans="1:95" ht="15" customHeight="1" x14ac:dyDescent="0.25">
      <c r="A200" s="526" t="s">
        <v>1550</v>
      </c>
      <c r="B200" s="798">
        <f>SUM(C200)</f>
        <v>0</v>
      </c>
      <c r="C200" s="876"/>
      <c r="D200" s="3501"/>
      <c r="AI200" s="1873"/>
      <c r="AJ200" s="1873"/>
      <c r="AK200" s="1873"/>
      <c r="AL200" s="1873"/>
      <c r="AM200" s="1873"/>
      <c r="AN200" s="1873"/>
      <c r="AO200" s="1873"/>
      <c r="AP200" s="1873"/>
      <c r="AQ200" s="1873"/>
      <c r="AR200" s="1873"/>
      <c r="AS200" s="1873"/>
      <c r="AT200" s="1873"/>
      <c r="AU200" s="1873"/>
      <c r="AV200" s="1873"/>
    </row>
    <row r="201" spans="1:95" s="8" customFormat="1" ht="18" customHeight="1" x14ac:dyDescent="0.2">
      <c r="A201" s="3502" t="s">
        <v>1551</v>
      </c>
      <c r="B201" s="3503"/>
      <c r="C201" s="3504"/>
      <c r="D201" s="928"/>
      <c r="F201" s="3505"/>
      <c r="G201" s="3420"/>
      <c r="H201" s="4"/>
      <c r="I201" s="3420"/>
      <c r="J201" s="3506"/>
      <c r="K201" s="3506"/>
      <c r="L201" s="3420"/>
      <c r="M201" s="4"/>
      <c r="N201" s="3420"/>
      <c r="O201" s="3420"/>
      <c r="P201" s="4"/>
      <c r="Q201" s="3420"/>
      <c r="R201" s="3420"/>
      <c r="S201" s="4"/>
      <c r="T201" s="3420"/>
      <c r="U201" s="3420"/>
      <c r="V201" s="3506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BV201" s="5"/>
      <c r="BW201" s="5"/>
      <c r="BX201" s="5"/>
      <c r="BY201" s="5"/>
    </row>
    <row r="202" spans="1:95" ht="20.25" customHeight="1" x14ac:dyDescent="0.25">
      <c r="A202" s="6176" t="s">
        <v>285</v>
      </c>
      <c r="B202" s="6307" t="s">
        <v>77</v>
      </c>
      <c r="C202" s="6223"/>
      <c r="D202" s="6308"/>
      <c r="E202" s="6676" t="s">
        <v>1364</v>
      </c>
      <c r="F202" s="6677"/>
      <c r="G202" s="6677"/>
      <c r="H202" s="6677"/>
      <c r="I202" s="6677"/>
      <c r="J202" s="6677"/>
      <c r="K202" s="6677"/>
      <c r="L202" s="6677"/>
      <c r="M202" s="6677"/>
      <c r="N202" s="6677"/>
      <c r="O202" s="6677"/>
      <c r="P202" s="6677"/>
      <c r="Q202" s="6677"/>
      <c r="R202" s="6677"/>
      <c r="S202" s="6677"/>
      <c r="T202" s="6677"/>
      <c r="U202" s="6677"/>
      <c r="V202" s="6677"/>
      <c r="W202" s="6677"/>
      <c r="X202" s="6677"/>
      <c r="Y202" s="6677"/>
      <c r="Z202" s="6677"/>
      <c r="AA202" s="6677"/>
      <c r="AB202" s="6677"/>
      <c r="AC202" s="6677"/>
      <c r="AD202" s="6677"/>
      <c r="AE202" s="6677"/>
      <c r="AF202" s="6677"/>
      <c r="AG202" s="6677"/>
      <c r="AH202" s="6677"/>
      <c r="AI202" s="6677"/>
      <c r="AJ202" s="6678"/>
      <c r="AK202" s="6671" t="s">
        <v>1552</v>
      </c>
      <c r="AL202" s="6243"/>
      <c r="AM202" s="6438" t="s">
        <v>34</v>
      </c>
      <c r="AN202" s="6183" t="s">
        <v>35</v>
      </c>
      <c r="BT202" s="1873"/>
      <c r="BU202" s="1873"/>
      <c r="BX202" s="1873"/>
      <c r="BY202" s="89"/>
    </row>
    <row r="203" spans="1:95" ht="20.25" customHeight="1" x14ac:dyDescent="0.25">
      <c r="A203" s="5771"/>
      <c r="B203" s="6482"/>
      <c r="C203" s="6481"/>
      <c r="D203" s="6645"/>
      <c r="E203" s="6436" t="s">
        <v>326</v>
      </c>
      <c r="F203" s="6183"/>
      <c r="G203" s="6436" t="s">
        <v>94</v>
      </c>
      <c r="H203" s="6183"/>
      <c r="I203" s="6436" t="s">
        <v>44</v>
      </c>
      <c r="J203" s="6183"/>
      <c r="K203" s="6436" t="s">
        <v>45</v>
      </c>
      <c r="L203" s="6183"/>
      <c r="M203" s="6437" t="s">
        <v>46</v>
      </c>
      <c r="N203" s="6180"/>
      <c r="O203" s="6437" t="s">
        <v>47</v>
      </c>
      <c r="P203" s="6180"/>
      <c r="Q203" s="6437" t="s">
        <v>48</v>
      </c>
      <c r="R203" s="6180"/>
      <c r="S203" s="6437" t="s">
        <v>49</v>
      </c>
      <c r="T203" s="6180"/>
      <c r="U203" s="6437" t="s">
        <v>50</v>
      </c>
      <c r="V203" s="6180"/>
      <c r="W203" s="6437" t="s">
        <v>51</v>
      </c>
      <c r="X203" s="6180"/>
      <c r="Y203" s="6437" t="s">
        <v>52</v>
      </c>
      <c r="Z203" s="6180"/>
      <c r="AA203" s="6437" t="s">
        <v>53</v>
      </c>
      <c r="AB203" s="6180"/>
      <c r="AC203" s="6437" t="s">
        <v>54</v>
      </c>
      <c r="AD203" s="6180"/>
      <c r="AE203" s="6437" t="s">
        <v>55</v>
      </c>
      <c r="AF203" s="6180"/>
      <c r="AG203" s="6437" t="s">
        <v>56</v>
      </c>
      <c r="AH203" s="6180"/>
      <c r="AI203" s="6437" t="s">
        <v>57</v>
      </c>
      <c r="AJ203" s="6675"/>
      <c r="AK203" s="6672"/>
      <c r="AL203" s="6468"/>
      <c r="AM203" s="6438"/>
      <c r="AN203" s="6183"/>
      <c r="BT203" s="1873"/>
      <c r="BU203" s="1873"/>
      <c r="BX203" s="1873"/>
      <c r="BY203" s="89"/>
    </row>
    <row r="204" spans="1:95" ht="20.25" customHeight="1" x14ac:dyDescent="0.25">
      <c r="A204" s="6465"/>
      <c r="B204" s="889" t="s">
        <v>79</v>
      </c>
      <c r="C204" s="3307" t="s">
        <v>58</v>
      </c>
      <c r="D204" s="584" t="s">
        <v>59</v>
      </c>
      <c r="E204" s="767" t="s">
        <v>461</v>
      </c>
      <c r="F204" s="469" t="s">
        <v>59</v>
      </c>
      <c r="G204" s="767" t="s">
        <v>461</v>
      </c>
      <c r="H204" s="469" t="s">
        <v>59</v>
      </c>
      <c r="I204" s="767" t="s">
        <v>461</v>
      </c>
      <c r="J204" s="469" t="s">
        <v>59</v>
      </c>
      <c r="K204" s="767" t="s">
        <v>461</v>
      </c>
      <c r="L204" s="469" t="s">
        <v>59</v>
      </c>
      <c r="M204" s="767" t="s">
        <v>461</v>
      </c>
      <c r="N204" s="465" t="s">
        <v>59</v>
      </c>
      <c r="O204" s="767" t="s">
        <v>461</v>
      </c>
      <c r="P204" s="465" t="s">
        <v>59</v>
      </c>
      <c r="Q204" s="767" t="s">
        <v>461</v>
      </c>
      <c r="R204" s="465" t="s">
        <v>59</v>
      </c>
      <c r="S204" s="767" t="s">
        <v>461</v>
      </c>
      <c r="T204" s="469" t="s">
        <v>59</v>
      </c>
      <c r="U204" s="767" t="s">
        <v>461</v>
      </c>
      <c r="V204" s="469" t="s">
        <v>59</v>
      </c>
      <c r="W204" s="3507" t="s">
        <v>461</v>
      </c>
      <c r="X204" s="469" t="s">
        <v>59</v>
      </c>
      <c r="Y204" s="3507" t="s">
        <v>461</v>
      </c>
      <c r="Z204" s="469" t="s">
        <v>59</v>
      </c>
      <c r="AA204" s="3507" t="s">
        <v>461</v>
      </c>
      <c r="AB204" s="469" t="s">
        <v>59</v>
      </c>
      <c r="AC204" s="3507" t="s">
        <v>461</v>
      </c>
      <c r="AD204" s="469" t="s">
        <v>59</v>
      </c>
      <c r="AE204" s="3507" t="s">
        <v>461</v>
      </c>
      <c r="AF204" s="469" t="s">
        <v>59</v>
      </c>
      <c r="AG204" s="3507" t="s">
        <v>461</v>
      </c>
      <c r="AH204" s="469" t="s">
        <v>59</v>
      </c>
      <c r="AI204" s="3507" t="s">
        <v>461</v>
      </c>
      <c r="AJ204" s="3490" t="s">
        <v>59</v>
      </c>
      <c r="AK204" s="3508" t="s">
        <v>462</v>
      </c>
      <c r="AL204" s="3508" t="s">
        <v>1553</v>
      </c>
      <c r="AM204" s="6438"/>
      <c r="AN204" s="6183"/>
      <c r="BT204" s="1873"/>
      <c r="BU204" s="1873"/>
      <c r="BX204" s="1873"/>
      <c r="BY204" s="89"/>
    </row>
    <row r="205" spans="1:95" ht="15" customHeight="1" x14ac:dyDescent="0.25">
      <c r="A205" s="3486" t="s">
        <v>1554</v>
      </c>
      <c r="B205" s="3509">
        <f>SUM(C205+D205)</f>
        <v>0</v>
      </c>
      <c r="C205" s="625">
        <f>E205+G205+I205+K205+M205+O205+Q205+S205+U205+W205+Y205+AA205+AC205+AE205+AG205+AI205</f>
        <v>0</v>
      </c>
      <c r="D205" s="3510">
        <f>F205+H205+J205+L205+N205+P205+R205+T205+V205+X205+Z205+AB205+AD205+AF205+AH205+AJ205</f>
        <v>0</v>
      </c>
      <c r="E205" s="3511"/>
      <c r="F205" s="912"/>
      <c r="G205" s="3511"/>
      <c r="H205" s="912"/>
      <c r="I205" s="3511"/>
      <c r="J205" s="912"/>
      <c r="K205" s="3511"/>
      <c r="L205" s="912"/>
      <c r="M205" s="3511"/>
      <c r="N205" s="3512"/>
      <c r="O205" s="3511"/>
      <c r="P205" s="3512"/>
      <c r="Q205" s="3511"/>
      <c r="R205" s="3512"/>
      <c r="S205" s="3511"/>
      <c r="T205" s="912"/>
      <c r="U205" s="3511"/>
      <c r="V205" s="912"/>
      <c r="W205" s="3511"/>
      <c r="X205" s="3512"/>
      <c r="Y205" s="3511"/>
      <c r="Z205" s="3512"/>
      <c r="AA205" s="3511"/>
      <c r="AB205" s="3512"/>
      <c r="AC205" s="3511"/>
      <c r="AD205" s="3512"/>
      <c r="AE205" s="3511"/>
      <c r="AF205" s="3512"/>
      <c r="AG205" s="3511"/>
      <c r="AH205" s="3512"/>
      <c r="AI205" s="3511"/>
      <c r="AJ205" s="3513"/>
      <c r="AK205" s="3512"/>
      <c r="AL205" s="3512"/>
      <c r="AM205" s="3511"/>
      <c r="AN205" s="3512"/>
      <c r="AO205" s="9" t="str">
        <f>CA205&amp;CB205&amp;CC205&amp;CD205</f>
        <v/>
      </c>
      <c r="BT205" s="1873"/>
      <c r="BU205" s="1873"/>
      <c r="BX205" s="1873"/>
      <c r="BY205" s="89"/>
      <c r="CA205" s="432" t="str">
        <f>IF(AND($D205&gt;0,AK205="")," * No olvide digitar la variable "&amp;AK$202&amp;""&amp;" Masculimo. Digite CERO si no tiene",IF(AK205&gt;$D205," * La variable "&amp;AK$202&amp;""&amp;" Masculino No puede ser mayor al Total Mujeres.",""))</f>
        <v/>
      </c>
      <c r="CB205" s="432" t="str">
        <f>IF(AND($C205&gt;0,AL205="")," * No olvide digitar la variable "&amp;AK$202&amp;""&amp;" Femenino. Digite CERO si no tiene",IF(AL205&gt;$C205," * La variable "&amp;AK$202&amp;""&amp;" Femenino No puede ser mayor al Total Hombres.",""))</f>
        <v/>
      </c>
      <c r="CC205" s="432" t="str">
        <f>IF(AND($B205&gt;0,AM205="")," * No olvide digitar la variable "&amp;AM$202&amp;""&amp;". Digite CERO si no tiene",IF(AM205&gt;$B205," * La variable "&amp;AM$202&amp;""&amp;" No puede ser mayor al Total.",""))</f>
        <v/>
      </c>
      <c r="CD205" s="432" t="str">
        <f>IF(AND($B205&gt;0,AN205="")," * No olvide digitar la variable "&amp;AN$202&amp;""&amp;". Digite CERO si no tiene",IF(AN205&gt;$B205," * La variable "&amp;AN$202&amp;""&amp;" No puede ser mayor al Total.",""))</f>
        <v/>
      </c>
      <c r="CM205" s="180">
        <f>IF(AND($D205&gt;0,AK205=""),1,IF(AK205&gt;$D205,1,0))</f>
        <v>0</v>
      </c>
      <c r="CN205" s="180">
        <f>IF(AND($C205&gt;0,AL205=""),1,IF(AL205&gt;$C205,1,0))</f>
        <v>0</v>
      </c>
      <c r="CO205" s="180">
        <f>IF(AND($B205&gt;0,AM205=""),1,IF(AM205&gt;$B205,1,0))</f>
        <v>0</v>
      </c>
      <c r="CP205" s="180">
        <f>IF(AND($B205&gt;0,AN205=""),1,IF(AN205&gt;$B205,1,0))</f>
        <v>0</v>
      </c>
    </row>
    <row r="206" spans="1:95" s="8" customFormat="1" ht="18" customHeight="1" x14ac:dyDescent="0.2">
      <c r="A206" s="1" t="s">
        <v>1555</v>
      </c>
      <c r="B206" s="1"/>
      <c r="BV206" s="5"/>
      <c r="BW206" s="5"/>
      <c r="BX206" s="5"/>
      <c r="BY206" s="5"/>
    </row>
    <row r="207" spans="1:95" ht="16.350000000000001" customHeight="1" x14ac:dyDescent="0.25">
      <c r="A207" s="6308" t="s">
        <v>1556</v>
      </c>
      <c r="B207" s="5944" t="s">
        <v>77</v>
      </c>
      <c r="C207" s="6242"/>
      <c r="D207" s="6243"/>
      <c r="E207" s="6679" t="s">
        <v>1557</v>
      </c>
      <c r="F207" s="6680"/>
      <c r="G207" s="6680"/>
      <c r="H207" s="6680"/>
      <c r="I207" s="6680"/>
      <c r="J207" s="6680"/>
      <c r="K207" s="6680"/>
      <c r="L207" s="6681"/>
      <c r="M207" s="6242" t="s">
        <v>1558</v>
      </c>
      <c r="N207" s="6250"/>
      <c r="O207" s="6243" t="s">
        <v>1559</v>
      </c>
      <c r="BX207" s="1873"/>
      <c r="BY207" s="1873"/>
    </row>
    <row r="208" spans="1:95" ht="16.350000000000001" customHeight="1" x14ac:dyDescent="0.25">
      <c r="A208" s="6063"/>
      <c r="B208" s="6466"/>
      <c r="C208" s="6467"/>
      <c r="D208" s="6468"/>
      <c r="E208" s="6436" t="s">
        <v>343</v>
      </c>
      <c r="F208" s="6183"/>
      <c r="G208" s="6436" t="s">
        <v>326</v>
      </c>
      <c r="H208" s="6183"/>
      <c r="I208" s="6436" t="s">
        <v>94</v>
      </c>
      <c r="J208" s="6183"/>
      <c r="K208" s="6436" t="s">
        <v>1560</v>
      </c>
      <c r="L208" s="6187"/>
      <c r="M208" s="6467"/>
      <c r="N208" s="6491"/>
      <c r="O208" s="5759"/>
    </row>
    <row r="209" spans="1:96" ht="16.350000000000001" customHeight="1" x14ac:dyDescent="0.25">
      <c r="A209" s="6063"/>
      <c r="B209" s="889" t="s">
        <v>79</v>
      </c>
      <c r="C209" s="491" t="s">
        <v>58</v>
      </c>
      <c r="D209" s="584" t="s">
        <v>59</v>
      </c>
      <c r="E209" s="767" t="s">
        <v>461</v>
      </c>
      <c r="F209" s="3317" t="s">
        <v>59</v>
      </c>
      <c r="G209" s="767" t="s">
        <v>461</v>
      </c>
      <c r="H209" s="3317" t="s">
        <v>59</v>
      </c>
      <c r="I209" s="1836" t="s">
        <v>461</v>
      </c>
      <c r="J209" s="1785" t="s">
        <v>59</v>
      </c>
      <c r="K209" s="767" t="s">
        <v>461</v>
      </c>
      <c r="L209" s="3514" t="s">
        <v>59</v>
      </c>
      <c r="M209" s="557" t="s">
        <v>1561</v>
      </c>
      <c r="N209" s="1831" t="s">
        <v>1562</v>
      </c>
      <c r="O209" s="6468"/>
    </row>
    <row r="210" spans="1:96" ht="16.350000000000001" customHeight="1" x14ac:dyDescent="0.25">
      <c r="A210" s="6645"/>
      <c r="B210" s="995">
        <f t="shared" ref="B210:B215" si="94">+C210+D210</f>
        <v>0</v>
      </c>
      <c r="C210" s="261">
        <f>+E210+G210+I210+K210</f>
        <v>0</v>
      </c>
      <c r="D210" s="3515">
        <f>+F210+H210+J210+L210</f>
        <v>0</v>
      </c>
      <c r="E210" s="3516">
        <f t="shared" ref="E210:O210" si="95">SUM(E211:E215)</f>
        <v>0</v>
      </c>
      <c r="F210" s="3517">
        <f t="shared" si="95"/>
        <v>0</v>
      </c>
      <c r="G210" s="3516">
        <f t="shared" si="95"/>
        <v>0</v>
      </c>
      <c r="H210" s="3517">
        <f t="shared" si="95"/>
        <v>0</v>
      </c>
      <c r="I210" s="3516">
        <f t="shared" si="95"/>
        <v>0</v>
      </c>
      <c r="J210" s="3518">
        <f t="shared" si="95"/>
        <v>0</v>
      </c>
      <c r="K210" s="3509">
        <f t="shared" si="95"/>
        <v>0</v>
      </c>
      <c r="L210" s="3519">
        <f t="shared" si="95"/>
        <v>0</v>
      </c>
      <c r="M210" s="3520">
        <f t="shared" si="95"/>
        <v>0</v>
      </c>
      <c r="N210" s="3517">
        <f t="shared" si="95"/>
        <v>0</v>
      </c>
      <c r="O210" s="3521">
        <f t="shared" si="95"/>
        <v>0</v>
      </c>
      <c r="P210" s="1873"/>
      <c r="Q210" s="1873"/>
      <c r="R210" s="1873"/>
      <c r="S210" s="1873"/>
      <c r="T210" s="1873"/>
      <c r="U210" s="1873"/>
      <c r="V210" s="1873"/>
      <c r="W210" s="1873"/>
      <c r="X210" s="1873"/>
      <c r="Y210" s="1873"/>
      <c r="Z210" s="1873"/>
      <c r="AA210" s="1873"/>
      <c r="AB210" s="1873"/>
      <c r="AC210" s="1873"/>
      <c r="AD210" s="1873"/>
      <c r="AE210" s="1873"/>
    </row>
    <row r="211" spans="1:96" ht="15" customHeight="1" x14ac:dyDescent="0.25">
      <c r="A211" s="3318" t="s">
        <v>1563</v>
      </c>
      <c r="B211" s="3522">
        <f t="shared" si="94"/>
        <v>0</v>
      </c>
      <c r="C211" s="1020">
        <f>+E211+G211+I211+K211</f>
        <v>0</v>
      </c>
      <c r="D211" s="621">
        <f>+F211+H211+J211+L211</f>
        <v>0</v>
      </c>
      <c r="E211" s="327"/>
      <c r="F211" s="142"/>
      <c r="G211" s="327"/>
      <c r="H211" s="142"/>
      <c r="I211" s="327"/>
      <c r="J211" s="905"/>
      <c r="K211" s="327"/>
      <c r="L211" s="1918"/>
      <c r="M211" s="44"/>
      <c r="N211" s="142"/>
      <c r="O211" s="2069"/>
      <c r="P211" s="3341" t="str">
        <f>CA211&amp;CB211&amp;CC211&amp;CD211</f>
        <v/>
      </c>
      <c r="Q211" s="3312"/>
      <c r="R211" s="3312"/>
      <c r="S211" s="3312"/>
      <c r="T211" s="3312"/>
      <c r="U211" s="3312"/>
      <c r="V211" s="3312"/>
      <c r="W211" s="3312"/>
      <c r="X211" s="3312"/>
      <c r="Y211" s="3312"/>
      <c r="Z211" s="3312"/>
      <c r="AA211" s="3312"/>
      <c r="AB211" s="1873"/>
      <c r="AC211" s="1873"/>
      <c r="AD211" s="1873"/>
      <c r="AE211" s="1873"/>
      <c r="CA211" s="432" t="str">
        <f>IF(AND($B211&gt;0,M211="")," * No olvide digitar la variable "&amp;M$207&amp;""&amp;" Única. Digite CERO si no tiene.","")</f>
        <v/>
      </c>
      <c r="CB211" s="432" t="str">
        <f>IF(AND($B211&gt;0,N211="")," * No olvide digitar la variable "&amp;M$207&amp;""&amp;" Múltiple. Digite CERO si no tiene.","")</f>
        <v/>
      </c>
      <c r="CC211" s="432" t="str">
        <f>IF(AND(M211+N211&gt;$B211)," * La variable "&amp;M$207&amp;""&amp;"  No puede ser mayor al Total.","")</f>
        <v/>
      </c>
      <c r="CD211" s="432" t="str">
        <f>IF(AND($B211&gt;0,O211="")," * No olvide digitar la variable "&amp;O$207&amp;""&amp;". Digite CERO si no tiene",IF(O211&gt;$B211," * La variable "&amp;O$207&amp;""&amp;" No puede ser mayor al Total.",""))</f>
        <v/>
      </c>
      <c r="CM211" s="180">
        <f>IF(AND($B211&gt;0,M211=""),1,0)</f>
        <v>0</v>
      </c>
      <c r="CN211" s="180">
        <f>IF(AND($B211&gt;0,N211=""),1,0)</f>
        <v>0</v>
      </c>
      <c r="CO211" s="180">
        <f>IF(AND(M211+N211&gt;$B211),1,0)</f>
        <v>0</v>
      </c>
      <c r="CP211" s="180">
        <f>IF(AND($B211&gt;0,O211=""),1,0)</f>
        <v>0</v>
      </c>
      <c r="CR211" s="8"/>
    </row>
    <row r="212" spans="1:96" ht="15" customHeight="1" x14ac:dyDescent="0.25">
      <c r="A212" s="361" t="s">
        <v>1564</v>
      </c>
      <c r="B212" s="3523">
        <f t="shared" si="94"/>
        <v>0</v>
      </c>
      <c r="C212" s="3524">
        <f t="shared" ref="C212:D215" si="96">+E212+G212+I212+K212</f>
        <v>0</v>
      </c>
      <c r="D212" s="345">
        <f t="shared" si="96"/>
        <v>0</v>
      </c>
      <c r="E212" s="329"/>
      <c r="F212" s="330"/>
      <c r="G212" s="329"/>
      <c r="H212" s="330"/>
      <c r="I212" s="329"/>
      <c r="J212" s="2003"/>
      <c r="K212" s="329"/>
      <c r="L212" s="2302"/>
      <c r="M212" s="2068"/>
      <c r="N212" s="330"/>
      <c r="O212" s="3525"/>
      <c r="P212" s="3341" t="str">
        <f t="shared" ref="P212:P215" si="97">CA212&amp;CB212&amp;CC212&amp;CD212</f>
        <v/>
      </c>
      <c r="Q212" s="3312"/>
      <c r="R212" s="3312"/>
      <c r="S212" s="3312"/>
      <c r="T212" s="3312"/>
      <c r="U212" s="3312"/>
      <c r="V212" s="3312"/>
      <c r="W212" s="3312"/>
      <c r="X212" s="3312"/>
      <c r="Y212" s="3312"/>
      <c r="Z212" s="3312"/>
      <c r="AA212" s="3312"/>
      <c r="AB212" s="1873"/>
      <c r="AC212" s="1873"/>
      <c r="AD212" s="1873"/>
      <c r="AE212" s="1873"/>
      <c r="CA212" s="432" t="str">
        <f t="shared" ref="CA212:CA215" si="98">IF(AND($B212&gt;0,M212="")," * No olvide digitar la variable "&amp;M$207&amp;""&amp;" Única. Digite CERO si no tiene.","")</f>
        <v/>
      </c>
      <c r="CB212" s="432" t="str">
        <f t="shared" ref="CB212:CB215" si="99">IF(AND($B212&gt;0,N212="")," * No olvide digitar la variable "&amp;M$207&amp;""&amp;" Múltiple. Digite CERO si no tiene.","")</f>
        <v/>
      </c>
      <c r="CC212" s="432" t="str">
        <f t="shared" ref="CC212:CC215" si="100">IF(AND(M212+N212&gt;$B212)," * La variable "&amp;M$207&amp;""&amp;"  No puede ser mayor al Total.","")</f>
        <v/>
      </c>
      <c r="CD212" s="432" t="str">
        <f t="shared" ref="CD212:CD215" si="101">IF(AND($B212&gt;0,O212="")," * No olvide digitar la variable "&amp;O$207&amp;""&amp;". Digite CERO si no tiene",IF(O212&gt;$B212," * La variable "&amp;O$207&amp;""&amp;" No puede ser mayor al Total.",""))</f>
        <v/>
      </c>
      <c r="CM212" s="180">
        <f t="shared" ref="CM212:CM215" si="102">IF(AND($B212&gt;0,M212=""),1,0)</f>
        <v>0</v>
      </c>
      <c r="CN212" s="180">
        <f t="shared" ref="CN212:CN215" si="103">IF(AND($B212&gt;0,N212=""),1,0)</f>
        <v>0</v>
      </c>
      <c r="CO212" s="180">
        <f t="shared" ref="CO212:CO215" si="104">IF(AND(M212+N212&gt;$B212),1,0)</f>
        <v>0</v>
      </c>
      <c r="CP212" s="180">
        <f t="shared" ref="CP212:CP215" si="105">IF(AND($B212&gt;0,O212=""),1,0)</f>
        <v>0</v>
      </c>
    </row>
    <row r="213" spans="1:96" ht="15" customHeight="1" x14ac:dyDescent="0.25">
      <c r="A213" s="361" t="s">
        <v>1565</v>
      </c>
      <c r="B213" s="3523">
        <f t="shared" si="94"/>
        <v>0</v>
      </c>
      <c r="C213" s="3524">
        <f t="shared" si="96"/>
        <v>0</v>
      </c>
      <c r="D213" s="345">
        <f t="shared" si="96"/>
        <v>0</v>
      </c>
      <c r="E213" s="329"/>
      <c r="F213" s="330"/>
      <c r="G213" s="329"/>
      <c r="H213" s="330"/>
      <c r="I213" s="329"/>
      <c r="J213" s="2003"/>
      <c r="K213" s="329"/>
      <c r="L213" s="2302"/>
      <c r="M213" s="2068"/>
      <c r="N213" s="330"/>
      <c r="O213" s="3525"/>
      <c r="P213" s="3341" t="str">
        <f t="shared" si="97"/>
        <v/>
      </c>
      <c r="Q213" s="3312"/>
      <c r="R213" s="3312"/>
      <c r="S213" s="3312"/>
      <c r="T213" s="3312"/>
      <c r="U213" s="3312"/>
      <c r="V213" s="3312"/>
      <c r="W213" s="3312"/>
      <c r="X213" s="3312"/>
      <c r="Y213" s="3312"/>
      <c r="Z213" s="3312"/>
      <c r="AA213" s="3312"/>
      <c r="AB213" s="1873"/>
      <c r="AC213" s="1873"/>
      <c r="AD213" s="1873"/>
      <c r="AE213" s="1873"/>
      <c r="CA213" s="432" t="str">
        <f t="shared" si="98"/>
        <v/>
      </c>
      <c r="CB213" s="432" t="str">
        <f t="shared" si="99"/>
        <v/>
      </c>
      <c r="CC213" s="432" t="str">
        <f t="shared" si="100"/>
        <v/>
      </c>
      <c r="CD213" s="432" t="str">
        <f t="shared" si="101"/>
        <v/>
      </c>
      <c r="CM213" s="180">
        <f t="shared" si="102"/>
        <v>0</v>
      </c>
      <c r="CN213" s="180">
        <f t="shared" si="103"/>
        <v>0</v>
      </c>
      <c r="CO213" s="180">
        <f t="shared" si="104"/>
        <v>0</v>
      </c>
      <c r="CP213" s="180">
        <f t="shared" si="105"/>
        <v>0</v>
      </c>
    </row>
    <row r="214" spans="1:96" ht="15" customHeight="1" x14ac:dyDescent="0.25">
      <c r="A214" s="361" t="s">
        <v>1566</v>
      </c>
      <c r="B214" s="3523">
        <f t="shared" si="94"/>
        <v>0</v>
      </c>
      <c r="C214" s="3524">
        <f t="shared" si="96"/>
        <v>0</v>
      </c>
      <c r="D214" s="345">
        <f t="shared" si="96"/>
        <v>0</v>
      </c>
      <c r="E214" s="212"/>
      <c r="F214" s="34"/>
      <c r="G214" s="212"/>
      <c r="H214" s="34"/>
      <c r="I214" s="212"/>
      <c r="J214" s="1161"/>
      <c r="K214" s="212"/>
      <c r="L214" s="3526"/>
      <c r="M214" s="1162"/>
      <c r="N214" s="34"/>
      <c r="O214" s="3527"/>
      <c r="P214" s="3341" t="str">
        <f t="shared" si="97"/>
        <v/>
      </c>
      <c r="Q214" s="3312"/>
      <c r="R214" s="3312"/>
      <c r="S214" s="3312"/>
      <c r="T214" s="3312"/>
      <c r="U214" s="3312"/>
      <c r="V214" s="3312"/>
      <c r="W214" s="3312"/>
      <c r="X214" s="3312"/>
      <c r="Y214" s="3312"/>
      <c r="Z214" s="3312"/>
      <c r="AA214" s="3312"/>
      <c r="AB214" s="1873"/>
      <c r="AC214" s="1873"/>
      <c r="AD214" s="1873"/>
      <c r="AE214" s="1873"/>
      <c r="CA214" s="432" t="str">
        <f t="shared" si="98"/>
        <v/>
      </c>
      <c r="CB214" s="432" t="str">
        <f t="shared" si="99"/>
        <v/>
      </c>
      <c r="CC214" s="432" t="str">
        <f t="shared" si="100"/>
        <v/>
      </c>
      <c r="CD214" s="432" t="str">
        <f t="shared" si="101"/>
        <v/>
      </c>
      <c r="CM214" s="180">
        <f t="shared" si="102"/>
        <v>0</v>
      </c>
      <c r="CN214" s="180">
        <f t="shared" si="103"/>
        <v>0</v>
      </c>
      <c r="CO214" s="180">
        <f t="shared" si="104"/>
        <v>0</v>
      </c>
      <c r="CP214" s="180">
        <f t="shared" si="105"/>
        <v>0</v>
      </c>
    </row>
    <row r="215" spans="1:96" ht="15" customHeight="1" x14ac:dyDescent="0.25">
      <c r="A215" s="893" t="s">
        <v>1567</v>
      </c>
      <c r="B215" s="1586">
        <f t="shared" si="94"/>
        <v>0</v>
      </c>
      <c r="C215" s="277">
        <f t="shared" si="96"/>
        <v>0</v>
      </c>
      <c r="D215" s="3429">
        <f t="shared" si="96"/>
        <v>0</v>
      </c>
      <c r="E215" s="876"/>
      <c r="F215" s="2009"/>
      <c r="G215" s="876"/>
      <c r="H215" s="2009"/>
      <c r="I215" s="876"/>
      <c r="J215" s="2009"/>
      <c r="K215" s="876"/>
      <c r="L215" s="1953"/>
      <c r="M215" s="1911"/>
      <c r="N215" s="2009"/>
      <c r="O215" s="2320"/>
      <c r="P215" s="3341" t="str">
        <f t="shared" si="97"/>
        <v/>
      </c>
      <c r="Q215" s="3312"/>
      <c r="R215" s="3312"/>
      <c r="S215" s="3312"/>
      <c r="T215" s="3312"/>
      <c r="U215" s="3312"/>
      <c r="V215" s="3312"/>
      <c r="W215" s="3312"/>
      <c r="X215" s="3312"/>
      <c r="Y215" s="3312"/>
      <c r="Z215" s="3312"/>
      <c r="AA215" s="3312"/>
      <c r="AB215" s="1873"/>
      <c r="AC215" s="1873"/>
      <c r="AD215" s="1873"/>
      <c r="AE215" s="1873"/>
      <c r="CA215" s="432" t="str">
        <f t="shared" si="98"/>
        <v/>
      </c>
      <c r="CB215" s="432" t="str">
        <f t="shared" si="99"/>
        <v/>
      </c>
      <c r="CC215" s="432" t="str">
        <f t="shared" si="100"/>
        <v/>
      </c>
      <c r="CD215" s="432" t="str">
        <f t="shared" si="101"/>
        <v/>
      </c>
      <c r="CM215" s="180">
        <f t="shared" si="102"/>
        <v>0</v>
      </c>
      <c r="CN215" s="180">
        <f t="shared" si="103"/>
        <v>0</v>
      </c>
      <c r="CO215" s="180">
        <f t="shared" si="104"/>
        <v>0</v>
      </c>
      <c r="CP215" s="180">
        <f t="shared" si="105"/>
        <v>0</v>
      </c>
    </row>
    <row r="232" spans="1:13" hidden="1" x14ac:dyDescent="0.25">
      <c r="A232" s="3528">
        <f>SUM(B12:B15,B20:B25,B41:B46,B67,B101,C106:C113,D116:D118,C123:C125,C129:C130,B135,C135,D136,E136,C141:C142,B158,C161:D161,C165:C166,C169:C174,C178:C183,B188:B191,C195:C196,B199:B200,B205,B210)</f>
        <v>0</v>
      </c>
      <c r="B232" s="3528" t="e">
        <f>SUM(#REF!)</f>
        <v>#REF!</v>
      </c>
      <c r="C232" s="3528"/>
      <c r="D232" s="3528"/>
      <c r="E232" s="3528"/>
      <c r="F232" s="3528"/>
      <c r="G232" s="3528"/>
      <c r="H232" s="3528"/>
      <c r="I232" s="3528"/>
      <c r="J232" s="3528"/>
      <c r="K232" s="3528"/>
      <c r="L232" s="3528"/>
      <c r="M232" s="3528"/>
    </row>
    <row r="248" spans="1:2" ht="14.4" hidden="1" x14ac:dyDescent="0.3">
      <c r="A248" s="3114">
        <f>SUM(B12:B15,B20:B26,B31:B36,B41:B46,B51:B56,B61:B66,B72:B77,B81:B100,C107:C113,D116:D118,C123:C125,C129:C131,C141:C142,B146:B157,C161:D161,C165:C166,C169:F174,C178:C183,B188:B191,C195:C196,B199:B200,B205,B211:B215)</f>
        <v>0</v>
      </c>
      <c r="B248" s="3115">
        <f>SUM(CM12:CS215)</f>
        <v>0</v>
      </c>
    </row>
  </sheetData>
  <sheetProtection algorithmName="SHA-512" hashValue="vun9J2B8kZpdlda9M5NSXZdkzWMqNUsDB7CayMNhWiifvXFXlvqrr+fNGFi3uupGSoD36BRvjfD24Sv8NqmjWg==" saltValue="Oc+/DrAq/59FhF3h3EmMWQ==" spinCount="100000" sheet="1" objects="1" scenarios="1"/>
  <mergeCells count="344">
    <mergeCell ref="A207:A210"/>
    <mergeCell ref="B207:D208"/>
    <mergeCell ref="E207:L207"/>
    <mergeCell ref="M207:N208"/>
    <mergeCell ref="O207:O209"/>
    <mergeCell ref="E208:F208"/>
    <mergeCell ref="G208:H208"/>
    <mergeCell ref="I208:J208"/>
    <mergeCell ref="K208:L208"/>
    <mergeCell ref="L193:M193"/>
    <mergeCell ref="AM202:AM204"/>
    <mergeCell ref="AN202:AN204"/>
    <mergeCell ref="E203:F203"/>
    <mergeCell ref="G203:H203"/>
    <mergeCell ref="I203:J203"/>
    <mergeCell ref="K203:L203"/>
    <mergeCell ref="M203:N203"/>
    <mergeCell ref="O203:P203"/>
    <mergeCell ref="Q203:R203"/>
    <mergeCell ref="S203:T203"/>
    <mergeCell ref="U203:V203"/>
    <mergeCell ref="W203:X203"/>
    <mergeCell ref="Y203:Z203"/>
    <mergeCell ref="AA203:AB203"/>
    <mergeCell ref="AC203:AD203"/>
    <mergeCell ref="AE203:AF203"/>
    <mergeCell ref="AG203:AH203"/>
    <mergeCell ref="AI203:AJ203"/>
    <mergeCell ref="E202:AJ202"/>
    <mergeCell ref="AI186:AJ186"/>
    <mergeCell ref="AK186:AL186"/>
    <mergeCell ref="AI193:AI194"/>
    <mergeCell ref="AJ193:AJ194"/>
    <mergeCell ref="AK193:AK194"/>
    <mergeCell ref="AL193:AL194"/>
    <mergeCell ref="AM193:AM194"/>
    <mergeCell ref="A195:A196"/>
    <mergeCell ref="A202:A204"/>
    <mergeCell ref="B202:D203"/>
    <mergeCell ref="AK202:AL203"/>
    <mergeCell ref="V193:V194"/>
    <mergeCell ref="W193:W194"/>
    <mergeCell ref="X193:X194"/>
    <mergeCell ref="Y193:Y194"/>
    <mergeCell ref="Z193:Z194"/>
    <mergeCell ref="AA193:AA194"/>
    <mergeCell ref="AB193:AE193"/>
    <mergeCell ref="AF193:AG193"/>
    <mergeCell ref="AH193:AH194"/>
    <mergeCell ref="C193:E193"/>
    <mergeCell ref="F193:G193"/>
    <mergeCell ref="H193:I193"/>
    <mergeCell ref="J193:K193"/>
    <mergeCell ref="A178:A180"/>
    <mergeCell ref="A181:A183"/>
    <mergeCell ref="N193:O193"/>
    <mergeCell ref="P193:Q193"/>
    <mergeCell ref="R193:S193"/>
    <mergeCell ref="T193:U193"/>
    <mergeCell ref="A185:A187"/>
    <mergeCell ref="B185:D186"/>
    <mergeCell ref="E185:AL185"/>
    <mergeCell ref="E186:F186"/>
    <mergeCell ref="G186:H186"/>
    <mergeCell ref="I186:J186"/>
    <mergeCell ref="K186:L186"/>
    <mergeCell ref="M186:N186"/>
    <mergeCell ref="O186:P186"/>
    <mergeCell ref="Q186:R186"/>
    <mergeCell ref="S186:T186"/>
    <mergeCell ref="U186:V186"/>
    <mergeCell ref="W186:X186"/>
    <mergeCell ref="Y186:Z186"/>
    <mergeCell ref="AA186:AB186"/>
    <mergeCell ref="AC186:AD186"/>
    <mergeCell ref="AE186:AF186"/>
    <mergeCell ref="AG186:AH186"/>
    <mergeCell ref="A160:B160"/>
    <mergeCell ref="A163:B164"/>
    <mergeCell ref="C163:E163"/>
    <mergeCell ref="F163:F164"/>
    <mergeCell ref="G163:I163"/>
    <mergeCell ref="J163:L163"/>
    <mergeCell ref="A169:A170"/>
    <mergeCell ref="A172:A174"/>
    <mergeCell ref="A176:B177"/>
    <mergeCell ref="C176:E176"/>
    <mergeCell ref="F176:F177"/>
    <mergeCell ref="G176:G177"/>
    <mergeCell ref="H176:H177"/>
    <mergeCell ref="AE127:AE128"/>
    <mergeCell ref="AF127:AF128"/>
    <mergeCell ref="AG127:AG128"/>
    <mergeCell ref="A139:B140"/>
    <mergeCell ref="C139:C140"/>
    <mergeCell ref="D139:I139"/>
    <mergeCell ref="J139:J140"/>
    <mergeCell ref="A141:A142"/>
    <mergeCell ref="A144:A145"/>
    <mergeCell ref="B144:B145"/>
    <mergeCell ref="A133:A134"/>
    <mergeCell ref="B133:E133"/>
    <mergeCell ref="F133:G133"/>
    <mergeCell ref="P127:Q127"/>
    <mergeCell ref="R127:S127"/>
    <mergeCell ref="T127:U127"/>
    <mergeCell ref="V127:W127"/>
    <mergeCell ref="X127:Y127"/>
    <mergeCell ref="Z127:AD127"/>
    <mergeCell ref="AN120:AN122"/>
    <mergeCell ref="H121:I121"/>
    <mergeCell ref="J121:K121"/>
    <mergeCell ref="L121:M121"/>
    <mergeCell ref="N121:O121"/>
    <mergeCell ref="P121:Q121"/>
    <mergeCell ref="R121:S121"/>
    <mergeCell ref="T121:U121"/>
    <mergeCell ref="V121:W121"/>
    <mergeCell ref="X121:Y121"/>
    <mergeCell ref="Z121:AA121"/>
    <mergeCell ref="AB121:AC121"/>
    <mergeCell ref="AD121:AE121"/>
    <mergeCell ref="AF121:AG121"/>
    <mergeCell ref="AH121:AI121"/>
    <mergeCell ref="AJ121:AK121"/>
    <mergeCell ref="AL121:AM121"/>
    <mergeCell ref="AN103:AN105"/>
    <mergeCell ref="AO103:AO105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AD104:AE104"/>
    <mergeCell ref="AF104:AG104"/>
    <mergeCell ref="AH104:AI104"/>
    <mergeCell ref="AJ104:AK104"/>
    <mergeCell ref="AL104:AM104"/>
    <mergeCell ref="A69:A71"/>
    <mergeCell ref="B69:D70"/>
    <mergeCell ref="E69:AL69"/>
    <mergeCell ref="E70:F70"/>
    <mergeCell ref="G70:H70"/>
    <mergeCell ref="I70:J70"/>
    <mergeCell ref="K70:L70"/>
    <mergeCell ref="M70:N70"/>
    <mergeCell ref="O70:P70"/>
    <mergeCell ref="Q70:R70"/>
    <mergeCell ref="S70:T70"/>
    <mergeCell ref="U70:V70"/>
    <mergeCell ref="W70:X70"/>
    <mergeCell ref="Y70:Z70"/>
    <mergeCell ref="AA70:AB70"/>
    <mergeCell ref="AC70:AD70"/>
    <mergeCell ref="AE70:AF70"/>
    <mergeCell ref="AG70:AH70"/>
    <mergeCell ref="AI70:AJ70"/>
    <mergeCell ref="AK70:AL70"/>
    <mergeCell ref="AR17:AR19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193:B194"/>
    <mergeCell ref="A165:A166"/>
    <mergeCell ref="A168:B168"/>
    <mergeCell ref="A120:B122"/>
    <mergeCell ref="C120:E121"/>
    <mergeCell ref="F120:AM120"/>
    <mergeCell ref="A123:B123"/>
    <mergeCell ref="A124:B124"/>
    <mergeCell ref="A125:B125"/>
    <mergeCell ref="A127:B128"/>
    <mergeCell ref="C127:E127"/>
    <mergeCell ref="F127:G127"/>
    <mergeCell ref="H127:I127"/>
    <mergeCell ref="J127:K127"/>
    <mergeCell ref="L127:M127"/>
    <mergeCell ref="N127:O127"/>
    <mergeCell ref="F121:G121"/>
    <mergeCell ref="AH127:AH128"/>
    <mergeCell ref="AI127:AI128"/>
    <mergeCell ref="AJ127:AJ128"/>
    <mergeCell ref="AK127:AK128"/>
    <mergeCell ref="A129:B129"/>
    <mergeCell ref="A130:B130"/>
    <mergeCell ref="A131:B131"/>
    <mergeCell ref="A116:B118"/>
    <mergeCell ref="A119:K119"/>
    <mergeCell ref="A113:B113"/>
    <mergeCell ref="A112:B112"/>
    <mergeCell ref="A110:B110"/>
    <mergeCell ref="A111:B111"/>
    <mergeCell ref="A115:C115"/>
    <mergeCell ref="A103:B105"/>
    <mergeCell ref="C103:E104"/>
    <mergeCell ref="F103:AM103"/>
    <mergeCell ref="A106:B106"/>
    <mergeCell ref="A107:A109"/>
    <mergeCell ref="S59:T59"/>
    <mergeCell ref="U59:V59"/>
    <mergeCell ref="W59:X59"/>
    <mergeCell ref="Y59:Z59"/>
    <mergeCell ref="AA59:AB59"/>
    <mergeCell ref="A58:A60"/>
    <mergeCell ref="B58:D59"/>
    <mergeCell ref="E58:AL58"/>
    <mergeCell ref="AK59:AL59"/>
    <mergeCell ref="AM58:AN59"/>
    <mergeCell ref="E59:F59"/>
    <mergeCell ref="G59:H59"/>
    <mergeCell ref="I59:J59"/>
    <mergeCell ref="K59:L59"/>
    <mergeCell ref="M59:N59"/>
    <mergeCell ref="O59:P59"/>
    <mergeCell ref="AA49:AB49"/>
    <mergeCell ref="AC49:AD49"/>
    <mergeCell ref="AE49:AF49"/>
    <mergeCell ref="AG49:AH49"/>
    <mergeCell ref="AI49:AJ49"/>
    <mergeCell ref="AK49:AL49"/>
    <mergeCell ref="O49:P49"/>
    <mergeCell ref="Q49:R49"/>
    <mergeCell ref="S49:T49"/>
    <mergeCell ref="U49:V49"/>
    <mergeCell ref="W49:X49"/>
    <mergeCell ref="Y49:Z49"/>
    <mergeCell ref="AC59:AD59"/>
    <mergeCell ref="AE59:AF59"/>
    <mergeCell ref="AG59:AH59"/>
    <mergeCell ref="AI59:AJ59"/>
    <mergeCell ref="Q59:R59"/>
    <mergeCell ref="A48:A50"/>
    <mergeCell ref="B48:D49"/>
    <mergeCell ref="E48:AL48"/>
    <mergeCell ref="AM48:AM50"/>
    <mergeCell ref="AN48:AN50"/>
    <mergeCell ref="E49:F49"/>
    <mergeCell ref="G49:H49"/>
    <mergeCell ref="I49:J49"/>
    <mergeCell ref="K49:L49"/>
    <mergeCell ref="M49:N49"/>
    <mergeCell ref="A38:A40"/>
    <mergeCell ref="B38:D39"/>
    <mergeCell ref="E38:AL38"/>
    <mergeCell ref="AM38:AM40"/>
    <mergeCell ref="AN38:AN40"/>
    <mergeCell ref="E39:F39"/>
    <mergeCell ref="G39:H39"/>
    <mergeCell ref="I39:J39"/>
    <mergeCell ref="K39:L39"/>
    <mergeCell ref="M39:N39"/>
    <mergeCell ref="AA39:AB39"/>
    <mergeCell ref="AC39:AD39"/>
    <mergeCell ref="AE39:AF39"/>
    <mergeCell ref="AG39:AH39"/>
    <mergeCell ref="AI39:AJ39"/>
    <mergeCell ref="AK39:AL39"/>
    <mergeCell ref="O39:P39"/>
    <mergeCell ref="Q39:R39"/>
    <mergeCell ref="S39:T39"/>
    <mergeCell ref="U39:V39"/>
    <mergeCell ref="W39:X39"/>
    <mergeCell ref="Y39:Z39"/>
    <mergeCell ref="A28:A30"/>
    <mergeCell ref="B28:D29"/>
    <mergeCell ref="E28:AL28"/>
    <mergeCell ref="AM28:AM30"/>
    <mergeCell ref="AN28:AN30"/>
    <mergeCell ref="E29:F29"/>
    <mergeCell ref="G29:H29"/>
    <mergeCell ref="I29:J29"/>
    <mergeCell ref="K29:L29"/>
    <mergeCell ref="M29:N29"/>
    <mergeCell ref="AA29:AB29"/>
    <mergeCell ref="AC29:AD29"/>
    <mergeCell ref="AE29:AF29"/>
    <mergeCell ref="AG29:AH29"/>
    <mergeCell ref="AI29:AJ29"/>
    <mergeCell ref="AK29:AL29"/>
    <mergeCell ref="O29:P29"/>
    <mergeCell ref="Q29:R29"/>
    <mergeCell ref="S29:T29"/>
    <mergeCell ref="U29:V29"/>
    <mergeCell ref="W29:X29"/>
    <mergeCell ref="Y29:Z29"/>
    <mergeCell ref="A27:H27"/>
    <mergeCell ref="A17:A19"/>
    <mergeCell ref="B17:D18"/>
    <mergeCell ref="E17:AL17"/>
    <mergeCell ref="AM9:AM11"/>
    <mergeCell ref="AN9:AQ9"/>
    <mergeCell ref="AC10:AD10"/>
    <mergeCell ref="AE10:AF10"/>
    <mergeCell ref="AG10:AH10"/>
    <mergeCell ref="AI10:AJ10"/>
    <mergeCell ref="AK10:AL10"/>
    <mergeCell ref="AN10:AN11"/>
    <mergeCell ref="AO10:AO11"/>
    <mergeCell ref="AM17:AM19"/>
    <mergeCell ref="AN17:AN19"/>
    <mergeCell ref="AO17:AO19"/>
    <mergeCell ref="AP17:AP19"/>
    <mergeCell ref="AQ17:AQ19"/>
    <mergeCell ref="AR9:AR11"/>
    <mergeCell ref="AS9:AS11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A6:O6"/>
    <mergeCell ref="A9:A11"/>
    <mergeCell ref="B9:D10"/>
    <mergeCell ref="E9:AL9"/>
    <mergeCell ref="W10:X10"/>
    <mergeCell ref="Y10:Z10"/>
    <mergeCell ref="AA10:AB10"/>
    <mergeCell ref="AP10:AP11"/>
    <mergeCell ref="AQ10:AQ11"/>
  </mergeCells>
  <dataValidations count="9">
    <dataValidation type="whole" operator="greaterThanOrEqual" allowBlank="1" showInputMessage="1" showErrorMessage="1" errorTitle="Error" error="Favor Ingrese sólo Números." sqref="E211:O215 E72:AL77 F129:AK131 F123:AN125 D165:L166 F195:AM196 C161:D161 E205:AN205 C81:E100 E43:AM46 AO27:AO30 D116:D118 D178:H183 D141:J142 B146:B157 AP27:AP36 AN41:AN46 AN51:AN56 E53:AM56" xr:uid="{06C3B37C-2123-4342-8B6F-B599B47A1EBD}">
      <formula1>0</formula1>
    </dataValidation>
    <dataValidation type="whole" allowBlank="1" showInputMessage="1" showErrorMessage="1" sqref="E12:AS15 E20:AR26 E31:AM32 E41:AM42 E51:AM52" xr:uid="{F9E0FC18-384A-4619-91A3-35F558B25C30}">
      <formula1>0</formula1>
      <formula2>9.99999999999999E+40</formula2>
    </dataValidation>
    <dataValidation type="whole" allowBlank="1" showInputMessage="1" showErrorMessage="1" sqref="C199:D200 AN31:AN36 E33:AM36" xr:uid="{CC2E5394-F564-4269-AB5A-97EC4FB2C8F9}">
      <formula1>0</formula1>
      <formula2>9.99999999999999E+41</formula2>
    </dataValidation>
    <dataValidation type="whole" allowBlank="1" showInputMessage="1" showErrorMessage="1" sqref="E61:AN66" xr:uid="{485888A8-DE30-4B4C-9CFF-51697648D8C4}">
      <formula1>0</formula1>
      <formula2>9.99999999999999E+46</formula2>
    </dataValidation>
    <dataValidation type="whole" allowBlank="1" showInputMessage="1" showErrorMessage="1" sqref="F107:AO113" xr:uid="{5E416A39-7CA9-417B-AB10-841A66482361}">
      <formula1>0</formula1>
      <formula2>9.99999999999999E+33</formula2>
    </dataValidation>
    <dataValidation type="whole" allowBlank="1" showInputMessage="1" showErrorMessage="1" sqref="B135:G137" xr:uid="{01063305-AE40-4863-B87A-942BAB5DFED5}">
      <formula1>0</formula1>
      <formula2>9.99999999999999E+32</formula2>
    </dataValidation>
    <dataValidation type="whole" allowBlank="1" showInputMessage="1" showErrorMessage="1" sqref="C169:F174" xr:uid="{12F180FE-B742-4C4C-AE63-8FA088092320}">
      <formula1>0</formula1>
      <formula2>9.99999999999999E+35</formula2>
    </dataValidation>
    <dataValidation type="whole" allowBlank="1" showInputMessage="1" showErrorMessage="1" sqref="E188:AL191" xr:uid="{435FDD08-3BE0-48A1-A21F-5A09ED98D333}">
      <formula1>0</formula1>
      <formula2>9.99999999999999E+37</formula2>
    </dataValidation>
    <dataValidation operator="greaterThanOrEqual" allowBlank="1" showInputMessage="1" showErrorMessage="1" errorTitle="Error" error="Favor Ingrese sólo Números." sqref="AO31:AO36" xr:uid="{CE41BE44-D2EA-4209-8F56-FBFE7BFF6AB2}"/>
  </dataValidation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EI384"/>
  <sheetViews>
    <sheetView showGridLines="0" zoomScaleNormal="100" workbookViewId="0"/>
  </sheetViews>
  <sheetFormatPr baseColWidth="10" defaultColWidth="11.44140625" defaultRowHeight="14.4" x14ac:dyDescent="0.3"/>
  <cols>
    <col min="1" max="1" width="38.5546875" customWidth="1"/>
    <col min="2" max="2" width="27.33203125" customWidth="1"/>
    <col min="3" max="3" width="33.6640625" customWidth="1"/>
    <col min="4" max="4" width="14.109375" customWidth="1"/>
    <col min="5" max="6" width="13.33203125" customWidth="1"/>
    <col min="7" max="7" width="14.44140625" customWidth="1"/>
    <col min="8" max="8" width="13.33203125" customWidth="1"/>
    <col min="9" max="11" width="14.6640625" customWidth="1"/>
    <col min="13" max="40" width="11.44140625" customWidth="1"/>
    <col min="41" max="41" width="12.44140625" customWidth="1"/>
    <col min="42" max="42" width="12.109375" customWidth="1"/>
    <col min="43" max="43" width="13.6640625" customWidth="1"/>
    <col min="44" max="44" width="13.33203125" customWidth="1"/>
    <col min="45" max="45" width="14.33203125" customWidth="1"/>
    <col min="46" max="46" width="11.88671875" customWidth="1"/>
    <col min="47" max="47" width="12" customWidth="1"/>
    <col min="48" max="48" width="16.109375" customWidth="1"/>
    <col min="49" max="50" width="13.109375" customWidth="1"/>
    <col min="51" max="76" width="11.44140625" customWidth="1"/>
    <col min="77" max="78" width="11.44140625" hidden="1" customWidth="1"/>
    <col min="79" max="104" width="11.44140625" style="25" hidden="1" customWidth="1"/>
    <col min="105" max="107" width="11.44140625" hidden="1" customWidth="1"/>
    <col min="108" max="121" width="11.44140625" customWidth="1"/>
    <col min="130" max="130" width="10.109375" customWidth="1"/>
    <col min="136" max="169" width="11.44140625" customWidth="1"/>
  </cols>
  <sheetData>
    <row r="1" spans="1:139" x14ac:dyDescent="0.3">
      <c r="A1" s="50" t="s">
        <v>23</v>
      </c>
    </row>
    <row r="2" spans="1:139" x14ac:dyDescent="0.3">
      <c r="A2" s="50" t="str">
        <f>CONCATENATE("COMUNA: ",NOMBRE!B2, " (",NOMBRE!C2,NOMBRE!D2,NOMBRE!E2,NOMBRE!F2,NOMBRE!G2,")")</f>
        <v>COMUNA:  ()</v>
      </c>
    </row>
    <row r="3" spans="1:139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139" x14ac:dyDescent="0.3">
      <c r="A4" s="50" t="str">
        <f>CONCATENATE("MES: ",NOMBRE!B6, " (",NOMBRE!C6,NOMBRE!D6,")")</f>
        <v>MES:  ()</v>
      </c>
    </row>
    <row r="5" spans="1:139" x14ac:dyDescent="0.3">
      <c r="A5" s="50" t="str">
        <f>CONCATENATE("AÑO: ",NOMBRE!B7)</f>
        <v>AÑO: 2025</v>
      </c>
    </row>
    <row r="6" spans="1:139" s="88" customFormat="1" ht="18" customHeight="1" x14ac:dyDescent="0.3">
      <c r="A6" s="6115" t="s">
        <v>1568</v>
      </c>
      <c r="B6" s="6115"/>
      <c r="C6" s="6115"/>
      <c r="D6" s="6115"/>
      <c r="E6" s="6115"/>
      <c r="F6" s="6115"/>
      <c r="G6" s="6115"/>
      <c r="H6" s="6115"/>
      <c r="I6" s="6115"/>
      <c r="J6" s="6115"/>
      <c r="K6" s="6115"/>
      <c r="L6" s="6115"/>
      <c r="M6" s="6115"/>
      <c r="N6" s="6115"/>
      <c r="O6" s="6115"/>
      <c r="P6" s="6115"/>
      <c r="Q6" s="3529"/>
      <c r="R6" s="3529"/>
      <c r="S6" s="3529"/>
      <c r="T6" s="3529"/>
      <c r="U6" s="3529"/>
      <c r="V6" s="3529"/>
      <c r="W6" s="3529"/>
      <c r="X6" s="3529"/>
      <c r="Y6" s="3529"/>
      <c r="Z6" s="3529"/>
      <c r="AA6" s="3529"/>
      <c r="AB6" s="3529"/>
      <c r="AC6" s="3529"/>
      <c r="AD6" s="3529"/>
      <c r="AE6" s="3529"/>
      <c r="AF6" s="3529"/>
      <c r="AG6" s="3529"/>
      <c r="AH6" s="3529"/>
      <c r="AI6" s="3529"/>
      <c r="AJ6" s="3529"/>
      <c r="AK6" s="3529"/>
      <c r="AL6" s="3529"/>
      <c r="AM6" s="3529"/>
      <c r="AN6" s="3529"/>
      <c r="AO6" s="3529"/>
      <c r="AP6" s="3529"/>
      <c r="AQ6" s="3529"/>
      <c r="AR6" s="3529"/>
      <c r="AS6" s="3529"/>
      <c r="AT6" s="3529"/>
      <c r="AU6" s="3529"/>
      <c r="AV6" s="3529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 s="6685"/>
      <c r="DS6" s="6685"/>
      <c r="DT6" s="6685"/>
      <c r="DU6" s="6685"/>
      <c r="DV6" s="6685"/>
      <c r="DW6" s="6685"/>
      <c r="DX6" s="6685"/>
      <c r="DY6" s="6685"/>
      <c r="DZ6" s="6685"/>
      <c r="EA6" s="6685"/>
      <c r="EB6" s="6685"/>
      <c r="EC6" s="6685"/>
      <c r="ED6" s="6685"/>
      <c r="EE6" s="6685"/>
      <c r="EF6" s="6685"/>
      <c r="EG6" s="6685"/>
      <c r="EH6" s="6685"/>
      <c r="EI6" s="6685"/>
    </row>
    <row r="8" spans="1:139" ht="18" customHeight="1" x14ac:dyDescent="0.3">
      <c r="A8" s="13" t="s">
        <v>4340</v>
      </c>
      <c r="B8" s="3530"/>
      <c r="C8" s="3530"/>
      <c r="D8" s="3531"/>
      <c r="E8" s="3531"/>
      <c r="F8" s="3532"/>
      <c r="G8" s="88"/>
      <c r="H8" s="3532"/>
      <c r="I8" s="3532"/>
      <c r="J8" s="3532"/>
      <c r="K8" s="3532"/>
      <c r="L8" s="3532"/>
      <c r="M8" s="3532"/>
      <c r="N8" s="3532"/>
      <c r="O8" s="3532"/>
      <c r="P8" s="88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873"/>
      <c r="AI8" s="1873"/>
      <c r="AJ8" s="1873"/>
      <c r="AK8" s="1873"/>
      <c r="AL8" s="1873"/>
      <c r="AM8" s="1873"/>
      <c r="AN8" s="1873"/>
      <c r="AO8" s="1873"/>
      <c r="AP8" s="1873"/>
      <c r="AQ8" s="1873"/>
      <c r="AR8" s="1873"/>
      <c r="AS8" s="1873"/>
      <c r="AT8" s="1873"/>
      <c r="AU8" s="1873"/>
      <c r="AV8" s="1873"/>
      <c r="AW8" s="1873"/>
      <c r="AX8" s="9"/>
    </row>
    <row r="9" spans="1:139" ht="15" customHeight="1" x14ac:dyDescent="0.3">
      <c r="A9" s="6223" t="s">
        <v>1569</v>
      </c>
      <c r="B9" s="6223"/>
      <c r="C9" s="6308"/>
      <c r="D9" s="6242" t="s">
        <v>77</v>
      </c>
      <c r="E9" s="6242"/>
      <c r="F9" s="6243"/>
      <c r="G9" s="6688" t="s">
        <v>101</v>
      </c>
      <c r="H9" s="6247"/>
      <c r="I9" s="6247"/>
      <c r="J9" s="6247"/>
      <c r="K9" s="6247"/>
      <c r="L9" s="6247"/>
      <c r="M9" s="6247"/>
      <c r="N9" s="6247"/>
      <c r="O9" s="6247"/>
      <c r="P9" s="6247"/>
      <c r="Q9" s="6247"/>
      <c r="R9" s="6247"/>
      <c r="S9" s="6247"/>
      <c r="T9" s="6247"/>
      <c r="U9" s="6247"/>
      <c r="V9" s="6247"/>
      <c r="W9" s="6247"/>
      <c r="X9" s="6247"/>
      <c r="Y9" s="6247"/>
      <c r="Z9" s="6247"/>
      <c r="AA9" s="6247"/>
      <c r="AB9" s="6247"/>
      <c r="AC9" s="6247"/>
      <c r="AD9" s="6247"/>
      <c r="AE9" s="6247"/>
      <c r="AF9" s="6247"/>
      <c r="AG9" s="6247"/>
      <c r="AH9" s="6247"/>
      <c r="AI9" s="6247"/>
      <c r="AJ9" s="6247"/>
      <c r="AK9" s="6247"/>
      <c r="AL9" s="6247"/>
      <c r="AM9" s="6247"/>
      <c r="AN9" s="6247"/>
      <c r="AO9" s="6247"/>
      <c r="AP9" s="6689"/>
      <c r="AQ9" s="6249" t="s">
        <v>1570</v>
      </c>
      <c r="AR9" s="6377" t="s">
        <v>1571</v>
      </c>
      <c r="AS9" s="6377" t="s">
        <v>1572</v>
      </c>
      <c r="AT9" s="6377" t="s">
        <v>1573</v>
      </c>
      <c r="AU9" s="6377" t="s">
        <v>37</v>
      </c>
      <c r="AV9" s="6690" t="s">
        <v>1574</v>
      </c>
      <c r="AW9" s="6377" t="s">
        <v>1575</v>
      </c>
      <c r="AX9" s="6243" t="s">
        <v>1576</v>
      </c>
    </row>
    <row r="10" spans="1:139" ht="15" customHeight="1" x14ac:dyDescent="0.3">
      <c r="A10" s="6686"/>
      <c r="B10" s="6686"/>
      <c r="C10" s="6063"/>
      <c r="D10" s="6467"/>
      <c r="E10" s="6467"/>
      <c r="F10" s="6687"/>
      <c r="G10" s="6679" t="s">
        <v>474</v>
      </c>
      <c r="H10" s="6693"/>
      <c r="I10" s="6688" t="s">
        <v>380</v>
      </c>
      <c r="J10" s="6277"/>
      <c r="K10" s="6247" t="s">
        <v>381</v>
      </c>
      <c r="L10" s="6277"/>
      <c r="M10" s="6688" t="s">
        <v>1577</v>
      </c>
      <c r="N10" s="6277"/>
      <c r="O10" s="6688" t="s">
        <v>383</v>
      </c>
      <c r="P10" s="6277"/>
      <c r="Q10" s="6688" t="s">
        <v>384</v>
      </c>
      <c r="R10" s="6277"/>
      <c r="S10" s="6688" t="s">
        <v>385</v>
      </c>
      <c r="T10" s="6277"/>
      <c r="U10" s="6688" t="s">
        <v>386</v>
      </c>
      <c r="V10" s="6277"/>
      <c r="W10" s="6688" t="s">
        <v>1578</v>
      </c>
      <c r="X10" s="6277"/>
      <c r="Y10" s="6688" t="s">
        <v>303</v>
      </c>
      <c r="Z10" s="6694"/>
      <c r="AA10" s="6688" t="s">
        <v>304</v>
      </c>
      <c r="AB10" s="6694"/>
      <c r="AC10" s="6688" t="s">
        <v>1579</v>
      </c>
      <c r="AD10" s="6694"/>
      <c r="AE10" s="6688" t="s">
        <v>1580</v>
      </c>
      <c r="AF10" s="6694"/>
      <c r="AG10" s="6688" t="s">
        <v>1581</v>
      </c>
      <c r="AH10" s="6694"/>
      <c r="AI10" s="6688" t="s">
        <v>1582</v>
      </c>
      <c r="AJ10" s="6694"/>
      <c r="AK10" s="6688" t="s">
        <v>1583</v>
      </c>
      <c r="AL10" s="6694"/>
      <c r="AM10" s="6688" t="s">
        <v>1584</v>
      </c>
      <c r="AN10" s="6694"/>
      <c r="AO10" s="6688" t="s">
        <v>938</v>
      </c>
      <c r="AP10" s="6675"/>
      <c r="AQ10" s="5766"/>
      <c r="AR10" s="6118"/>
      <c r="AS10" s="6118"/>
      <c r="AT10" s="6118"/>
      <c r="AU10" s="6118"/>
      <c r="AV10" s="6691"/>
      <c r="AW10" s="6118"/>
      <c r="AX10" s="5759"/>
    </row>
    <row r="11" spans="1:139" x14ac:dyDescent="0.3">
      <c r="A11" s="6481"/>
      <c r="B11" s="6481"/>
      <c r="C11" s="6645"/>
      <c r="D11" s="3535" t="s">
        <v>79</v>
      </c>
      <c r="E11" s="3536" t="s">
        <v>58</v>
      </c>
      <c r="F11" s="605" t="s">
        <v>59</v>
      </c>
      <c r="G11" s="3488" t="s">
        <v>58</v>
      </c>
      <c r="H11" s="605" t="s">
        <v>59</v>
      </c>
      <c r="I11" s="3488" t="s">
        <v>58</v>
      </c>
      <c r="J11" s="605" t="s">
        <v>59</v>
      </c>
      <c r="K11" s="3488" t="s">
        <v>58</v>
      </c>
      <c r="L11" s="605" t="s">
        <v>59</v>
      </c>
      <c r="M11" s="3488" t="s">
        <v>58</v>
      </c>
      <c r="N11" s="605" t="s">
        <v>59</v>
      </c>
      <c r="O11" s="3488" t="s">
        <v>58</v>
      </c>
      <c r="P11" s="605" t="s">
        <v>59</v>
      </c>
      <c r="Q11" s="3488" t="s">
        <v>58</v>
      </c>
      <c r="R11" s="605" t="s">
        <v>59</v>
      </c>
      <c r="S11" s="3488" t="s">
        <v>58</v>
      </c>
      <c r="T11" s="605" t="s">
        <v>59</v>
      </c>
      <c r="U11" s="3488" t="s">
        <v>58</v>
      </c>
      <c r="V11" s="605" t="s">
        <v>59</v>
      </c>
      <c r="W11" s="3488" t="s">
        <v>58</v>
      </c>
      <c r="X11" s="605" t="s">
        <v>59</v>
      </c>
      <c r="Y11" s="3488" t="s">
        <v>58</v>
      </c>
      <c r="Z11" s="605" t="s">
        <v>59</v>
      </c>
      <c r="AA11" s="3488" t="s">
        <v>58</v>
      </c>
      <c r="AB11" s="605" t="s">
        <v>59</v>
      </c>
      <c r="AC11" s="3488" t="s">
        <v>58</v>
      </c>
      <c r="AD11" s="605" t="s">
        <v>59</v>
      </c>
      <c r="AE11" s="3488" t="s">
        <v>58</v>
      </c>
      <c r="AF11" s="605" t="s">
        <v>59</v>
      </c>
      <c r="AG11" s="3488" t="s">
        <v>58</v>
      </c>
      <c r="AH11" s="605" t="s">
        <v>59</v>
      </c>
      <c r="AI11" s="3488" t="s">
        <v>58</v>
      </c>
      <c r="AJ11" s="605" t="s">
        <v>59</v>
      </c>
      <c r="AK11" s="3488" t="s">
        <v>58</v>
      </c>
      <c r="AL11" s="605" t="s">
        <v>59</v>
      </c>
      <c r="AM11" s="3488" t="s">
        <v>58</v>
      </c>
      <c r="AN11" s="605" t="s">
        <v>59</v>
      </c>
      <c r="AO11" s="3488" t="s">
        <v>58</v>
      </c>
      <c r="AP11" s="3514" t="s">
        <v>59</v>
      </c>
      <c r="AQ11" s="5767"/>
      <c r="AR11" s="5818"/>
      <c r="AS11" s="5818"/>
      <c r="AT11" s="5818"/>
      <c r="AU11" s="5818"/>
      <c r="AV11" s="6692"/>
      <c r="AW11" s="5818"/>
      <c r="AX11" s="6687"/>
    </row>
    <row r="12" spans="1:139" ht="15" customHeight="1" x14ac:dyDescent="0.3">
      <c r="A12" s="6697" t="s">
        <v>1585</v>
      </c>
      <c r="B12" s="6698"/>
      <c r="C12" s="6699"/>
      <c r="D12" s="300">
        <f>SUM(E12+F12)</f>
        <v>0</v>
      </c>
      <c r="E12" s="2326">
        <f>SUM(G12+I12+K12+M12+O12+Q12+S12+U12+W12+Y12+AA12+AC12+AE12+AG12+AI12+AK12+AM12+AO12)</f>
        <v>0</v>
      </c>
      <c r="F12" s="588">
        <f>SUM(H12+J12+L12+N12+P12+R12+T12+V12+X12+Z12+AB12+AD12+AF12+AH12+AJ12+AL12+AN12+AP12)</f>
        <v>0</v>
      </c>
      <c r="G12" s="290"/>
      <c r="H12" s="107"/>
      <c r="I12" s="290"/>
      <c r="J12" s="107"/>
      <c r="K12" s="290"/>
      <c r="L12" s="107"/>
      <c r="M12" s="290"/>
      <c r="N12" s="107"/>
      <c r="O12" s="290"/>
      <c r="P12" s="107"/>
      <c r="Q12" s="290"/>
      <c r="R12" s="637"/>
      <c r="S12" s="290"/>
      <c r="T12" s="637"/>
      <c r="U12" s="290"/>
      <c r="V12" s="637"/>
      <c r="W12" s="290"/>
      <c r="X12" s="637"/>
      <c r="Y12" s="290"/>
      <c r="Z12" s="637"/>
      <c r="AA12" s="290"/>
      <c r="AB12" s="637"/>
      <c r="AC12" s="290"/>
      <c r="AD12" s="637"/>
      <c r="AE12" s="290"/>
      <c r="AF12" s="637"/>
      <c r="AG12" s="290"/>
      <c r="AH12" s="637"/>
      <c r="AI12" s="290"/>
      <c r="AJ12" s="637"/>
      <c r="AK12" s="290"/>
      <c r="AL12" s="637"/>
      <c r="AM12" s="290"/>
      <c r="AN12" s="637"/>
      <c r="AO12" s="290"/>
      <c r="AP12" s="431"/>
      <c r="AQ12" s="296"/>
      <c r="AR12" s="535"/>
      <c r="AS12" s="535"/>
      <c r="AT12" s="535"/>
      <c r="AU12" s="535"/>
      <c r="AV12" s="535"/>
      <c r="AW12" s="535"/>
      <c r="AX12" s="107"/>
      <c r="AY12" t="str">
        <f>CA12&amp;CB12&amp;CC12&amp;CD12&amp;CE12&amp;CF12&amp;CG12&amp;CH12</f>
        <v/>
      </c>
      <c r="CA12" s="434" t="str">
        <f>IF(AND((Y12+Z12)&gt;0,AQ12="")," * No olvide digitar la variable 12 años (incluido en el grupo de 10-14 años). Si no tiene digite Cero.",IF(AQ12&gt;(Y12+Z12),"* Las Consultas de 12 años (incluido en el grupo de 10-14 años) NO DEBEN ser mayor que el total de Consultas entre 10-14 años",""))</f>
        <v/>
      </c>
      <c r="CB12" s="434" t="str">
        <f>IF(AND($F12&gt;0,AR12="")," * No olvide digitar la variable Gestante. Digite cero si no tiene.",IF(AR12&gt;$F12," * La variable Gestante NO DEBEN ser mayor al Total de Mujeres. ",""))</f>
        <v/>
      </c>
      <c r="CC12" s="434" t="str">
        <f>IF(AND((AK12+AL12)&gt;0,AS12="")," * No olvide digitar la variable 60 años (incluido en grupos de 60-64 años). Digite Cero si no tiene.",IF(AS12&gt;(AK12+AL12)," * La variable 60 años (incluido en grupos de 60-64 años) NO DEBE ser mayor que el Total de consultas del grupo 60-64 años",""))</f>
        <v/>
      </c>
      <c r="CD12" s="434" t="str">
        <f>IF(AND(D12&gt;0,AT12="")," * No olvide digitar la variable Usuarios con Discapacidad. Digite Cero si no tiene.",IF(AT12&gt;D12," * La variable Usuarios con Discapacidad No puede ser mayor al Total Ambos Sexos.",""))</f>
        <v/>
      </c>
      <c r="CE12" s="434" t="str">
        <f>IF(AND(D12&gt;0,AU12="")," * No olvide digitar la variable Migrantes. Digite Cero si no tiene.",IF(AU12&gt;$D12," * La variable Migrantes No puede ser mayor al Total Ambos Sexos.",""))</f>
        <v/>
      </c>
      <c r="CF12" s="434" t="str">
        <f>IF(AND($D12&gt;0,AV12="")," * No olvide digitar la variable Persona con ingreso integral y condición crónica. Digite Cero si no tiene.",IF(AV12&gt;$D12," * La variable Persona con ingreso integral y condición crónica No puede ser mayor al Total Ambos Sexos.",""))</f>
        <v/>
      </c>
      <c r="CG12" s="434" t="str">
        <f>IF(AND(D12&gt;0,AW12="")," * No olvide digitar la variable Niños, niñas, adolescentes y jóvenes SENAME. Digite Cero si no tiene.",IF(AW12&gt;D12," * La variable Niños, niñas, adolescentes y jóvenes SENAME No puede ser mayor al Total Ambos Sexos.",""))</f>
        <v/>
      </c>
      <c r="CH12" s="434" t="str">
        <f>IF(AND($D12&gt;0,AX12="")," * No olvide digitar la variable Niños, niñas, adolescentes y jóvenes Mejor Niñez. Digite Cero si no tiene.",IF(AX12&gt;$D12," * La variable Niños, niñas, adolescentes y jóvenes Mejor Niñez no puede ser mayor al Total Ambos Sexos.",""))</f>
        <v/>
      </c>
      <c r="CO12" s="435">
        <f t="shared" ref="CO12:CO17" si="0">IF(AND((Y12+Z12)&gt;0,AQ12=""),1,IF(AQ12&gt;(Y12+Z12),1,0))</f>
        <v>0</v>
      </c>
      <c r="CP12" s="435">
        <f t="shared" ref="CP12:CP17" si="1">IF(AND($F12&gt;0,AR12=""),1,IF(AR12&gt;$F12,1,0))</f>
        <v>0</v>
      </c>
      <c r="CQ12" s="435">
        <f t="shared" ref="CQ12:CQ17" si="2">IF(AND((AK12+AL12)&gt;0,AS12=""),1,IF(AS12&gt;(AK12+AL12),1,0))</f>
        <v>0</v>
      </c>
      <c r="CR12" s="435">
        <f t="shared" ref="CR12:CU17" si="3">IF(AND($D12&gt;0,AT12=""),1,IF(AT12&gt;$D12,1,0))</f>
        <v>0</v>
      </c>
      <c r="CS12" s="435">
        <f t="shared" si="3"/>
        <v>0</v>
      </c>
      <c r="CT12" s="435">
        <f t="shared" si="3"/>
        <v>0</v>
      </c>
      <c r="CU12" s="435">
        <f t="shared" si="3"/>
        <v>0</v>
      </c>
      <c r="CV12" s="435">
        <f t="shared" ref="CV12:CV17" si="4">IF(AND(D12&gt;0,AX12=""),1,IF(AX12&gt;D12,1,0))</f>
        <v>0</v>
      </c>
    </row>
    <row r="13" spans="1:139" ht="15" customHeight="1" x14ac:dyDescent="0.3">
      <c r="A13" s="6700" t="s">
        <v>1586</v>
      </c>
      <c r="B13" s="6701"/>
      <c r="C13" s="6702"/>
      <c r="D13" s="478">
        <f t="shared" ref="D13:D17" si="5">SUM(E13+F13)</f>
        <v>0</v>
      </c>
      <c r="E13" s="479">
        <f t="shared" ref="E13:F15" si="6">SUM(G13+I13+K13+M13+O13+Q13+S13+U13+W13+Y13+AA13+AC13+AE13+AG13+AI13+AK13+AM13+AO13)</f>
        <v>0</v>
      </c>
      <c r="F13" s="560">
        <f t="shared" si="6"/>
        <v>0</v>
      </c>
      <c r="G13" s="346"/>
      <c r="H13" s="347"/>
      <c r="I13" s="346"/>
      <c r="J13" s="347"/>
      <c r="K13" s="346"/>
      <c r="L13" s="347"/>
      <c r="M13" s="346"/>
      <c r="N13" s="347"/>
      <c r="O13" s="346"/>
      <c r="P13" s="347"/>
      <c r="Q13" s="346"/>
      <c r="R13" s="350"/>
      <c r="S13" s="346"/>
      <c r="T13" s="350"/>
      <c r="U13" s="346"/>
      <c r="V13" s="350"/>
      <c r="W13" s="346"/>
      <c r="X13" s="350"/>
      <c r="Y13" s="346"/>
      <c r="Z13" s="350"/>
      <c r="AA13" s="346"/>
      <c r="AB13" s="350"/>
      <c r="AC13" s="346"/>
      <c r="AD13" s="350"/>
      <c r="AE13" s="346"/>
      <c r="AF13" s="350"/>
      <c r="AG13" s="346"/>
      <c r="AH13" s="350"/>
      <c r="AI13" s="346"/>
      <c r="AJ13" s="350"/>
      <c r="AK13" s="346"/>
      <c r="AL13" s="350"/>
      <c r="AM13" s="346"/>
      <c r="AN13" s="350"/>
      <c r="AO13" s="346"/>
      <c r="AP13" s="352"/>
      <c r="AQ13" s="430"/>
      <c r="AR13" s="369"/>
      <c r="AS13" s="369"/>
      <c r="AT13" s="369"/>
      <c r="AU13" s="369"/>
      <c r="AV13" s="369"/>
      <c r="AW13" s="369"/>
      <c r="AX13" s="347"/>
      <c r="AY13" t="str">
        <f t="shared" ref="AY13:AY14" si="7">CA13&amp;CB13&amp;CC13&amp;CD13&amp;CE13&amp;CF13&amp;CG13&amp;CH13</f>
        <v/>
      </c>
      <c r="CA13" s="434" t="str">
        <f t="shared" ref="CA13:CA17" si="8">IF(AND((Y13+Z13)&gt;0,AQ13="")," * No olvide digitar la variable 12 años (incluido en el grupo de 10-14 años). Si no tiene digite Cero.",IF(AQ13&gt;(Y13+Z13),"* Las Consultas de 12 años (incluido en el grupo de 10-14 años) NO DEBEN ser mayor que el total de Consultas entre 10-14 años",""))</f>
        <v/>
      </c>
      <c r="CB13" s="434" t="str">
        <f t="shared" ref="CB13:CB16" si="9">IF(AND($F13&gt;0,AR13="")," * No olvide digitar la variable Gestante. Digite cero si no tiene.",IF(AR13&gt;$F13," * La variable Gestante NO DEBEN ser mayor al Total de Mujeres. ",""))</f>
        <v/>
      </c>
      <c r="CC13" s="434" t="str">
        <f t="shared" ref="CC13:CC17" si="10">IF(AND((AK13+AL13)&gt;0,AS13="")," * No olvide digitar la variable 60 años (incluido en grupos de 60-64 años). Digite Cero si no tiene.",IF(AS13&gt;(AK13+AL13)," * La variable 60 años (incluido en grupos de 60-64 años) NO DEBE ser mayor que el Total de consultas del grupo 60-64 años",""))</f>
        <v/>
      </c>
      <c r="CD13" s="434" t="str">
        <f t="shared" ref="CD13:CD17" si="11">IF(AND(D13&gt;0,AT13="")," * No olvide digitar la variable Usuarios con Discapacidad. Digite Cero si no tiene.",IF(AT13&gt;D13," * La variable Usuarios con Discapacidad No puede ser mayor al Total Ambos Sexos.",""))</f>
        <v/>
      </c>
      <c r="CE13" s="434" t="str">
        <f t="shared" ref="CE13:CE17" si="12">IF(AND(D13&gt;0,AU13="")," * No olvide digitar la variable Migrantes. Digite Cero si no tiene.",IF(AU13&gt;$D13," * La variable Migrantes No puede ser mayor al Total Ambos Sexos.",""))</f>
        <v/>
      </c>
      <c r="CF13" s="434" t="str">
        <f t="shared" ref="CF13:CF17" si="13">IF(AND($D13&gt;0,AV13="")," * No olvide digitar la variable Persona con ingreso integral y condición crónica. Digite Cero si no tiene.",IF(AV13&gt;$D13," * La variable Persona con ingreso integral y condición crónica No puede ser mayor al Total Ambos Sexos.",""))</f>
        <v/>
      </c>
      <c r="CG13" s="434" t="str">
        <f t="shared" ref="CG13:CG17" si="14">IF(AND(D13&gt;0,AW13="")," * No olvide digitar la variable Niños, niñas, adolescentes y jóvenes SENAME. Digite Cero si no tiene.",IF(AW13&gt;D13," * La variable Niños, niñas, adolescentes y jóvenes SENAME No puede ser mayor al Total Ambos Sexos.",""))</f>
        <v/>
      </c>
      <c r="CH13" s="434" t="str">
        <f t="shared" ref="CH13:CH17" si="15">IF(AND($D13&gt;0,AX13="")," * No olvide digitar la variable Niños, niñas, adolescentes y jóvenes Mejor Niñez. Digite Cero si no tiene.",IF(AX13&gt;$D13," * La variable Niños, niñas, adolescentes y jóvenes Mejor Niñez no puede ser mayor al Total Ambos Sexos.",""))</f>
        <v/>
      </c>
      <c r="CO13" s="435">
        <f t="shared" si="0"/>
        <v>0</v>
      </c>
      <c r="CP13" s="435">
        <f t="shared" si="1"/>
        <v>0</v>
      </c>
      <c r="CQ13" s="435">
        <f t="shared" si="2"/>
        <v>0</v>
      </c>
      <c r="CR13" s="435">
        <f t="shared" si="3"/>
        <v>0</v>
      </c>
      <c r="CS13" s="435">
        <f t="shared" si="3"/>
        <v>0</v>
      </c>
      <c r="CT13" s="435">
        <f t="shared" si="3"/>
        <v>0</v>
      </c>
      <c r="CU13" s="435">
        <f t="shared" si="3"/>
        <v>0</v>
      </c>
      <c r="CV13" s="435">
        <f t="shared" si="4"/>
        <v>0</v>
      </c>
    </row>
    <row r="14" spans="1:139" ht="15" customHeight="1" x14ac:dyDescent="0.3">
      <c r="A14" s="6700" t="s">
        <v>1587</v>
      </c>
      <c r="B14" s="6701"/>
      <c r="C14" s="6702"/>
      <c r="D14" s="478">
        <f t="shared" si="5"/>
        <v>0</v>
      </c>
      <c r="E14" s="479">
        <f t="shared" si="6"/>
        <v>0</v>
      </c>
      <c r="F14" s="560">
        <f t="shared" si="6"/>
        <v>0</v>
      </c>
      <c r="G14" s="346"/>
      <c r="H14" s="347"/>
      <c r="I14" s="346"/>
      <c r="J14" s="347"/>
      <c r="K14" s="346"/>
      <c r="L14" s="347"/>
      <c r="M14" s="346"/>
      <c r="N14" s="350"/>
      <c r="O14" s="346"/>
      <c r="P14" s="350"/>
      <c r="Q14" s="346"/>
      <c r="R14" s="350"/>
      <c r="S14" s="346"/>
      <c r="T14" s="350"/>
      <c r="U14" s="346"/>
      <c r="V14" s="350"/>
      <c r="W14" s="346"/>
      <c r="X14" s="350"/>
      <c r="Y14" s="346"/>
      <c r="Z14" s="350"/>
      <c r="AA14" s="346"/>
      <c r="AB14" s="350"/>
      <c r="AC14" s="346"/>
      <c r="AD14" s="350"/>
      <c r="AE14" s="346"/>
      <c r="AF14" s="350"/>
      <c r="AG14" s="346"/>
      <c r="AH14" s="350"/>
      <c r="AI14" s="346"/>
      <c r="AJ14" s="350"/>
      <c r="AK14" s="346"/>
      <c r="AL14" s="350"/>
      <c r="AM14" s="346"/>
      <c r="AN14" s="350"/>
      <c r="AO14" s="346"/>
      <c r="AP14" s="352"/>
      <c r="AQ14" s="430"/>
      <c r="AR14" s="369"/>
      <c r="AS14" s="369"/>
      <c r="AT14" s="369"/>
      <c r="AU14" s="369"/>
      <c r="AV14" s="369"/>
      <c r="AW14" s="369"/>
      <c r="AX14" s="347"/>
      <c r="AY14" t="str">
        <f t="shared" si="7"/>
        <v/>
      </c>
      <c r="CA14" s="434" t="str">
        <f t="shared" si="8"/>
        <v/>
      </c>
      <c r="CB14" s="434" t="str">
        <f t="shared" si="9"/>
        <v/>
      </c>
      <c r="CC14" s="434" t="str">
        <f t="shared" si="10"/>
        <v/>
      </c>
      <c r="CD14" s="434" t="str">
        <f t="shared" si="11"/>
        <v/>
      </c>
      <c r="CE14" s="434" t="str">
        <f t="shared" si="12"/>
        <v/>
      </c>
      <c r="CF14" s="434" t="str">
        <f t="shared" si="13"/>
        <v/>
      </c>
      <c r="CG14" s="434" t="str">
        <f t="shared" si="14"/>
        <v/>
      </c>
      <c r="CH14" s="434" t="str">
        <f t="shared" si="15"/>
        <v/>
      </c>
      <c r="CO14" s="435">
        <f t="shared" si="0"/>
        <v>0</v>
      </c>
      <c r="CP14" s="435">
        <f t="shared" si="1"/>
        <v>0</v>
      </c>
      <c r="CQ14" s="435">
        <f t="shared" si="2"/>
        <v>0</v>
      </c>
      <c r="CR14" s="435">
        <f t="shared" si="3"/>
        <v>0</v>
      </c>
      <c r="CS14" s="435">
        <f t="shared" si="3"/>
        <v>0</v>
      </c>
      <c r="CT14" s="435">
        <f t="shared" si="3"/>
        <v>0</v>
      </c>
      <c r="CU14" s="435">
        <f t="shared" si="3"/>
        <v>0</v>
      </c>
      <c r="CV14" s="435">
        <f t="shared" si="4"/>
        <v>0</v>
      </c>
    </row>
    <row r="15" spans="1:139" ht="15" customHeight="1" x14ac:dyDescent="0.3">
      <c r="A15" s="6700" t="s">
        <v>1588</v>
      </c>
      <c r="B15" s="6701"/>
      <c r="C15" s="6702"/>
      <c r="D15" s="478">
        <f t="shared" si="5"/>
        <v>0</v>
      </c>
      <c r="E15" s="479">
        <f t="shared" si="6"/>
        <v>0</v>
      </c>
      <c r="F15" s="560">
        <f t="shared" si="6"/>
        <v>0</v>
      </c>
      <c r="G15" s="346"/>
      <c r="H15" s="347"/>
      <c r="I15" s="346"/>
      <c r="J15" s="347"/>
      <c r="K15" s="346"/>
      <c r="L15" s="347"/>
      <c r="M15" s="346"/>
      <c r="N15" s="350"/>
      <c r="O15" s="346"/>
      <c r="P15" s="350"/>
      <c r="Q15" s="346"/>
      <c r="R15" s="350"/>
      <c r="S15" s="346"/>
      <c r="T15" s="350"/>
      <c r="U15" s="346"/>
      <c r="V15" s="350"/>
      <c r="W15" s="346"/>
      <c r="X15" s="350"/>
      <c r="Y15" s="346"/>
      <c r="Z15" s="350"/>
      <c r="AA15" s="346"/>
      <c r="AB15" s="350"/>
      <c r="AC15" s="346"/>
      <c r="AD15" s="350"/>
      <c r="AE15" s="346"/>
      <c r="AF15" s="350"/>
      <c r="AG15" s="346"/>
      <c r="AH15" s="350"/>
      <c r="AI15" s="346"/>
      <c r="AJ15" s="350"/>
      <c r="AK15" s="346"/>
      <c r="AL15" s="350"/>
      <c r="AM15" s="346"/>
      <c r="AN15" s="350"/>
      <c r="AO15" s="346"/>
      <c r="AP15" s="352"/>
      <c r="AQ15" s="430"/>
      <c r="AR15" s="369"/>
      <c r="AS15" s="369"/>
      <c r="AT15" s="369"/>
      <c r="AU15" s="369"/>
      <c r="AV15" s="369"/>
      <c r="AW15" s="369"/>
      <c r="AX15" s="347"/>
      <c r="AY15" t="str">
        <f>CA15&amp;CB15&amp;CC15&amp;CD15&amp;CE15&amp;CF15&amp;CG15&amp;CH15</f>
        <v/>
      </c>
      <c r="CA15" s="434" t="str">
        <f t="shared" si="8"/>
        <v/>
      </c>
      <c r="CB15" s="434" t="str">
        <f t="shared" si="9"/>
        <v/>
      </c>
      <c r="CC15" s="434" t="str">
        <f t="shared" si="10"/>
        <v/>
      </c>
      <c r="CD15" s="434" t="str">
        <f t="shared" si="11"/>
        <v/>
      </c>
      <c r="CE15" s="434" t="str">
        <f t="shared" si="12"/>
        <v/>
      </c>
      <c r="CF15" s="434" t="str">
        <f t="shared" si="13"/>
        <v/>
      </c>
      <c r="CG15" s="434" t="str">
        <f t="shared" si="14"/>
        <v/>
      </c>
      <c r="CH15" s="434" t="str">
        <f t="shared" si="15"/>
        <v/>
      </c>
      <c r="CO15" s="435">
        <f t="shared" si="0"/>
        <v>0</v>
      </c>
      <c r="CP15" s="435">
        <f t="shared" si="1"/>
        <v>0</v>
      </c>
      <c r="CQ15" s="435">
        <f t="shared" si="2"/>
        <v>0</v>
      </c>
      <c r="CR15" s="435">
        <f t="shared" si="3"/>
        <v>0</v>
      </c>
      <c r="CS15" s="435">
        <f t="shared" si="3"/>
        <v>0</v>
      </c>
      <c r="CT15" s="435">
        <f t="shared" si="3"/>
        <v>0</v>
      </c>
      <c r="CU15" s="435">
        <f t="shared" si="3"/>
        <v>0</v>
      </c>
      <c r="CV15" s="435">
        <f t="shared" si="4"/>
        <v>0</v>
      </c>
    </row>
    <row r="16" spans="1:139" ht="15" customHeight="1" x14ac:dyDescent="0.3">
      <c r="A16" s="6707" t="s">
        <v>1589</v>
      </c>
      <c r="B16" s="6708"/>
      <c r="C16" s="6709"/>
      <c r="D16" s="300">
        <f t="shared" si="5"/>
        <v>0</v>
      </c>
      <c r="E16" s="2326">
        <f>SUM(G16+I16+K16+M16+O16+Q16+S16+U16+W16+Y16+AA16+AC16+AE16+AG16+AI16+AK16+AM16+AO16)</f>
        <v>0</v>
      </c>
      <c r="F16" s="588">
        <f>SUM(H16+J16+L16+N16+P16+R16+T16+V16+X16+Z16+AB16+AD16+AF16+AH16+AJ16+AL16+AN16+AP16)</f>
        <v>0</v>
      </c>
      <c r="G16" s="290"/>
      <c r="H16" s="107"/>
      <c r="I16" s="290"/>
      <c r="J16" s="107"/>
      <c r="K16" s="290"/>
      <c r="L16" s="107"/>
      <c r="M16" s="290"/>
      <c r="N16" s="107"/>
      <c r="O16" s="290"/>
      <c r="P16" s="107"/>
      <c r="Q16" s="290"/>
      <c r="R16" s="637"/>
      <c r="S16" s="290"/>
      <c r="T16" s="637"/>
      <c r="U16" s="290"/>
      <c r="V16" s="637"/>
      <c r="W16" s="290"/>
      <c r="X16" s="637"/>
      <c r="Y16" s="290"/>
      <c r="Z16" s="637"/>
      <c r="AA16" s="290"/>
      <c r="AB16" s="637"/>
      <c r="AC16" s="290"/>
      <c r="AD16" s="637"/>
      <c r="AE16" s="290"/>
      <c r="AF16" s="637"/>
      <c r="AG16" s="290"/>
      <c r="AH16" s="637"/>
      <c r="AI16" s="290"/>
      <c r="AJ16" s="637"/>
      <c r="AK16" s="290"/>
      <c r="AL16" s="637"/>
      <c r="AM16" s="290"/>
      <c r="AN16" s="637"/>
      <c r="AO16" s="290"/>
      <c r="AP16" s="431"/>
      <c r="AQ16" s="296"/>
      <c r="AR16" s="535"/>
      <c r="AS16" s="535"/>
      <c r="AT16" s="535"/>
      <c r="AU16" s="535"/>
      <c r="AV16" s="535"/>
      <c r="AW16" s="535"/>
      <c r="AX16" s="107"/>
      <c r="AY16" t="str">
        <f>CA16&amp;CB16&amp;CC16&amp;CD16&amp;CE16&amp;CF16&amp;CG16&amp;CH16</f>
        <v/>
      </c>
      <c r="CA16" s="434" t="str">
        <f t="shared" si="8"/>
        <v/>
      </c>
      <c r="CB16" s="434" t="str">
        <f t="shared" si="9"/>
        <v/>
      </c>
      <c r="CC16" s="434" t="str">
        <f t="shared" si="10"/>
        <v/>
      </c>
      <c r="CD16" s="434" t="str">
        <f t="shared" si="11"/>
        <v/>
      </c>
      <c r="CE16" s="434" t="str">
        <f t="shared" si="12"/>
        <v/>
      </c>
      <c r="CF16" s="434" t="str">
        <f t="shared" si="13"/>
        <v/>
      </c>
      <c r="CG16" s="434" t="str">
        <f t="shared" si="14"/>
        <v/>
      </c>
      <c r="CH16" s="434" t="str">
        <f t="shared" si="15"/>
        <v/>
      </c>
      <c r="CO16" s="435">
        <f t="shared" si="0"/>
        <v>0</v>
      </c>
      <c r="CP16" s="435">
        <f t="shared" si="1"/>
        <v>0</v>
      </c>
      <c r="CQ16" s="435">
        <f t="shared" si="2"/>
        <v>0</v>
      </c>
      <c r="CR16" s="435">
        <f t="shared" si="3"/>
        <v>0</v>
      </c>
      <c r="CS16" s="435">
        <f t="shared" si="3"/>
        <v>0</v>
      </c>
      <c r="CT16" s="435">
        <f t="shared" si="3"/>
        <v>0</v>
      </c>
      <c r="CU16" s="435">
        <f t="shared" si="3"/>
        <v>0</v>
      </c>
      <c r="CV16" s="435">
        <f t="shared" si="4"/>
        <v>0</v>
      </c>
    </row>
    <row r="17" spans="1:100" ht="15" customHeight="1" x14ac:dyDescent="0.3">
      <c r="A17" s="6710" t="s">
        <v>1590</v>
      </c>
      <c r="B17" s="6711"/>
      <c r="C17" s="6712"/>
      <c r="D17" s="483">
        <f t="shared" si="5"/>
        <v>0</v>
      </c>
      <c r="E17" s="484">
        <f>SUM(G17+I17+K17+M17+O17+Q17+S17+U17+W17+Y17+AA17+AC17+AE17+AG17+AI17+AK17+AM17+AO17)</f>
        <v>0</v>
      </c>
      <c r="F17" s="563">
        <f>SUM(H17+J17+L17+N17+P17+R17+T17+V17+X17+Z17+AB17+AD17+AF17+AH17+AJ17+AL17+AN17+AP17)</f>
        <v>0</v>
      </c>
      <c r="G17" s="380"/>
      <c r="H17" s="388"/>
      <c r="I17" s="380"/>
      <c r="J17" s="388"/>
      <c r="K17" s="380"/>
      <c r="L17" s="388"/>
      <c r="M17" s="380"/>
      <c r="N17" s="389"/>
      <c r="O17" s="380"/>
      <c r="P17" s="389"/>
      <c r="Q17" s="380"/>
      <c r="R17" s="389"/>
      <c r="S17" s="380"/>
      <c r="T17" s="389"/>
      <c r="U17" s="380"/>
      <c r="V17" s="389"/>
      <c r="W17" s="380"/>
      <c r="X17" s="389"/>
      <c r="Y17" s="380"/>
      <c r="Z17" s="389"/>
      <c r="AA17" s="380"/>
      <c r="AB17" s="389"/>
      <c r="AC17" s="380"/>
      <c r="AD17" s="389"/>
      <c r="AE17" s="380"/>
      <c r="AF17" s="389"/>
      <c r="AG17" s="380"/>
      <c r="AH17" s="389"/>
      <c r="AI17" s="380"/>
      <c r="AJ17" s="389"/>
      <c r="AK17" s="380"/>
      <c r="AL17" s="389"/>
      <c r="AM17" s="380"/>
      <c r="AN17" s="389"/>
      <c r="AO17" s="380"/>
      <c r="AP17" s="390"/>
      <c r="AQ17" s="379"/>
      <c r="AR17" s="2911"/>
      <c r="AS17" s="2911"/>
      <c r="AT17" s="2911"/>
      <c r="AU17" s="2911"/>
      <c r="AV17" s="2911"/>
      <c r="AW17" s="2911"/>
      <c r="AX17" s="388"/>
      <c r="AY17" t="str">
        <f>CA17&amp;CB17&amp;CC17&amp;CD17&amp;CE17&amp;CF17&amp;CG17&amp;CH17</f>
        <v/>
      </c>
      <c r="CA17" s="434" t="str">
        <f t="shared" si="8"/>
        <v/>
      </c>
      <c r="CB17" s="434" t="str">
        <f>IF(AND($F17&gt;0,AR17="")," * No olvide digitar la variable Gestante. Digite cero si no tiene.",IF(AR17&gt;$F17," * La variable Gestante NO DEBEN ser mayor al Total de Mujeres. ",""))</f>
        <v/>
      </c>
      <c r="CC17" s="434" t="str">
        <f t="shared" si="10"/>
        <v/>
      </c>
      <c r="CD17" s="434" t="str">
        <f t="shared" si="11"/>
        <v/>
      </c>
      <c r="CE17" s="434" t="str">
        <f t="shared" si="12"/>
        <v/>
      </c>
      <c r="CF17" s="434" t="str">
        <f t="shared" si="13"/>
        <v/>
      </c>
      <c r="CG17" s="434" t="str">
        <f t="shared" si="14"/>
        <v/>
      </c>
      <c r="CH17" s="434" t="str">
        <f t="shared" si="15"/>
        <v/>
      </c>
      <c r="CO17" s="435">
        <f t="shared" si="0"/>
        <v>0</v>
      </c>
      <c r="CP17" s="435">
        <f t="shared" si="1"/>
        <v>0</v>
      </c>
      <c r="CQ17" s="435">
        <f t="shared" si="2"/>
        <v>0</v>
      </c>
      <c r="CR17" s="435">
        <f t="shared" si="3"/>
        <v>0</v>
      </c>
      <c r="CS17" s="435">
        <f t="shared" si="3"/>
        <v>0</v>
      </c>
      <c r="CT17" s="435">
        <f t="shared" si="3"/>
        <v>0</v>
      </c>
      <c r="CU17" s="435">
        <f t="shared" si="3"/>
        <v>0</v>
      </c>
      <c r="CV17" s="435">
        <f t="shared" si="4"/>
        <v>0</v>
      </c>
    </row>
    <row r="18" spans="1:100" ht="18" customHeight="1" x14ac:dyDescent="0.3">
      <c r="A18" s="3" t="s">
        <v>1591</v>
      </c>
      <c r="B18" s="3540"/>
      <c r="C18" s="3540"/>
      <c r="D18" s="3532"/>
      <c r="E18" s="3532"/>
      <c r="F18" s="3532"/>
      <c r="G18" s="3541"/>
      <c r="H18" s="3541"/>
      <c r="I18" s="3532"/>
      <c r="J18" s="3532"/>
      <c r="K18" s="3532"/>
      <c r="L18" s="3532"/>
      <c r="M18" s="3532"/>
      <c r="N18" s="3532"/>
      <c r="O18" s="3532"/>
      <c r="P18" s="4"/>
      <c r="Q18" s="3532"/>
      <c r="R18" s="3532"/>
      <c r="S18" s="3532"/>
      <c r="T18" s="3532"/>
      <c r="U18" s="3532"/>
      <c r="V18" s="3532"/>
      <c r="W18" s="3532"/>
      <c r="X18" s="3532"/>
      <c r="Y18" s="3532"/>
      <c r="Z18" s="3532"/>
      <c r="AA18" s="3532"/>
      <c r="AB18" s="3532"/>
      <c r="AC18" s="3532"/>
      <c r="AD18" s="3532"/>
      <c r="AE18" s="3532"/>
      <c r="AF18" s="3532"/>
      <c r="AG18" s="3532"/>
      <c r="AH18" s="1873"/>
      <c r="AI18" s="1873"/>
      <c r="AJ18" s="1873"/>
      <c r="AK18" s="1873"/>
      <c r="AL18" s="1873"/>
      <c r="AM18" s="1873"/>
      <c r="AN18" s="1873"/>
      <c r="AO18" s="1873"/>
      <c r="AP18" s="1873"/>
      <c r="AQ18" s="1873"/>
      <c r="AR18" s="1873"/>
      <c r="AS18" s="1873"/>
      <c r="AT18" s="1873"/>
      <c r="AU18" s="1873"/>
      <c r="AV18" s="1873"/>
      <c r="AW18" s="1873"/>
      <c r="AX18" s="1873"/>
    </row>
    <row r="19" spans="1:100" x14ac:dyDescent="0.3">
      <c r="A19" s="6307" t="s">
        <v>1592</v>
      </c>
      <c r="B19" s="6223"/>
      <c r="C19" s="6308"/>
      <c r="D19" s="6688" t="s">
        <v>192</v>
      </c>
      <c r="E19" s="6247"/>
      <c r="F19" s="6277"/>
      <c r="G19" s="6631" t="s">
        <v>474</v>
      </c>
      <c r="H19" s="6494"/>
      <c r="I19" s="6277" t="s">
        <v>380</v>
      </c>
      <c r="J19" s="6660"/>
      <c r="K19" s="6688" t="s">
        <v>381</v>
      </c>
      <c r="L19" s="6277"/>
      <c r="M19" s="6277" t="s">
        <v>1577</v>
      </c>
      <c r="N19" s="6660"/>
      <c r="O19" s="6688" t="s">
        <v>383</v>
      </c>
      <c r="P19" s="6277"/>
      <c r="Q19" s="6688" t="s">
        <v>384</v>
      </c>
      <c r="R19" s="6277"/>
      <c r="S19" s="6688" t="s">
        <v>385</v>
      </c>
      <c r="T19" s="6277"/>
      <c r="U19" s="6688" t="s">
        <v>386</v>
      </c>
      <c r="V19" s="6277"/>
      <c r="W19" s="6247" t="s">
        <v>1578</v>
      </c>
      <c r="X19" s="6247"/>
      <c r="Y19" s="6688" t="s">
        <v>303</v>
      </c>
      <c r="Z19" s="6694"/>
      <c r="AA19" s="6247" t="s">
        <v>304</v>
      </c>
      <c r="AB19" s="6266"/>
      <c r="AC19" s="6247" t="s">
        <v>1579</v>
      </c>
      <c r="AD19" s="6266"/>
      <c r="AE19" s="6247" t="s">
        <v>1580</v>
      </c>
      <c r="AF19" s="6266"/>
      <c r="AG19" s="6247" t="s">
        <v>1581</v>
      </c>
      <c r="AH19" s="6266"/>
      <c r="AI19" s="6247" t="s">
        <v>1582</v>
      </c>
      <c r="AJ19" s="6266"/>
      <c r="AK19" s="6247" t="s">
        <v>1583</v>
      </c>
      <c r="AL19" s="6266"/>
      <c r="AM19" s="6247" t="s">
        <v>1584</v>
      </c>
      <c r="AN19" s="6694"/>
      <c r="AO19" s="6247" t="s">
        <v>938</v>
      </c>
      <c r="AP19" s="6675"/>
      <c r="AQ19" s="6249" t="s">
        <v>1570</v>
      </c>
      <c r="AR19" s="6377" t="s">
        <v>1593</v>
      </c>
      <c r="AS19" s="6377" t="s">
        <v>1572</v>
      </c>
      <c r="AT19" s="6377" t="s">
        <v>1594</v>
      </c>
      <c r="AU19" s="6377" t="s">
        <v>1573</v>
      </c>
      <c r="AV19" s="6695" t="s">
        <v>37</v>
      </c>
      <c r="AW19" s="6695" t="s">
        <v>1575</v>
      </c>
      <c r="AX19" s="6628" t="s">
        <v>1576</v>
      </c>
    </row>
    <row r="20" spans="1:100" ht="30.75" customHeight="1" x14ac:dyDescent="0.3">
      <c r="A20" s="6482"/>
      <c r="B20" s="6481"/>
      <c r="C20" s="6645"/>
      <c r="D20" s="3488" t="s">
        <v>79</v>
      </c>
      <c r="E20" s="3507" t="s">
        <v>58</v>
      </c>
      <c r="F20" s="90" t="s">
        <v>59</v>
      </c>
      <c r="G20" s="3488" t="s">
        <v>58</v>
      </c>
      <c r="H20" s="605" t="s">
        <v>59</v>
      </c>
      <c r="I20" s="464" t="s">
        <v>58</v>
      </c>
      <c r="J20" s="90" t="s">
        <v>59</v>
      </c>
      <c r="K20" s="464" t="s">
        <v>58</v>
      </c>
      <c r="L20" s="487" t="s">
        <v>59</v>
      </c>
      <c r="M20" s="464" t="s">
        <v>58</v>
      </c>
      <c r="N20" s="90" t="s">
        <v>59</v>
      </c>
      <c r="O20" s="464" t="s">
        <v>58</v>
      </c>
      <c r="P20" s="90" t="s">
        <v>59</v>
      </c>
      <c r="Q20" s="464" t="s">
        <v>58</v>
      </c>
      <c r="R20" s="90" t="s">
        <v>59</v>
      </c>
      <c r="S20" s="464" t="s">
        <v>58</v>
      </c>
      <c r="T20" s="90" t="s">
        <v>59</v>
      </c>
      <c r="U20" s="3488" t="s">
        <v>58</v>
      </c>
      <c r="V20" s="605" t="s">
        <v>59</v>
      </c>
      <c r="W20" s="3507" t="s">
        <v>58</v>
      </c>
      <c r="X20" s="604" t="s">
        <v>59</v>
      </c>
      <c r="Y20" s="3488" t="s">
        <v>58</v>
      </c>
      <c r="Z20" s="605" t="s">
        <v>59</v>
      </c>
      <c r="AA20" s="3507" t="s">
        <v>58</v>
      </c>
      <c r="AB20" s="604" t="s">
        <v>59</v>
      </c>
      <c r="AC20" s="3488" t="s">
        <v>58</v>
      </c>
      <c r="AD20" s="605" t="s">
        <v>59</v>
      </c>
      <c r="AE20" s="3507" t="s">
        <v>58</v>
      </c>
      <c r="AF20" s="604" t="s">
        <v>59</v>
      </c>
      <c r="AG20" s="3488" t="s">
        <v>58</v>
      </c>
      <c r="AH20" s="605" t="s">
        <v>59</v>
      </c>
      <c r="AI20" s="3507" t="s">
        <v>58</v>
      </c>
      <c r="AJ20" s="604" t="s">
        <v>59</v>
      </c>
      <c r="AK20" s="3488" t="s">
        <v>58</v>
      </c>
      <c r="AL20" s="605" t="s">
        <v>59</v>
      </c>
      <c r="AM20" s="3507" t="s">
        <v>58</v>
      </c>
      <c r="AN20" s="605" t="s">
        <v>59</v>
      </c>
      <c r="AO20" s="3507" t="s">
        <v>58</v>
      </c>
      <c r="AP20" s="3514" t="s">
        <v>59</v>
      </c>
      <c r="AQ20" s="5766"/>
      <c r="AR20" s="6716"/>
      <c r="AS20" s="5818"/>
      <c r="AT20" s="5818"/>
      <c r="AU20" s="5818"/>
      <c r="AV20" s="5815"/>
      <c r="AW20" s="5815"/>
      <c r="AX20" s="6696"/>
    </row>
    <row r="21" spans="1:100" ht="15" customHeight="1" x14ac:dyDescent="0.3">
      <c r="A21" s="6713" t="s">
        <v>1595</v>
      </c>
      <c r="B21" s="6714"/>
      <c r="C21" s="6715"/>
      <c r="D21" s="3542">
        <f>SUM(E21+F21)</f>
        <v>0</v>
      </c>
      <c r="E21" s="3543">
        <f>SUM(G21+I21+K21+M21+O21+Q21+S21+U21+W21+Y21+AA21+AC21+AE21+AG21+AI21+AK21+AM21+AO21)</f>
        <v>0</v>
      </c>
      <c r="F21" s="3044">
        <f>SUM(H21+J21+L21+N21+P21+R21+T21+V21+X21+Z21+AB21+AD21+AF21+AH21+AJ21+AL21+AN21+AP21)</f>
        <v>0</v>
      </c>
      <c r="G21" s="3310"/>
      <c r="H21" s="771"/>
      <c r="I21" s="3310"/>
      <c r="J21" s="576"/>
      <c r="K21" s="3310"/>
      <c r="L21" s="771"/>
      <c r="M21" s="3310"/>
      <c r="N21" s="576"/>
      <c r="O21" s="3310"/>
      <c r="P21" s="771"/>
      <c r="Q21" s="3310"/>
      <c r="R21" s="771"/>
      <c r="S21" s="3310"/>
      <c r="T21" s="771"/>
      <c r="U21" s="3310"/>
      <c r="V21" s="771"/>
      <c r="W21" s="3309"/>
      <c r="X21" s="3344"/>
      <c r="Y21" s="3310"/>
      <c r="Z21" s="771"/>
      <c r="AA21" s="3309"/>
      <c r="AB21" s="3344"/>
      <c r="AC21" s="3310"/>
      <c r="AD21" s="771"/>
      <c r="AE21" s="3309"/>
      <c r="AF21" s="3344"/>
      <c r="AG21" s="3310"/>
      <c r="AH21" s="771"/>
      <c r="AI21" s="3309"/>
      <c r="AJ21" s="3344"/>
      <c r="AK21" s="3310"/>
      <c r="AL21" s="771"/>
      <c r="AM21" s="3309"/>
      <c r="AN21" s="771"/>
      <c r="AO21" s="3309"/>
      <c r="AP21" s="759"/>
      <c r="AQ21" s="758"/>
      <c r="AR21" s="773"/>
      <c r="AS21" s="773"/>
      <c r="AT21" s="773"/>
      <c r="AU21" s="773"/>
      <c r="AV21" s="773"/>
      <c r="AW21" s="773"/>
      <c r="AX21" s="576"/>
      <c r="AY21" t="str">
        <f>CA21&amp;CB21&amp;CC21&amp;CD21&amp;CE21&amp;CF21&amp;CG21&amp;CH21</f>
        <v/>
      </c>
      <c r="CA21" s="434" t="str">
        <f t="shared" ref="CA21" si="16">IF(AND((Y21+Z21)&gt;0,AQ21="")," * No olvide digitar la variable 12 años (incluido en el grupo de 10-14 años). Si no tiene digite Cero.",IF(AQ21&gt;(Y21+Z21),"* Las Consultas de 12 años (incluido en el grupo de 10-14 años) NO DEBEN ser mayor que el total de Consultas entre 10-14 años",""))</f>
        <v/>
      </c>
      <c r="CB21" s="434" t="str">
        <f t="shared" ref="CB21" si="17">IF(AND($F21&gt;0,AR21="")," * No olvide digitar la variable Gestante. Digite cero si no tiene.",IF(AR21&gt;$F21," * La variable Gestante NO DEBEN ser mayor al Total de Mujeres. ",""))</f>
        <v/>
      </c>
      <c r="CC21" s="434" t="str">
        <f>IF(AND((AK21+AL21)&gt;0,AS21="")," * No olvide digitar la variable 60 años (incluido en grupos de 60-64 años). Digite Cero si no tiene.",IF(AS21&gt;(AK21+AL21)," * La variable 60 años (incluido en grupos de 60-64 años) NO DEBE ser mayor que el Total de consultas del grupo 60-64 años",""))</f>
        <v/>
      </c>
      <c r="CD21" s="434" t="str">
        <f>IF(AND(D21&gt;0,AT21="")," * No olvide digitar la variable Compra de servicio. Digite Cero si no tiene.",IF(AT21&gt;D21," * La variable Compra de servicio No puede ser mayor al Total Ambos Sexos.",""))</f>
        <v/>
      </c>
      <c r="CE21" s="434" t="str">
        <f t="shared" ref="CE21:CE37" si="18">IF(AND(D21&gt;0,AU21="")," * No olvide digitar la variable Usuarios con Discapacidad. Digite Cero si no tiene.",IF(AU21&gt;$D21," * La variable Usuarios con Discapacidad No puede ser mayor al Total Ambos Sexos.",""))</f>
        <v/>
      </c>
      <c r="CF21" s="434" t="str">
        <f>IF(AND($D21&gt;0,AV21="")," * No olvide digitar la variable Migrantes. Digite Cero si no tiene.",IF(AV21&gt;$D21," * La variable Migrantes No puede ser mayor al Total Ambos Sexos.",""))</f>
        <v/>
      </c>
      <c r="CG21" s="434" t="str">
        <f>IF(AND(D21&gt;0,AW21="")," * No olvide digitar la variable Niños, niñas, adolescentes y jóvenes SENAME. Digite Cero si no tiene.",IF(AW21&gt;D21," * La variable Niños, niñas, adolescentes y jóvenes SENAME No puede ser mayor al Total Ambos Sexos.",""))</f>
        <v/>
      </c>
      <c r="CH21" s="434" t="str">
        <f>IF(AND($D21&gt;0,AX21="")," * No olvide digitar la variable Niños, niñas, adolescentes y jóvenes Mejor Niñez. Digite Cero si no tiene.",IF(AX21&gt;$D21," * La variable Niños, niñas, adolescentes y jóvenes Mejor Niñez no puede ser mayor al Total Ambos Sexos.",""))</f>
        <v/>
      </c>
      <c r="CO21" s="435">
        <f t="shared" ref="CO21:CO38" si="19">IF(AND((Y21+Z21)&gt;0,AQ21=""),1,IF(AQ21&gt;(Y21+Z21),1,0))</f>
        <v>0</v>
      </c>
      <c r="CP21" s="435">
        <f t="shared" ref="CP21:CP38" si="20">IF(AND($F21&gt;0,AR21=""),1,IF(AR21&gt;$F21,1,0))</f>
        <v>0</v>
      </c>
      <c r="CQ21" s="435">
        <f t="shared" ref="CQ21:CQ38" si="21">IF(AND((AK21+AL21)&gt;0,AS21=""),1,IF(AS21&gt;(AK21+AL21),1,0))</f>
        <v>0</v>
      </c>
      <c r="CR21" s="435">
        <f t="shared" ref="CR21:CR38" si="22">IF(AND($D21&gt;0,AT21=""),1,IF(AT21&gt;$D21,1,0))</f>
        <v>0</v>
      </c>
      <c r="CS21" s="435">
        <f t="shared" ref="CS21:CS38" si="23">IF(AND($D21&gt;0,AU21=""),1,IF(AU21&gt;$D21,1,0))</f>
        <v>0</v>
      </c>
      <c r="CT21" s="435">
        <f t="shared" ref="CT21:CT38" si="24">IF(AND($D21&gt;0,AV21=""),1,IF(AV21&gt;$D21,1,0))</f>
        <v>0</v>
      </c>
      <c r="CU21" s="435">
        <f t="shared" ref="CU21:CU38" si="25">IF(AND($D21&gt;0,AW21=""),1,IF(AW21&gt;$D21,1,0))</f>
        <v>0</v>
      </c>
      <c r="CV21" s="435">
        <f t="shared" ref="CV21:CV38" si="26">IF(AND(D21&gt;0,AX21=""),1,IF(AX21&gt;D21,1,0))</f>
        <v>0</v>
      </c>
    </row>
    <row r="22" spans="1:100" ht="15" customHeight="1" x14ac:dyDescent="0.3">
      <c r="A22" s="6703" t="s">
        <v>1596</v>
      </c>
      <c r="B22" s="6704"/>
      <c r="C22" s="6705"/>
      <c r="D22" s="478">
        <f t="shared" ref="D22:D37" si="27">SUM(E22+F22)</f>
        <v>0</v>
      </c>
      <c r="E22" s="479">
        <f>SUM(U22+W22+Y22+AA22+AC22+AE22+AG22+AI22+AK22+AM22+AO22)</f>
        <v>0</v>
      </c>
      <c r="F22" s="560">
        <f>SUM(V22+X22+Z22+AB22+AD22+AF22+AH22+AJ22+AL22+AN22+AP22)</f>
        <v>0</v>
      </c>
      <c r="G22" s="634"/>
      <c r="H22" s="847"/>
      <c r="I22" s="634"/>
      <c r="J22" s="368"/>
      <c r="K22" s="634"/>
      <c r="L22" s="847"/>
      <c r="M22" s="634"/>
      <c r="N22" s="368"/>
      <c r="O22" s="634"/>
      <c r="P22" s="847"/>
      <c r="Q22" s="634"/>
      <c r="R22" s="847"/>
      <c r="S22" s="634"/>
      <c r="T22" s="847"/>
      <c r="U22" s="346"/>
      <c r="V22" s="350"/>
      <c r="W22" s="348"/>
      <c r="X22" s="349"/>
      <c r="Y22" s="346"/>
      <c r="Z22" s="350"/>
      <c r="AA22" s="348"/>
      <c r="AB22" s="349"/>
      <c r="AC22" s="346"/>
      <c r="AD22" s="350"/>
      <c r="AE22" s="348"/>
      <c r="AF22" s="349"/>
      <c r="AG22" s="346"/>
      <c r="AH22" s="350"/>
      <c r="AI22" s="348"/>
      <c r="AJ22" s="349"/>
      <c r="AK22" s="346"/>
      <c r="AL22" s="350"/>
      <c r="AM22" s="348"/>
      <c r="AN22" s="350"/>
      <c r="AO22" s="348"/>
      <c r="AP22" s="352"/>
      <c r="AQ22" s="430"/>
      <c r="AR22" s="369"/>
      <c r="AS22" s="369"/>
      <c r="AT22" s="369"/>
      <c r="AU22" s="369"/>
      <c r="AV22" s="369"/>
      <c r="AW22" s="369"/>
      <c r="AX22" s="347"/>
      <c r="AY22" t="str">
        <f t="shared" ref="AY22:AY37" si="28">CA22&amp;CB22&amp;CC22&amp;CD22&amp;CE22&amp;CF22&amp;CG22&amp;CH22</f>
        <v/>
      </c>
      <c r="CA22" s="434" t="str">
        <f t="shared" ref="CA22:CA38" si="29">IF(AND((Y22+Z22)&gt;0,AQ22="")," * No olvide digitar la variable 12 años (incluido en el grupo de 10-14 años). Si no tiene digite Cero.",IF(AQ22&gt;(Y22+Z22),"* Las Consultas de 12 años (incluido en el grupo de 10-14 años) NO DEBEN ser mayor que el total de Consultas entre 10-14 años",""))</f>
        <v/>
      </c>
      <c r="CB22" s="434" t="str">
        <f t="shared" ref="CB22:CB38" si="30">IF(AND($F22&gt;0,AR22="")," * No olvide digitar la variable Gestante. Digite cero si no tiene.",IF(AR22&gt;$F22," * La variable Gestante NO DEBEN ser mayor al Total de Mujeres. ",""))</f>
        <v/>
      </c>
      <c r="CC22" s="434" t="str">
        <f t="shared" ref="CC22:CC38" si="31">IF(AND((AK22+AL22)&gt;0,AS22="")," * No olvide digitar la variable 60 años (incluido en grupos de 60-64 años). Digite Cero si no tiene.",IF(AS22&gt;(AK22+AL22)," * La variable 60 años (incluido en grupos de 60-64 años) NO DEBE ser mayor que el Total de consultas del grupo 60-64 años",""))</f>
        <v/>
      </c>
      <c r="CD22" s="434" t="str">
        <f t="shared" ref="CD22:CD38" si="32">IF(AND(D22&gt;0,AT22="")," * No olvide digitar la variable Compra de servicio. Digite Cero si no tiene.",IF(AT22&gt;D22," * La variable Compra de servicio No puede ser mayor al Total Ambos Sexos.",""))</f>
        <v/>
      </c>
      <c r="CE22" s="434" t="str">
        <f t="shared" si="18"/>
        <v/>
      </c>
      <c r="CF22" s="434" t="str">
        <f t="shared" ref="CF22:CF38" si="33">IF(AND($D22&gt;0,AV22="")," * No olvide digitar la variable Migrantes. Digite Cero si no tiene.",IF(AV22&gt;$D22," * La variable Migrantes No puede ser mayor al Total Ambos Sexos.",""))</f>
        <v/>
      </c>
      <c r="CG22" s="434" t="str">
        <f t="shared" ref="CG22:CG38" si="34">IF(AND(D22&gt;0,AW22="")," * No olvide digitar la variable Niños, niñas, adolescentes y jóvenes SENAME. Digite Cero si no tiene.",IF(AW22&gt;D22," * La variable Niños, niñas, adolescentes y jóvenes SENAME No puede ser mayor al Total Ambos Sexos.",""))</f>
        <v/>
      </c>
      <c r="CH22" s="434" t="str">
        <f t="shared" ref="CH22:CH38" si="35">IF(AND($D22&gt;0,AX22="")," * No olvide digitar la variable Niños, niñas, adolescentes y jóvenes Mejor Niñez. Digite Cero si no tiene.",IF(AX22&gt;$D22," * La variable Niños, niñas, adolescentes y jóvenes Mejor Niñez no puede ser mayor al Total Ambos Sexos.",""))</f>
        <v/>
      </c>
      <c r="CO22" s="435">
        <f t="shared" si="19"/>
        <v>0</v>
      </c>
      <c r="CP22" s="435">
        <f t="shared" si="20"/>
        <v>0</v>
      </c>
      <c r="CQ22" s="435">
        <f t="shared" si="21"/>
        <v>0</v>
      </c>
      <c r="CR22" s="435">
        <f t="shared" si="22"/>
        <v>0</v>
      </c>
      <c r="CS22" s="435">
        <f t="shared" si="23"/>
        <v>0</v>
      </c>
      <c r="CT22" s="435">
        <f t="shared" si="24"/>
        <v>0</v>
      </c>
      <c r="CU22" s="435">
        <f t="shared" si="25"/>
        <v>0</v>
      </c>
      <c r="CV22" s="435">
        <f t="shared" si="26"/>
        <v>0</v>
      </c>
    </row>
    <row r="23" spans="1:100" ht="15" customHeight="1" x14ac:dyDescent="0.3">
      <c r="A23" s="6349" t="s">
        <v>1597</v>
      </c>
      <c r="B23" s="6706"/>
      <c r="C23" s="6350"/>
      <c r="D23" s="478">
        <f t="shared" si="27"/>
        <v>0</v>
      </c>
      <c r="E23" s="479">
        <f t="shared" ref="E23:F33" si="36">SUM(G23+I23+K23+M23+O23+Q23+S23+U23+W23+Y23+AA23+AC23+AE23+AG23+AI23+AK23+AM23+AO23)</f>
        <v>0</v>
      </c>
      <c r="F23" s="560">
        <f t="shared" si="36"/>
        <v>0</v>
      </c>
      <c r="G23" s="346"/>
      <c r="H23" s="350"/>
      <c r="I23" s="346"/>
      <c r="J23" s="347"/>
      <c r="K23" s="346"/>
      <c r="L23" s="350"/>
      <c r="M23" s="346"/>
      <c r="N23" s="347"/>
      <c r="O23" s="346"/>
      <c r="P23" s="350"/>
      <c r="Q23" s="346"/>
      <c r="R23" s="350"/>
      <c r="S23" s="346"/>
      <c r="T23" s="350"/>
      <c r="U23" s="346"/>
      <c r="V23" s="350"/>
      <c r="W23" s="348"/>
      <c r="X23" s="349"/>
      <c r="Y23" s="346"/>
      <c r="Z23" s="350"/>
      <c r="AA23" s="348"/>
      <c r="AB23" s="349"/>
      <c r="AC23" s="346"/>
      <c r="AD23" s="350"/>
      <c r="AE23" s="348"/>
      <c r="AF23" s="349"/>
      <c r="AG23" s="346"/>
      <c r="AH23" s="350"/>
      <c r="AI23" s="348"/>
      <c r="AJ23" s="349"/>
      <c r="AK23" s="346"/>
      <c r="AL23" s="350"/>
      <c r="AM23" s="348"/>
      <c r="AN23" s="350"/>
      <c r="AO23" s="348"/>
      <c r="AP23" s="352"/>
      <c r="AQ23" s="430"/>
      <c r="AR23" s="369"/>
      <c r="AS23" s="369"/>
      <c r="AT23" s="369"/>
      <c r="AU23" s="369"/>
      <c r="AV23" s="369"/>
      <c r="AW23" s="369"/>
      <c r="AX23" s="347"/>
      <c r="AY23" t="str">
        <f t="shared" si="28"/>
        <v/>
      </c>
      <c r="CA23" s="434" t="str">
        <f t="shared" si="29"/>
        <v/>
      </c>
      <c r="CB23" s="434" t="str">
        <f t="shared" si="30"/>
        <v/>
      </c>
      <c r="CC23" s="434" t="str">
        <f t="shared" si="31"/>
        <v/>
      </c>
      <c r="CD23" s="434" t="str">
        <f t="shared" si="32"/>
        <v/>
      </c>
      <c r="CE23" s="434" t="str">
        <f t="shared" si="18"/>
        <v/>
      </c>
      <c r="CF23" s="434" t="str">
        <f t="shared" si="33"/>
        <v/>
      </c>
      <c r="CG23" s="434" t="str">
        <f t="shared" si="34"/>
        <v/>
      </c>
      <c r="CH23" s="434" t="str">
        <f t="shared" si="35"/>
        <v/>
      </c>
      <c r="CO23" s="435">
        <f t="shared" si="19"/>
        <v>0</v>
      </c>
      <c r="CP23" s="435">
        <f t="shared" si="20"/>
        <v>0</v>
      </c>
      <c r="CQ23" s="435">
        <f t="shared" si="21"/>
        <v>0</v>
      </c>
      <c r="CR23" s="435">
        <f t="shared" si="22"/>
        <v>0</v>
      </c>
      <c r="CS23" s="435">
        <f t="shared" si="23"/>
        <v>0</v>
      </c>
      <c r="CT23" s="435">
        <f t="shared" si="24"/>
        <v>0</v>
      </c>
      <c r="CU23" s="435">
        <f t="shared" si="25"/>
        <v>0</v>
      </c>
      <c r="CV23" s="435">
        <f t="shared" si="26"/>
        <v>0</v>
      </c>
    </row>
    <row r="24" spans="1:100" ht="15" customHeight="1" x14ac:dyDescent="0.3">
      <c r="A24" s="6349" t="s">
        <v>1598</v>
      </c>
      <c r="B24" s="6706"/>
      <c r="C24" s="6350"/>
      <c r="D24" s="478">
        <f t="shared" si="27"/>
        <v>0</v>
      </c>
      <c r="E24" s="479">
        <f t="shared" si="36"/>
        <v>0</v>
      </c>
      <c r="F24" s="560">
        <f t="shared" si="36"/>
        <v>0</v>
      </c>
      <c r="G24" s="346"/>
      <c r="H24" s="350"/>
      <c r="I24" s="346"/>
      <c r="J24" s="347"/>
      <c r="K24" s="346"/>
      <c r="L24" s="350"/>
      <c r="M24" s="346"/>
      <c r="N24" s="347"/>
      <c r="O24" s="346"/>
      <c r="P24" s="350"/>
      <c r="Q24" s="346"/>
      <c r="R24" s="350"/>
      <c r="S24" s="346"/>
      <c r="T24" s="350"/>
      <c r="U24" s="346"/>
      <c r="V24" s="350"/>
      <c r="W24" s="348"/>
      <c r="X24" s="349"/>
      <c r="Y24" s="346"/>
      <c r="Z24" s="350"/>
      <c r="AA24" s="348"/>
      <c r="AB24" s="349"/>
      <c r="AC24" s="346"/>
      <c r="AD24" s="350"/>
      <c r="AE24" s="348"/>
      <c r="AF24" s="349"/>
      <c r="AG24" s="346"/>
      <c r="AH24" s="350"/>
      <c r="AI24" s="348"/>
      <c r="AJ24" s="349"/>
      <c r="AK24" s="346"/>
      <c r="AL24" s="350"/>
      <c r="AM24" s="348"/>
      <c r="AN24" s="350"/>
      <c r="AO24" s="348"/>
      <c r="AP24" s="352"/>
      <c r="AQ24" s="430"/>
      <c r="AR24" s="369"/>
      <c r="AS24" s="369"/>
      <c r="AT24" s="369"/>
      <c r="AU24" s="369"/>
      <c r="AV24" s="369"/>
      <c r="AW24" s="369"/>
      <c r="AX24" s="347"/>
      <c r="AY24" t="str">
        <f t="shared" si="28"/>
        <v/>
      </c>
      <c r="CA24" s="434" t="str">
        <f t="shared" si="29"/>
        <v/>
      </c>
      <c r="CB24" s="434" t="str">
        <f t="shared" si="30"/>
        <v/>
      </c>
      <c r="CC24" s="434" t="str">
        <f t="shared" si="31"/>
        <v/>
      </c>
      <c r="CD24" s="434" t="str">
        <f t="shared" si="32"/>
        <v/>
      </c>
      <c r="CE24" s="434" t="str">
        <f t="shared" si="18"/>
        <v/>
      </c>
      <c r="CF24" s="434" t="str">
        <f t="shared" si="33"/>
        <v/>
      </c>
      <c r="CG24" s="434" t="str">
        <f t="shared" si="34"/>
        <v/>
      </c>
      <c r="CH24" s="434" t="str">
        <f t="shared" si="35"/>
        <v/>
      </c>
      <c r="CO24" s="435">
        <f t="shared" si="19"/>
        <v>0</v>
      </c>
      <c r="CP24" s="435">
        <f t="shared" si="20"/>
        <v>0</v>
      </c>
      <c r="CQ24" s="435">
        <f t="shared" si="21"/>
        <v>0</v>
      </c>
      <c r="CR24" s="435">
        <f t="shared" si="22"/>
        <v>0</v>
      </c>
      <c r="CS24" s="435">
        <f t="shared" si="23"/>
        <v>0</v>
      </c>
      <c r="CT24" s="435">
        <f t="shared" si="24"/>
        <v>0</v>
      </c>
      <c r="CU24" s="435">
        <f t="shared" si="25"/>
        <v>0</v>
      </c>
      <c r="CV24" s="435">
        <f t="shared" si="26"/>
        <v>0</v>
      </c>
    </row>
    <row r="25" spans="1:100" ht="15" customHeight="1" x14ac:dyDescent="0.3">
      <c r="A25" s="6349" t="s">
        <v>1599</v>
      </c>
      <c r="B25" s="6706"/>
      <c r="C25" s="6350"/>
      <c r="D25" s="478">
        <f t="shared" si="27"/>
        <v>0</v>
      </c>
      <c r="E25" s="479">
        <f t="shared" si="36"/>
        <v>0</v>
      </c>
      <c r="F25" s="560">
        <f t="shared" si="36"/>
        <v>0</v>
      </c>
      <c r="G25" s="346"/>
      <c r="H25" s="350"/>
      <c r="I25" s="346"/>
      <c r="J25" s="347"/>
      <c r="K25" s="346"/>
      <c r="L25" s="350"/>
      <c r="M25" s="346"/>
      <c r="N25" s="347"/>
      <c r="O25" s="346"/>
      <c r="P25" s="350"/>
      <c r="Q25" s="346"/>
      <c r="R25" s="350"/>
      <c r="S25" s="346"/>
      <c r="T25" s="350"/>
      <c r="U25" s="346"/>
      <c r="V25" s="350"/>
      <c r="W25" s="348"/>
      <c r="X25" s="349"/>
      <c r="Y25" s="346"/>
      <c r="Z25" s="350"/>
      <c r="AA25" s="348"/>
      <c r="AB25" s="349"/>
      <c r="AC25" s="346"/>
      <c r="AD25" s="350"/>
      <c r="AE25" s="348"/>
      <c r="AF25" s="349"/>
      <c r="AG25" s="346"/>
      <c r="AH25" s="350"/>
      <c r="AI25" s="348"/>
      <c r="AJ25" s="349"/>
      <c r="AK25" s="346"/>
      <c r="AL25" s="350"/>
      <c r="AM25" s="348"/>
      <c r="AN25" s="350"/>
      <c r="AO25" s="348"/>
      <c r="AP25" s="352"/>
      <c r="AQ25" s="430"/>
      <c r="AR25" s="369"/>
      <c r="AS25" s="369"/>
      <c r="AT25" s="369"/>
      <c r="AU25" s="369"/>
      <c r="AV25" s="369"/>
      <c r="AW25" s="369"/>
      <c r="AX25" s="347"/>
      <c r="AY25" t="str">
        <f t="shared" si="28"/>
        <v/>
      </c>
      <c r="CA25" s="434" t="str">
        <f t="shared" si="29"/>
        <v/>
      </c>
      <c r="CB25" s="434" t="str">
        <f t="shared" si="30"/>
        <v/>
      </c>
      <c r="CC25" s="434" t="str">
        <f t="shared" si="31"/>
        <v/>
      </c>
      <c r="CD25" s="434" t="str">
        <f t="shared" si="32"/>
        <v/>
      </c>
      <c r="CE25" s="434" t="str">
        <f t="shared" si="18"/>
        <v/>
      </c>
      <c r="CF25" s="434" t="str">
        <f t="shared" si="33"/>
        <v/>
      </c>
      <c r="CG25" s="434" t="str">
        <f t="shared" si="34"/>
        <v/>
      </c>
      <c r="CH25" s="434" t="str">
        <f t="shared" si="35"/>
        <v/>
      </c>
      <c r="CO25" s="435">
        <f t="shared" si="19"/>
        <v>0</v>
      </c>
      <c r="CP25" s="435">
        <f t="shared" si="20"/>
        <v>0</v>
      </c>
      <c r="CQ25" s="435">
        <f t="shared" si="21"/>
        <v>0</v>
      </c>
      <c r="CR25" s="435">
        <f t="shared" si="22"/>
        <v>0</v>
      </c>
      <c r="CS25" s="435">
        <f t="shared" si="23"/>
        <v>0</v>
      </c>
      <c r="CT25" s="435">
        <f t="shared" si="24"/>
        <v>0</v>
      </c>
      <c r="CU25" s="435">
        <f t="shared" si="25"/>
        <v>0</v>
      </c>
      <c r="CV25" s="435">
        <f t="shared" si="26"/>
        <v>0</v>
      </c>
    </row>
    <row r="26" spans="1:100" ht="15" customHeight="1" x14ac:dyDescent="0.3">
      <c r="A26" s="6349" t="s">
        <v>1600</v>
      </c>
      <c r="B26" s="6706"/>
      <c r="C26" s="6350"/>
      <c r="D26" s="478">
        <f t="shared" si="27"/>
        <v>0</v>
      </c>
      <c r="E26" s="479">
        <f t="shared" si="36"/>
        <v>0</v>
      </c>
      <c r="F26" s="560">
        <f t="shared" si="36"/>
        <v>0</v>
      </c>
      <c r="G26" s="346"/>
      <c r="H26" s="350"/>
      <c r="I26" s="346"/>
      <c r="J26" s="347"/>
      <c r="K26" s="346"/>
      <c r="L26" s="350"/>
      <c r="M26" s="346"/>
      <c r="N26" s="347"/>
      <c r="O26" s="346"/>
      <c r="P26" s="350"/>
      <c r="Q26" s="346"/>
      <c r="R26" s="350"/>
      <c r="S26" s="346"/>
      <c r="T26" s="350"/>
      <c r="U26" s="346"/>
      <c r="V26" s="350"/>
      <c r="W26" s="348"/>
      <c r="X26" s="349"/>
      <c r="Y26" s="346"/>
      <c r="Z26" s="350"/>
      <c r="AA26" s="348"/>
      <c r="AB26" s="349"/>
      <c r="AC26" s="346"/>
      <c r="AD26" s="350"/>
      <c r="AE26" s="348"/>
      <c r="AF26" s="349"/>
      <c r="AG26" s="346"/>
      <c r="AH26" s="350"/>
      <c r="AI26" s="348"/>
      <c r="AJ26" s="349"/>
      <c r="AK26" s="346"/>
      <c r="AL26" s="350"/>
      <c r="AM26" s="348"/>
      <c r="AN26" s="350"/>
      <c r="AO26" s="348"/>
      <c r="AP26" s="352"/>
      <c r="AQ26" s="430"/>
      <c r="AR26" s="369"/>
      <c r="AS26" s="369"/>
      <c r="AT26" s="369"/>
      <c r="AU26" s="369"/>
      <c r="AV26" s="369"/>
      <c r="AW26" s="369"/>
      <c r="AX26" s="347"/>
      <c r="AY26" t="str">
        <f t="shared" si="28"/>
        <v/>
      </c>
      <c r="CA26" s="434" t="str">
        <f t="shared" si="29"/>
        <v/>
      </c>
      <c r="CB26" s="434" t="str">
        <f t="shared" si="30"/>
        <v/>
      </c>
      <c r="CC26" s="434" t="str">
        <f t="shared" si="31"/>
        <v/>
      </c>
      <c r="CD26" s="434" t="str">
        <f t="shared" si="32"/>
        <v/>
      </c>
      <c r="CE26" s="434" t="str">
        <f t="shared" si="18"/>
        <v/>
      </c>
      <c r="CF26" s="434" t="str">
        <f t="shared" si="33"/>
        <v/>
      </c>
      <c r="CG26" s="434" t="str">
        <f t="shared" si="34"/>
        <v/>
      </c>
      <c r="CH26" s="434" t="str">
        <f t="shared" si="35"/>
        <v/>
      </c>
      <c r="CO26" s="435">
        <f t="shared" si="19"/>
        <v>0</v>
      </c>
      <c r="CP26" s="435">
        <f t="shared" si="20"/>
        <v>0</v>
      </c>
      <c r="CQ26" s="435">
        <f t="shared" si="21"/>
        <v>0</v>
      </c>
      <c r="CR26" s="435">
        <f t="shared" si="22"/>
        <v>0</v>
      </c>
      <c r="CS26" s="435">
        <f t="shared" si="23"/>
        <v>0</v>
      </c>
      <c r="CT26" s="435">
        <f t="shared" si="24"/>
        <v>0</v>
      </c>
      <c r="CU26" s="435">
        <f t="shared" si="25"/>
        <v>0</v>
      </c>
      <c r="CV26" s="435">
        <f t="shared" si="26"/>
        <v>0</v>
      </c>
    </row>
    <row r="27" spans="1:100" ht="15" customHeight="1" x14ac:dyDescent="0.3">
      <c r="A27" s="6349" t="s">
        <v>1601</v>
      </c>
      <c r="B27" s="6706"/>
      <c r="C27" s="6350"/>
      <c r="D27" s="478">
        <f t="shared" si="27"/>
        <v>0</v>
      </c>
      <c r="E27" s="479">
        <f t="shared" si="36"/>
        <v>0</v>
      </c>
      <c r="F27" s="560">
        <f t="shared" si="36"/>
        <v>0</v>
      </c>
      <c r="G27" s="346"/>
      <c r="H27" s="350"/>
      <c r="I27" s="346"/>
      <c r="J27" s="347"/>
      <c r="K27" s="346"/>
      <c r="L27" s="350"/>
      <c r="M27" s="346"/>
      <c r="N27" s="347"/>
      <c r="O27" s="346"/>
      <c r="P27" s="350"/>
      <c r="Q27" s="346"/>
      <c r="R27" s="350"/>
      <c r="S27" s="346"/>
      <c r="T27" s="350"/>
      <c r="U27" s="346"/>
      <c r="V27" s="350"/>
      <c r="W27" s="348"/>
      <c r="X27" s="349"/>
      <c r="Y27" s="346"/>
      <c r="Z27" s="350"/>
      <c r="AA27" s="348"/>
      <c r="AB27" s="349"/>
      <c r="AC27" s="346"/>
      <c r="AD27" s="350"/>
      <c r="AE27" s="348"/>
      <c r="AF27" s="349"/>
      <c r="AG27" s="346"/>
      <c r="AH27" s="350"/>
      <c r="AI27" s="348"/>
      <c r="AJ27" s="349"/>
      <c r="AK27" s="346"/>
      <c r="AL27" s="350"/>
      <c r="AM27" s="348"/>
      <c r="AN27" s="350"/>
      <c r="AO27" s="348"/>
      <c r="AP27" s="352"/>
      <c r="AQ27" s="430"/>
      <c r="AR27" s="369"/>
      <c r="AS27" s="369"/>
      <c r="AT27" s="369"/>
      <c r="AU27" s="369"/>
      <c r="AV27" s="369"/>
      <c r="AW27" s="369"/>
      <c r="AX27" s="347"/>
      <c r="AY27" t="str">
        <f t="shared" si="28"/>
        <v/>
      </c>
      <c r="CA27" s="434" t="str">
        <f t="shared" si="29"/>
        <v/>
      </c>
      <c r="CB27" s="434" t="str">
        <f t="shared" si="30"/>
        <v/>
      </c>
      <c r="CC27" s="434" t="str">
        <f t="shared" si="31"/>
        <v/>
      </c>
      <c r="CD27" s="434" t="str">
        <f t="shared" si="32"/>
        <v/>
      </c>
      <c r="CE27" s="434" t="str">
        <f t="shared" si="18"/>
        <v/>
      </c>
      <c r="CF27" s="434" t="str">
        <f t="shared" si="33"/>
        <v/>
      </c>
      <c r="CG27" s="434" t="str">
        <f t="shared" si="34"/>
        <v/>
      </c>
      <c r="CH27" s="434" t="str">
        <f t="shared" si="35"/>
        <v/>
      </c>
      <c r="CO27" s="435">
        <f t="shared" si="19"/>
        <v>0</v>
      </c>
      <c r="CP27" s="435">
        <f t="shared" si="20"/>
        <v>0</v>
      </c>
      <c r="CQ27" s="435">
        <f t="shared" si="21"/>
        <v>0</v>
      </c>
      <c r="CR27" s="435">
        <f t="shared" si="22"/>
        <v>0</v>
      </c>
      <c r="CS27" s="435">
        <f t="shared" si="23"/>
        <v>0</v>
      </c>
      <c r="CT27" s="435">
        <f t="shared" si="24"/>
        <v>0</v>
      </c>
      <c r="CU27" s="435">
        <f t="shared" si="25"/>
        <v>0</v>
      </c>
      <c r="CV27" s="435">
        <f t="shared" si="26"/>
        <v>0</v>
      </c>
    </row>
    <row r="28" spans="1:100" ht="15" customHeight="1" x14ac:dyDescent="0.3">
      <c r="A28" s="6349" t="s">
        <v>1602</v>
      </c>
      <c r="B28" s="6706"/>
      <c r="C28" s="6350"/>
      <c r="D28" s="3544">
        <f t="shared" si="27"/>
        <v>0</v>
      </c>
      <c r="E28" s="479">
        <f t="shared" si="36"/>
        <v>0</v>
      </c>
      <c r="F28" s="560">
        <f t="shared" si="36"/>
        <v>0</v>
      </c>
      <c r="G28" s="346"/>
      <c r="H28" s="350"/>
      <c r="I28" s="346"/>
      <c r="J28" s="347"/>
      <c r="K28" s="346"/>
      <c r="L28" s="350"/>
      <c r="M28" s="346"/>
      <c r="N28" s="347"/>
      <c r="O28" s="346"/>
      <c r="P28" s="350"/>
      <c r="Q28" s="346"/>
      <c r="R28" s="350"/>
      <c r="S28" s="346"/>
      <c r="T28" s="350"/>
      <c r="U28" s="346"/>
      <c r="V28" s="350"/>
      <c r="W28" s="348"/>
      <c r="X28" s="349"/>
      <c r="Y28" s="346"/>
      <c r="Z28" s="350"/>
      <c r="AA28" s="348"/>
      <c r="AB28" s="349"/>
      <c r="AC28" s="346"/>
      <c r="AD28" s="350"/>
      <c r="AE28" s="348"/>
      <c r="AF28" s="349"/>
      <c r="AG28" s="346"/>
      <c r="AH28" s="350"/>
      <c r="AI28" s="348"/>
      <c r="AJ28" s="349"/>
      <c r="AK28" s="346"/>
      <c r="AL28" s="350"/>
      <c r="AM28" s="348"/>
      <c r="AN28" s="350"/>
      <c r="AO28" s="348"/>
      <c r="AP28" s="352"/>
      <c r="AQ28" s="430"/>
      <c r="AR28" s="369"/>
      <c r="AS28" s="369"/>
      <c r="AT28" s="369"/>
      <c r="AU28" s="369"/>
      <c r="AV28" s="369"/>
      <c r="AW28" s="369"/>
      <c r="AX28" s="347"/>
      <c r="AY28" t="str">
        <f t="shared" si="28"/>
        <v/>
      </c>
      <c r="CA28" s="434" t="str">
        <f t="shared" si="29"/>
        <v/>
      </c>
      <c r="CB28" s="434" t="str">
        <f t="shared" si="30"/>
        <v/>
      </c>
      <c r="CC28" s="434" t="str">
        <f t="shared" si="31"/>
        <v/>
      </c>
      <c r="CD28" s="434" t="str">
        <f t="shared" si="32"/>
        <v/>
      </c>
      <c r="CE28" s="434" t="str">
        <f t="shared" si="18"/>
        <v/>
      </c>
      <c r="CF28" s="434" t="str">
        <f t="shared" si="33"/>
        <v/>
      </c>
      <c r="CG28" s="434" t="str">
        <f t="shared" si="34"/>
        <v/>
      </c>
      <c r="CH28" s="434" t="str">
        <f t="shared" si="35"/>
        <v/>
      </c>
      <c r="CO28" s="435">
        <f t="shared" si="19"/>
        <v>0</v>
      </c>
      <c r="CP28" s="435">
        <f t="shared" si="20"/>
        <v>0</v>
      </c>
      <c r="CQ28" s="435">
        <f t="shared" si="21"/>
        <v>0</v>
      </c>
      <c r="CR28" s="435">
        <f t="shared" si="22"/>
        <v>0</v>
      </c>
      <c r="CS28" s="435">
        <f t="shared" si="23"/>
        <v>0</v>
      </c>
      <c r="CT28" s="435">
        <f t="shared" si="24"/>
        <v>0</v>
      </c>
      <c r="CU28" s="435">
        <f t="shared" si="25"/>
        <v>0</v>
      </c>
      <c r="CV28" s="435">
        <f t="shared" si="26"/>
        <v>0</v>
      </c>
    </row>
    <row r="29" spans="1:100" ht="15" customHeight="1" x14ac:dyDescent="0.3">
      <c r="A29" s="6349" t="s">
        <v>1603</v>
      </c>
      <c r="B29" s="6706"/>
      <c r="C29" s="6350"/>
      <c r="D29" s="3544">
        <f t="shared" si="27"/>
        <v>0</v>
      </c>
      <c r="E29" s="479">
        <f t="shared" si="36"/>
        <v>0</v>
      </c>
      <c r="F29" s="560">
        <f t="shared" si="36"/>
        <v>0</v>
      </c>
      <c r="G29" s="346"/>
      <c r="H29" s="350"/>
      <c r="I29" s="346"/>
      <c r="J29" s="347"/>
      <c r="K29" s="346"/>
      <c r="L29" s="350"/>
      <c r="M29" s="346"/>
      <c r="N29" s="347"/>
      <c r="O29" s="346"/>
      <c r="P29" s="350"/>
      <c r="Q29" s="346"/>
      <c r="R29" s="350"/>
      <c r="S29" s="346"/>
      <c r="T29" s="350"/>
      <c r="U29" s="346"/>
      <c r="V29" s="350"/>
      <c r="W29" s="348"/>
      <c r="X29" s="349"/>
      <c r="Y29" s="346"/>
      <c r="Z29" s="350"/>
      <c r="AA29" s="348"/>
      <c r="AB29" s="349"/>
      <c r="AC29" s="346"/>
      <c r="AD29" s="350"/>
      <c r="AE29" s="348"/>
      <c r="AF29" s="349"/>
      <c r="AG29" s="346"/>
      <c r="AH29" s="350"/>
      <c r="AI29" s="348"/>
      <c r="AJ29" s="349"/>
      <c r="AK29" s="346"/>
      <c r="AL29" s="350"/>
      <c r="AM29" s="348"/>
      <c r="AN29" s="350"/>
      <c r="AO29" s="348"/>
      <c r="AP29" s="352"/>
      <c r="AQ29" s="430"/>
      <c r="AR29" s="369"/>
      <c r="AS29" s="369"/>
      <c r="AT29" s="369"/>
      <c r="AU29" s="369"/>
      <c r="AV29" s="369"/>
      <c r="AW29" s="369"/>
      <c r="AX29" s="347"/>
      <c r="AY29" t="str">
        <f t="shared" si="28"/>
        <v/>
      </c>
      <c r="CA29" s="434" t="str">
        <f t="shared" si="29"/>
        <v/>
      </c>
      <c r="CB29" s="434" t="str">
        <f t="shared" si="30"/>
        <v/>
      </c>
      <c r="CC29" s="434" t="str">
        <f t="shared" si="31"/>
        <v/>
      </c>
      <c r="CD29" s="434" t="str">
        <f t="shared" si="32"/>
        <v/>
      </c>
      <c r="CE29" s="434" t="str">
        <f t="shared" si="18"/>
        <v/>
      </c>
      <c r="CF29" s="434" t="str">
        <f t="shared" si="33"/>
        <v/>
      </c>
      <c r="CG29" s="434" t="str">
        <f t="shared" si="34"/>
        <v/>
      </c>
      <c r="CH29" s="434" t="str">
        <f t="shared" si="35"/>
        <v/>
      </c>
      <c r="CO29" s="435">
        <f t="shared" si="19"/>
        <v>0</v>
      </c>
      <c r="CP29" s="435">
        <f t="shared" si="20"/>
        <v>0</v>
      </c>
      <c r="CQ29" s="435">
        <f t="shared" si="21"/>
        <v>0</v>
      </c>
      <c r="CR29" s="435">
        <f t="shared" si="22"/>
        <v>0</v>
      </c>
      <c r="CS29" s="435">
        <f t="shared" si="23"/>
        <v>0</v>
      </c>
      <c r="CT29" s="435">
        <f t="shared" si="24"/>
        <v>0</v>
      </c>
      <c r="CU29" s="435">
        <f t="shared" si="25"/>
        <v>0</v>
      </c>
      <c r="CV29" s="435">
        <f t="shared" si="26"/>
        <v>0</v>
      </c>
    </row>
    <row r="30" spans="1:100" ht="15" customHeight="1" x14ac:dyDescent="0.3">
      <c r="A30" s="6349" t="s">
        <v>1604</v>
      </c>
      <c r="B30" s="6706"/>
      <c r="C30" s="6350"/>
      <c r="D30" s="478">
        <f>SUM(E30+F30)</f>
        <v>0</v>
      </c>
      <c r="E30" s="479">
        <f t="shared" si="36"/>
        <v>0</v>
      </c>
      <c r="F30" s="560">
        <f t="shared" si="36"/>
        <v>0</v>
      </c>
      <c r="G30" s="346"/>
      <c r="H30" s="350"/>
      <c r="I30" s="346"/>
      <c r="J30" s="347"/>
      <c r="K30" s="346"/>
      <c r="L30" s="350"/>
      <c r="M30" s="346"/>
      <c r="N30" s="347"/>
      <c r="O30" s="346"/>
      <c r="P30" s="350"/>
      <c r="Q30" s="346"/>
      <c r="R30" s="350"/>
      <c r="S30" s="346"/>
      <c r="T30" s="350"/>
      <c r="U30" s="346"/>
      <c r="V30" s="350"/>
      <c r="W30" s="348"/>
      <c r="X30" s="349"/>
      <c r="Y30" s="346"/>
      <c r="Z30" s="350"/>
      <c r="AA30" s="348"/>
      <c r="AB30" s="349"/>
      <c r="AC30" s="346"/>
      <c r="AD30" s="350"/>
      <c r="AE30" s="348"/>
      <c r="AF30" s="349"/>
      <c r="AG30" s="346"/>
      <c r="AH30" s="350"/>
      <c r="AI30" s="348"/>
      <c r="AJ30" s="349"/>
      <c r="AK30" s="346"/>
      <c r="AL30" s="350"/>
      <c r="AM30" s="348"/>
      <c r="AN30" s="350"/>
      <c r="AO30" s="348"/>
      <c r="AP30" s="352"/>
      <c r="AQ30" s="430"/>
      <c r="AR30" s="369"/>
      <c r="AS30" s="369"/>
      <c r="AT30" s="369"/>
      <c r="AU30" s="369"/>
      <c r="AV30" s="369"/>
      <c r="AW30" s="369"/>
      <c r="AX30" s="347"/>
      <c r="AY30" t="str">
        <f t="shared" si="28"/>
        <v/>
      </c>
      <c r="CA30" s="434" t="str">
        <f t="shared" si="29"/>
        <v/>
      </c>
      <c r="CB30" s="434" t="str">
        <f t="shared" si="30"/>
        <v/>
      </c>
      <c r="CC30" s="434" t="str">
        <f t="shared" si="31"/>
        <v/>
      </c>
      <c r="CD30" s="434" t="str">
        <f t="shared" si="32"/>
        <v/>
      </c>
      <c r="CE30" s="434" t="str">
        <f t="shared" si="18"/>
        <v/>
      </c>
      <c r="CF30" s="434" t="str">
        <f t="shared" si="33"/>
        <v/>
      </c>
      <c r="CG30" s="434" t="str">
        <f t="shared" si="34"/>
        <v/>
      </c>
      <c r="CH30" s="434" t="str">
        <f t="shared" si="35"/>
        <v/>
      </c>
      <c r="CO30" s="435">
        <f t="shared" si="19"/>
        <v>0</v>
      </c>
      <c r="CP30" s="435">
        <f t="shared" si="20"/>
        <v>0</v>
      </c>
      <c r="CQ30" s="435">
        <f t="shared" si="21"/>
        <v>0</v>
      </c>
      <c r="CR30" s="435">
        <f t="shared" si="22"/>
        <v>0</v>
      </c>
      <c r="CS30" s="435">
        <f t="shared" si="23"/>
        <v>0</v>
      </c>
      <c r="CT30" s="435">
        <f t="shared" si="24"/>
        <v>0</v>
      </c>
      <c r="CU30" s="435">
        <f t="shared" si="25"/>
        <v>0</v>
      </c>
      <c r="CV30" s="435">
        <f t="shared" si="26"/>
        <v>0</v>
      </c>
    </row>
    <row r="31" spans="1:100" ht="15" customHeight="1" x14ac:dyDescent="0.3">
      <c r="A31" s="6349" t="s">
        <v>1605</v>
      </c>
      <c r="B31" s="6706"/>
      <c r="C31" s="6350"/>
      <c r="D31" s="478">
        <f t="shared" si="27"/>
        <v>0</v>
      </c>
      <c r="E31" s="479">
        <f t="shared" si="36"/>
        <v>0</v>
      </c>
      <c r="F31" s="560">
        <f t="shared" si="36"/>
        <v>0</v>
      </c>
      <c r="G31" s="346"/>
      <c r="H31" s="350"/>
      <c r="I31" s="346"/>
      <c r="J31" s="347"/>
      <c r="K31" s="346"/>
      <c r="L31" s="350"/>
      <c r="M31" s="346"/>
      <c r="N31" s="347"/>
      <c r="O31" s="346"/>
      <c r="P31" s="350"/>
      <c r="Q31" s="346"/>
      <c r="R31" s="350"/>
      <c r="S31" s="346"/>
      <c r="T31" s="350"/>
      <c r="U31" s="346"/>
      <c r="V31" s="350"/>
      <c r="W31" s="348"/>
      <c r="X31" s="349"/>
      <c r="Y31" s="346"/>
      <c r="Z31" s="350"/>
      <c r="AA31" s="348"/>
      <c r="AB31" s="349"/>
      <c r="AC31" s="346"/>
      <c r="AD31" s="350"/>
      <c r="AE31" s="348"/>
      <c r="AF31" s="349"/>
      <c r="AG31" s="346"/>
      <c r="AH31" s="350"/>
      <c r="AI31" s="348"/>
      <c r="AJ31" s="349"/>
      <c r="AK31" s="346"/>
      <c r="AL31" s="350"/>
      <c r="AM31" s="348"/>
      <c r="AN31" s="350"/>
      <c r="AO31" s="348"/>
      <c r="AP31" s="352"/>
      <c r="AQ31" s="430"/>
      <c r="AR31" s="369"/>
      <c r="AS31" s="369"/>
      <c r="AT31" s="369"/>
      <c r="AU31" s="369"/>
      <c r="AV31" s="369"/>
      <c r="AW31" s="369"/>
      <c r="AX31" s="347"/>
      <c r="AY31" t="str">
        <f t="shared" si="28"/>
        <v/>
      </c>
      <c r="CA31" s="434" t="str">
        <f t="shared" si="29"/>
        <v/>
      </c>
      <c r="CB31" s="434" t="str">
        <f t="shared" si="30"/>
        <v/>
      </c>
      <c r="CC31" s="434" t="str">
        <f t="shared" si="31"/>
        <v/>
      </c>
      <c r="CD31" s="434" t="str">
        <f t="shared" si="32"/>
        <v/>
      </c>
      <c r="CE31" s="434" t="str">
        <f t="shared" si="18"/>
        <v/>
      </c>
      <c r="CF31" s="434" t="str">
        <f t="shared" si="33"/>
        <v/>
      </c>
      <c r="CG31" s="434" t="str">
        <f t="shared" si="34"/>
        <v/>
      </c>
      <c r="CH31" s="434" t="str">
        <f t="shared" si="35"/>
        <v/>
      </c>
      <c r="CO31" s="435">
        <f t="shared" si="19"/>
        <v>0</v>
      </c>
      <c r="CP31" s="435">
        <f t="shared" si="20"/>
        <v>0</v>
      </c>
      <c r="CQ31" s="435">
        <f t="shared" si="21"/>
        <v>0</v>
      </c>
      <c r="CR31" s="435">
        <f t="shared" si="22"/>
        <v>0</v>
      </c>
      <c r="CS31" s="435">
        <f t="shared" si="23"/>
        <v>0</v>
      </c>
      <c r="CT31" s="435">
        <f t="shared" si="24"/>
        <v>0</v>
      </c>
      <c r="CU31" s="435">
        <f t="shared" si="25"/>
        <v>0</v>
      </c>
      <c r="CV31" s="435">
        <f t="shared" si="26"/>
        <v>0</v>
      </c>
    </row>
    <row r="32" spans="1:100" ht="15" customHeight="1" x14ac:dyDescent="0.3">
      <c r="A32" s="6349" t="s">
        <v>1606</v>
      </c>
      <c r="B32" s="6706"/>
      <c r="C32" s="6350"/>
      <c r="D32" s="478">
        <f t="shared" si="27"/>
        <v>0</v>
      </c>
      <c r="E32" s="479">
        <f t="shared" si="36"/>
        <v>0</v>
      </c>
      <c r="F32" s="560">
        <f t="shared" si="36"/>
        <v>0</v>
      </c>
      <c r="G32" s="346"/>
      <c r="H32" s="350"/>
      <c r="I32" s="346"/>
      <c r="J32" s="347"/>
      <c r="K32" s="346"/>
      <c r="L32" s="350"/>
      <c r="M32" s="346"/>
      <c r="N32" s="347"/>
      <c r="O32" s="346"/>
      <c r="P32" s="350"/>
      <c r="Q32" s="346"/>
      <c r="R32" s="350"/>
      <c r="S32" s="346"/>
      <c r="T32" s="350"/>
      <c r="U32" s="346"/>
      <c r="V32" s="350"/>
      <c r="W32" s="348"/>
      <c r="X32" s="349"/>
      <c r="Y32" s="346"/>
      <c r="Z32" s="350"/>
      <c r="AA32" s="348"/>
      <c r="AB32" s="349"/>
      <c r="AC32" s="346"/>
      <c r="AD32" s="350"/>
      <c r="AE32" s="348"/>
      <c r="AF32" s="349"/>
      <c r="AG32" s="346"/>
      <c r="AH32" s="350"/>
      <c r="AI32" s="348"/>
      <c r="AJ32" s="349"/>
      <c r="AK32" s="346"/>
      <c r="AL32" s="350"/>
      <c r="AM32" s="348"/>
      <c r="AN32" s="350"/>
      <c r="AO32" s="348"/>
      <c r="AP32" s="352"/>
      <c r="AQ32" s="430"/>
      <c r="AR32" s="369"/>
      <c r="AS32" s="369"/>
      <c r="AT32" s="369"/>
      <c r="AU32" s="369"/>
      <c r="AV32" s="369"/>
      <c r="AW32" s="369"/>
      <c r="AX32" s="347"/>
      <c r="AY32" t="str">
        <f t="shared" si="28"/>
        <v/>
      </c>
      <c r="CA32" s="434" t="str">
        <f t="shared" si="29"/>
        <v/>
      </c>
      <c r="CB32" s="434" t="str">
        <f t="shared" si="30"/>
        <v/>
      </c>
      <c r="CC32" s="434" t="str">
        <f t="shared" si="31"/>
        <v/>
      </c>
      <c r="CD32" s="434" t="str">
        <f t="shared" si="32"/>
        <v/>
      </c>
      <c r="CE32" s="434" t="str">
        <f t="shared" si="18"/>
        <v/>
      </c>
      <c r="CF32" s="434" t="str">
        <f t="shared" si="33"/>
        <v/>
      </c>
      <c r="CG32" s="434" t="str">
        <f t="shared" si="34"/>
        <v/>
      </c>
      <c r="CH32" s="434" t="str">
        <f t="shared" si="35"/>
        <v/>
      </c>
      <c r="CO32" s="435">
        <f t="shared" si="19"/>
        <v>0</v>
      </c>
      <c r="CP32" s="435">
        <f t="shared" si="20"/>
        <v>0</v>
      </c>
      <c r="CQ32" s="435">
        <f t="shared" si="21"/>
        <v>0</v>
      </c>
      <c r="CR32" s="435">
        <f t="shared" si="22"/>
        <v>0</v>
      </c>
      <c r="CS32" s="435">
        <f t="shared" si="23"/>
        <v>0</v>
      </c>
      <c r="CT32" s="435">
        <f t="shared" si="24"/>
        <v>0</v>
      </c>
      <c r="CU32" s="435">
        <f t="shared" si="25"/>
        <v>0</v>
      </c>
      <c r="CV32" s="435">
        <f t="shared" si="26"/>
        <v>0</v>
      </c>
    </row>
    <row r="33" spans="1:100" ht="15" customHeight="1" x14ac:dyDescent="0.3">
      <c r="A33" s="6349" t="s">
        <v>1607</v>
      </c>
      <c r="B33" s="6706"/>
      <c r="C33" s="6350"/>
      <c r="D33" s="478">
        <f t="shared" si="27"/>
        <v>0</v>
      </c>
      <c r="E33" s="479">
        <f t="shared" si="36"/>
        <v>0</v>
      </c>
      <c r="F33" s="560">
        <f t="shared" si="36"/>
        <v>0</v>
      </c>
      <c r="G33" s="346"/>
      <c r="H33" s="350"/>
      <c r="I33" s="346"/>
      <c r="J33" s="347"/>
      <c r="K33" s="346"/>
      <c r="L33" s="350"/>
      <c r="M33" s="346"/>
      <c r="N33" s="347"/>
      <c r="O33" s="346"/>
      <c r="P33" s="350"/>
      <c r="Q33" s="346"/>
      <c r="R33" s="350"/>
      <c r="S33" s="346"/>
      <c r="T33" s="350"/>
      <c r="U33" s="346"/>
      <c r="V33" s="350"/>
      <c r="W33" s="348"/>
      <c r="X33" s="349"/>
      <c r="Y33" s="346"/>
      <c r="Z33" s="350"/>
      <c r="AA33" s="348"/>
      <c r="AB33" s="349"/>
      <c r="AC33" s="346"/>
      <c r="AD33" s="350"/>
      <c r="AE33" s="348"/>
      <c r="AF33" s="349"/>
      <c r="AG33" s="346"/>
      <c r="AH33" s="350"/>
      <c r="AI33" s="348"/>
      <c r="AJ33" s="349"/>
      <c r="AK33" s="346"/>
      <c r="AL33" s="350"/>
      <c r="AM33" s="348"/>
      <c r="AN33" s="350"/>
      <c r="AO33" s="348"/>
      <c r="AP33" s="352"/>
      <c r="AQ33" s="430"/>
      <c r="AR33" s="369"/>
      <c r="AS33" s="369"/>
      <c r="AT33" s="369"/>
      <c r="AU33" s="369"/>
      <c r="AV33" s="369"/>
      <c r="AW33" s="369"/>
      <c r="AX33" s="347"/>
      <c r="AY33" t="str">
        <f t="shared" si="28"/>
        <v/>
      </c>
      <c r="CA33" s="434" t="str">
        <f t="shared" si="29"/>
        <v/>
      </c>
      <c r="CB33" s="434" t="str">
        <f t="shared" si="30"/>
        <v/>
      </c>
      <c r="CC33" s="434" t="str">
        <f t="shared" si="31"/>
        <v/>
      </c>
      <c r="CD33" s="434" t="str">
        <f t="shared" si="32"/>
        <v/>
      </c>
      <c r="CE33" s="434" t="str">
        <f t="shared" si="18"/>
        <v/>
      </c>
      <c r="CF33" s="434" t="str">
        <f t="shared" si="33"/>
        <v/>
      </c>
      <c r="CG33" s="434" t="str">
        <f t="shared" si="34"/>
        <v/>
      </c>
      <c r="CH33" s="434" t="str">
        <f t="shared" si="35"/>
        <v/>
      </c>
      <c r="CO33" s="435">
        <f t="shared" si="19"/>
        <v>0</v>
      </c>
      <c r="CP33" s="435">
        <f t="shared" si="20"/>
        <v>0</v>
      </c>
      <c r="CQ33" s="435">
        <f t="shared" si="21"/>
        <v>0</v>
      </c>
      <c r="CR33" s="435">
        <f t="shared" si="22"/>
        <v>0</v>
      </c>
      <c r="CS33" s="435">
        <f t="shared" si="23"/>
        <v>0</v>
      </c>
      <c r="CT33" s="435">
        <f t="shared" si="24"/>
        <v>0</v>
      </c>
      <c r="CU33" s="435">
        <f t="shared" si="25"/>
        <v>0</v>
      </c>
      <c r="CV33" s="435">
        <f t="shared" si="26"/>
        <v>0</v>
      </c>
    </row>
    <row r="34" spans="1:100" ht="15" customHeight="1" x14ac:dyDescent="0.3">
      <c r="A34" s="6349" t="s">
        <v>1608</v>
      </c>
      <c r="B34" s="6706"/>
      <c r="C34" s="6350"/>
      <c r="D34" s="478">
        <f>SUM(E34+F34)</f>
        <v>0</v>
      </c>
      <c r="E34" s="479">
        <f>SUM(U34+W34+Y34+AA34+AC34+AE34+AG34+AI34+AK34+AM34+AO34)</f>
        <v>0</v>
      </c>
      <c r="F34" s="560">
        <f>SUM(V34+X34+Z34+AB34+AD34+AF34+AH34+AJ34+AL34+AN34+AP34)</f>
        <v>0</v>
      </c>
      <c r="G34" s="634"/>
      <c r="H34" s="847"/>
      <c r="I34" s="634"/>
      <c r="J34" s="368"/>
      <c r="K34" s="634"/>
      <c r="L34" s="847"/>
      <c r="M34" s="634"/>
      <c r="N34" s="368"/>
      <c r="O34" s="634"/>
      <c r="P34" s="847"/>
      <c r="Q34" s="634"/>
      <c r="R34" s="847"/>
      <c r="S34" s="634"/>
      <c r="T34" s="847"/>
      <c r="U34" s="346"/>
      <c r="V34" s="350"/>
      <c r="W34" s="348"/>
      <c r="X34" s="349"/>
      <c r="Y34" s="346"/>
      <c r="Z34" s="350"/>
      <c r="AA34" s="348"/>
      <c r="AB34" s="349"/>
      <c r="AC34" s="346"/>
      <c r="AD34" s="350"/>
      <c r="AE34" s="348"/>
      <c r="AF34" s="349"/>
      <c r="AG34" s="346"/>
      <c r="AH34" s="350"/>
      <c r="AI34" s="348"/>
      <c r="AJ34" s="349"/>
      <c r="AK34" s="346"/>
      <c r="AL34" s="350"/>
      <c r="AM34" s="348"/>
      <c r="AN34" s="350"/>
      <c r="AO34" s="348"/>
      <c r="AP34" s="352"/>
      <c r="AQ34" s="430"/>
      <c r="AR34" s="369"/>
      <c r="AS34" s="369"/>
      <c r="AT34" s="369"/>
      <c r="AU34" s="369"/>
      <c r="AV34" s="369"/>
      <c r="AW34" s="369"/>
      <c r="AX34" s="347"/>
      <c r="AY34" t="str">
        <f t="shared" si="28"/>
        <v/>
      </c>
      <c r="CA34" s="434" t="str">
        <f t="shared" si="29"/>
        <v/>
      </c>
      <c r="CB34" s="434" t="str">
        <f t="shared" si="30"/>
        <v/>
      </c>
      <c r="CC34" s="434" t="str">
        <f t="shared" si="31"/>
        <v/>
      </c>
      <c r="CD34" s="434" t="str">
        <f t="shared" si="32"/>
        <v/>
      </c>
      <c r="CE34" s="434" t="str">
        <f t="shared" si="18"/>
        <v/>
      </c>
      <c r="CF34" s="434" t="str">
        <f t="shared" si="33"/>
        <v/>
      </c>
      <c r="CG34" s="434" t="str">
        <f t="shared" si="34"/>
        <v/>
      </c>
      <c r="CH34" s="434" t="str">
        <f t="shared" si="35"/>
        <v/>
      </c>
      <c r="CO34" s="435">
        <f t="shared" si="19"/>
        <v>0</v>
      </c>
      <c r="CP34" s="435">
        <f t="shared" si="20"/>
        <v>0</v>
      </c>
      <c r="CQ34" s="435">
        <f t="shared" si="21"/>
        <v>0</v>
      </c>
      <c r="CR34" s="435">
        <f t="shared" si="22"/>
        <v>0</v>
      </c>
      <c r="CS34" s="435">
        <f t="shared" si="23"/>
        <v>0</v>
      </c>
      <c r="CT34" s="435">
        <f t="shared" si="24"/>
        <v>0</v>
      </c>
      <c r="CU34" s="435">
        <f t="shared" si="25"/>
        <v>0</v>
      </c>
      <c r="CV34" s="435">
        <f t="shared" si="26"/>
        <v>0</v>
      </c>
    </row>
    <row r="35" spans="1:100" ht="15" customHeight="1" x14ac:dyDescent="0.3">
      <c r="A35" s="6349" t="s">
        <v>1609</v>
      </c>
      <c r="B35" s="6706"/>
      <c r="C35" s="6350"/>
      <c r="D35" s="478">
        <f>SUM(E35+F35)</f>
        <v>0</v>
      </c>
      <c r="E35" s="479">
        <f t="shared" ref="E35:F38" si="37">SUM(G35+I35+K35+M35+O35+Q35+S35+U35+W35+Y35+AA35+AC35+AE35+AG35+AI35+AK35+AM35+AO35)</f>
        <v>0</v>
      </c>
      <c r="F35" s="560">
        <f t="shared" si="37"/>
        <v>0</v>
      </c>
      <c r="G35" s="346"/>
      <c r="H35" s="350"/>
      <c r="I35" s="346"/>
      <c r="J35" s="347"/>
      <c r="K35" s="346"/>
      <c r="L35" s="350"/>
      <c r="M35" s="346"/>
      <c r="N35" s="347"/>
      <c r="O35" s="346"/>
      <c r="P35" s="350"/>
      <c r="Q35" s="346"/>
      <c r="R35" s="350"/>
      <c r="S35" s="346"/>
      <c r="T35" s="350"/>
      <c r="U35" s="346"/>
      <c r="V35" s="350"/>
      <c r="W35" s="348"/>
      <c r="X35" s="349"/>
      <c r="Y35" s="346"/>
      <c r="Z35" s="350"/>
      <c r="AA35" s="348"/>
      <c r="AB35" s="349"/>
      <c r="AC35" s="346"/>
      <c r="AD35" s="350"/>
      <c r="AE35" s="348"/>
      <c r="AF35" s="349"/>
      <c r="AG35" s="346"/>
      <c r="AH35" s="350"/>
      <c r="AI35" s="348"/>
      <c r="AJ35" s="349"/>
      <c r="AK35" s="346"/>
      <c r="AL35" s="350"/>
      <c r="AM35" s="348"/>
      <c r="AN35" s="350"/>
      <c r="AO35" s="348"/>
      <c r="AP35" s="352"/>
      <c r="AQ35" s="430"/>
      <c r="AR35" s="369"/>
      <c r="AS35" s="369"/>
      <c r="AT35" s="369"/>
      <c r="AU35" s="369"/>
      <c r="AV35" s="369"/>
      <c r="AW35" s="369"/>
      <c r="AX35" s="347"/>
      <c r="AY35" t="str">
        <f t="shared" si="28"/>
        <v/>
      </c>
      <c r="CA35" s="434" t="str">
        <f t="shared" si="29"/>
        <v/>
      </c>
      <c r="CB35" s="434" t="str">
        <f t="shared" si="30"/>
        <v/>
      </c>
      <c r="CC35" s="434" t="str">
        <f t="shared" si="31"/>
        <v/>
      </c>
      <c r="CD35" s="434" t="str">
        <f t="shared" si="32"/>
        <v/>
      </c>
      <c r="CE35" s="434" t="str">
        <f t="shared" si="18"/>
        <v/>
      </c>
      <c r="CF35" s="434" t="str">
        <f t="shared" si="33"/>
        <v/>
      </c>
      <c r="CG35" s="434" t="str">
        <f t="shared" si="34"/>
        <v/>
      </c>
      <c r="CH35" s="434" t="str">
        <f t="shared" si="35"/>
        <v/>
      </c>
      <c r="CO35" s="435">
        <f t="shared" si="19"/>
        <v>0</v>
      </c>
      <c r="CP35" s="435">
        <f t="shared" si="20"/>
        <v>0</v>
      </c>
      <c r="CQ35" s="435">
        <f t="shared" si="21"/>
        <v>0</v>
      </c>
      <c r="CR35" s="435">
        <f t="shared" si="22"/>
        <v>0</v>
      </c>
      <c r="CS35" s="435">
        <f t="shared" si="23"/>
        <v>0</v>
      </c>
      <c r="CT35" s="435">
        <f t="shared" si="24"/>
        <v>0</v>
      </c>
      <c r="CU35" s="435">
        <f t="shared" si="25"/>
        <v>0</v>
      </c>
      <c r="CV35" s="435">
        <f t="shared" si="26"/>
        <v>0</v>
      </c>
    </row>
    <row r="36" spans="1:100" ht="15" customHeight="1" x14ac:dyDescent="0.3">
      <c r="A36" s="6349" t="s">
        <v>1610</v>
      </c>
      <c r="B36" s="6706"/>
      <c r="C36" s="6350"/>
      <c r="D36" s="478">
        <f>SUM(E36+F36)</f>
        <v>0</v>
      </c>
      <c r="E36" s="479">
        <f>SUM(G36+I36+K36+M36+O36+Q36+S36+U36+W36+Y36+AA36+AC36+AE36+AG36+AI36+AK36+AM36+AO36)</f>
        <v>0</v>
      </c>
      <c r="F36" s="560">
        <f>SUM(H36+J36+L36+N36+P36+R36+T36+V36+X36+Z36+AB36+AD36+AF36+AH36+AJ36+AL36+AN36+AP36)</f>
        <v>0</v>
      </c>
      <c r="G36" s="346"/>
      <c r="H36" s="350"/>
      <c r="I36" s="346"/>
      <c r="J36" s="347"/>
      <c r="K36" s="346"/>
      <c r="L36" s="350"/>
      <c r="M36" s="346"/>
      <c r="N36" s="347"/>
      <c r="O36" s="346"/>
      <c r="P36" s="350"/>
      <c r="Q36" s="346"/>
      <c r="R36" s="350"/>
      <c r="S36" s="346"/>
      <c r="T36" s="350"/>
      <c r="U36" s="346"/>
      <c r="V36" s="350"/>
      <c r="W36" s="348"/>
      <c r="X36" s="349"/>
      <c r="Y36" s="346"/>
      <c r="Z36" s="350"/>
      <c r="AA36" s="348"/>
      <c r="AB36" s="349"/>
      <c r="AC36" s="346"/>
      <c r="AD36" s="350"/>
      <c r="AE36" s="348"/>
      <c r="AF36" s="349"/>
      <c r="AG36" s="346"/>
      <c r="AH36" s="350"/>
      <c r="AI36" s="348"/>
      <c r="AJ36" s="349"/>
      <c r="AK36" s="346"/>
      <c r="AL36" s="350"/>
      <c r="AM36" s="348"/>
      <c r="AN36" s="350"/>
      <c r="AO36" s="348"/>
      <c r="AP36" s="352"/>
      <c r="AQ36" s="430"/>
      <c r="AR36" s="369"/>
      <c r="AS36" s="369"/>
      <c r="AT36" s="369"/>
      <c r="AU36" s="369"/>
      <c r="AV36" s="369"/>
      <c r="AW36" s="369"/>
      <c r="AX36" s="347"/>
      <c r="AY36" t="str">
        <f t="shared" si="28"/>
        <v/>
      </c>
      <c r="CA36" s="434" t="str">
        <f t="shared" si="29"/>
        <v/>
      </c>
      <c r="CB36" s="434" t="str">
        <f t="shared" si="30"/>
        <v/>
      </c>
      <c r="CC36" s="434" t="str">
        <f t="shared" si="31"/>
        <v/>
      </c>
      <c r="CD36" s="434" t="str">
        <f t="shared" si="32"/>
        <v/>
      </c>
      <c r="CE36" s="434" t="str">
        <f t="shared" si="18"/>
        <v/>
      </c>
      <c r="CF36" s="434" t="str">
        <f t="shared" si="33"/>
        <v/>
      </c>
      <c r="CG36" s="434" t="str">
        <f t="shared" si="34"/>
        <v/>
      </c>
      <c r="CH36" s="434" t="str">
        <f t="shared" si="35"/>
        <v/>
      </c>
      <c r="CO36" s="435">
        <f t="shared" si="19"/>
        <v>0</v>
      </c>
      <c r="CP36" s="435">
        <f t="shared" si="20"/>
        <v>0</v>
      </c>
      <c r="CQ36" s="435">
        <f t="shared" si="21"/>
        <v>0</v>
      </c>
      <c r="CR36" s="435">
        <f t="shared" si="22"/>
        <v>0</v>
      </c>
      <c r="CS36" s="435">
        <f t="shared" si="23"/>
        <v>0</v>
      </c>
      <c r="CT36" s="435">
        <f t="shared" si="24"/>
        <v>0</v>
      </c>
      <c r="CU36" s="435">
        <f t="shared" si="25"/>
        <v>0</v>
      </c>
      <c r="CV36" s="435">
        <f t="shared" si="26"/>
        <v>0</v>
      </c>
    </row>
    <row r="37" spans="1:100" ht="15" customHeight="1" x14ac:dyDescent="0.3">
      <c r="A37" s="6717" t="s">
        <v>1611</v>
      </c>
      <c r="B37" s="6718"/>
      <c r="C37" s="6719"/>
      <c r="D37" s="478">
        <f t="shared" si="27"/>
        <v>0</v>
      </c>
      <c r="E37" s="479">
        <f t="shared" si="37"/>
        <v>0</v>
      </c>
      <c r="F37" s="560">
        <f t="shared" si="37"/>
        <v>0</v>
      </c>
      <c r="G37" s="346"/>
      <c r="H37" s="350"/>
      <c r="I37" s="346"/>
      <c r="J37" s="347"/>
      <c r="K37" s="346"/>
      <c r="L37" s="350"/>
      <c r="M37" s="346"/>
      <c r="N37" s="347"/>
      <c r="O37" s="346"/>
      <c r="P37" s="350"/>
      <c r="Q37" s="346"/>
      <c r="R37" s="350"/>
      <c r="S37" s="346"/>
      <c r="T37" s="350"/>
      <c r="U37" s="346"/>
      <c r="V37" s="350"/>
      <c r="W37" s="348"/>
      <c r="X37" s="349"/>
      <c r="Y37" s="346"/>
      <c r="Z37" s="350"/>
      <c r="AA37" s="348"/>
      <c r="AB37" s="349"/>
      <c r="AC37" s="346"/>
      <c r="AD37" s="350"/>
      <c r="AE37" s="348"/>
      <c r="AF37" s="349"/>
      <c r="AG37" s="346"/>
      <c r="AH37" s="350"/>
      <c r="AI37" s="348"/>
      <c r="AJ37" s="349"/>
      <c r="AK37" s="346"/>
      <c r="AL37" s="350"/>
      <c r="AM37" s="348"/>
      <c r="AN37" s="350"/>
      <c r="AO37" s="348"/>
      <c r="AP37" s="352"/>
      <c r="AQ37" s="430"/>
      <c r="AR37" s="369"/>
      <c r="AS37" s="369"/>
      <c r="AT37" s="369"/>
      <c r="AU37" s="369"/>
      <c r="AV37" s="369"/>
      <c r="AW37" s="369"/>
      <c r="AX37" s="347"/>
      <c r="AY37" t="str">
        <f t="shared" si="28"/>
        <v/>
      </c>
      <c r="CA37" s="434" t="str">
        <f t="shared" si="29"/>
        <v/>
      </c>
      <c r="CB37" s="434" t="str">
        <f t="shared" si="30"/>
        <v/>
      </c>
      <c r="CC37" s="434" t="str">
        <f t="shared" si="31"/>
        <v/>
      </c>
      <c r="CD37" s="434" t="str">
        <f t="shared" si="32"/>
        <v/>
      </c>
      <c r="CE37" s="434" t="str">
        <f t="shared" si="18"/>
        <v/>
      </c>
      <c r="CF37" s="434" t="str">
        <f t="shared" si="33"/>
        <v/>
      </c>
      <c r="CG37" s="434" t="str">
        <f t="shared" si="34"/>
        <v/>
      </c>
      <c r="CH37" s="434" t="str">
        <f t="shared" si="35"/>
        <v/>
      </c>
      <c r="CO37" s="435">
        <f t="shared" si="19"/>
        <v>0</v>
      </c>
      <c r="CP37" s="435">
        <f t="shared" si="20"/>
        <v>0</v>
      </c>
      <c r="CQ37" s="435">
        <f t="shared" si="21"/>
        <v>0</v>
      </c>
      <c r="CR37" s="435">
        <f t="shared" si="22"/>
        <v>0</v>
      </c>
      <c r="CS37" s="435">
        <f t="shared" si="23"/>
        <v>0</v>
      </c>
      <c r="CT37" s="435">
        <f t="shared" si="24"/>
        <v>0</v>
      </c>
      <c r="CU37" s="435">
        <f t="shared" si="25"/>
        <v>0</v>
      </c>
      <c r="CV37" s="435">
        <f t="shared" si="26"/>
        <v>0</v>
      </c>
    </row>
    <row r="38" spans="1:100" ht="15" customHeight="1" x14ac:dyDescent="0.3">
      <c r="A38" s="3546" t="s">
        <v>1612</v>
      </c>
      <c r="B38" s="3547"/>
      <c r="C38" s="3548"/>
      <c r="D38" s="483">
        <f t="shared" ref="D38" si="38">SUM(E38+F38)</f>
        <v>0</v>
      </c>
      <c r="E38" s="484">
        <f t="shared" si="37"/>
        <v>0</v>
      </c>
      <c r="F38" s="563">
        <f t="shared" si="37"/>
        <v>0</v>
      </c>
      <c r="G38" s="380"/>
      <c r="H38" s="388"/>
      <c r="I38" s="380"/>
      <c r="J38" s="388"/>
      <c r="K38" s="380"/>
      <c r="L38" s="388"/>
      <c r="M38" s="380"/>
      <c r="N38" s="388"/>
      <c r="O38" s="380"/>
      <c r="P38" s="388"/>
      <c r="Q38" s="380"/>
      <c r="R38" s="388"/>
      <c r="S38" s="380"/>
      <c r="T38" s="388"/>
      <c r="U38" s="380"/>
      <c r="V38" s="388"/>
      <c r="W38" s="429"/>
      <c r="X38" s="564"/>
      <c r="Y38" s="380"/>
      <c r="Z38" s="388"/>
      <c r="AA38" s="429"/>
      <c r="AB38" s="564"/>
      <c r="AC38" s="380"/>
      <c r="AD38" s="388"/>
      <c r="AE38" s="429"/>
      <c r="AF38" s="564"/>
      <c r="AG38" s="380"/>
      <c r="AH38" s="388"/>
      <c r="AI38" s="429"/>
      <c r="AJ38" s="564"/>
      <c r="AK38" s="380"/>
      <c r="AL38" s="388"/>
      <c r="AM38" s="429"/>
      <c r="AN38" s="388"/>
      <c r="AO38" s="429"/>
      <c r="AP38" s="392"/>
      <c r="AQ38" s="379"/>
      <c r="AR38" s="2911"/>
      <c r="AS38" s="2911"/>
      <c r="AT38" s="2911"/>
      <c r="AU38" s="2911"/>
      <c r="AV38" s="2911"/>
      <c r="AW38" s="2911"/>
      <c r="AX38" s="388"/>
      <c r="AY38" t="str">
        <f>CA38&amp;CB38&amp;CC38&amp;CD38&amp;CE38&amp;CF38&amp;CG38&amp;CH38</f>
        <v/>
      </c>
      <c r="CA38" s="434" t="str">
        <f t="shared" si="29"/>
        <v/>
      </c>
      <c r="CB38" s="434" t="str">
        <f t="shared" si="30"/>
        <v/>
      </c>
      <c r="CC38" s="434" t="str">
        <f t="shared" si="31"/>
        <v/>
      </c>
      <c r="CD38" s="434" t="str">
        <f t="shared" si="32"/>
        <v/>
      </c>
      <c r="CE38" s="434" t="str">
        <f>IF(AND(D38&gt;0,AU38="")," * No olvide digitar la variable Usuarios con Discapacidad. Digite Cero si no tiene.",IF(AU38&gt;$D38," * La variable Usuarios con Discapacidad No puede ser mayor al Total Ambos Sexos.",""))</f>
        <v/>
      </c>
      <c r="CF38" s="434" t="str">
        <f t="shared" si="33"/>
        <v/>
      </c>
      <c r="CG38" s="434" t="str">
        <f t="shared" si="34"/>
        <v/>
      </c>
      <c r="CH38" s="434" t="str">
        <f t="shared" si="35"/>
        <v/>
      </c>
      <c r="CO38" s="435">
        <f t="shared" si="19"/>
        <v>0</v>
      </c>
      <c r="CP38" s="435">
        <f t="shared" si="20"/>
        <v>0</v>
      </c>
      <c r="CQ38" s="435">
        <f t="shared" si="21"/>
        <v>0</v>
      </c>
      <c r="CR38" s="435">
        <f t="shared" si="22"/>
        <v>0</v>
      </c>
      <c r="CS38" s="435">
        <f t="shared" si="23"/>
        <v>0</v>
      </c>
      <c r="CT38" s="435">
        <f t="shared" si="24"/>
        <v>0</v>
      </c>
      <c r="CU38" s="435">
        <f t="shared" si="25"/>
        <v>0</v>
      </c>
      <c r="CV38" s="435">
        <f t="shared" si="26"/>
        <v>0</v>
      </c>
    </row>
    <row r="39" spans="1:100" x14ac:dyDescent="0.3">
      <c r="A39" s="6660" t="s">
        <v>1613</v>
      </c>
      <c r="B39" s="6660"/>
      <c r="C39" s="6660"/>
      <c r="D39" s="3549">
        <f>SUM(D21:D38)</f>
        <v>0</v>
      </c>
      <c r="E39" s="3550">
        <f>SUM(E21:E38)</f>
        <v>0</v>
      </c>
      <c r="F39" s="615">
        <f t="shared" ref="F39:AX39" si="39">SUM(F21:F38)</f>
        <v>0</v>
      </c>
      <c r="G39" s="3549">
        <f t="shared" si="39"/>
        <v>0</v>
      </c>
      <c r="H39" s="615">
        <f t="shared" si="39"/>
        <v>0</v>
      </c>
      <c r="I39" s="3549">
        <f t="shared" si="39"/>
        <v>0</v>
      </c>
      <c r="J39" s="615">
        <f t="shared" si="39"/>
        <v>0</v>
      </c>
      <c r="K39" s="3549">
        <f t="shared" si="39"/>
        <v>0</v>
      </c>
      <c r="L39" s="615">
        <f t="shared" si="39"/>
        <v>0</v>
      </c>
      <c r="M39" s="3549">
        <f t="shared" si="39"/>
        <v>0</v>
      </c>
      <c r="N39" s="615">
        <f t="shared" si="39"/>
        <v>0</v>
      </c>
      <c r="O39" s="3549">
        <f t="shared" si="39"/>
        <v>0</v>
      </c>
      <c r="P39" s="615">
        <f t="shared" si="39"/>
        <v>0</v>
      </c>
      <c r="Q39" s="3549">
        <f t="shared" si="39"/>
        <v>0</v>
      </c>
      <c r="R39" s="615">
        <f t="shared" si="39"/>
        <v>0</v>
      </c>
      <c r="S39" s="3549">
        <f t="shared" si="39"/>
        <v>0</v>
      </c>
      <c r="T39" s="615">
        <f t="shared" si="39"/>
        <v>0</v>
      </c>
      <c r="U39" s="3549">
        <f t="shared" si="39"/>
        <v>0</v>
      </c>
      <c r="V39" s="615">
        <f t="shared" si="39"/>
        <v>0</v>
      </c>
      <c r="W39" s="3549">
        <f t="shared" si="39"/>
        <v>0</v>
      </c>
      <c r="X39" s="615">
        <f t="shared" si="39"/>
        <v>0</v>
      </c>
      <c r="Y39" s="3549">
        <f t="shared" si="39"/>
        <v>0</v>
      </c>
      <c r="Z39" s="615">
        <f t="shared" si="39"/>
        <v>0</v>
      </c>
      <c r="AA39" s="3549">
        <f t="shared" si="39"/>
        <v>0</v>
      </c>
      <c r="AB39" s="615">
        <f t="shared" si="39"/>
        <v>0</v>
      </c>
      <c r="AC39" s="3549">
        <f t="shared" si="39"/>
        <v>0</v>
      </c>
      <c r="AD39" s="615">
        <f t="shared" si="39"/>
        <v>0</v>
      </c>
      <c r="AE39" s="3549">
        <f t="shared" si="39"/>
        <v>0</v>
      </c>
      <c r="AF39" s="615">
        <f t="shared" si="39"/>
        <v>0</v>
      </c>
      <c r="AG39" s="3549">
        <f t="shared" si="39"/>
        <v>0</v>
      </c>
      <c r="AH39" s="615">
        <f t="shared" si="39"/>
        <v>0</v>
      </c>
      <c r="AI39" s="3549">
        <f t="shared" si="39"/>
        <v>0</v>
      </c>
      <c r="AJ39" s="615">
        <f t="shared" si="39"/>
        <v>0</v>
      </c>
      <c r="AK39" s="3549">
        <f t="shared" si="39"/>
        <v>0</v>
      </c>
      <c r="AL39" s="615">
        <f t="shared" si="39"/>
        <v>0</v>
      </c>
      <c r="AM39" s="3549">
        <f t="shared" si="39"/>
        <v>0</v>
      </c>
      <c r="AN39" s="615">
        <f t="shared" si="39"/>
        <v>0</v>
      </c>
      <c r="AO39" s="3549">
        <f t="shared" si="39"/>
        <v>0</v>
      </c>
      <c r="AP39" s="615">
        <f t="shared" si="39"/>
        <v>0</v>
      </c>
      <c r="AQ39" s="3549">
        <f t="shared" si="39"/>
        <v>0</v>
      </c>
      <c r="AR39" s="615">
        <f t="shared" si="39"/>
        <v>0</v>
      </c>
      <c r="AS39" s="3549">
        <f t="shared" si="39"/>
        <v>0</v>
      </c>
      <c r="AT39" s="615">
        <f t="shared" si="39"/>
        <v>0</v>
      </c>
      <c r="AU39" s="3549">
        <f t="shared" si="39"/>
        <v>0</v>
      </c>
      <c r="AV39" s="615">
        <f t="shared" si="39"/>
        <v>0</v>
      </c>
      <c r="AW39" s="3549">
        <f t="shared" si="39"/>
        <v>0</v>
      </c>
      <c r="AX39" s="615">
        <f t="shared" si="39"/>
        <v>0</v>
      </c>
    </row>
    <row r="40" spans="1:100" ht="18" customHeight="1" x14ac:dyDescent="0.3">
      <c r="A40" s="3" t="s">
        <v>4341</v>
      </c>
      <c r="B40" s="3551"/>
      <c r="C40" s="3551"/>
      <c r="D40" s="4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3552"/>
      <c r="AS40" s="3552"/>
      <c r="AT40" s="3552"/>
      <c r="AU40" s="88"/>
      <c r="AV40" s="88"/>
      <c r="AW40" s="88"/>
      <c r="AX40" s="88"/>
    </row>
    <row r="41" spans="1:100" ht="15" customHeight="1" x14ac:dyDescent="0.3">
      <c r="A41" s="5944" t="s">
        <v>971</v>
      </c>
      <c r="B41" s="6242"/>
      <c r="C41" s="6242"/>
      <c r="D41" s="5944" t="s">
        <v>212</v>
      </c>
      <c r="E41" s="6242"/>
      <c r="F41" s="6243"/>
      <c r="G41" s="6688" t="s">
        <v>101</v>
      </c>
      <c r="H41" s="6247"/>
      <c r="I41" s="6247"/>
      <c r="J41" s="6247"/>
      <c r="K41" s="6247"/>
      <c r="L41" s="6247"/>
      <c r="M41" s="6247"/>
      <c r="N41" s="6247"/>
      <c r="O41" s="6247"/>
      <c r="P41" s="6247"/>
      <c r="Q41" s="6247"/>
      <c r="R41" s="6247"/>
      <c r="S41" s="6247"/>
      <c r="T41" s="6247"/>
      <c r="U41" s="6247"/>
      <c r="V41" s="6247"/>
      <c r="W41" s="6247"/>
      <c r="X41" s="6247"/>
      <c r="Y41" s="6247"/>
      <c r="Z41" s="6247"/>
      <c r="AA41" s="6247"/>
      <c r="AB41" s="6247"/>
      <c r="AC41" s="6247"/>
      <c r="AD41" s="6247"/>
      <c r="AE41" s="6247"/>
      <c r="AF41" s="6247"/>
      <c r="AG41" s="6247"/>
      <c r="AH41" s="6247"/>
      <c r="AI41" s="6247"/>
      <c r="AJ41" s="6247"/>
      <c r="AK41" s="6247"/>
      <c r="AL41" s="6247"/>
      <c r="AM41" s="6247"/>
      <c r="AN41" s="6247"/>
      <c r="AO41" s="6247"/>
      <c r="AP41" s="6689"/>
      <c r="AQ41" s="6249" t="s">
        <v>1570</v>
      </c>
      <c r="AR41" s="6377" t="s">
        <v>453</v>
      </c>
      <c r="AS41" s="6377" t="s">
        <v>1572</v>
      </c>
      <c r="AT41" s="6377" t="s">
        <v>1573</v>
      </c>
      <c r="AU41" s="6377" t="s">
        <v>1614</v>
      </c>
      <c r="AV41" s="6377" t="s">
        <v>1576</v>
      </c>
      <c r="AW41" s="6377" t="s">
        <v>37</v>
      </c>
      <c r="AX41" s="6243" t="s">
        <v>1574</v>
      </c>
    </row>
    <row r="42" spans="1:100" x14ac:dyDescent="0.3">
      <c r="A42" s="5776"/>
      <c r="B42" s="5777"/>
      <c r="C42" s="6720"/>
      <c r="D42" s="6725"/>
      <c r="E42" s="6726"/>
      <c r="F42" s="6687"/>
      <c r="G42" s="6721" t="s">
        <v>474</v>
      </c>
      <c r="H42" s="6694"/>
      <c r="I42" s="6688" t="s">
        <v>380</v>
      </c>
      <c r="J42" s="6277"/>
      <c r="K42" s="6247" t="s">
        <v>381</v>
      </c>
      <c r="L42" s="6277"/>
      <c r="M42" s="6688" t="s">
        <v>1577</v>
      </c>
      <c r="N42" s="6277"/>
      <c r="O42" s="6688" t="s">
        <v>383</v>
      </c>
      <c r="P42" s="6277"/>
      <c r="Q42" s="6688" t="s">
        <v>384</v>
      </c>
      <c r="R42" s="6277"/>
      <c r="S42" s="6688" t="s">
        <v>385</v>
      </c>
      <c r="T42" s="6277"/>
      <c r="U42" s="6688" t="s">
        <v>386</v>
      </c>
      <c r="V42" s="6277"/>
      <c r="W42" s="6688" t="s">
        <v>1578</v>
      </c>
      <c r="X42" s="6277"/>
      <c r="Y42" s="6688" t="s">
        <v>303</v>
      </c>
      <c r="Z42" s="6694"/>
      <c r="AA42" s="6688" t="s">
        <v>304</v>
      </c>
      <c r="AB42" s="6694"/>
      <c r="AC42" s="6688" t="s">
        <v>1579</v>
      </c>
      <c r="AD42" s="6694"/>
      <c r="AE42" s="6688" t="s">
        <v>1580</v>
      </c>
      <c r="AF42" s="6694"/>
      <c r="AG42" s="6688" t="s">
        <v>1581</v>
      </c>
      <c r="AH42" s="6694"/>
      <c r="AI42" s="6688" t="s">
        <v>1582</v>
      </c>
      <c r="AJ42" s="6694"/>
      <c r="AK42" s="6688" t="s">
        <v>1583</v>
      </c>
      <c r="AL42" s="6694"/>
      <c r="AM42" s="6688" t="s">
        <v>1584</v>
      </c>
      <c r="AN42" s="6694"/>
      <c r="AO42" s="6688" t="s">
        <v>938</v>
      </c>
      <c r="AP42" s="6675"/>
      <c r="AQ42" s="5766"/>
      <c r="AR42" s="6118"/>
      <c r="AS42" s="6118"/>
      <c r="AT42" s="6118"/>
      <c r="AU42" s="6118"/>
      <c r="AV42" s="6118"/>
      <c r="AW42" s="6118"/>
      <c r="AX42" s="5759"/>
    </row>
    <row r="43" spans="1:100" ht="21" customHeight="1" x14ac:dyDescent="0.3">
      <c r="A43" s="6720"/>
      <c r="B43" s="6720"/>
      <c r="C43" s="5759"/>
      <c r="D43" s="3535" t="s">
        <v>79</v>
      </c>
      <c r="E43" s="491" t="s">
        <v>58</v>
      </c>
      <c r="F43" s="3534" t="s">
        <v>59</v>
      </c>
      <c r="G43" s="3535" t="s">
        <v>58</v>
      </c>
      <c r="H43" s="3534" t="s">
        <v>59</v>
      </c>
      <c r="I43" s="3535" t="s">
        <v>58</v>
      </c>
      <c r="J43" s="3534" t="s">
        <v>59</v>
      </c>
      <c r="K43" s="3536" t="s">
        <v>58</v>
      </c>
      <c r="L43" s="3534" t="s">
        <v>59</v>
      </c>
      <c r="M43" s="491" t="s">
        <v>58</v>
      </c>
      <c r="N43" s="3534" t="s">
        <v>59</v>
      </c>
      <c r="O43" s="491" t="s">
        <v>58</v>
      </c>
      <c r="P43" s="3534" t="s">
        <v>59</v>
      </c>
      <c r="Q43" s="491" t="s">
        <v>58</v>
      </c>
      <c r="R43" s="3534" t="s">
        <v>59</v>
      </c>
      <c r="S43" s="491" t="s">
        <v>58</v>
      </c>
      <c r="T43" s="3534" t="s">
        <v>59</v>
      </c>
      <c r="U43" s="3533" t="s">
        <v>58</v>
      </c>
      <c r="V43" s="605" t="s">
        <v>59</v>
      </c>
      <c r="W43" s="3533" t="s">
        <v>58</v>
      </c>
      <c r="X43" s="605" t="s">
        <v>59</v>
      </c>
      <c r="Y43" s="1837" t="s">
        <v>58</v>
      </c>
      <c r="Z43" s="605" t="s">
        <v>59</v>
      </c>
      <c r="AA43" s="1837" t="s">
        <v>58</v>
      </c>
      <c r="AB43" s="605" t="s">
        <v>59</v>
      </c>
      <c r="AC43" s="1837" t="s">
        <v>58</v>
      </c>
      <c r="AD43" s="605" t="s">
        <v>59</v>
      </c>
      <c r="AE43" s="1837" t="s">
        <v>58</v>
      </c>
      <c r="AF43" s="605" t="s">
        <v>59</v>
      </c>
      <c r="AG43" s="1837" t="s">
        <v>58</v>
      </c>
      <c r="AH43" s="605" t="s">
        <v>59</v>
      </c>
      <c r="AI43" s="1837" t="s">
        <v>58</v>
      </c>
      <c r="AJ43" s="605" t="s">
        <v>59</v>
      </c>
      <c r="AK43" s="1837" t="s">
        <v>58</v>
      </c>
      <c r="AL43" s="605" t="s">
        <v>59</v>
      </c>
      <c r="AM43" s="1837" t="s">
        <v>58</v>
      </c>
      <c r="AN43" s="605" t="s">
        <v>59</v>
      </c>
      <c r="AO43" s="1837" t="s">
        <v>58</v>
      </c>
      <c r="AP43" s="3514" t="s">
        <v>59</v>
      </c>
      <c r="AQ43" s="5767"/>
      <c r="AR43" s="5818"/>
      <c r="AS43" s="5818"/>
      <c r="AT43" s="5818"/>
      <c r="AU43" s="5818"/>
      <c r="AV43" s="5818"/>
      <c r="AW43" s="5818"/>
      <c r="AX43" s="6687"/>
    </row>
    <row r="44" spans="1:100" ht="15" customHeight="1" x14ac:dyDescent="0.3">
      <c r="A44" s="6722" t="s">
        <v>1615</v>
      </c>
      <c r="B44" s="6723"/>
      <c r="C44" s="6724"/>
      <c r="D44" s="3522">
        <f t="shared" ref="D44:D50" si="40">SUM(E44+F44)</f>
        <v>0</v>
      </c>
      <c r="E44" s="1020">
        <f>+S44+Y44+AA44+AC44+AE44+AG44+AI44+AK44+AM44+AO44</f>
        <v>0</v>
      </c>
      <c r="F44" s="3553">
        <f>+T44+Z44+AB44+AD44+AF44+AH44+AJ44+AL44+AN44+AP44</f>
        <v>0</v>
      </c>
      <c r="G44" s="2001"/>
      <c r="H44" s="1978"/>
      <c r="I44" s="2001"/>
      <c r="J44" s="1978"/>
      <c r="K44" s="2001"/>
      <c r="L44" s="1978"/>
      <c r="M44" s="2001"/>
      <c r="N44" s="1978"/>
      <c r="O44" s="2001"/>
      <c r="P44" s="1978"/>
      <c r="Q44" s="2001"/>
      <c r="R44" s="1978"/>
      <c r="S44" s="3554"/>
      <c r="T44" s="3555"/>
      <c r="U44" s="2001"/>
      <c r="V44" s="1978"/>
      <c r="W44" s="2001"/>
      <c r="X44" s="1978"/>
      <c r="Y44" s="3554"/>
      <c r="Z44" s="3555"/>
      <c r="AA44" s="3556"/>
      <c r="AB44" s="3555"/>
      <c r="AC44" s="3557"/>
      <c r="AD44" s="3555"/>
      <c r="AE44" s="3556"/>
      <c r="AF44" s="3555"/>
      <c r="AG44" s="3554"/>
      <c r="AH44" s="3555"/>
      <c r="AI44" s="3554"/>
      <c r="AJ44" s="3555"/>
      <c r="AK44" s="3556"/>
      <c r="AL44" s="3555"/>
      <c r="AM44" s="3557"/>
      <c r="AN44" s="3555"/>
      <c r="AO44" s="3558"/>
      <c r="AP44" s="3559"/>
      <c r="AQ44" s="3560"/>
      <c r="AR44" s="3561"/>
      <c r="AS44" s="3561"/>
      <c r="AT44" s="3561"/>
      <c r="AU44" s="3561"/>
      <c r="AV44" s="3561"/>
      <c r="AW44" s="3561"/>
      <c r="AX44" s="3562"/>
      <c r="AY44" t="str">
        <f>CA44&amp;CB44&amp;CC44&amp;CD44&amp;CE44&amp;CF44&amp;CG44&amp;CH44</f>
        <v/>
      </c>
      <c r="CA44" s="434" t="str">
        <f>IF(AND((Y44+Z44)&gt;0,AQ44="")," * No olvide digitar la variable 12 años (incluido en el grupo de 10-14 años). Digite Cero si no tiene.",IF(AQ44&gt;(Y44+Z44),"* Las Consultas de 12 años (incluido en el grupo de 10-14 años) NO DEBEN ser mayor que el total de Consultas entre 10-14 años",""))</f>
        <v/>
      </c>
      <c r="CB44" s="434" t="str">
        <f>IF(AND($F44&gt;0,AR44="")," * No olvide digitar la variable Gestantes. Digite cero si no tiene.",IF(AR44&gt;$F44," * La variable Gestantes NO DEBEN ser mayor al Total de Mujeres. ",""))</f>
        <v/>
      </c>
      <c r="CC44" s="434" t="str">
        <f>IF(AND((AK44+AL44)&gt;0,AS44="")," * No olvide digitar la variable 60 años (incluido en grupos de 60-64 años). Digite Cero si no tiene.",IF(AS44&gt;(AK44+AL44)," * La variable 60 años (incluido en grupos de 60-64 años) NO DEBE ser mayor que el Total de consultas del grupo 60-64 años",""))</f>
        <v/>
      </c>
      <c r="CD44" s="434" t="str">
        <f>IF(AND(D44&gt;0,AT44="")," * No olvide digitar la variable Usuarios con Discapacidad. Digite Cero si no tiene.",IF(AT44&gt;D44," * La variable Usuarios con Discapacidad No puede ser mayor al Total Ambos Sexos.",""))</f>
        <v/>
      </c>
      <c r="CE44" s="434" t="str">
        <f>IF(AND(D44&gt;0,AU44="")," * No olvide digitar la variable Niños, niñas, adolescentes y jóvenes SENAME. Digite Cero si no tiene.",IF(AU44&gt;$D44," * La variable Usuarios con Discapacidad No puede ser mayor al Total Ambos Sexos.",""))</f>
        <v/>
      </c>
      <c r="CF44" s="434" t="str">
        <f>IF(AND($D44&gt;0,AV44="")," * No olvide digitar la variable Niños, niñas, adolescentes y jóvenes Mejor Niñez. Digite Cero si no tiene.",IF(AV44&gt;$D44," * La variable Niños, niñas, adolescentes y jóvenes Mejor Niñez No puede ser mayor al Total Ambos Sexos.",""))</f>
        <v/>
      </c>
      <c r="CG44" s="434" t="str">
        <f>IF(AND($D44&gt;0,AW44="")," * No olvide digitar la variable Migrantes. Digite Cero si no tiene.",IF(AW44&gt;$D44," * La variable Migrantes No puede ser mayor al Total Ambos Sexos.",""))</f>
        <v/>
      </c>
      <c r="CH44" s="434" t="str">
        <f>IF(AND($D44&gt;0,AX44="")," * No olvide digitar la variable Persona con ingreso integral y condición crónica. Digite Cero si no tiene.",IF(AX44&gt;$D44," * La variable Persona con ingreso integral y condición crónica no puede ser mayor al Total Ambos Sexos.",""))</f>
        <v/>
      </c>
      <c r="CO44" s="435">
        <f>IF(AND((Y44+Z44)&gt;0,AQ44=""),1,IF(AQ44&gt;(Y44+Z44),1,0))</f>
        <v>0</v>
      </c>
      <c r="CP44" s="435">
        <f>IF(AND($F44&gt;0,AR44=""),1,IF(AR44&gt;$F44,1,0))</f>
        <v>0</v>
      </c>
      <c r="CQ44" s="435">
        <f>IF(AND((AK44+AL44)&gt;0,AS44=""),1,IF(AS44&gt;(AK44+AL44),1,0))</f>
        <v>0</v>
      </c>
      <c r="CR44" s="435">
        <f>IF(AND($D44&gt;0,AT44=""),1,IF(AT44&gt;$D44,1,0))</f>
        <v>0</v>
      </c>
      <c r="CS44" s="435">
        <f>IF(AND($D44&gt;0,AU44=""),1,IF(AU44&gt;$D44,1,0))</f>
        <v>0</v>
      </c>
      <c r="CT44" s="435">
        <f>IF(AND($D44&gt;0,AV44=""),1,IF(AV44&gt;$D44,1,0))</f>
        <v>0</v>
      </c>
      <c r="CU44" s="435">
        <f>IF(AND($D44&gt;0,AW44=""),1,IF(AW44&gt;$D44,1,0))</f>
        <v>0</v>
      </c>
      <c r="CV44" s="435">
        <f>IF(AND(D44&gt;0,AX44=""),1,IF(AX44&gt;D44,1,0))</f>
        <v>0</v>
      </c>
    </row>
    <row r="45" spans="1:100" ht="15" customHeight="1" x14ac:dyDescent="0.3">
      <c r="A45" s="6349" t="s">
        <v>1616</v>
      </c>
      <c r="B45" s="6706"/>
      <c r="C45" s="6350"/>
      <c r="D45" s="308">
        <f t="shared" si="40"/>
        <v>0</v>
      </c>
      <c r="E45" s="1011">
        <f>+G45+I45+K45+M45+O45+Q45+S45+U45+W45+Y45+AA45</f>
        <v>0</v>
      </c>
      <c r="F45" s="3563">
        <f>+H45+J45+L45+N45+P45+R45+T45+V45+X45+Z45+AB45</f>
        <v>0</v>
      </c>
      <c r="G45" s="3564"/>
      <c r="H45" s="3565"/>
      <c r="I45" s="3564"/>
      <c r="J45" s="3566"/>
      <c r="K45" s="3564"/>
      <c r="L45" s="3565"/>
      <c r="M45" s="3564"/>
      <c r="N45" s="3565"/>
      <c r="O45" s="3564"/>
      <c r="P45" s="3565"/>
      <c r="Q45" s="3564"/>
      <c r="R45" s="3567"/>
      <c r="S45" s="3564"/>
      <c r="T45" s="3567"/>
      <c r="U45" s="3564"/>
      <c r="V45" s="3565"/>
      <c r="W45" s="3564"/>
      <c r="X45" s="3567"/>
      <c r="Y45" s="3564"/>
      <c r="Z45" s="3567"/>
      <c r="AA45" s="3564"/>
      <c r="AB45" s="3565"/>
      <c r="AC45" s="3568"/>
      <c r="AD45" s="3569"/>
      <c r="AE45" s="2081"/>
      <c r="AF45" s="3569"/>
      <c r="AG45" s="3568"/>
      <c r="AH45" s="2035"/>
      <c r="AI45" s="3568"/>
      <c r="AJ45" s="2035"/>
      <c r="AK45" s="2081"/>
      <c r="AL45" s="3570"/>
      <c r="AM45" s="3568"/>
      <c r="AN45" s="3569"/>
      <c r="AO45" s="2081"/>
      <c r="AP45" s="3571"/>
      <c r="AQ45" s="3572"/>
      <c r="AR45" s="3573"/>
      <c r="AS45" s="3574"/>
      <c r="AT45" s="3575"/>
      <c r="AU45" s="3575"/>
      <c r="AV45" s="3575"/>
      <c r="AW45" s="3575"/>
      <c r="AX45" s="3565"/>
      <c r="AY45" t="str">
        <f>CA45&amp;CB45&amp;CD45&amp;CE45&amp;CF45&amp;CG45&amp;CH45</f>
        <v/>
      </c>
      <c r="CA45" s="434" t="str">
        <f>IF(AND((Y45+Z45)&gt;0,AQ45="")," * No olvide digitar la variable 12 años (incluido en el grupo de 10-14 años). Digite Cero si no tiene.",IF(AQ45&gt;(Y45+Z45),"* Las Consultas de 12 años (incluido en el grupo de 10-14 años) NO DEBEN ser mayor que el total de Consultas entre 10-14 años",""))</f>
        <v/>
      </c>
      <c r="CB45" s="434" t="str">
        <f>IF(AND($F45&gt;0,AR45="")," * No olvide digitar la variable Gestante. Digite cero si no tiene.",IF(AR45&gt;$F45," * La variable Gestante NO DEBEN ser mayor al Total de Mujeres. ",""))</f>
        <v/>
      </c>
      <c r="CC45" s="436"/>
      <c r="CD45" s="434" t="str">
        <f t="shared" ref="CD45:CD46" si="41">IF(AND(D45&gt;0,AT45="")," * No olvide digitar la variable Usuarios con Discapacidad. Digite Cero si no tiene.",IF(AT45&gt;D45," * La variable Usuarios con Discapacidad No puede ser mayor al Total Ambos Sexos.",""))</f>
        <v/>
      </c>
      <c r="CE45" s="434" t="str">
        <f t="shared" ref="CE45:CE46" si="42">IF(AND(D45&gt;0,AU45="")," * No olvide digitar la variable Niños, niñas, adolescentes y jóvenes SENAME. Digite Cero si no tiene.",IF(AU45&gt;$D45," * La variable Usuarios con Discapacidad No puede ser mayor al Total Ambos Sexos.",""))</f>
        <v/>
      </c>
      <c r="CF45" s="434" t="str">
        <f t="shared" ref="CF45:CF46" si="43">IF(AND($D45&gt;0,AV45="")," * No olvide digitar la variable Niños, niñas, adolescentes y jóvenes Mejor Niñez. Digite Cero si no tiene.",IF(AV45&gt;$D45," * La variable Niños, niñas, adolescentes y jóvenes Mejor Niñez No puede ser mayor al Total Ambos Sexos.",""))</f>
        <v/>
      </c>
      <c r="CG45" s="434" t="str">
        <f t="shared" ref="CG45:CG46" si="44">IF(AND($D45&gt;0,AW45="")," * No olvide digitar la variable Migrantes. Digite Cero si no tiene.",IF(AW45&gt;$D45," * La variable Migrantes No puede ser mayor al Total Ambos Sexos.",""))</f>
        <v/>
      </c>
      <c r="CH45" s="434" t="str">
        <f t="shared" ref="CH45:CH46" si="45">IF(AND($D45&gt;0,AX45="")," * No olvide digitar la variable Persona con ingreso integral y condición crónica. Digite Cero si no tiene.",IF(AX45&gt;$D45," * La variable Persona con ingreso integral y condición crónica no puede ser mayor al Total Ambos Sexos.",""))</f>
        <v/>
      </c>
      <c r="CO45" s="435">
        <f t="shared" ref="CO45:CO56" si="46">IF(AND((Y45+Z45)&gt;0,AQ45=""),1,IF(AQ45&gt;(Y45+Z45),1,0))</f>
        <v>0</v>
      </c>
      <c r="CP45" s="435">
        <f t="shared" ref="CP45:CP56" si="47">IF(AND($F45&gt;0,AR45=""),1,IF(AR45&gt;$F45,1,0))</f>
        <v>0</v>
      </c>
      <c r="CQ45" s="436"/>
      <c r="CR45" s="435">
        <f t="shared" ref="CR45:CR56" si="48">IF(AND($D45&gt;0,AT45=""),1,IF(AT45&gt;$D45,1,0))</f>
        <v>0</v>
      </c>
      <c r="CS45" s="435">
        <f t="shared" ref="CS45:CS56" si="49">IF(AND($D45&gt;0,AU45=""),1,IF(AU45&gt;$D45,1,0))</f>
        <v>0</v>
      </c>
      <c r="CT45" s="435">
        <f t="shared" ref="CT45:CT56" si="50">IF(AND($D45&gt;0,AV45=""),1,IF(AV45&gt;$D45,1,0))</f>
        <v>0</v>
      </c>
      <c r="CU45" s="435">
        <f t="shared" ref="CU45:CU56" si="51">IF(AND($D45&gt;0,AW45=""),1,IF(AW45&gt;$D45,1,0))</f>
        <v>0</v>
      </c>
      <c r="CV45" s="435">
        <f t="shared" ref="CV45:CV56" si="52">IF(AND(D45&gt;0,AX45=""),1,IF(AX45&gt;D45,1,0))</f>
        <v>0</v>
      </c>
    </row>
    <row r="46" spans="1:100" ht="15" customHeight="1" x14ac:dyDescent="0.3">
      <c r="A46" s="6349" t="s">
        <v>1617</v>
      </c>
      <c r="B46" s="6706"/>
      <c r="C46" s="6350"/>
      <c r="D46" s="308">
        <f t="shared" si="40"/>
        <v>0</v>
      </c>
      <c r="E46" s="1011">
        <f>+G46+I46+K46+M46+O46+Q46+S46+U46+W46+Y46+AA46</f>
        <v>0</v>
      </c>
      <c r="F46" s="3563">
        <f>+H46+J46+L46+N46+P46+R46+T46+V46+X46+Z46+AB46</f>
        <v>0</v>
      </c>
      <c r="G46" s="3564"/>
      <c r="H46" s="3565"/>
      <c r="I46" s="3564"/>
      <c r="J46" s="3566"/>
      <c r="K46" s="3564"/>
      <c r="L46" s="3565"/>
      <c r="M46" s="3564"/>
      <c r="N46" s="3565"/>
      <c r="O46" s="3564"/>
      <c r="P46" s="3565"/>
      <c r="Q46" s="3564"/>
      <c r="R46" s="3567"/>
      <c r="S46" s="3564"/>
      <c r="T46" s="3567"/>
      <c r="U46" s="3564"/>
      <c r="V46" s="3565"/>
      <c r="W46" s="3564"/>
      <c r="X46" s="3567"/>
      <c r="Y46" s="3564"/>
      <c r="Z46" s="3567"/>
      <c r="AA46" s="3564"/>
      <c r="AB46" s="3565"/>
      <c r="AC46" s="3568"/>
      <c r="AD46" s="3569"/>
      <c r="AE46" s="2081"/>
      <c r="AF46" s="3569"/>
      <c r="AG46" s="3568"/>
      <c r="AH46" s="2035"/>
      <c r="AI46" s="3568"/>
      <c r="AJ46" s="2035"/>
      <c r="AK46" s="2081"/>
      <c r="AL46" s="3570"/>
      <c r="AM46" s="3568"/>
      <c r="AN46" s="3569"/>
      <c r="AO46" s="2081"/>
      <c r="AP46" s="3571"/>
      <c r="AQ46" s="3572"/>
      <c r="AR46" s="3573"/>
      <c r="AS46" s="3574"/>
      <c r="AT46" s="3575"/>
      <c r="AU46" s="3575"/>
      <c r="AV46" s="3575"/>
      <c r="AW46" s="3575"/>
      <c r="AX46" s="3565"/>
      <c r="AY46" t="str">
        <f>CA46&amp;CB46&amp;CD46&amp;CE46&amp;CF46&amp;CG46&amp;CH46</f>
        <v/>
      </c>
      <c r="CA46" s="434" t="str">
        <f>IF(AND((Y46+Z46)&gt;0,AQ46="")," * No olvide digitar la variable 12 años (incluido en el grupo de 10-14 años). Digite Cero si no tiene.",IF(AQ46&gt;(Y46+Z46),"* Las Consultas de 12 años (incluido en el grupo de 10-14 años) NO DEBEN ser mayor que el total de Consultas entre 10-14 años",""))</f>
        <v/>
      </c>
      <c r="CB46" s="434" t="str">
        <f>IF(AND($F46&gt;0,AR46="")," * No olvide digitar la variable Gestante. Digite cero si no tiene.",IF(AR46&gt;$F46," * La variable Gestante NO DEBEN ser mayor al Total de Mujeres. ",""))</f>
        <v/>
      </c>
      <c r="CC46" s="436"/>
      <c r="CD46" s="434" t="str">
        <f t="shared" si="41"/>
        <v/>
      </c>
      <c r="CE46" s="434" t="str">
        <f t="shared" si="42"/>
        <v/>
      </c>
      <c r="CF46" s="434" t="str">
        <f t="shared" si="43"/>
        <v/>
      </c>
      <c r="CG46" s="434" t="str">
        <f t="shared" si="44"/>
        <v/>
      </c>
      <c r="CH46" s="434" t="str">
        <f t="shared" si="45"/>
        <v/>
      </c>
      <c r="CO46" s="435">
        <f t="shared" si="46"/>
        <v>0</v>
      </c>
      <c r="CP46" s="435">
        <f t="shared" si="47"/>
        <v>0</v>
      </c>
      <c r="CQ46" s="436"/>
      <c r="CR46" s="435">
        <f t="shared" si="48"/>
        <v>0</v>
      </c>
      <c r="CS46" s="435">
        <f t="shared" si="49"/>
        <v>0</v>
      </c>
      <c r="CT46" s="435">
        <f t="shared" si="50"/>
        <v>0</v>
      </c>
      <c r="CU46" s="435">
        <f t="shared" si="51"/>
        <v>0</v>
      </c>
      <c r="CV46" s="435">
        <f t="shared" si="52"/>
        <v>0</v>
      </c>
    </row>
    <row r="47" spans="1:100" ht="15" customHeight="1" x14ac:dyDescent="0.3">
      <c r="A47" s="6349" t="s">
        <v>1618</v>
      </c>
      <c r="B47" s="6706"/>
      <c r="C47" s="6350"/>
      <c r="D47" s="308">
        <f t="shared" si="40"/>
        <v>0</v>
      </c>
      <c r="E47" s="1011">
        <f>SUM(S47+U47+W47+Y47+AA47+AC47+AE47+AG47+AI47+AK47+AM47+AO47)</f>
        <v>0</v>
      </c>
      <c r="F47" s="3563">
        <f>SUM(T47+V47+X47+Z47+AB47+AD47+AF47+AH47+AJ47+AL47+AN47+AP47)</f>
        <v>0</v>
      </c>
      <c r="G47" s="2001"/>
      <c r="H47" s="1978"/>
      <c r="I47" s="2001"/>
      <c r="J47" s="1978"/>
      <c r="K47" s="2001"/>
      <c r="L47" s="1978"/>
      <c r="M47" s="2001"/>
      <c r="N47" s="1978"/>
      <c r="O47" s="2001"/>
      <c r="P47" s="1978"/>
      <c r="Q47" s="2001"/>
      <c r="R47" s="1978"/>
      <c r="S47" s="3576"/>
      <c r="T47" s="3577"/>
      <c r="U47" s="3576"/>
      <c r="V47" s="3577"/>
      <c r="W47" s="3576"/>
      <c r="X47" s="3577"/>
      <c r="Y47" s="3576"/>
      <c r="Z47" s="3577"/>
      <c r="AA47" s="3578"/>
      <c r="AB47" s="3579"/>
      <c r="AC47" s="3576"/>
      <c r="AD47" s="3577"/>
      <c r="AE47" s="3578"/>
      <c r="AF47" s="3577"/>
      <c r="AG47" s="3576"/>
      <c r="AH47" s="3577"/>
      <c r="AI47" s="3576"/>
      <c r="AJ47" s="3577"/>
      <c r="AK47" s="3578"/>
      <c r="AL47" s="3579"/>
      <c r="AM47" s="3576"/>
      <c r="AN47" s="3577"/>
      <c r="AO47" s="3578"/>
      <c r="AP47" s="3580"/>
      <c r="AQ47" s="3581"/>
      <c r="AR47" s="3573"/>
      <c r="AS47" s="3573"/>
      <c r="AT47" s="3573"/>
      <c r="AU47" s="3573"/>
      <c r="AV47" s="3573"/>
      <c r="AW47" s="3573"/>
      <c r="AX47" s="3582"/>
      <c r="AY47" t="str">
        <f t="shared" ref="AY47:AY55" si="53">CA47&amp;CB47&amp;CC47&amp;CD47&amp;CE47&amp;CF47&amp;CG47&amp;CH47</f>
        <v/>
      </c>
      <c r="CA47" s="434" t="str">
        <f>IF(AND((Y47+Z47)&gt;0,AQ47="")," * No olvide digitar la variable 12 años (incluido en el grupo de 10-14 años). Digite Cero si no tiene.",IF(AQ47&gt;(Y47+Z47),"* Las Consultas de 12 años (incluido en el grupo de 10-14 años) NO DEBEN ser mayor que el total de Consultas entre 10-14 años",""))</f>
        <v/>
      </c>
      <c r="CB47" s="434" t="str">
        <f>IF(AND($F47&gt;0,AR47="")," * No olvide digitar la variable Gestante. Digite cero si no tiene.",IF(AR47&gt;$F47," * La variable Gestante NO DEBEN ser mayor al Total de Mujeres. ",""))</f>
        <v/>
      </c>
      <c r="CC47" s="434" t="str">
        <f>IF(AND((AK47+AL47)&gt;0,AS47="")," * No olvide digitar la variable 60 años (incluido en grupos de 60-64 años). Digite Cero si no tiene.",IF(AS47&gt;(AK47+AL47)," * La variable 60 años (incluido en grupos de 60-64 años) NO DEBE ser mayor que el Total de consultas del grupo 60-64 años",""))</f>
        <v/>
      </c>
      <c r="CD47" s="434" t="str">
        <f>IF(AND(D47&gt;0,AT47="")," * No olvide digitar la variable Usuarios con Discapacidad. Digite Cero si no tiene.",IF(AT47&gt;D47," * La variable Usuarios con Discapacidad No puede ser mayor al Total Ambos Sexos.",""))</f>
        <v/>
      </c>
      <c r="CE47" s="434" t="str">
        <f>IF(AND(D47&gt;0,AU47="")," * No olvide digitar la variable Niños, niñas, adolescentes y jóvenes SENAME. Digite Cero si no tiene.",IF(AU47&gt;$D47," * La variable Usuarios con Discapacidad No puede ser mayor al Total Ambos Sexos.",""))</f>
        <v/>
      </c>
      <c r="CF47" s="434" t="str">
        <f>IF(AND($D47&gt;0,AV47="")," * No olvide digitar la variable Niños, niñas, adolescentes y jóvenes Mejor Niñez. Digite Cero si no tiene.",IF(AV47&gt;$D47," * La variable Niños, niñas, adolescentes y jóvenes Mejor Niñez No puede ser mayor al Total Ambos Sexos.",""))</f>
        <v/>
      </c>
      <c r="CG47" s="434" t="str">
        <f>IF(AND($D47&gt;0,AW47="")," * No olvide digitar la variable Migrantes. Digite Cero si no tiene.",IF(AW47&gt;$D47," * La variable Migrantes No puede ser mayor al Total Ambos Sexos.",""))</f>
        <v/>
      </c>
      <c r="CH47" s="434" t="str">
        <f>IF(AND($D47&gt;0,AX47="")," * No olvide digitar la variable Persona con ingreso integral y condición crónica. Digite Cero si no tiene.",IF(AX47&gt;$D47," * La variable Persona con ingreso integral y condición crónica no puede ser mayor al Total Ambos Sexos.",""))</f>
        <v/>
      </c>
      <c r="CO47" s="435">
        <f t="shared" si="46"/>
        <v>0</v>
      </c>
      <c r="CP47" s="435">
        <f t="shared" si="47"/>
        <v>0</v>
      </c>
      <c r="CQ47" s="435">
        <f t="shared" ref="CQ47:CQ56" si="54">IF(AND((AK47+AL47)&gt;0,AS47=""),1,IF(AS47&gt;(AK47+AL47),1,0))</f>
        <v>0</v>
      </c>
      <c r="CR47" s="435">
        <f t="shared" si="48"/>
        <v>0</v>
      </c>
      <c r="CS47" s="435">
        <f t="shared" si="49"/>
        <v>0</v>
      </c>
      <c r="CT47" s="435">
        <f t="shared" si="50"/>
        <v>0</v>
      </c>
      <c r="CU47" s="435">
        <f t="shared" si="51"/>
        <v>0</v>
      </c>
      <c r="CV47" s="435">
        <f t="shared" si="52"/>
        <v>0</v>
      </c>
    </row>
    <row r="48" spans="1:100" ht="15" customHeight="1" x14ac:dyDescent="0.3">
      <c r="A48" s="6728" t="s">
        <v>1619</v>
      </c>
      <c r="B48" s="6729"/>
      <c r="C48" s="6730"/>
      <c r="D48" s="308">
        <f t="shared" si="40"/>
        <v>0</v>
      </c>
      <c r="E48" s="1011">
        <f>SUM(G48+I48+K48+M48+O48+Q48+S48+U48+W48+Y48+AA48+AC48+AE48+AG48+AI48+AK48+AM48+AO48)</f>
        <v>0</v>
      </c>
      <c r="F48" s="3584">
        <f>SUM(H48+J48+L48+N48+P48+R48+T48+V48+X48+Z48+AB48+AD48+AF48+AH48+AJ48+AL48+AN48+AP48)</f>
        <v>0</v>
      </c>
      <c r="G48" s="3564"/>
      <c r="H48" s="3565"/>
      <c r="I48" s="3564"/>
      <c r="J48" s="3566"/>
      <c r="K48" s="3564"/>
      <c r="L48" s="3565"/>
      <c r="M48" s="3564"/>
      <c r="N48" s="3565"/>
      <c r="O48" s="3564"/>
      <c r="P48" s="3565"/>
      <c r="Q48" s="3564"/>
      <c r="R48" s="3567"/>
      <c r="S48" s="3564"/>
      <c r="T48" s="3567"/>
      <c r="U48" s="3564"/>
      <c r="V48" s="3565"/>
      <c r="W48" s="3564"/>
      <c r="X48" s="3567"/>
      <c r="Y48" s="3564"/>
      <c r="Z48" s="3567"/>
      <c r="AA48" s="3564"/>
      <c r="AB48" s="3565"/>
      <c r="AC48" s="3576"/>
      <c r="AD48" s="3582"/>
      <c r="AE48" s="3578"/>
      <c r="AF48" s="3585"/>
      <c r="AG48" s="3576"/>
      <c r="AH48" s="3585"/>
      <c r="AI48" s="3576"/>
      <c r="AJ48" s="3582"/>
      <c r="AK48" s="3578"/>
      <c r="AL48" s="3585"/>
      <c r="AM48" s="3576"/>
      <c r="AN48" s="3582"/>
      <c r="AO48" s="3578"/>
      <c r="AP48" s="3580"/>
      <c r="AQ48" s="3581"/>
      <c r="AR48" s="3573"/>
      <c r="AS48" s="3573"/>
      <c r="AT48" s="3573"/>
      <c r="AU48" s="3573"/>
      <c r="AV48" s="3573"/>
      <c r="AW48" s="3573"/>
      <c r="AX48" s="3582"/>
      <c r="AY48" t="str">
        <f>CA48&amp;CB48&amp;CC48&amp;CD48&amp;CE48&amp;CF48&amp;CG48&amp;CH48</f>
        <v/>
      </c>
      <c r="CA48" s="434" t="str">
        <f>IF(AND((Y48+Z48)&gt;0,AQ48="")," * No olvide digitar la variable 12 años (incluido en el grupo de 10-14 años). Digite Cero si no tiene.",IF(AQ48&gt;(Y48+Z48),"* Las Consultas de 12 años (incluido en el grupo de 10-14 años) NO DEBEN ser mayor que el total de Consultas entre 10-14 años",""))</f>
        <v/>
      </c>
      <c r="CB48" s="434" t="str">
        <f t="shared" ref="CB48:CB49" si="55">IF(AND($F48&gt;0,AR48="")," * No olvide digitar la variable Gestante. Digite cero si no tiene.",IF(AR48&gt;$F48," * La variable Gestante NO DEBEN ser mayor al Total de Mujeres. ",""))</f>
        <v/>
      </c>
      <c r="CC48" s="434" t="str">
        <f t="shared" ref="CC48:CC49" si="56">IF(AND((AK48+AL48)&gt;0,AS48="")," * No olvide digitar la variable 60 años (incluido en grupos de 60-64 años). Digite Cero si no tiene.",IF(AS48&gt;(AK48+AL48)," * La variable 60 años (incluido en grupos de 60-64 años) NO DEBE ser mayor que el Total de consultas del grupo 60-64 años",""))</f>
        <v/>
      </c>
      <c r="CD48" s="434" t="str">
        <f t="shared" ref="CD48:CD49" si="57">IF(AND(D48&gt;0,AT48="")," * No olvide digitar la variable Usuarios con Discapacidad. Digite Cero si no tiene.",IF(AT48&gt;D48," * La variable Usuarios con Discapacidad No puede ser mayor al Total Ambos Sexos.",""))</f>
        <v/>
      </c>
      <c r="CE48" s="434" t="str">
        <f t="shared" ref="CE48:CE49" si="58">IF(AND(D48&gt;0,AU48="")," * No olvide digitar la variable Niños, niñas, adolescentes y jóvenes SENAME. Digite Cero si no tiene.",IF(AU48&gt;$D48," * La variable Usuarios con Discapacidad No puede ser mayor al Total Ambos Sexos.",""))</f>
        <v/>
      </c>
      <c r="CF48" s="434" t="str">
        <f t="shared" ref="CF48:CF49" si="59">IF(AND($D48&gt;0,AV48="")," * No olvide digitar la variable Niños, niñas, adolescentes y jóvenes Mejor Niñez. Digite Cero si no tiene.",IF(AV48&gt;$D48," * La variable Niños, niñas, adolescentes y jóvenes Mejor Niñez No puede ser mayor al Total Ambos Sexos.",""))</f>
        <v/>
      </c>
      <c r="CG48" s="434" t="str">
        <f t="shared" ref="CG48:CG49" si="60">IF(AND($D48&gt;0,AW48="")," * No olvide digitar la variable Migrantes. Digite Cero si no tiene.",IF(AW48&gt;$D48," * La variable Migrantes No puede ser mayor al Total Ambos Sexos.",""))</f>
        <v/>
      </c>
      <c r="CH48" s="434" t="str">
        <f>IF(AND($D48&gt;0,AX48="")," * No olvide digitar la variable Persona con ingreso integral y condición crónica. Digite Cero si no tiene.",IF(AX48&gt;$D48," * La variable Persona con ingreso integral y condición crónica no puede ser mayor al Total Ambos Sexos.",""))</f>
        <v/>
      </c>
      <c r="CO48" s="435">
        <f t="shared" si="46"/>
        <v>0</v>
      </c>
      <c r="CP48" s="435">
        <f t="shared" si="47"/>
        <v>0</v>
      </c>
      <c r="CQ48" s="435">
        <f t="shared" si="54"/>
        <v>0</v>
      </c>
      <c r="CR48" s="435">
        <f t="shared" si="48"/>
        <v>0</v>
      </c>
      <c r="CS48" s="435">
        <f t="shared" si="49"/>
        <v>0</v>
      </c>
      <c r="CT48" s="435">
        <f t="shared" si="50"/>
        <v>0</v>
      </c>
      <c r="CU48" s="435">
        <f t="shared" si="51"/>
        <v>0</v>
      </c>
      <c r="CV48" s="435">
        <f t="shared" si="52"/>
        <v>0</v>
      </c>
    </row>
    <row r="49" spans="1:100" ht="15" customHeight="1" x14ac:dyDescent="0.3">
      <c r="A49" s="6648" t="s">
        <v>1620</v>
      </c>
      <c r="B49" s="6738"/>
      <c r="C49" s="6649"/>
      <c r="D49" s="3586">
        <f t="shared" si="40"/>
        <v>0</v>
      </c>
      <c r="E49" s="1011">
        <f>SUM(G49+I49+K49+M49+O49+Q49+S49+U49+W49+Y49+AA49+AC49+AE49+AG49+AI49+AK49+AM49+AO49)</f>
        <v>0</v>
      </c>
      <c r="F49" s="3584">
        <f>SUM(H49+J49+L49+N49+P49+R49+T49+V49+X49+Z49+AB49+AD49+AF49+AH49+AJ49+AL49+AN49+AP49)</f>
        <v>0</v>
      </c>
      <c r="G49" s="3587"/>
      <c r="H49" s="3565"/>
      <c r="I49" s="3564"/>
      <c r="J49" s="3566"/>
      <c r="K49" s="3564"/>
      <c r="L49" s="3565"/>
      <c r="M49" s="3564"/>
      <c r="N49" s="3565"/>
      <c r="O49" s="3564"/>
      <c r="P49" s="3565"/>
      <c r="Q49" s="3564"/>
      <c r="R49" s="3567"/>
      <c r="S49" s="3564"/>
      <c r="T49" s="3567"/>
      <c r="U49" s="3564"/>
      <c r="V49" s="3565"/>
      <c r="W49" s="3564"/>
      <c r="X49" s="3567"/>
      <c r="Y49" s="3564"/>
      <c r="Z49" s="3567"/>
      <c r="AA49" s="3564"/>
      <c r="AB49" s="3565"/>
      <c r="AC49" s="3588"/>
      <c r="AD49" s="3589"/>
      <c r="AE49" s="3590"/>
      <c r="AF49" s="3591"/>
      <c r="AG49" s="3588"/>
      <c r="AH49" s="3591"/>
      <c r="AI49" s="3588"/>
      <c r="AJ49" s="3589"/>
      <c r="AK49" s="3592"/>
      <c r="AL49" s="3593"/>
      <c r="AM49" s="3588"/>
      <c r="AN49" s="3589"/>
      <c r="AO49" s="3590"/>
      <c r="AP49" s="3594"/>
      <c r="AQ49" s="3595"/>
      <c r="AR49" s="3596"/>
      <c r="AS49" s="3596"/>
      <c r="AT49" s="3596"/>
      <c r="AU49" s="3596"/>
      <c r="AV49" s="3596"/>
      <c r="AW49" s="3596"/>
      <c r="AX49" s="3589"/>
      <c r="AY49" t="str">
        <f t="shared" si="53"/>
        <v/>
      </c>
      <c r="CA49" s="434" t="str">
        <f t="shared" ref="CA49" si="61">IF(AND((Y49+Z49)&gt;0,AQ49="")," * No olvide digitar la variable 12 años (incluido en el grupo de 10-14 años). Digite Cero si no tiene.",IF(AQ49&gt;(Y49+Z49),"* Las Consultas de 12 años (incluido en el grupo de 10-14 años) NO DEBEN ser mayor que el total de Consultas entre 10-14 años",""))</f>
        <v/>
      </c>
      <c r="CB49" s="434" t="str">
        <f t="shared" si="55"/>
        <v/>
      </c>
      <c r="CC49" s="434" t="str">
        <f t="shared" si="56"/>
        <v/>
      </c>
      <c r="CD49" s="434" t="str">
        <f t="shared" si="57"/>
        <v/>
      </c>
      <c r="CE49" s="434" t="str">
        <f t="shared" si="58"/>
        <v/>
      </c>
      <c r="CF49" s="434" t="str">
        <f t="shared" si="59"/>
        <v/>
      </c>
      <c r="CG49" s="434" t="str">
        <f t="shared" si="60"/>
        <v/>
      </c>
      <c r="CH49" s="434" t="str">
        <f>IF(AND($D49&gt;0,AX49="")," * No olvide digitar la variable Persona con ingreso integral y condición crónica. Digite Cero si no tiene.",IF(AX49&gt;$D49," * La variable Persona con ingreso integral y condición crónica no puede ser mayor al Total Ambos Sexos.",""))</f>
        <v/>
      </c>
      <c r="CO49" s="435">
        <f t="shared" si="46"/>
        <v>0</v>
      </c>
      <c r="CP49" s="435">
        <f t="shared" si="47"/>
        <v>0</v>
      </c>
      <c r="CQ49" s="435">
        <f t="shared" si="54"/>
        <v>0</v>
      </c>
      <c r="CR49" s="435">
        <f t="shared" si="48"/>
        <v>0</v>
      </c>
      <c r="CS49" s="435">
        <f t="shared" si="49"/>
        <v>0</v>
      </c>
      <c r="CT49" s="435">
        <f t="shared" si="50"/>
        <v>0</v>
      </c>
      <c r="CU49" s="435">
        <f t="shared" si="51"/>
        <v>0</v>
      </c>
      <c r="CV49" s="435">
        <f t="shared" si="52"/>
        <v>0</v>
      </c>
    </row>
    <row r="50" spans="1:100" ht="15" customHeight="1" x14ac:dyDescent="0.3">
      <c r="A50" s="6731" t="s">
        <v>1022</v>
      </c>
      <c r="B50" s="6732"/>
      <c r="C50" s="6733"/>
      <c r="D50" s="3597">
        <f t="shared" si="40"/>
        <v>0</v>
      </c>
      <c r="E50" s="880">
        <f>+G50+I50+K50+M50+O50+Q50+S50+U50+W50+Y50+AA50+AC50+AE50+AG50+AI50+AK50+AM50+AO50</f>
        <v>0</v>
      </c>
      <c r="F50" s="3598">
        <f>+H50+J50+L50+N50+P50+R50+T50+V50+X50+Z50+AB50+AD50+AF50+AH50+AJ50+AL50+AN50+AP50</f>
        <v>0</v>
      </c>
      <c r="G50" s="3599"/>
      <c r="H50" s="3600"/>
      <c r="I50" s="3599"/>
      <c r="J50" s="3601"/>
      <c r="K50" s="3599"/>
      <c r="L50" s="3600"/>
      <c r="M50" s="3599"/>
      <c r="N50" s="3600"/>
      <c r="O50" s="3599"/>
      <c r="P50" s="3600"/>
      <c r="Q50" s="3599"/>
      <c r="R50" s="3602"/>
      <c r="S50" s="3599"/>
      <c r="T50" s="3602"/>
      <c r="U50" s="3599"/>
      <c r="V50" s="3602"/>
      <c r="W50" s="3599"/>
      <c r="X50" s="3602"/>
      <c r="Y50" s="3599"/>
      <c r="Z50" s="3602"/>
      <c r="AA50" s="3599"/>
      <c r="AB50" s="3602"/>
      <c r="AC50" s="3603"/>
      <c r="AD50" s="3602"/>
      <c r="AE50" s="3604"/>
      <c r="AF50" s="3602"/>
      <c r="AG50" s="3599"/>
      <c r="AH50" s="3602"/>
      <c r="AI50" s="3599"/>
      <c r="AJ50" s="3602"/>
      <c r="AK50" s="3599"/>
      <c r="AL50" s="3602"/>
      <c r="AM50" s="3603"/>
      <c r="AN50" s="3602"/>
      <c r="AO50" s="3601"/>
      <c r="AP50" s="3605"/>
      <c r="AQ50" s="3606"/>
      <c r="AR50" s="3607"/>
      <c r="AS50" s="3607"/>
      <c r="AT50" s="3607"/>
      <c r="AU50" s="3607"/>
      <c r="AV50" s="3607"/>
      <c r="AW50" s="3607"/>
      <c r="AX50" s="3600"/>
      <c r="AY50" t="str">
        <f t="shared" si="53"/>
        <v/>
      </c>
      <c r="CA50" s="434" t="str">
        <f t="shared" ref="CA50:CA56" si="62">IF(AND((Y50+Z50)&gt;0,AQ50="")," * No olvide digitar la variable 12 años (incluido en el grupo de 10-14 años). Digite Cero si no tiene.",IF(AQ50&gt;(Y50+Z50),"* Las Consultas de 12 años (incluido en el grupo de 10-14 años) NO DEBEN ser mayor que el total de Consultas entre 10-14 años",""))</f>
        <v/>
      </c>
      <c r="CB50" s="434" t="str">
        <f t="shared" ref="CB50:CB56" si="63">IF(AND($F50&gt;0,AR50="")," * No olvide digitar la variable Gestante. Digite cero si no tiene.",IF(AR50&gt;$F50," * La variable Gestante NO DEBEN ser mayor al Total de Mujeres. ",""))</f>
        <v/>
      </c>
      <c r="CC50" s="434" t="str">
        <f t="shared" ref="CC50:CC56" si="64">IF(AND((AK50+AL50)&gt;0,AS50="")," * No olvide digitar la variable 60 años (incluido en grupos de 60-64 años). Digite Cero si no tiene.",IF(AS50&gt;(AK50+AL50)," * La variable 60 años (incluido en grupos de 60-64 años) NO DEBE ser mayor que el Total de consultas del grupo 60-64 años",""))</f>
        <v/>
      </c>
      <c r="CD50" s="434" t="str">
        <f t="shared" ref="CD50:CD56" si="65">IF(AND(D50&gt;0,AT50="")," * No olvide digitar la variable Usuarios con Discapacidad. Digite Cero si no tiene.",IF(AT50&gt;D50," * La variable Usuarios con Discapacidad No puede ser mayor al Total Ambos Sexos.",""))</f>
        <v/>
      </c>
      <c r="CE50" s="434" t="str">
        <f t="shared" ref="CE50:CE56" si="66">IF(AND(D50&gt;0,AU50="")," * No olvide digitar la variable Niños, niñas, adolescentes y jóvenes SENAME. Digite Cero si no tiene.",IF(AU50&gt;$D50," * La variable Usuarios con Discapacidad No puede ser mayor al Total Ambos Sexos.",""))</f>
        <v/>
      </c>
      <c r="CF50" s="434" t="str">
        <f t="shared" ref="CF50:CF56" si="67">IF(AND($D50&gt;0,AV50="")," * No olvide digitar la variable Niños, niñas, adolescentes y jóvenes Mejor Niñez. Digite Cero si no tiene.",IF(AV50&gt;$D50," * La variable Niños, niñas, adolescentes y jóvenes Mejor Niñez No puede ser mayor al Total Ambos Sexos.",""))</f>
        <v/>
      </c>
      <c r="CG50" s="434" t="str">
        <f t="shared" ref="CG50:CG56" si="68">IF(AND($D50&gt;0,AW50="")," * No olvide digitar la variable Migrantes. Digite Cero si no tiene.",IF(AW50&gt;$D50," * La variable Migrantes No puede ser mayor al Total Ambos Sexos.",""))</f>
        <v/>
      </c>
      <c r="CH50" s="434" t="str">
        <f t="shared" ref="CH50:CH56" si="69">IF(AND($D50&gt;0,AX50="")," * No olvide digitar la variable Persona con ingreso integral y condición crónica. Digite Cero si no tiene.",IF(AX50&gt;$D50," * La variable Persona con ingreso integral y condición crónica no puede ser mayor al Total Ambos Sexos.",""))</f>
        <v/>
      </c>
      <c r="CO50" s="435">
        <f t="shared" si="46"/>
        <v>0</v>
      </c>
      <c r="CP50" s="435">
        <f t="shared" si="47"/>
        <v>0</v>
      </c>
      <c r="CQ50" s="435">
        <f t="shared" si="54"/>
        <v>0</v>
      </c>
      <c r="CR50" s="435">
        <f t="shared" si="48"/>
        <v>0</v>
      </c>
      <c r="CS50" s="435">
        <f t="shared" si="49"/>
        <v>0</v>
      </c>
      <c r="CT50" s="435">
        <f t="shared" si="50"/>
        <v>0</v>
      </c>
      <c r="CU50" s="435">
        <f t="shared" si="51"/>
        <v>0</v>
      </c>
      <c r="CV50" s="435">
        <f t="shared" si="52"/>
        <v>0</v>
      </c>
    </row>
    <row r="51" spans="1:100" ht="15" customHeight="1" x14ac:dyDescent="0.3">
      <c r="A51" s="6734" t="s">
        <v>4342</v>
      </c>
      <c r="B51" s="6735"/>
      <c r="C51" s="3608">
        <v>0</v>
      </c>
      <c r="D51" s="3609">
        <f t="shared" ref="D51:D62" si="70">SUM(E51+F51)</f>
        <v>0</v>
      </c>
      <c r="E51" s="3610">
        <f>SUM(G51+I51+K51+M51+O51+Q51+S51+U51+W51+Y51+AA51+AC51+AE51+AG51+AI51+AK51+AM51+AO51)</f>
        <v>0</v>
      </c>
      <c r="F51" s="3563">
        <f>SUM(H51+J51+L51+N51+P51+R51+T51+V51+X51+Z51+AB51+AD51+AF51+AH51+AJ51+AL51+AN51+AP51)</f>
        <v>0</v>
      </c>
      <c r="G51" s="3564"/>
      <c r="H51" s="3565"/>
      <c r="I51" s="3564"/>
      <c r="J51" s="3566"/>
      <c r="K51" s="3564"/>
      <c r="L51" s="3565"/>
      <c r="M51" s="3564"/>
      <c r="N51" s="3565"/>
      <c r="O51" s="3564"/>
      <c r="P51" s="3565"/>
      <c r="Q51" s="3564"/>
      <c r="R51" s="3567"/>
      <c r="S51" s="3564"/>
      <c r="T51" s="3567"/>
      <c r="U51" s="3564"/>
      <c r="V51" s="3567"/>
      <c r="W51" s="3564"/>
      <c r="X51" s="3567"/>
      <c r="Y51" s="3564"/>
      <c r="Z51" s="3567"/>
      <c r="AA51" s="3564"/>
      <c r="AB51" s="3567"/>
      <c r="AC51" s="3611"/>
      <c r="AD51" s="3567"/>
      <c r="AE51" s="3612"/>
      <c r="AF51" s="3567"/>
      <c r="AG51" s="3564"/>
      <c r="AH51" s="3567"/>
      <c r="AI51" s="3564"/>
      <c r="AJ51" s="3567"/>
      <c r="AK51" s="3564"/>
      <c r="AL51" s="3567"/>
      <c r="AM51" s="3611"/>
      <c r="AN51" s="3567"/>
      <c r="AO51" s="3566"/>
      <c r="AP51" s="3613"/>
      <c r="AQ51" s="3572"/>
      <c r="AR51" s="3575"/>
      <c r="AS51" s="3575"/>
      <c r="AT51" s="3575"/>
      <c r="AU51" s="3575"/>
      <c r="AV51" s="3575"/>
      <c r="AW51" s="3575"/>
      <c r="AX51" s="3565"/>
      <c r="AY51" t="str">
        <f t="shared" si="53"/>
        <v/>
      </c>
      <c r="CA51" s="434" t="str">
        <f t="shared" si="62"/>
        <v/>
      </c>
      <c r="CB51" s="434" t="str">
        <f t="shared" si="63"/>
        <v/>
      </c>
      <c r="CC51" s="434" t="str">
        <f t="shared" si="64"/>
        <v/>
      </c>
      <c r="CD51" s="434" t="str">
        <f t="shared" si="65"/>
        <v/>
      </c>
      <c r="CE51" s="434" t="str">
        <f t="shared" si="66"/>
        <v/>
      </c>
      <c r="CF51" s="434" t="str">
        <f t="shared" si="67"/>
        <v/>
      </c>
      <c r="CG51" s="434" t="str">
        <f t="shared" si="68"/>
        <v/>
      </c>
      <c r="CH51" s="434" t="str">
        <f t="shared" si="69"/>
        <v/>
      </c>
      <c r="CO51" s="435">
        <f t="shared" si="46"/>
        <v>0</v>
      </c>
      <c r="CP51" s="435">
        <f t="shared" si="47"/>
        <v>0</v>
      </c>
      <c r="CQ51" s="435">
        <f t="shared" si="54"/>
        <v>0</v>
      </c>
      <c r="CR51" s="435">
        <f t="shared" si="48"/>
        <v>0</v>
      </c>
      <c r="CS51" s="435">
        <f t="shared" si="49"/>
        <v>0</v>
      </c>
      <c r="CT51" s="435">
        <f t="shared" si="50"/>
        <v>0</v>
      </c>
      <c r="CU51" s="435">
        <f t="shared" si="51"/>
        <v>0</v>
      </c>
      <c r="CV51" s="435">
        <f t="shared" si="52"/>
        <v>0</v>
      </c>
    </row>
    <row r="52" spans="1:100" ht="15" customHeight="1" x14ac:dyDescent="0.3">
      <c r="A52" s="6736"/>
      <c r="B52" s="6737"/>
      <c r="C52" s="3414" t="s">
        <v>1621</v>
      </c>
      <c r="D52" s="3523">
        <f t="shared" si="70"/>
        <v>0</v>
      </c>
      <c r="E52" s="3610">
        <f t="shared" ref="E52:F61" si="71">SUM(G52+I52+K52+M52+O52+Q52+S52+U52+W52+Y52+AA52+AC52+AE52+AG52+AI52+AK52+AM52+AO52)</f>
        <v>0</v>
      </c>
      <c r="F52" s="3563">
        <f t="shared" si="71"/>
        <v>0</v>
      </c>
      <c r="G52" s="3576"/>
      <c r="H52" s="3582"/>
      <c r="I52" s="3576"/>
      <c r="J52" s="3585"/>
      <c r="K52" s="3576"/>
      <c r="L52" s="3582"/>
      <c r="M52" s="3576"/>
      <c r="N52" s="3582"/>
      <c r="O52" s="3576"/>
      <c r="P52" s="3582"/>
      <c r="Q52" s="3576"/>
      <c r="R52" s="3577"/>
      <c r="S52" s="3576"/>
      <c r="T52" s="3577"/>
      <c r="U52" s="3576"/>
      <c r="V52" s="3577"/>
      <c r="W52" s="3576"/>
      <c r="X52" s="3577"/>
      <c r="Y52" s="3576"/>
      <c r="Z52" s="3577"/>
      <c r="AA52" s="3576"/>
      <c r="AB52" s="3577"/>
      <c r="AC52" s="3614"/>
      <c r="AD52" s="3577"/>
      <c r="AE52" s="3578"/>
      <c r="AF52" s="3577"/>
      <c r="AG52" s="3576"/>
      <c r="AH52" s="3577"/>
      <c r="AI52" s="3576"/>
      <c r="AJ52" s="3577"/>
      <c r="AK52" s="3576"/>
      <c r="AL52" s="3577"/>
      <c r="AM52" s="3614"/>
      <c r="AN52" s="3577"/>
      <c r="AO52" s="3585"/>
      <c r="AP52" s="3580"/>
      <c r="AQ52" s="3581"/>
      <c r="AR52" s="3573"/>
      <c r="AS52" s="3573"/>
      <c r="AT52" s="3573"/>
      <c r="AU52" s="3573"/>
      <c r="AV52" s="3573"/>
      <c r="AW52" s="3573"/>
      <c r="AX52" s="3582"/>
      <c r="AY52" t="str">
        <f t="shared" si="53"/>
        <v/>
      </c>
      <c r="CA52" s="434" t="str">
        <f t="shared" si="62"/>
        <v/>
      </c>
      <c r="CB52" s="434" t="str">
        <f t="shared" si="63"/>
        <v/>
      </c>
      <c r="CC52" s="434" t="str">
        <f t="shared" si="64"/>
        <v/>
      </c>
      <c r="CD52" s="434" t="str">
        <f t="shared" si="65"/>
        <v/>
      </c>
      <c r="CE52" s="434" t="str">
        <f t="shared" si="66"/>
        <v/>
      </c>
      <c r="CF52" s="434" t="str">
        <f t="shared" si="67"/>
        <v/>
      </c>
      <c r="CG52" s="434" t="str">
        <f t="shared" si="68"/>
        <v/>
      </c>
      <c r="CH52" s="434" t="str">
        <f t="shared" si="69"/>
        <v/>
      </c>
      <c r="CO52" s="435">
        <f t="shared" si="46"/>
        <v>0</v>
      </c>
      <c r="CP52" s="435">
        <f t="shared" si="47"/>
        <v>0</v>
      </c>
      <c r="CQ52" s="435">
        <f t="shared" si="54"/>
        <v>0</v>
      </c>
      <c r="CR52" s="435">
        <f t="shared" si="48"/>
        <v>0</v>
      </c>
      <c r="CS52" s="435">
        <f t="shared" si="49"/>
        <v>0</v>
      </c>
      <c r="CT52" s="435">
        <f t="shared" si="50"/>
        <v>0</v>
      </c>
      <c r="CU52" s="435">
        <f t="shared" si="51"/>
        <v>0</v>
      </c>
      <c r="CV52" s="435">
        <f t="shared" si="52"/>
        <v>0</v>
      </c>
    </row>
    <row r="53" spans="1:100" ht="15" customHeight="1" x14ac:dyDescent="0.3">
      <c r="A53" s="6736"/>
      <c r="B53" s="6737"/>
      <c r="C53" s="3414" t="s">
        <v>1622</v>
      </c>
      <c r="D53" s="3523">
        <f t="shared" si="70"/>
        <v>0</v>
      </c>
      <c r="E53" s="3610">
        <f t="shared" si="71"/>
        <v>0</v>
      </c>
      <c r="F53" s="3563">
        <f t="shared" si="71"/>
        <v>0</v>
      </c>
      <c r="G53" s="3576"/>
      <c r="H53" s="3582"/>
      <c r="I53" s="3576"/>
      <c r="J53" s="3585"/>
      <c r="K53" s="3576"/>
      <c r="L53" s="3582"/>
      <c r="M53" s="3576"/>
      <c r="N53" s="3582"/>
      <c r="O53" s="3576"/>
      <c r="P53" s="3582"/>
      <c r="Q53" s="3576"/>
      <c r="R53" s="3577"/>
      <c r="S53" s="3576"/>
      <c r="T53" s="3577"/>
      <c r="U53" s="3576"/>
      <c r="V53" s="3577"/>
      <c r="W53" s="3576"/>
      <c r="X53" s="3577"/>
      <c r="Y53" s="3576"/>
      <c r="Z53" s="3577"/>
      <c r="AA53" s="3576"/>
      <c r="AB53" s="3577"/>
      <c r="AC53" s="3614"/>
      <c r="AD53" s="3577"/>
      <c r="AE53" s="3578"/>
      <c r="AF53" s="3577"/>
      <c r="AG53" s="3576"/>
      <c r="AH53" s="3577"/>
      <c r="AI53" s="3576"/>
      <c r="AJ53" s="3577"/>
      <c r="AK53" s="3576"/>
      <c r="AL53" s="3577"/>
      <c r="AM53" s="3614"/>
      <c r="AN53" s="3577"/>
      <c r="AO53" s="3585"/>
      <c r="AP53" s="3580"/>
      <c r="AQ53" s="3581"/>
      <c r="AR53" s="3573"/>
      <c r="AS53" s="3573"/>
      <c r="AT53" s="3573"/>
      <c r="AU53" s="3573"/>
      <c r="AV53" s="3573"/>
      <c r="AW53" s="3573"/>
      <c r="AX53" s="3582"/>
      <c r="AY53" t="str">
        <f t="shared" si="53"/>
        <v/>
      </c>
      <c r="CA53" s="434" t="str">
        <f t="shared" si="62"/>
        <v/>
      </c>
      <c r="CB53" s="434" t="str">
        <f t="shared" si="63"/>
        <v/>
      </c>
      <c r="CC53" s="434" t="str">
        <f t="shared" si="64"/>
        <v/>
      </c>
      <c r="CD53" s="434" t="str">
        <f t="shared" si="65"/>
        <v/>
      </c>
      <c r="CE53" s="434" t="str">
        <f t="shared" si="66"/>
        <v/>
      </c>
      <c r="CF53" s="434" t="str">
        <f t="shared" si="67"/>
        <v/>
      </c>
      <c r="CG53" s="434" t="str">
        <f t="shared" si="68"/>
        <v/>
      </c>
      <c r="CH53" s="434" t="str">
        <f t="shared" si="69"/>
        <v/>
      </c>
      <c r="CO53" s="435">
        <f t="shared" si="46"/>
        <v>0</v>
      </c>
      <c r="CP53" s="435">
        <f t="shared" si="47"/>
        <v>0</v>
      </c>
      <c r="CQ53" s="435">
        <f t="shared" si="54"/>
        <v>0</v>
      </c>
      <c r="CR53" s="435">
        <f t="shared" si="48"/>
        <v>0</v>
      </c>
      <c r="CS53" s="435">
        <f t="shared" si="49"/>
        <v>0</v>
      </c>
      <c r="CT53" s="435">
        <f t="shared" si="50"/>
        <v>0</v>
      </c>
      <c r="CU53" s="435">
        <f t="shared" si="51"/>
        <v>0</v>
      </c>
      <c r="CV53" s="435">
        <f t="shared" si="52"/>
        <v>0</v>
      </c>
    </row>
    <row r="54" spans="1:100" ht="15" customHeight="1" x14ac:dyDescent="0.3">
      <c r="A54" s="6736"/>
      <c r="B54" s="6737"/>
      <c r="C54" s="3414" t="s">
        <v>1623</v>
      </c>
      <c r="D54" s="3523">
        <f t="shared" si="70"/>
        <v>0</v>
      </c>
      <c r="E54" s="3610">
        <f>SUM(G54+I54+K54+M54+O54+Q54+S54+U54+W54+Y54+AA54+AC54+AE54+AG54+AI54+AK54+AM54+AO54)</f>
        <v>0</v>
      </c>
      <c r="F54" s="3563">
        <f t="shared" si="71"/>
        <v>0</v>
      </c>
      <c r="G54" s="3576"/>
      <c r="H54" s="3582"/>
      <c r="I54" s="3576"/>
      <c r="J54" s="3585"/>
      <c r="K54" s="3576"/>
      <c r="L54" s="3582"/>
      <c r="M54" s="3576"/>
      <c r="N54" s="3582"/>
      <c r="O54" s="3576"/>
      <c r="P54" s="3582"/>
      <c r="Q54" s="3576"/>
      <c r="R54" s="3577"/>
      <c r="S54" s="3576"/>
      <c r="T54" s="3577"/>
      <c r="U54" s="3576"/>
      <c r="V54" s="3577"/>
      <c r="W54" s="3576"/>
      <c r="X54" s="3577"/>
      <c r="Y54" s="3576"/>
      <c r="Z54" s="3577"/>
      <c r="AA54" s="3576"/>
      <c r="AB54" s="3577"/>
      <c r="AC54" s="3614"/>
      <c r="AD54" s="3577"/>
      <c r="AE54" s="3578"/>
      <c r="AF54" s="3577"/>
      <c r="AG54" s="3576"/>
      <c r="AH54" s="3577"/>
      <c r="AI54" s="3576"/>
      <c r="AJ54" s="3577"/>
      <c r="AK54" s="3576"/>
      <c r="AL54" s="3577"/>
      <c r="AM54" s="3614"/>
      <c r="AN54" s="3577"/>
      <c r="AO54" s="3585"/>
      <c r="AP54" s="3580"/>
      <c r="AQ54" s="3581"/>
      <c r="AR54" s="3573"/>
      <c r="AS54" s="3573"/>
      <c r="AT54" s="3573"/>
      <c r="AU54" s="3573"/>
      <c r="AV54" s="3573"/>
      <c r="AW54" s="3573"/>
      <c r="AX54" s="3582"/>
      <c r="AY54" t="str">
        <f t="shared" si="53"/>
        <v/>
      </c>
      <c r="CA54" s="434" t="str">
        <f t="shared" si="62"/>
        <v/>
      </c>
      <c r="CB54" s="434" t="str">
        <f t="shared" si="63"/>
        <v/>
      </c>
      <c r="CC54" s="434" t="str">
        <f t="shared" si="64"/>
        <v/>
      </c>
      <c r="CD54" s="434" t="str">
        <f t="shared" si="65"/>
        <v/>
      </c>
      <c r="CE54" s="434" t="str">
        <f t="shared" si="66"/>
        <v/>
      </c>
      <c r="CF54" s="434" t="str">
        <f t="shared" si="67"/>
        <v/>
      </c>
      <c r="CG54" s="434" t="str">
        <f t="shared" si="68"/>
        <v/>
      </c>
      <c r="CH54" s="434" t="str">
        <f t="shared" si="69"/>
        <v/>
      </c>
      <c r="CO54" s="435">
        <f t="shared" si="46"/>
        <v>0</v>
      </c>
      <c r="CP54" s="435">
        <f t="shared" si="47"/>
        <v>0</v>
      </c>
      <c r="CQ54" s="435">
        <f t="shared" si="54"/>
        <v>0</v>
      </c>
      <c r="CR54" s="435">
        <f t="shared" si="48"/>
        <v>0</v>
      </c>
      <c r="CS54" s="435">
        <f t="shared" si="49"/>
        <v>0</v>
      </c>
      <c r="CT54" s="435">
        <f t="shared" si="50"/>
        <v>0</v>
      </c>
      <c r="CU54" s="435">
        <f t="shared" si="51"/>
        <v>0</v>
      </c>
      <c r="CV54" s="435">
        <f t="shared" si="52"/>
        <v>0</v>
      </c>
    </row>
    <row r="55" spans="1:100" ht="15" customHeight="1" x14ac:dyDescent="0.3">
      <c r="A55" s="6736"/>
      <c r="B55" s="6737"/>
      <c r="C55" s="3615" t="s">
        <v>1624</v>
      </c>
      <c r="D55" s="3616">
        <f>SUM(E55+F55)</f>
        <v>0</v>
      </c>
      <c r="E55" s="3610">
        <f>SUM(G55+I55+K55+M55+O55+Q55+S55+U55+W55+Y55+AA55+AC55+AE55+AG55+AI55+AK55+AM55+AO55)</f>
        <v>0</v>
      </c>
      <c r="F55" s="3563">
        <f>SUM(H55+J55+L55+N55+P55+R55+T55+V55+X55+Z55+AB55+AD55+AF55+AH55+AJ55+AL55+AN55+AP55)</f>
        <v>0</v>
      </c>
      <c r="G55" s="3576"/>
      <c r="H55" s="3582"/>
      <c r="I55" s="3576"/>
      <c r="J55" s="3585"/>
      <c r="K55" s="3617"/>
      <c r="L55" s="3618"/>
      <c r="M55" s="3617"/>
      <c r="N55" s="3618"/>
      <c r="O55" s="3617"/>
      <c r="P55" s="3618"/>
      <c r="Q55" s="3617"/>
      <c r="R55" s="3620"/>
      <c r="S55" s="3617"/>
      <c r="T55" s="3620"/>
      <c r="U55" s="3617"/>
      <c r="V55" s="3620"/>
      <c r="W55" s="3617"/>
      <c r="X55" s="3620"/>
      <c r="Y55" s="3617"/>
      <c r="Z55" s="3620"/>
      <c r="AA55" s="3617"/>
      <c r="AB55" s="3620"/>
      <c r="AC55" s="3621"/>
      <c r="AD55" s="3620"/>
      <c r="AE55" s="3622"/>
      <c r="AF55" s="3620"/>
      <c r="AG55" s="3617"/>
      <c r="AH55" s="3620"/>
      <c r="AI55" s="3617"/>
      <c r="AJ55" s="3620"/>
      <c r="AK55" s="3617"/>
      <c r="AL55" s="3620"/>
      <c r="AM55" s="3621"/>
      <c r="AN55" s="3620"/>
      <c r="AO55" s="3619"/>
      <c r="AP55" s="3623"/>
      <c r="AQ55" s="3624"/>
      <c r="AR55" s="3625"/>
      <c r="AS55" s="3625"/>
      <c r="AT55" s="3625"/>
      <c r="AU55" s="3625"/>
      <c r="AV55" s="3625"/>
      <c r="AW55" s="3625"/>
      <c r="AX55" s="3618"/>
      <c r="AY55" t="str">
        <f t="shared" si="53"/>
        <v/>
      </c>
      <c r="CA55" s="434" t="str">
        <f t="shared" si="62"/>
        <v/>
      </c>
      <c r="CB55" s="434" t="str">
        <f t="shared" si="63"/>
        <v/>
      </c>
      <c r="CC55" s="434" t="str">
        <f t="shared" si="64"/>
        <v/>
      </c>
      <c r="CD55" s="434" t="str">
        <f t="shared" si="65"/>
        <v/>
      </c>
      <c r="CE55" s="434" t="str">
        <f t="shared" si="66"/>
        <v/>
      </c>
      <c r="CF55" s="434" t="str">
        <f t="shared" si="67"/>
        <v/>
      </c>
      <c r="CG55" s="434" t="str">
        <f t="shared" si="68"/>
        <v/>
      </c>
      <c r="CH55" s="434" t="str">
        <f t="shared" si="69"/>
        <v/>
      </c>
      <c r="CO55" s="435">
        <f t="shared" si="46"/>
        <v>0</v>
      </c>
      <c r="CP55" s="435">
        <f t="shared" si="47"/>
        <v>0</v>
      </c>
      <c r="CQ55" s="435">
        <f t="shared" si="54"/>
        <v>0</v>
      </c>
      <c r="CR55" s="435">
        <f t="shared" si="48"/>
        <v>0</v>
      </c>
      <c r="CS55" s="435">
        <f t="shared" si="49"/>
        <v>0</v>
      </c>
      <c r="CT55" s="435">
        <f t="shared" si="50"/>
        <v>0</v>
      </c>
      <c r="CU55" s="435">
        <f t="shared" si="51"/>
        <v>0</v>
      </c>
      <c r="CV55" s="435">
        <f t="shared" si="52"/>
        <v>0</v>
      </c>
    </row>
    <row r="56" spans="1:100" ht="15" customHeight="1" x14ac:dyDescent="0.3">
      <c r="A56" s="6736"/>
      <c r="B56" s="6737"/>
      <c r="C56" s="3615" t="s">
        <v>1625</v>
      </c>
      <c r="D56" s="3586">
        <f t="shared" si="70"/>
        <v>0</v>
      </c>
      <c r="E56" s="3626">
        <f>SUM(K56+M56+O56+Q56+S56+U56+W56+Y56+AA56+AC56+AE56+AG56+AI56+AK56+AM56+AO56)</f>
        <v>0</v>
      </c>
      <c r="F56" s="2961">
        <f>SUM(L56+N56+P56+R56+T56+V56+X56+Z56+AB56+AD56+AF56+AH56+AJ56+AL56+AN56+AP56)</f>
        <v>0</v>
      </c>
      <c r="G56" s="5571"/>
      <c r="H56" s="5573"/>
      <c r="I56" s="5571"/>
      <c r="J56" s="5573"/>
      <c r="K56" s="3587"/>
      <c r="L56" s="3627"/>
      <c r="M56" s="3587"/>
      <c r="N56" s="3627"/>
      <c r="O56" s="3587"/>
      <c r="P56" s="3627"/>
      <c r="Q56" s="3587"/>
      <c r="R56" s="3629"/>
      <c r="S56" s="3587"/>
      <c r="T56" s="3629"/>
      <c r="U56" s="3587"/>
      <c r="V56" s="3629"/>
      <c r="W56" s="3587"/>
      <c r="X56" s="3629"/>
      <c r="Y56" s="3587"/>
      <c r="Z56" s="3629"/>
      <c r="AA56" s="3587"/>
      <c r="AB56" s="3629"/>
      <c r="AC56" s="3630"/>
      <c r="AD56" s="3629"/>
      <c r="AE56" s="3631"/>
      <c r="AF56" s="3629"/>
      <c r="AG56" s="3587"/>
      <c r="AH56" s="3629"/>
      <c r="AI56" s="3587"/>
      <c r="AJ56" s="3629"/>
      <c r="AK56" s="3587"/>
      <c r="AL56" s="3629"/>
      <c r="AM56" s="3630"/>
      <c r="AN56" s="3629"/>
      <c r="AO56" s="3628"/>
      <c r="AP56" s="3632"/>
      <c r="AQ56" s="3633"/>
      <c r="AR56" s="3634"/>
      <c r="AS56" s="3634"/>
      <c r="AT56" s="3634"/>
      <c r="AU56" s="3634"/>
      <c r="AV56" s="3634"/>
      <c r="AW56" s="3634"/>
      <c r="AX56" s="3627"/>
      <c r="AY56" t="str">
        <f>CA56&amp;CB56&amp;CC56&amp;CD56&amp;CE56&amp;CF56&amp;CG56&amp;CH56</f>
        <v/>
      </c>
      <c r="CA56" s="434" t="str">
        <f t="shared" si="62"/>
        <v/>
      </c>
      <c r="CB56" s="434" t="str">
        <f t="shared" si="63"/>
        <v/>
      </c>
      <c r="CC56" s="434" t="str">
        <f t="shared" si="64"/>
        <v/>
      </c>
      <c r="CD56" s="434" t="str">
        <f t="shared" si="65"/>
        <v/>
      </c>
      <c r="CE56" s="434" t="str">
        <f t="shared" si="66"/>
        <v/>
      </c>
      <c r="CF56" s="434" t="str">
        <f t="shared" si="67"/>
        <v/>
      </c>
      <c r="CG56" s="434" t="str">
        <f t="shared" si="68"/>
        <v/>
      </c>
      <c r="CH56" s="434" t="str">
        <f t="shared" si="69"/>
        <v/>
      </c>
      <c r="CO56" s="435">
        <f t="shared" si="46"/>
        <v>0</v>
      </c>
      <c r="CP56" s="435">
        <f t="shared" si="47"/>
        <v>0</v>
      </c>
      <c r="CQ56" s="435">
        <f t="shared" si="54"/>
        <v>0</v>
      </c>
      <c r="CR56" s="435">
        <f t="shared" si="48"/>
        <v>0</v>
      </c>
      <c r="CS56" s="435">
        <f t="shared" si="49"/>
        <v>0</v>
      </c>
      <c r="CT56" s="435">
        <f t="shared" si="50"/>
        <v>0</v>
      </c>
      <c r="CU56" s="435">
        <f t="shared" si="51"/>
        <v>0</v>
      </c>
      <c r="CV56" s="435">
        <f t="shared" si="52"/>
        <v>0</v>
      </c>
    </row>
    <row r="57" spans="1:100" ht="15" customHeight="1" x14ac:dyDescent="0.3">
      <c r="A57" s="6660" t="s">
        <v>77</v>
      </c>
      <c r="B57" s="6660"/>
      <c r="C57" s="6660"/>
      <c r="D57" s="3597">
        <f>SUM(D51:D56)</f>
        <v>0</v>
      </c>
      <c r="E57" s="3635">
        <f>SUM(E51:E56)</f>
        <v>0</v>
      </c>
      <c r="F57" s="3598">
        <f>SUM(F51:F56)</f>
        <v>0</v>
      </c>
      <c r="G57" s="3597">
        <f>SUM(G51:G56)</f>
        <v>0</v>
      </c>
      <c r="H57" s="3635">
        <f t="shared" ref="H57:AW57" si="72">SUM(H51:H56)</f>
        <v>0</v>
      </c>
      <c r="I57" s="3597">
        <f t="shared" si="72"/>
        <v>0</v>
      </c>
      <c r="J57" s="3635">
        <f t="shared" si="72"/>
        <v>0</v>
      </c>
      <c r="K57" s="3597">
        <f t="shared" si="72"/>
        <v>0</v>
      </c>
      <c r="L57" s="3635">
        <f t="shared" si="72"/>
        <v>0</v>
      </c>
      <c r="M57" s="3597">
        <f t="shared" si="72"/>
        <v>0</v>
      </c>
      <c r="N57" s="3635">
        <f t="shared" si="72"/>
        <v>0</v>
      </c>
      <c r="O57" s="3597">
        <f t="shared" si="72"/>
        <v>0</v>
      </c>
      <c r="P57" s="3635">
        <f t="shared" si="72"/>
        <v>0</v>
      </c>
      <c r="Q57" s="3597">
        <f t="shared" si="72"/>
        <v>0</v>
      </c>
      <c r="R57" s="3635">
        <f t="shared" si="72"/>
        <v>0</v>
      </c>
      <c r="S57" s="3597">
        <f t="shared" si="72"/>
        <v>0</v>
      </c>
      <c r="T57" s="3635">
        <f t="shared" si="72"/>
        <v>0</v>
      </c>
      <c r="U57" s="3597">
        <f t="shared" si="72"/>
        <v>0</v>
      </c>
      <c r="V57" s="3635">
        <f t="shared" si="72"/>
        <v>0</v>
      </c>
      <c r="W57" s="3597">
        <f t="shared" si="72"/>
        <v>0</v>
      </c>
      <c r="X57" s="3635">
        <f t="shared" si="72"/>
        <v>0</v>
      </c>
      <c r="Y57" s="3597">
        <f>SUM(Y51:Y56)</f>
        <v>0</v>
      </c>
      <c r="Z57" s="3635">
        <f>SUM(Z51:Z56)</f>
        <v>0</v>
      </c>
      <c r="AA57" s="3597">
        <f t="shared" si="72"/>
        <v>0</v>
      </c>
      <c r="AB57" s="3635">
        <f t="shared" si="72"/>
        <v>0</v>
      </c>
      <c r="AC57" s="3597">
        <f t="shared" si="72"/>
        <v>0</v>
      </c>
      <c r="AD57" s="3635">
        <f t="shared" si="72"/>
        <v>0</v>
      </c>
      <c r="AE57" s="3597">
        <f t="shared" si="72"/>
        <v>0</v>
      </c>
      <c r="AF57" s="3635">
        <f t="shared" si="72"/>
        <v>0</v>
      </c>
      <c r="AG57" s="3597">
        <f t="shared" si="72"/>
        <v>0</v>
      </c>
      <c r="AH57" s="3635">
        <f t="shared" si="72"/>
        <v>0</v>
      </c>
      <c r="AI57" s="3597">
        <f t="shared" si="72"/>
        <v>0</v>
      </c>
      <c r="AJ57" s="3635">
        <f t="shared" si="72"/>
        <v>0</v>
      </c>
      <c r="AK57" s="3597">
        <f t="shared" si="72"/>
        <v>0</v>
      </c>
      <c r="AL57" s="3635">
        <f t="shared" si="72"/>
        <v>0</v>
      </c>
      <c r="AM57" s="3597">
        <f t="shared" si="72"/>
        <v>0</v>
      </c>
      <c r="AN57" s="3635">
        <f t="shared" si="72"/>
        <v>0</v>
      </c>
      <c r="AO57" s="3597">
        <f t="shared" si="72"/>
        <v>0</v>
      </c>
      <c r="AP57" s="3636">
        <f t="shared" si="72"/>
        <v>0</v>
      </c>
      <c r="AQ57" s="3637">
        <f t="shared" si="72"/>
        <v>0</v>
      </c>
      <c r="AR57" s="880">
        <f t="shared" si="72"/>
        <v>0</v>
      </c>
      <c r="AS57" s="880">
        <f t="shared" si="72"/>
        <v>0</v>
      </c>
      <c r="AT57" s="880">
        <f t="shared" si="72"/>
        <v>0</v>
      </c>
      <c r="AU57" s="880">
        <f t="shared" si="72"/>
        <v>0</v>
      </c>
      <c r="AV57" s="880">
        <f>SUM(AV51:AV56)</f>
        <v>0</v>
      </c>
      <c r="AW57" s="880">
        <f t="shared" si="72"/>
        <v>0</v>
      </c>
      <c r="AX57" s="3598">
        <f>SUM(AX51:AX56)</f>
        <v>0</v>
      </c>
      <c r="AY57" t="str">
        <f t="shared" ref="AY57:AY66" si="73">CA57&amp;CB57&amp;CC57&amp;CD57&amp;CE57&amp;CF57&amp;CG57&amp;CH57</f>
        <v/>
      </c>
    </row>
    <row r="58" spans="1:100" ht="15" customHeight="1" x14ac:dyDescent="0.3">
      <c r="A58" s="6736" t="s">
        <v>1626</v>
      </c>
      <c r="B58" s="6737"/>
      <c r="C58" s="3638">
        <v>0</v>
      </c>
      <c r="D58" s="3522">
        <f t="shared" si="70"/>
        <v>0</v>
      </c>
      <c r="E58" s="3639">
        <f t="shared" si="71"/>
        <v>0</v>
      </c>
      <c r="F58" s="3640">
        <f t="shared" si="71"/>
        <v>0</v>
      </c>
      <c r="G58" s="3554"/>
      <c r="H58" s="3555"/>
      <c r="I58" s="3554"/>
      <c r="J58" s="3555"/>
      <c r="K58" s="3554"/>
      <c r="L58" s="3555"/>
      <c r="M58" s="3554"/>
      <c r="N58" s="3555"/>
      <c r="O58" s="3554"/>
      <c r="P58" s="3555"/>
      <c r="Q58" s="3554"/>
      <c r="R58" s="3555"/>
      <c r="S58" s="3554"/>
      <c r="T58" s="3555"/>
      <c r="U58" s="3554"/>
      <c r="V58" s="3555"/>
      <c r="W58" s="3554"/>
      <c r="X58" s="3555"/>
      <c r="Y58" s="3554"/>
      <c r="Z58" s="3555"/>
      <c r="AA58" s="3554"/>
      <c r="AB58" s="3555"/>
      <c r="AC58" s="3554"/>
      <c r="AD58" s="3555"/>
      <c r="AE58" s="3554"/>
      <c r="AF58" s="3555"/>
      <c r="AG58" s="3554"/>
      <c r="AH58" s="3555"/>
      <c r="AI58" s="3554"/>
      <c r="AJ58" s="3555"/>
      <c r="AK58" s="3554"/>
      <c r="AL58" s="3555"/>
      <c r="AM58" s="3554"/>
      <c r="AN58" s="3555"/>
      <c r="AO58" s="3554"/>
      <c r="AP58" s="3559"/>
      <c r="AQ58" s="3560"/>
      <c r="AR58" s="3561"/>
      <c r="AS58" s="3561"/>
      <c r="AT58" s="3561"/>
      <c r="AU58" s="3561"/>
      <c r="AV58" s="3561"/>
      <c r="AW58" s="3561"/>
      <c r="AX58" s="3562"/>
      <c r="AY58" t="str">
        <f t="shared" si="73"/>
        <v/>
      </c>
      <c r="CA58" s="434" t="str">
        <f t="shared" ref="CA58:CA62" si="74">IF(AND((Y58+Z58)&gt;0,AQ58="")," * No olvide digitar la variable 12 años (incluido en el grupo de 10-14 años). Digite Cero si no tiene.",IF(AQ58&gt;(Y58+Z58),"* Las Consultas de 12 años (incluido en el grupo de 10-14 años) NO DEBEN ser mayor que el total de Consultas entre 10-14 años",""))</f>
        <v/>
      </c>
      <c r="CB58" s="434" t="str">
        <f t="shared" ref="CB58:CB62" si="75">IF(AND($F58&gt;0,AR58="")," * No olvide digitar la variable Gestante. Digite cero si no tiene.",IF(AR58&gt;$F58," * La variable Gestante NO DEBEN ser mayor al Total de Mujeres. ",""))</f>
        <v/>
      </c>
      <c r="CC58" s="434" t="str">
        <f t="shared" ref="CC58:CC62" si="76">IF(AND((AK58+AL58)&gt;0,AS58="")," * No olvide digitar la variable 60 años (incluido en grupos de 60-64 años). Digite Cero si no tiene.",IF(AS58&gt;(AK58+AL58)," * La variable 60 años (incluido en grupos de 60-64 años) NO DEBE ser mayor que el Total de consultas del grupo 60-64 años",""))</f>
        <v/>
      </c>
      <c r="CD58" s="434" t="str">
        <f t="shared" ref="CD58:CD62" si="77">IF(AND(D58&gt;0,AT58="")," * No olvide digitar la variable Usuarios con Discapacidad. Digite Cero si no tiene.",IF(AT58&gt;D58," * La variable Usuarios con Discapacidad No puede ser mayor al Total Ambos Sexos.",""))</f>
        <v/>
      </c>
      <c r="CE58" s="434" t="str">
        <f t="shared" ref="CE58:CE62" si="78">IF(AND(D58&gt;0,AU58="")," * No olvide digitar la variable Niños, niñas, adolescentes y jóvenes SENAME. Digite Cero si no tiene.",IF(AU58&gt;$D58," * La variable Usuarios con Discapacidad No puede ser mayor al Total Ambos Sexos.",""))</f>
        <v/>
      </c>
      <c r="CF58" s="434" t="str">
        <f t="shared" ref="CF58:CF62" si="79">IF(AND($D58&gt;0,AV58="")," * No olvide digitar la variable Niños, niñas, adolescentes y jóvenes Mejor Niñez. Digite Cero si no tiene.",IF(AV58&gt;$D58," * La variable Niños, niñas, adolescentes y jóvenes Mejor Niñez No puede ser mayor al Total Ambos Sexos.",""))</f>
        <v/>
      </c>
      <c r="CG58" s="434" t="str">
        <f t="shared" ref="CG58:CG62" si="80">IF(AND($D58&gt;0,AW58="")," * No olvide digitar la variable Migrantes. Digite Cero si no tiene.",IF(AW58&gt;$D58," * La variable Migrantes No puede ser mayor al Total Ambos Sexos.",""))</f>
        <v/>
      </c>
      <c r="CH58" s="434" t="str">
        <f t="shared" ref="CH58:CH62" si="81">IF(AND($D58&gt;0,AX58="")," * No olvide digitar la variable Persona con ingreso integral y condición crónica. Digite Cero si no tiene.",IF(AX58&gt;$D58," * La variable Persona con ingreso integral y condición crónica no puede ser mayor al Total Ambos Sexos.",""))</f>
        <v/>
      </c>
      <c r="CO58" s="435">
        <f>IF(AND((Y58+Z58)&gt;0,AQ58=""),1,IF(AQ58&gt;(Y58+Z58),1,0))</f>
        <v>0</v>
      </c>
      <c r="CP58" s="435">
        <f>IF(AND($F58&gt;0,AR58=""),1,IF(AR58&gt;$F58,1,0))</f>
        <v>0</v>
      </c>
      <c r="CQ58" s="435">
        <f>IF(AND((AK58+AL58)&gt;0,AS58=""),1,IF(AS58&gt;(AK58+AL58),1,0))</f>
        <v>0</v>
      </c>
      <c r="CR58" s="435">
        <f t="shared" ref="CR58:CU62" si="82">IF(AND($D58&gt;0,AT58=""),1,IF(AT58&gt;$D58,1,0))</f>
        <v>0</v>
      </c>
      <c r="CS58" s="435">
        <f t="shared" si="82"/>
        <v>0</v>
      </c>
      <c r="CT58" s="435">
        <f t="shared" si="82"/>
        <v>0</v>
      </c>
      <c r="CU58" s="435">
        <f t="shared" si="82"/>
        <v>0</v>
      </c>
      <c r="CV58" s="435">
        <f>IF(AND(D58&gt;0,AX58=""),1,IF(AX58&gt;D58,1,0))</f>
        <v>0</v>
      </c>
    </row>
    <row r="59" spans="1:100" ht="15" customHeight="1" x14ac:dyDescent="0.3">
      <c r="A59" s="6736"/>
      <c r="B59" s="6737"/>
      <c r="C59" s="3414" t="s">
        <v>1627</v>
      </c>
      <c r="D59" s="3523">
        <f t="shared" si="70"/>
        <v>0</v>
      </c>
      <c r="E59" s="3641">
        <f t="shared" si="71"/>
        <v>0</v>
      </c>
      <c r="F59" s="3642">
        <f t="shared" si="71"/>
        <v>0</v>
      </c>
      <c r="G59" s="3576"/>
      <c r="H59" s="3577"/>
      <c r="I59" s="3576"/>
      <c r="J59" s="3577"/>
      <c r="K59" s="3576"/>
      <c r="L59" s="3577"/>
      <c r="M59" s="3576"/>
      <c r="N59" s="3577"/>
      <c r="O59" s="3576"/>
      <c r="P59" s="3577"/>
      <c r="Q59" s="3576"/>
      <c r="R59" s="3577"/>
      <c r="S59" s="3576"/>
      <c r="T59" s="3577"/>
      <c r="U59" s="3576"/>
      <c r="V59" s="3577"/>
      <c r="W59" s="3576"/>
      <c r="X59" s="3577"/>
      <c r="Y59" s="3576"/>
      <c r="Z59" s="3577"/>
      <c r="AA59" s="3576"/>
      <c r="AB59" s="3577"/>
      <c r="AC59" s="3576"/>
      <c r="AD59" s="3577"/>
      <c r="AE59" s="3576"/>
      <c r="AF59" s="3577"/>
      <c r="AG59" s="3576"/>
      <c r="AH59" s="3577"/>
      <c r="AI59" s="3576"/>
      <c r="AJ59" s="3577"/>
      <c r="AK59" s="3576"/>
      <c r="AL59" s="3577"/>
      <c r="AM59" s="3576"/>
      <c r="AN59" s="3577"/>
      <c r="AO59" s="3576"/>
      <c r="AP59" s="3580"/>
      <c r="AQ59" s="3581"/>
      <c r="AR59" s="3573"/>
      <c r="AS59" s="3573"/>
      <c r="AT59" s="3573"/>
      <c r="AU59" s="3573"/>
      <c r="AV59" s="3573"/>
      <c r="AW59" s="3573"/>
      <c r="AX59" s="3582"/>
      <c r="AY59" t="str">
        <f t="shared" si="73"/>
        <v/>
      </c>
      <c r="CA59" s="434" t="str">
        <f t="shared" si="74"/>
        <v/>
      </c>
      <c r="CB59" s="434" t="str">
        <f t="shared" si="75"/>
        <v/>
      </c>
      <c r="CC59" s="434" t="str">
        <f t="shared" si="76"/>
        <v/>
      </c>
      <c r="CD59" s="434" t="str">
        <f t="shared" si="77"/>
        <v/>
      </c>
      <c r="CE59" s="434" t="str">
        <f t="shared" si="78"/>
        <v/>
      </c>
      <c r="CF59" s="434" t="str">
        <f t="shared" si="79"/>
        <v/>
      </c>
      <c r="CG59" s="434" t="str">
        <f t="shared" si="80"/>
        <v/>
      </c>
      <c r="CH59" s="434" t="str">
        <f t="shared" si="81"/>
        <v/>
      </c>
      <c r="CO59" s="435">
        <f>IF(AND((Y59+Z59)&gt;0,AQ59=""),1,IF(AQ59&gt;(Y59+Z59),1,0))</f>
        <v>0</v>
      </c>
      <c r="CP59" s="435">
        <f>IF(AND($F59&gt;0,AR59=""),1,IF(AR59&gt;$F59,1,0))</f>
        <v>0</v>
      </c>
      <c r="CQ59" s="435">
        <f>IF(AND((AK59+AL59)&gt;0,AS59=""),1,IF(AS59&gt;(AK59+AL59),1,0))</f>
        <v>0</v>
      </c>
      <c r="CR59" s="435">
        <f t="shared" si="82"/>
        <v>0</v>
      </c>
      <c r="CS59" s="435">
        <f t="shared" si="82"/>
        <v>0</v>
      </c>
      <c r="CT59" s="435">
        <f t="shared" si="82"/>
        <v>0</v>
      </c>
      <c r="CU59" s="435">
        <f t="shared" si="82"/>
        <v>0</v>
      </c>
      <c r="CV59" s="435">
        <f>IF(AND(D59&gt;0,AX59=""),1,IF(AX59&gt;D59,1,0))</f>
        <v>0</v>
      </c>
    </row>
    <row r="60" spans="1:100" ht="15" customHeight="1" x14ac:dyDescent="0.3">
      <c r="A60" s="6736"/>
      <c r="B60" s="6737"/>
      <c r="C60" s="3414" t="s">
        <v>1628</v>
      </c>
      <c r="D60" s="3523">
        <f t="shared" si="70"/>
        <v>0</v>
      </c>
      <c r="E60" s="3641">
        <f>SUM(G60+I60+K60+M60+O60+Q60+S60+U60+W60+Y60+AA60+AC60+AE60+AG60+AI60+AK60+AM60+AO60)</f>
        <v>0</v>
      </c>
      <c r="F60" s="3642">
        <f>SUM(H60+J60+L60+N60+P60+R60+T60+V60+X60+Z60+AB60+AD60+AF60+AH60+AJ60+AL60+AN60+AP60)</f>
        <v>0</v>
      </c>
      <c r="G60" s="5569"/>
      <c r="H60" s="5570"/>
      <c r="I60" s="3576"/>
      <c r="J60" s="3577"/>
      <c r="K60" s="3576"/>
      <c r="L60" s="3577"/>
      <c r="M60" s="3576"/>
      <c r="N60" s="3577"/>
      <c r="O60" s="3576"/>
      <c r="P60" s="3577"/>
      <c r="Q60" s="3576"/>
      <c r="R60" s="3577"/>
      <c r="S60" s="3576"/>
      <c r="T60" s="3577"/>
      <c r="U60" s="3576"/>
      <c r="V60" s="3577"/>
      <c r="W60" s="3576"/>
      <c r="X60" s="3577"/>
      <c r="Y60" s="3576"/>
      <c r="Z60" s="3577"/>
      <c r="AA60" s="3576"/>
      <c r="AB60" s="3577"/>
      <c r="AC60" s="3576"/>
      <c r="AD60" s="3577"/>
      <c r="AE60" s="3576"/>
      <c r="AF60" s="3577"/>
      <c r="AG60" s="3576"/>
      <c r="AH60" s="3577"/>
      <c r="AI60" s="3576"/>
      <c r="AJ60" s="3577"/>
      <c r="AK60" s="3576"/>
      <c r="AL60" s="3577"/>
      <c r="AM60" s="3576"/>
      <c r="AN60" s="3577"/>
      <c r="AO60" s="3576"/>
      <c r="AP60" s="3580"/>
      <c r="AQ60" s="3581"/>
      <c r="AR60" s="3573"/>
      <c r="AS60" s="3573"/>
      <c r="AT60" s="3573"/>
      <c r="AU60" s="3573"/>
      <c r="AV60" s="3573"/>
      <c r="AW60" s="3573"/>
      <c r="AX60" s="3582"/>
      <c r="AY60" t="str">
        <f t="shared" si="73"/>
        <v/>
      </c>
      <c r="CA60" s="434" t="str">
        <f t="shared" si="74"/>
        <v/>
      </c>
      <c r="CB60" s="434" t="str">
        <f t="shared" si="75"/>
        <v/>
      </c>
      <c r="CC60" s="434" t="str">
        <f t="shared" si="76"/>
        <v/>
      </c>
      <c r="CD60" s="434" t="str">
        <f t="shared" si="77"/>
        <v/>
      </c>
      <c r="CE60" s="434" t="str">
        <f t="shared" si="78"/>
        <v/>
      </c>
      <c r="CF60" s="434" t="str">
        <f t="shared" si="79"/>
        <v/>
      </c>
      <c r="CG60" s="434" t="str">
        <f t="shared" si="80"/>
        <v/>
      </c>
      <c r="CH60" s="434" t="str">
        <f t="shared" si="81"/>
        <v/>
      </c>
      <c r="CO60" s="435">
        <f>IF(AND((Y60+Z60)&gt;0,AQ60=""),1,IF(AQ60&gt;(Y60+Z60),1,0))</f>
        <v>0</v>
      </c>
      <c r="CP60" s="435">
        <f>IF(AND($F60&gt;0,AR60=""),1,IF(AR60&gt;$F60,1,0))</f>
        <v>0</v>
      </c>
      <c r="CQ60" s="435">
        <f>IF(AND((AK60+AL60)&gt;0,AS60=""),1,IF(AS60&gt;(AK60+AL60),1,0))</f>
        <v>0</v>
      </c>
      <c r="CR60" s="435">
        <f t="shared" si="82"/>
        <v>0</v>
      </c>
      <c r="CS60" s="435">
        <f t="shared" si="82"/>
        <v>0</v>
      </c>
      <c r="CT60" s="435">
        <f t="shared" si="82"/>
        <v>0</v>
      </c>
      <c r="CU60" s="435">
        <f t="shared" si="82"/>
        <v>0</v>
      </c>
      <c r="CV60" s="435">
        <f>IF(AND(D60&gt;0,AX60=""),1,IF(AX60&gt;D60,1,0))</f>
        <v>0</v>
      </c>
    </row>
    <row r="61" spans="1:100" ht="15" customHeight="1" x14ac:dyDescent="0.3">
      <c r="A61" s="6736"/>
      <c r="B61" s="6737"/>
      <c r="C61" s="3414" t="s">
        <v>1629</v>
      </c>
      <c r="D61" s="3523">
        <f t="shared" si="70"/>
        <v>0</v>
      </c>
      <c r="E61" s="3641">
        <f t="shared" si="71"/>
        <v>0</v>
      </c>
      <c r="F61" s="3642">
        <f t="shared" si="71"/>
        <v>0</v>
      </c>
      <c r="G61" s="5569"/>
      <c r="H61" s="5570"/>
      <c r="I61" s="5569"/>
      <c r="J61" s="5570"/>
      <c r="K61" s="3576"/>
      <c r="L61" s="3577"/>
      <c r="M61" s="3576"/>
      <c r="N61" s="3577"/>
      <c r="O61" s="3576"/>
      <c r="P61" s="3577"/>
      <c r="Q61" s="3576"/>
      <c r="R61" s="3577"/>
      <c r="S61" s="3576"/>
      <c r="T61" s="3577"/>
      <c r="U61" s="3576"/>
      <c r="V61" s="3577"/>
      <c r="W61" s="3576"/>
      <c r="X61" s="3577"/>
      <c r="Y61" s="3576"/>
      <c r="Z61" s="3577"/>
      <c r="AA61" s="3576"/>
      <c r="AB61" s="3577"/>
      <c r="AC61" s="3576"/>
      <c r="AD61" s="3577"/>
      <c r="AE61" s="3576"/>
      <c r="AF61" s="3577"/>
      <c r="AG61" s="3576"/>
      <c r="AH61" s="3577"/>
      <c r="AI61" s="3576"/>
      <c r="AJ61" s="3577"/>
      <c r="AK61" s="3576"/>
      <c r="AL61" s="3577"/>
      <c r="AM61" s="3576"/>
      <c r="AN61" s="3577"/>
      <c r="AO61" s="3576"/>
      <c r="AP61" s="3580"/>
      <c r="AQ61" s="3581"/>
      <c r="AR61" s="3573"/>
      <c r="AS61" s="3573"/>
      <c r="AT61" s="3573"/>
      <c r="AU61" s="3573"/>
      <c r="AV61" s="3573"/>
      <c r="AW61" s="3573"/>
      <c r="AX61" s="3582"/>
      <c r="AY61" t="str">
        <f t="shared" si="73"/>
        <v/>
      </c>
      <c r="CA61" s="434" t="str">
        <f t="shared" si="74"/>
        <v/>
      </c>
      <c r="CB61" s="434" t="str">
        <f t="shared" si="75"/>
        <v/>
      </c>
      <c r="CC61" s="434" t="str">
        <f t="shared" si="76"/>
        <v/>
      </c>
      <c r="CD61" s="434" t="str">
        <f t="shared" si="77"/>
        <v/>
      </c>
      <c r="CE61" s="434" t="str">
        <f t="shared" si="78"/>
        <v/>
      </c>
      <c r="CF61" s="434" t="str">
        <f t="shared" si="79"/>
        <v/>
      </c>
      <c r="CG61" s="434" t="str">
        <f t="shared" si="80"/>
        <v/>
      </c>
      <c r="CH61" s="434" t="str">
        <f t="shared" si="81"/>
        <v/>
      </c>
      <c r="CO61" s="435">
        <f>IF(AND((Y61+Z61)&gt;0,AQ61=""),1,IF(AQ61&gt;(Y61+Z61),1,0))</f>
        <v>0</v>
      </c>
      <c r="CP61" s="435">
        <f>IF(AND($F61&gt;0,AR61=""),1,IF(AR61&gt;$F61,1,0))</f>
        <v>0</v>
      </c>
      <c r="CQ61" s="435">
        <f>IF(AND((AK61+AL61)&gt;0,AS61=""),1,IF(AS61&gt;(AK61+AL61),1,0))</f>
        <v>0</v>
      </c>
      <c r="CR61" s="435">
        <f t="shared" si="82"/>
        <v>0</v>
      </c>
      <c r="CS61" s="435">
        <f t="shared" si="82"/>
        <v>0</v>
      </c>
      <c r="CT61" s="435">
        <f t="shared" si="82"/>
        <v>0</v>
      </c>
      <c r="CU61" s="435">
        <f t="shared" si="82"/>
        <v>0</v>
      </c>
      <c r="CV61" s="435">
        <f>IF(AND(D61&gt;0,AX61=""),1,IF(AX61&gt;D61,1,0))</f>
        <v>0</v>
      </c>
    </row>
    <row r="62" spans="1:100" ht="15" customHeight="1" x14ac:dyDescent="0.3">
      <c r="A62" s="6710"/>
      <c r="B62" s="6712"/>
      <c r="C62" s="3415" t="s">
        <v>1630</v>
      </c>
      <c r="D62" s="3586">
        <f t="shared" si="70"/>
        <v>0</v>
      </c>
      <c r="E62" s="3626">
        <f>SUM(G62+I62+K62+M62+O62+Q62+S62+U62+W62+Y62+AA62+AC62+AE62+AG62+AI62+AK62+AM62+AO62)</f>
        <v>0</v>
      </c>
      <c r="F62" s="3643">
        <f>SUM(H62+J62+L62+N62+P62+R62+T62+V62+X62+Z62+AB62+AD62+AF62+AH62+AJ62+AL62+AN62+AP62)</f>
        <v>0</v>
      </c>
      <c r="G62" s="5571"/>
      <c r="H62" s="5572"/>
      <c r="I62" s="5571"/>
      <c r="J62" s="5572"/>
      <c r="K62" s="3587"/>
      <c r="L62" s="3629"/>
      <c r="M62" s="3587"/>
      <c r="N62" s="3629"/>
      <c r="O62" s="3587"/>
      <c r="P62" s="3629"/>
      <c r="Q62" s="3587"/>
      <c r="R62" s="3629"/>
      <c r="S62" s="3587"/>
      <c r="T62" s="3629"/>
      <c r="U62" s="3587"/>
      <c r="V62" s="3629"/>
      <c r="W62" s="3587"/>
      <c r="X62" s="3629"/>
      <c r="Y62" s="3587"/>
      <c r="Z62" s="3629"/>
      <c r="AA62" s="3587"/>
      <c r="AB62" s="3629"/>
      <c r="AC62" s="3587"/>
      <c r="AD62" s="3629"/>
      <c r="AE62" s="3587"/>
      <c r="AF62" s="3629"/>
      <c r="AG62" s="3587"/>
      <c r="AH62" s="3629"/>
      <c r="AI62" s="3587"/>
      <c r="AJ62" s="3629"/>
      <c r="AK62" s="3587"/>
      <c r="AL62" s="3629"/>
      <c r="AM62" s="3587"/>
      <c r="AN62" s="3629"/>
      <c r="AO62" s="3587"/>
      <c r="AP62" s="3632"/>
      <c r="AQ62" s="3633"/>
      <c r="AR62" s="3634"/>
      <c r="AS62" s="3634"/>
      <c r="AT62" s="3634"/>
      <c r="AU62" s="3634"/>
      <c r="AV62" s="3634"/>
      <c r="AW62" s="3634"/>
      <c r="AX62" s="3627"/>
      <c r="AY62" t="str">
        <f t="shared" si="73"/>
        <v/>
      </c>
      <c r="CA62" s="434" t="str">
        <f t="shared" si="74"/>
        <v/>
      </c>
      <c r="CB62" s="434" t="str">
        <f t="shared" si="75"/>
        <v/>
      </c>
      <c r="CC62" s="434" t="str">
        <f t="shared" si="76"/>
        <v/>
      </c>
      <c r="CD62" s="434" t="str">
        <f t="shared" si="77"/>
        <v/>
      </c>
      <c r="CE62" s="434" t="str">
        <f t="shared" si="78"/>
        <v/>
      </c>
      <c r="CF62" s="434" t="str">
        <f t="shared" si="79"/>
        <v/>
      </c>
      <c r="CG62" s="434" t="str">
        <f t="shared" si="80"/>
        <v/>
      </c>
      <c r="CH62" s="434" t="str">
        <f t="shared" si="81"/>
        <v/>
      </c>
      <c r="CO62" s="435">
        <f>IF(AND((Y62+Z62)&gt;0,AQ62=""),1,IF(AQ62&gt;(Y62+Z62),1,0))</f>
        <v>0</v>
      </c>
      <c r="CP62" s="435">
        <f>IF(AND($F62&gt;0,AR62=""),1,IF(AR62&gt;$F62,1,0))</f>
        <v>0</v>
      </c>
      <c r="CQ62" s="435">
        <f>IF(AND((AK62+AL62)&gt;0,AS62=""),1,IF(AS62&gt;(AK62+AL62),1,0))</f>
        <v>0</v>
      </c>
      <c r="CR62" s="435">
        <f t="shared" si="82"/>
        <v>0</v>
      </c>
      <c r="CS62" s="435">
        <f t="shared" si="82"/>
        <v>0</v>
      </c>
      <c r="CT62" s="435">
        <f t="shared" si="82"/>
        <v>0</v>
      </c>
      <c r="CU62" s="435">
        <f t="shared" si="82"/>
        <v>0</v>
      </c>
      <c r="CV62" s="435">
        <f>IF(AND(D62&gt;0,AX62=""),1,IF(AX62&gt;D62,1,0))</f>
        <v>0</v>
      </c>
    </row>
    <row r="63" spans="1:100" ht="15" customHeight="1" x14ac:dyDescent="0.3">
      <c r="A63" s="6688" t="s">
        <v>77</v>
      </c>
      <c r="B63" s="6247"/>
      <c r="C63" s="6687"/>
      <c r="D63" s="3597">
        <f>SUM(D58:D62)</f>
        <v>0</v>
      </c>
      <c r="E63" s="880">
        <f>SUM(E58:E62)</f>
        <v>0</v>
      </c>
      <c r="F63" s="882">
        <f>SUM(F58:F62)</f>
        <v>0</v>
      </c>
      <c r="G63" s="3597">
        <f t="shared" ref="G63:AX63" si="83">SUM(G58:G62)</f>
        <v>0</v>
      </c>
      <c r="H63" s="3635">
        <f t="shared" si="83"/>
        <v>0</v>
      </c>
      <c r="I63" s="3597">
        <f t="shared" si="83"/>
        <v>0</v>
      </c>
      <c r="J63" s="3635">
        <f t="shared" si="83"/>
        <v>0</v>
      </c>
      <c r="K63" s="3597">
        <f t="shared" si="83"/>
        <v>0</v>
      </c>
      <c r="L63" s="3635">
        <f t="shared" si="83"/>
        <v>0</v>
      </c>
      <c r="M63" s="3597">
        <f t="shared" si="83"/>
        <v>0</v>
      </c>
      <c r="N63" s="3635">
        <f t="shared" si="83"/>
        <v>0</v>
      </c>
      <c r="O63" s="3597">
        <f t="shared" si="83"/>
        <v>0</v>
      </c>
      <c r="P63" s="3635">
        <f t="shared" si="83"/>
        <v>0</v>
      </c>
      <c r="Q63" s="3597">
        <f t="shared" si="83"/>
        <v>0</v>
      </c>
      <c r="R63" s="3635">
        <f t="shared" si="83"/>
        <v>0</v>
      </c>
      <c r="S63" s="3597">
        <f t="shared" si="83"/>
        <v>0</v>
      </c>
      <c r="T63" s="882">
        <f t="shared" si="83"/>
        <v>0</v>
      </c>
      <c r="U63" s="3597">
        <f t="shared" si="83"/>
        <v>0</v>
      </c>
      <c r="V63" s="3635">
        <f t="shared" si="83"/>
        <v>0</v>
      </c>
      <c r="W63" s="3597">
        <f t="shared" si="83"/>
        <v>0</v>
      </c>
      <c r="X63" s="3635">
        <f t="shared" si="83"/>
        <v>0</v>
      </c>
      <c r="Y63" s="3597">
        <f t="shared" si="83"/>
        <v>0</v>
      </c>
      <c r="Z63" s="3635">
        <f t="shared" si="83"/>
        <v>0</v>
      </c>
      <c r="AA63" s="3597">
        <f t="shared" si="83"/>
        <v>0</v>
      </c>
      <c r="AB63" s="3635">
        <f t="shared" si="83"/>
        <v>0</v>
      </c>
      <c r="AC63" s="3597">
        <f t="shared" si="83"/>
        <v>0</v>
      </c>
      <c r="AD63" s="3635">
        <f t="shared" si="83"/>
        <v>0</v>
      </c>
      <c r="AE63" s="3597">
        <f t="shared" si="83"/>
        <v>0</v>
      </c>
      <c r="AF63" s="3635">
        <f t="shared" si="83"/>
        <v>0</v>
      </c>
      <c r="AG63" s="3597">
        <f t="shared" si="83"/>
        <v>0</v>
      </c>
      <c r="AH63" s="3635">
        <f t="shared" si="83"/>
        <v>0</v>
      </c>
      <c r="AI63" s="3597">
        <f t="shared" si="83"/>
        <v>0</v>
      </c>
      <c r="AJ63" s="3635">
        <f t="shared" si="83"/>
        <v>0</v>
      </c>
      <c r="AK63" s="3597">
        <f t="shared" si="83"/>
        <v>0</v>
      </c>
      <c r="AL63" s="3635">
        <f t="shared" si="83"/>
        <v>0</v>
      </c>
      <c r="AM63" s="3597">
        <f t="shared" si="83"/>
        <v>0</v>
      </c>
      <c r="AN63" s="3635">
        <f t="shared" si="83"/>
        <v>0</v>
      </c>
      <c r="AO63" s="3597">
        <f t="shared" si="83"/>
        <v>0</v>
      </c>
      <c r="AP63" s="3636">
        <f t="shared" si="83"/>
        <v>0</v>
      </c>
      <c r="AQ63" s="3637">
        <f t="shared" si="83"/>
        <v>0</v>
      </c>
      <c r="AR63" s="880">
        <f t="shared" si="83"/>
        <v>0</v>
      </c>
      <c r="AS63" s="880">
        <f t="shared" si="83"/>
        <v>0</v>
      </c>
      <c r="AT63" s="880">
        <f t="shared" si="83"/>
        <v>0</v>
      </c>
      <c r="AU63" s="880">
        <f t="shared" si="83"/>
        <v>0</v>
      </c>
      <c r="AV63" s="880">
        <f>SUM(AV58:AV62)</f>
        <v>0</v>
      </c>
      <c r="AW63" s="880">
        <f t="shared" si="83"/>
        <v>0</v>
      </c>
      <c r="AX63" s="3598">
        <f t="shared" si="83"/>
        <v>0</v>
      </c>
    </row>
    <row r="64" spans="1:100" ht="15" customHeight="1" x14ac:dyDescent="0.3">
      <c r="A64" s="6636" t="s">
        <v>1631</v>
      </c>
      <c r="B64" s="6374"/>
      <c r="C64" s="3412">
        <v>0</v>
      </c>
      <c r="D64" s="3616">
        <f>SUM(E64:F64)</f>
        <v>0</v>
      </c>
      <c r="E64" s="3644">
        <f t="shared" ref="E64:F66" si="84">SUM(AA64+AC64+AE64+AG64+AI64+AK64+AM64+AO64)</f>
        <v>0</v>
      </c>
      <c r="F64" s="3645">
        <f t="shared" si="84"/>
        <v>0</v>
      </c>
      <c r="G64" s="3646"/>
      <c r="H64" s="3647"/>
      <c r="I64" s="3648"/>
      <c r="J64" s="3647"/>
      <c r="K64" s="3648"/>
      <c r="L64" s="3647"/>
      <c r="M64" s="3648"/>
      <c r="N64" s="3647"/>
      <c r="O64" s="3648"/>
      <c r="P64" s="3647"/>
      <c r="Q64" s="3648"/>
      <c r="R64" s="3647"/>
      <c r="S64" s="3649"/>
      <c r="T64" s="3650"/>
      <c r="U64" s="3648"/>
      <c r="V64" s="3647"/>
      <c r="W64" s="3648"/>
      <c r="X64" s="3647"/>
      <c r="Y64" s="3648"/>
      <c r="Z64" s="3647"/>
      <c r="AA64" s="3617"/>
      <c r="AB64" s="3620"/>
      <c r="AC64" s="3651"/>
      <c r="AD64" s="3652"/>
      <c r="AE64" s="3592"/>
      <c r="AF64" s="3653"/>
      <c r="AG64" s="3592"/>
      <c r="AH64" s="3653"/>
      <c r="AI64" s="3622"/>
      <c r="AJ64" s="3620"/>
      <c r="AK64" s="3617"/>
      <c r="AL64" s="3620"/>
      <c r="AM64" s="3651"/>
      <c r="AN64" s="3652"/>
      <c r="AO64" s="3622"/>
      <c r="AP64" s="3559"/>
      <c r="AQ64" s="3654"/>
      <c r="AR64" s="3625"/>
      <c r="AS64" s="3625"/>
      <c r="AT64" s="3655"/>
      <c r="AU64" s="3625"/>
      <c r="AV64" s="3625"/>
      <c r="AW64" s="3655"/>
      <c r="AX64" s="3656"/>
      <c r="AY64" t="str">
        <f t="shared" si="73"/>
        <v/>
      </c>
      <c r="CA64" s="434" t="str">
        <f>IF(AND((Y64+Z64)&gt;0,AQ64="")," * No olvide digitar la variable 12 años (incluido en el grupo de 10-14 años). Digite Cero si no tiene.",IF(AQ64&gt;(Y64+Z64),"* Las Consultas de 12 años (incluido en el grupo de 10-14 años) NO DEBEN ser mayor que el total de Consultas entre 10-14 años",""))</f>
        <v/>
      </c>
      <c r="CB64" s="434" t="str">
        <f>IF(AND($F64&gt;0,AR64="")," * No olvide digitar la variable Gestante. Digite cero si no tiene.",IF(AR64&gt;$F64," * La variable Gestante NO DEBEN ser mayor al Total de Mujeres. ",""))</f>
        <v/>
      </c>
      <c r="CC64" s="434" t="str">
        <f t="shared" ref="CC64:CC66" si="85">IF(AND((AK64+AL64)&gt;0,AS64="")," * No olvide digitar la variable 60 años (incluido en grupos de 60-64 años). Digite Cero si no tiene.",IF(AS64&gt;(AK64+AL64)," * La variable 60 años (incluido en grupos de 60-64 años) NO DEBE ser mayor que el Total de consultas del grupo 60-64 años",""))</f>
        <v/>
      </c>
      <c r="CD64" s="434" t="str">
        <f t="shared" ref="CD64:CD66" si="86">IF(AND(D64&gt;0,AT64="")," * No olvide digitar la variable Usuarios con Discapacidad. Digite Cero si no tiene.",IF(AT64&gt;D64," * La variable Usuarios con Discapacidad No puede ser mayor al Total Ambos Sexos.",""))</f>
        <v/>
      </c>
      <c r="CE64" s="434" t="str">
        <f t="shared" ref="CE64:CE66" si="87">IF(AND(D64&gt;0,AU64="")," * No olvide digitar la variable Niños, niñas, adolescentes y jóvenes SENAME. Digite Cero si no tiene.",IF(AU64&gt;$D64," * La variable Usuarios con Discapacidad No puede ser mayor al Total Ambos Sexos.",""))</f>
        <v/>
      </c>
      <c r="CF64" s="434" t="str">
        <f t="shared" ref="CF64:CF66" si="88">IF(AND($D64&gt;0,AV64="")," * No olvide digitar la variable Niños, niñas, adolescentes y jóvenes Mejor Niñez. Digite Cero si no tiene.",IF(AV64&gt;$D64," * La variable Niños, niñas, adolescentes y jóvenes Mejor Niñez No puede ser mayor al Total Ambos Sexos.",""))</f>
        <v/>
      </c>
      <c r="CG64" s="434" t="str">
        <f t="shared" ref="CG64:CG66" si="89">IF(AND($D64&gt;0,AW64="")," * No olvide digitar la variable Migrantes. Digite Cero si no tiene.",IF(AW64&gt;$D64," * La variable Migrantes No puede ser mayor al Total Ambos Sexos.",""))</f>
        <v/>
      </c>
      <c r="CH64" s="434" t="str">
        <f t="shared" ref="CH64:CH66" si="90">IF(AND($D64&gt;0,AX64="")," * No olvide digitar la variable Persona con ingreso integral y condición crónica. Digite Cero si no tiene.",IF(AX64&gt;$D64," * La variable Persona con ingreso integral y condición crónica no puede ser mayor al Total Ambos Sexos.",""))</f>
        <v/>
      </c>
      <c r="CO64" s="435">
        <f>IF(AND((Y64+Z64)&gt;0,AQ64=""),1,IF(AQ64&gt;(Y64+Z64),1,0))</f>
        <v>0</v>
      </c>
      <c r="CP64" s="435">
        <f>IF(AND($F64&gt;0,AR64=""),1,IF(AR64&gt;$F64,1,0))</f>
        <v>0</v>
      </c>
      <c r="CQ64" s="435">
        <f>IF(AND((AK64+AL64)&gt;0,AS64=""),1,IF(AS64&gt;(AK64+AL64),1,0))</f>
        <v>0</v>
      </c>
      <c r="CR64" s="435">
        <f t="shared" ref="CR64:CU66" si="91">IF(AND($D64&gt;0,AT64=""),1,IF(AT64&gt;$D64,1,0))</f>
        <v>0</v>
      </c>
      <c r="CS64" s="435">
        <f t="shared" si="91"/>
        <v>0</v>
      </c>
      <c r="CT64" s="435">
        <f t="shared" si="91"/>
        <v>0</v>
      </c>
      <c r="CU64" s="435">
        <f t="shared" si="91"/>
        <v>0</v>
      </c>
      <c r="CV64" s="435">
        <f>IF(AND(D64&gt;0,AX64=""),1,IF(AX64&gt;D64,1,0))</f>
        <v>0</v>
      </c>
    </row>
    <row r="65" spans="1:100" ht="15" customHeight="1" x14ac:dyDescent="0.3">
      <c r="A65" s="6637"/>
      <c r="B65" s="6375"/>
      <c r="C65" s="3414" t="s">
        <v>1632</v>
      </c>
      <c r="D65" s="3616">
        <f>SUM(E65:F65)</f>
        <v>0</v>
      </c>
      <c r="E65" s="3644">
        <f t="shared" si="84"/>
        <v>0</v>
      </c>
      <c r="F65" s="3645">
        <f t="shared" si="84"/>
        <v>0</v>
      </c>
      <c r="G65" s="3657"/>
      <c r="H65" s="3658"/>
      <c r="I65" s="3657"/>
      <c r="J65" s="3658"/>
      <c r="K65" s="3657"/>
      <c r="L65" s="3658"/>
      <c r="M65" s="3657"/>
      <c r="N65" s="3658"/>
      <c r="O65" s="3657"/>
      <c r="P65" s="3658"/>
      <c r="Q65" s="3657"/>
      <c r="R65" s="3658"/>
      <c r="S65" s="3649"/>
      <c r="T65" s="3650"/>
      <c r="U65" s="3657"/>
      <c r="V65" s="3658"/>
      <c r="W65" s="3657"/>
      <c r="X65" s="3658"/>
      <c r="Y65" s="3657"/>
      <c r="Z65" s="3658"/>
      <c r="AA65" s="3617"/>
      <c r="AB65" s="3620"/>
      <c r="AC65" s="3617"/>
      <c r="AD65" s="3620"/>
      <c r="AE65" s="3622"/>
      <c r="AF65" s="3620"/>
      <c r="AG65" s="3622"/>
      <c r="AH65" s="3620"/>
      <c r="AI65" s="3622"/>
      <c r="AJ65" s="3620"/>
      <c r="AK65" s="3617"/>
      <c r="AL65" s="3620"/>
      <c r="AM65" s="3617"/>
      <c r="AN65" s="3620"/>
      <c r="AO65" s="3622"/>
      <c r="AP65" s="3623"/>
      <c r="AQ65" s="3624"/>
      <c r="AR65" s="3625"/>
      <c r="AS65" s="3625"/>
      <c r="AT65" s="3625"/>
      <c r="AU65" s="3625"/>
      <c r="AV65" s="3625"/>
      <c r="AW65" s="3625"/>
      <c r="AX65" s="3618"/>
      <c r="AY65" t="str">
        <f t="shared" si="73"/>
        <v/>
      </c>
      <c r="CA65" s="434" t="str">
        <f t="shared" ref="CA65:CA66" si="92">IF(AND((Y65+Z65)&gt;0,AQ65="")," * No olvide digitar la variable 12 años (incluido en el grupo de 10-14 años). Digite Cero si no tiene.",IF(AQ65&gt;(Y65+Z65),"* Las Consultas de 12 años (incluido en el grupo de 10-14 años) NO DEBEN ser mayor que el total de Consultas entre 10-14 años",""))</f>
        <v/>
      </c>
      <c r="CB65" s="434" t="str">
        <f t="shared" ref="CB65:CB66" si="93">IF(AND($F65&gt;0,AR65="")," * No olvide digitar la variable Gestante. Digite cero si no tiene.",IF(AR65&gt;$F65," * La variable Gestante NO DEBEN ser mayor al Total de Mujeres. ",""))</f>
        <v/>
      </c>
      <c r="CC65" s="434" t="str">
        <f t="shared" si="85"/>
        <v/>
      </c>
      <c r="CD65" s="434" t="str">
        <f t="shared" si="86"/>
        <v/>
      </c>
      <c r="CE65" s="434" t="str">
        <f t="shared" si="87"/>
        <v/>
      </c>
      <c r="CF65" s="434" t="str">
        <f t="shared" si="88"/>
        <v/>
      </c>
      <c r="CG65" s="434" t="str">
        <f t="shared" si="89"/>
        <v/>
      </c>
      <c r="CH65" s="434" t="str">
        <f t="shared" si="90"/>
        <v/>
      </c>
      <c r="CO65" s="435">
        <f>IF(AND((Y65+Z65)&gt;0,AQ65=""),1,IF(AQ65&gt;(Y65+Z65),1,0))</f>
        <v>0</v>
      </c>
      <c r="CP65" s="435">
        <f>IF(AND($F65&gt;0,AR65=""),1,IF(AR65&gt;$F65,1,0))</f>
        <v>0</v>
      </c>
      <c r="CQ65" s="435">
        <f>IF(AND((AK65+AL65)&gt;0,AS65=""),1,IF(AS65&gt;(AK65+AL65),1,0))</f>
        <v>0</v>
      </c>
      <c r="CR65" s="435">
        <f t="shared" si="91"/>
        <v>0</v>
      </c>
      <c r="CS65" s="435">
        <f t="shared" si="91"/>
        <v>0</v>
      </c>
      <c r="CT65" s="435">
        <f t="shared" si="91"/>
        <v>0</v>
      </c>
      <c r="CU65" s="435">
        <f t="shared" si="91"/>
        <v>0</v>
      </c>
      <c r="CV65" s="435">
        <f>IF(AND(D65&gt;0,AX65=""),1,IF(AX65&gt;D65,1,0))</f>
        <v>0</v>
      </c>
    </row>
    <row r="66" spans="1:100" ht="15" customHeight="1" x14ac:dyDescent="0.3">
      <c r="A66" s="6638"/>
      <c r="B66" s="6739"/>
      <c r="C66" s="3415" t="s">
        <v>1633</v>
      </c>
      <c r="D66" s="3616">
        <f>SUM(E66:F66)</f>
        <v>0</v>
      </c>
      <c r="E66" s="3644">
        <f t="shared" si="84"/>
        <v>0</v>
      </c>
      <c r="F66" s="3645">
        <f t="shared" si="84"/>
        <v>0</v>
      </c>
      <c r="G66" s="3657"/>
      <c r="H66" s="3658"/>
      <c r="I66" s="3657"/>
      <c r="J66" s="3658"/>
      <c r="K66" s="3657"/>
      <c r="L66" s="3658"/>
      <c r="M66" s="3657"/>
      <c r="N66" s="3658"/>
      <c r="O66" s="3657"/>
      <c r="P66" s="3658"/>
      <c r="Q66" s="3657"/>
      <c r="R66" s="3658"/>
      <c r="S66" s="3649"/>
      <c r="T66" s="3650"/>
      <c r="U66" s="3657"/>
      <c r="V66" s="3658"/>
      <c r="W66" s="3657"/>
      <c r="X66" s="3658"/>
      <c r="Y66" s="3657"/>
      <c r="Z66" s="3658"/>
      <c r="AA66" s="3617"/>
      <c r="AB66" s="3620"/>
      <c r="AC66" s="3617"/>
      <c r="AD66" s="3620"/>
      <c r="AE66" s="3622"/>
      <c r="AF66" s="3620"/>
      <c r="AG66" s="3622"/>
      <c r="AH66" s="3620"/>
      <c r="AI66" s="3622"/>
      <c r="AJ66" s="3620"/>
      <c r="AK66" s="3617"/>
      <c r="AL66" s="3620"/>
      <c r="AM66" s="3587"/>
      <c r="AN66" s="3629"/>
      <c r="AO66" s="3622"/>
      <c r="AP66" s="3623"/>
      <c r="AQ66" s="3633"/>
      <c r="AR66" s="3625"/>
      <c r="AS66" s="3625"/>
      <c r="AT66" s="3625"/>
      <c r="AU66" s="3625"/>
      <c r="AV66" s="3625"/>
      <c r="AW66" s="3625"/>
      <c r="AX66" s="3618"/>
      <c r="AY66" t="str">
        <f t="shared" si="73"/>
        <v/>
      </c>
      <c r="CA66" s="434" t="str">
        <f t="shared" si="92"/>
        <v/>
      </c>
      <c r="CB66" s="434" t="str">
        <f t="shared" si="93"/>
        <v/>
      </c>
      <c r="CC66" s="434" t="str">
        <f t="shared" si="85"/>
        <v/>
      </c>
      <c r="CD66" s="434" t="str">
        <f t="shared" si="86"/>
        <v/>
      </c>
      <c r="CE66" s="434" t="str">
        <f t="shared" si="87"/>
        <v/>
      </c>
      <c r="CF66" s="434" t="str">
        <f t="shared" si="88"/>
        <v/>
      </c>
      <c r="CG66" s="434" t="str">
        <f t="shared" si="89"/>
        <v/>
      </c>
      <c r="CH66" s="434" t="str">
        <f t="shared" si="90"/>
        <v/>
      </c>
      <c r="CO66" s="435">
        <f>IF(AND((Y66+Z66)&gt;0,AQ66=""),1,IF(AQ66&gt;(Y66+Z66),1,0))</f>
        <v>0</v>
      </c>
      <c r="CP66" s="435">
        <f>IF(AND($F66&gt;0,AR66=""),1,IF(AR66&gt;$F66,1,0))</f>
        <v>0</v>
      </c>
      <c r="CQ66" s="435">
        <f>IF(AND((AK66+AL66)&gt;0,AS66=""),1,IF(AS66&gt;(AK66+AL66),1,0))</f>
        <v>0</v>
      </c>
      <c r="CR66" s="435">
        <f t="shared" si="91"/>
        <v>0</v>
      </c>
      <c r="CS66" s="435">
        <f t="shared" si="91"/>
        <v>0</v>
      </c>
      <c r="CT66" s="435">
        <f t="shared" si="91"/>
        <v>0</v>
      </c>
      <c r="CU66" s="435">
        <f t="shared" si="91"/>
        <v>0</v>
      </c>
      <c r="CV66" s="435">
        <f>IF(AND(D66&gt;0,AX66=""),1,IF(AX66&gt;D66,1,0))</f>
        <v>0</v>
      </c>
    </row>
    <row r="67" spans="1:100" ht="15" customHeight="1" x14ac:dyDescent="0.3">
      <c r="A67" s="6466" t="s">
        <v>77</v>
      </c>
      <c r="B67" s="6467"/>
      <c r="C67" s="6687"/>
      <c r="D67" s="3597">
        <f>SUM(D64:D66)</f>
        <v>0</v>
      </c>
      <c r="E67" s="880">
        <f>SUM(E64:E66)</f>
        <v>0</v>
      </c>
      <c r="F67" s="3598">
        <f>SUM(F64:F66)</f>
        <v>0</v>
      </c>
      <c r="G67" s="6682"/>
      <c r="H67" s="6683"/>
      <c r="I67" s="6683"/>
      <c r="J67" s="6683"/>
      <c r="K67" s="6683"/>
      <c r="L67" s="6683"/>
      <c r="M67" s="6683"/>
      <c r="N67" s="6683"/>
      <c r="O67" s="6683"/>
      <c r="P67" s="6683"/>
      <c r="Q67" s="6683"/>
      <c r="R67" s="6683"/>
      <c r="S67" s="6683"/>
      <c r="T67" s="6683"/>
      <c r="U67" s="6683"/>
      <c r="V67" s="6683"/>
      <c r="W67" s="6683"/>
      <c r="X67" s="6683"/>
      <c r="Y67" s="6683"/>
      <c r="Z67" s="6684"/>
      <c r="AA67" s="3597">
        <f t="shared" ref="AA67:AX67" si="94">SUM(AA64:AA66)</f>
        <v>0</v>
      </c>
      <c r="AB67" s="3598">
        <f t="shared" si="94"/>
        <v>0</v>
      </c>
      <c r="AC67" s="3597">
        <f t="shared" si="94"/>
        <v>0</v>
      </c>
      <c r="AD67" s="882">
        <f t="shared" si="94"/>
        <v>0</v>
      </c>
      <c r="AE67" s="3635">
        <f t="shared" si="94"/>
        <v>0</v>
      </c>
      <c r="AF67" s="882">
        <f t="shared" si="94"/>
        <v>0</v>
      </c>
      <c r="AG67" s="3635">
        <f t="shared" si="94"/>
        <v>0</v>
      </c>
      <c r="AH67" s="882">
        <f t="shared" si="94"/>
        <v>0</v>
      </c>
      <c r="AI67" s="3635">
        <f t="shared" si="94"/>
        <v>0</v>
      </c>
      <c r="AJ67" s="3598">
        <f t="shared" si="94"/>
        <v>0</v>
      </c>
      <c r="AK67" s="3597">
        <f t="shared" si="94"/>
        <v>0</v>
      </c>
      <c r="AL67" s="3598">
        <f t="shared" si="94"/>
        <v>0</v>
      </c>
      <c r="AM67" s="3597">
        <f t="shared" si="94"/>
        <v>0</v>
      </c>
      <c r="AN67" s="882">
        <f t="shared" si="94"/>
        <v>0</v>
      </c>
      <c r="AO67" s="3635">
        <f t="shared" si="94"/>
        <v>0</v>
      </c>
      <c r="AP67" s="3636">
        <f t="shared" si="94"/>
        <v>0</v>
      </c>
      <c r="AQ67" s="3637">
        <f t="shared" si="94"/>
        <v>0</v>
      </c>
      <c r="AR67" s="880">
        <f t="shared" si="94"/>
        <v>0</v>
      </c>
      <c r="AS67" s="880">
        <f t="shared" si="94"/>
        <v>0</v>
      </c>
      <c r="AT67" s="880">
        <f t="shared" si="94"/>
        <v>0</v>
      </c>
      <c r="AU67" s="880">
        <f t="shared" si="94"/>
        <v>0</v>
      </c>
      <c r="AV67" s="880">
        <f t="shared" si="94"/>
        <v>0</v>
      </c>
      <c r="AW67" s="880">
        <f t="shared" si="94"/>
        <v>0</v>
      </c>
      <c r="AX67" s="3598">
        <f t="shared" si="94"/>
        <v>0</v>
      </c>
    </row>
    <row r="68" spans="1:100" ht="18" customHeight="1" x14ac:dyDescent="0.3">
      <c r="A68" s="3" t="s">
        <v>1634</v>
      </c>
      <c r="B68" s="3660"/>
      <c r="C68" s="3660"/>
      <c r="D68" s="3661"/>
      <c r="E68" s="4"/>
      <c r="F68" s="88"/>
      <c r="G68" s="88"/>
      <c r="H68" s="88"/>
      <c r="I68" s="88"/>
      <c r="J68" s="88"/>
    </row>
    <row r="69" spans="1:100" x14ac:dyDescent="0.3">
      <c r="A69" s="6307" t="s">
        <v>1635</v>
      </c>
      <c r="B69" s="6223"/>
      <c r="C69" s="6308"/>
      <c r="D69" s="6793" t="s">
        <v>1636</v>
      </c>
      <c r="E69" s="6794"/>
      <c r="F69" s="6794"/>
      <c r="G69" s="6794"/>
      <c r="H69" s="6795"/>
      <c r="I69" s="6793" t="s">
        <v>1637</v>
      </c>
      <c r="J69" s="6794"/>
      <c r="K69" s="6794"/>
      <c r="L69" s="6794"/>
      <c r="M69" s="6796"/>
      <c r="N69" s="6552" t="s">
        <v>1638</v>
      </c>
    </row>
    <row r="70" spans="1:100" ht="22.5" customHeight="1" x14ac:dyDescent="0.3">
      <c r="A70" s="6482"/>
      <c r="B70" s="6481"/>
      <c r="C70" s="6645"/>
      <c r="D70" s="3662" t="s">
        <v>919</v>
      </c>
      <c r="E70" s="3663" t="s">
        <v>1007</v>
      </c>
      <c r="F70" s="3537" t="s">
        <v>1639</v>
      </c>
      <c r="G70" s="3664" t="s">
        <v>1640</v>
      </c>
      <c r="H70" s="3665" t="s">
        <v>554</v>
      </c>
      <c r="I70" s="3662" t="s">
        <v>919</v>
      </c>
      <c r="J70" s="3663" t="s">
        <v>1007</v>
      </c>
      <c r="K70" s="3537" t="s">
        <v>1639</v>
      </c>
      <c r="L70" s="3664" t="s">
        <v>1640</v>
      </c>
      <c r="M70" s="3666" t="s">
        <v>554</v>
      </c>
      <c r="N70" s="6797"/>
    </row>
    <row r="71" spans="1:100" ht="15" customHeight="1" x14ac:dyDescent="0.3">
      <c r="A71" s="6798" t="s">
        <v>1641</v>
      </c>
      <c r="B71" s="6799"/>
      <c r="C71" s="6799"/>
      <c r="D71" s="3667">
        <f>SUM(E71:H71)</f>
        <v>0</v>
      </c>
      <c r="E71" s="669"/>
      <c r="F71" s="791"/>
      <c r="G71" s="791"/>
      <c r="H71" s="671"/>
      <c r="I71" s="26">
        <f>SUM(J71:M71)</f>
        <v>0</v>
      </c>
      <c r="J71" s="669"/>
      <c r="K71" s="791"/>
      <c r="L71" s="791"/>
      <c r="M71" s="789"/>
      <c r="N71" s="668"/>
      <c r="O71" t="str">
        <f>CA71&amp;CB71</f>
        <v/>
      </c>
      <c r="CA71" s="434" t="str">
        <f>IF(I71&gt;D71," * El Total de PERTINENCIA ORIGEN  No puede ser mayor al Total Interconsultas generadas.","")</f>
        <v/>
      </c>
      <c r="CB71" s="434"/>
      <c r="CO71" s="437">
        <f>IF(I71&gt;D71,1,0)</f>
        <v>0</v>
      </c>
      <c r="CP71" s="437"/>
    </row>
    <row r="72" spans="1:100" ht="15" customHeight="1" x14ac:dyDescent="0.3">
      <c r="A72" s="6800" t="s">
        <v>1642</v>
      </c>
      <c r="B72" s="6727" t="s">
        <v>1643</v>
      </c>
      <c r="C72" s="6706"/>
      <c r="D72" s="3668">
        <f t="shared" ref="D72:D81" si="95">SUM(E72:H72)</f>
        <v>0</v>
      </c>
      <c r="E72" s="192"/>
      <c r="F72" s="594"/>
      <c r="G72" s="594"/>
      <c r="H72" s="383"/>
      <c r="I72" s="3616">
        <f>SUM(J72:M72)</f>
        <v>0</v>
      </c>
      <c r="J72" s="192"/>
      <c r="K72" s="594"/>
      <c r="L72" s="594"/>
      <c r="M72" s="384"/>
      <c r="N72" s="2"/>
      <c r="O72" t="str">
        <f t="shared" ref="O72:O81" si="96">CA72&amp;CB72</f>
        <v/>
      </c>
      <c r="CA72" s="434" t="str">
        <f t="shared" ref="CA72:CA80" si="97">IF(I72&gt;D72," * El Total de PERTINENCIA ORIGEN  No puede ser mayor al Total Interconsultas generadas.","")</f>
        <v/>
      </c>
      <c r="CB72" s="434"/>
      <c r="CO72" s="437">
        <f t="shared" ref="CO72:CO81" si="98">IF(I72&gt;D72,1,0)</f>
        <v>0</v>
      </c>
      <c r="CP72" s="437"/>
    </row>
    <row r="73" spans="1:100" ht="15" customHeight="1" x14ac:dyDescent="0.3">
      <c r="A73" s="6801"/>
      <c r="B73" s="6727" t="s">
        <v>1644</v>
      </c>
      <c r="C73" s="6706"/>
      <c r="D73" s="3668">
        <f t="shared" si="95"/>
        <v>0</v>
      </c>
      <c r="E73" s="346"/>
      <c r="F73" s="369"/>
      <c r="G73" s="369"/>
      <c r="H73" s="350"/>
      <c r="I73" s="3616">
        <f t="shared" ref="I73:I81" si="99">SUM(J73:M73)</f>
        <v>0</v>
      </c>
      <c r="J73" s="346"/>
      <c r="K73" s="369"/>
      <c r="L73" s="369"/>
      <c r="M73" s="352"/>
      <c r="N73" s="347"/>
      <c r="O73" t="str">
        <f t="shared" si="96"/>
        <v/>
      </c>
      <c r="CA73" s="434" t="str">
        <f t="shared" si="97"/>
        <v/>
      </c>
      <c r="CB73" s="434"/>
      <c r="CO73" s="437">
        <f t="shared" si="98"/>
        <v>0</v>
      </c>
      <c r="CP73" s="437"/>
    </row>
    <row r="74" spans="1:100" ht="15" customHeight="1" x14ac:dyDescent="0.3">
      <c r="A74" s="6727" t="s">
        <v>1645</v>
      </c>
      <c r="B74" s="6706"/>
      <c r="C74" s="6706"/>
      <c r="D74" s="3668">
        <f t="shared" si="95"/>
        <v>0</v>
      </c>
      <c r="E74" s="346"/>
      <c r="F74" s="369"/>
      <c r="G74" s="369"/>
      <c r="H74" s="350"/>
      <c r="I74" s="3616">
        <f t="shared" si="99"/>
        <v>0</v>
      </c>
      <c r="J74" s="346"/>
      <c r="K74" s="369"/>
      <c r="L74" s="369"/>
      <c r="M74" s="352"/>
      <c r="N74" s="347"/>
      <c r="O74" t="str">
        <f t="shared" si="96"/>
        <v/>
      </c>
      <c r="CA74" s="434" t="str">
        <f t="shared" si="97"/>
        <v/>
      </c>
      <c r="CB74" s="434"/>
      <c r="CO74" s="437">
        <f t="shared" si="98"/>
        <v>0</v>
      </c>
      <c r="CP74" s="437"/>
    </row>
    <row r="75" spans="1:100" ht="15" customHeight="1" x14ac:dyDescent="0.3">
      <c r="A75" s="6743" t="s">
        <v>1646</v>
      </c>
      <c r="B75" s="6744"/>
      <c r="C75" s="6744"/>
      <c r="D75" s="3668">
        <f t="shared" si="95"/>
        <v>0</v>
      </c>
      <c r="E75" s="346"/>
      <c r="F75" s="369"/>
      <c r="G75" s="369"/>
      <c r="H75" s="350"/>
      <c r="I75" s="3616">
        <f t="shared" si="99"/>
        <v>0</v>
      </c>
      <c r="J75" s="346"/>
      <c r="K75" s="369"/>
      <c r="L75" s="369"/>
      <c r="M75" s="352"/>
      <c r="N75" s="347"/>
      <c r="O75" t="str">
        <f t="shared" si="96"/>
        <v/>
      </c>
      <c r="CA75" s="434" t="str">
        <f t="shared" si="97"/>
        <v/>
      </c>
      <c r="CB75" s="434"/>
      <c r="CO75" s="437">
        <f t="shared" si="98"/>
        <v>0</v>
      </c>
      <c r="CP75" s="437"/>
    </row>
    <row r="76" spans="1:100" ht="15" customHeight="1" x14ac:dyDescent="0.3">
      <c r="A76" s="6727" t="s">
        <v>1647</v>
      </c>
      <c r="B76" s="6706"/>
      <c r="C76" s="6706"/>
      <c r="D76" s="3668">
        <f t="shared" si="95"/>
        <v>0</v>
      </c>
      <c r="E76" s="346"/>
      <c r="F76" s="369"/>
      <c r="G76" s="369"/>
      <c r="H76" s="350"/>
      <c r="I76" s="3616">
        <f t="shared" si="99"/>
        <v>0</v>
      </c>
      <c r="J76" s="346"/>
      <c r="K76" s="369"/>
      <c r="L76" s="369"/>
      <c r="M76" s="352"/>
      <c r="N76" s="347"/>
      <c r="O76" t="str">
        <f t="shared" si="96"/>
        <v/>
      </c>
      <c r="CA76" s="434" t="str">
        <f t="shared" si="97"/>
        <v/>
      </c>
      <c r="CB76" s="434"/>
      <c r="CO76" s="437">
        <f t="shared" si="98"/>
        <v>0</v>
      </c>
      <c r="CP76" s="437"/>
    </row>
    <row r="77" spans="1:100" ht="15" customHeight="1" x14ac:dyDescent="0.3">
      <c r="A77" s="6743" t="s">
        <v>1648</v>
      </c>
      <c r="B77" s="6744"/>
      <c r="C77" s="6744"/>
      <c r="D77" s="3668">
        <f t="shared" si="95"/>
        <v>0</v>
      </c>
      <c r="E77" s="346"/>
      <c r="F77" s="369"/>
      <c r="G77" s="369"/>
      <c r="H77" s="350"/>
      <c r="I77" s="3616">
        <f t="shared" si="99"/>
        <v>0</v>
      </c>
      <c r="J77" s="346"/>
      <c r="K77" s="369"/>
      <c r="L77" s="369"/>
      <c r="M77" s="352"/>
      <c r="N77" s="347"/>
      <c r="O77" t="str">
        <f t="shared" si="96"/>
        <v/>
      </c>
      <c r="CA77" s="434" t="str">
        <f t="shared" si="97"/>
        <v/>
      </c>
      <c r="CB77" s="434"/>
      <c r="CO77" s="437">
        <f t="shared" si="98"/>
        <v>0</v>
      </c>
      <c r="CP77" s="437"/>
    </row>
    <row r="78" spans="1:100" ht="15" customHeight="1" x14ac:dyDescent="0.3">
      <c r="A78" s="6727" t="s">
        <v>1649</v>
      </c>
      <c r="B78" s="6706"/>
      <c r="C78" s="6706"/>
      <c r="D78" s="3668">
        <f t="shared" si="95"/>
        <v>0</v>
      </c>
      <c r="E78" s="346"/>
      <c r="F78" s="369"/>
      <c r="G78" s="369"/>
      <c r="H78" s="350"/>
      <c r="I78" s="3616">
        <f t="shared" si="99"/>
        <v>0</v>
      </c>
      <c r="J78" s="346"/>
      <c r="K78" s="369"/>
      <c r="L78" s="369"/>
      <c r="M78" s="352"/>
      <c r="N78" s="347"/>
      <c r="O78" t="str">
        <f t="shared" si="96"/>
        <v/>
      </c>
      <c r="CA78" s="434" t="str">
        <f t="shared" si="97"/>
        <v/>
      </c>
      <c r="CB78" s="434"/>
      <c r="CO78" s="437">
        <f t="shared" si="98"/>
        <v>0</v>
      </c>
      <c r="CP78" s="437"/>
    </row>
    <row r="79" spans="1:100" ht="15" customHeight="1" x14ac:dyDescent="0.3">
      <c r="A79" s="6727" t="s">
        <v>1650</v>
      </c>
      <c r="B79" s="6706"/>
      <c r="C79" s="6706"/>
      <c r="D79" s="3668">
        <f t="shared" si="95"/>
        <v>0</v>
      </c>
      <c r="E79" s="346"/>
      <c r="F79" s="369"/>
      <c r="G79" s="369"/>
      <c r="H79" s="350"/>
      <c r="I79" s="3616">
        <f t="shared" si="99"/>
        <v>0</v>
      </c>
      <c r="J79" s="346"/>
      <c r="K79" s="369"/>
      <c r="L79" s="369"/>
      <c r="M79" s="352"/>
      <c r="N79" s="347"/>
      <c r="O79" t="str">
        <f t="shared" si="96"/>
        <v/>
      </c>
      <c r="CA79" s="434" t="str">
        <f t="shared" si="97"/>
        <v/>
      </c>
      <c r="CB79" s="434"/>
      <c r="CO79" s="437">
        <f t="shared" si="98"/>
        <v>0</v>
      </c>
      <c r="CP79" s="437"/>
    </row>
    <row r="80" spans="1:100" ht="15" customHeight="1" x14ac:dyDescent="0.3">
      <c r="A80" s="6727" t="s">
        <v>1651</v>
      </c>
      <c r="B80" s="6706"/>
      <c r="C80" s="6706"/>
      <c r="D80" s="3668">
        <f t="shared" si="95"/>
        <v>0</v>
      </c>
      <c r="E80" s="346"/>
      <c r="F80" s="369"/>
      <c r="G80" s="369"/>
      <c r="H80" s="350"/>
      <c r="I80" s="3616">
        <f t="shared" si="99"/>
        <v>0</v>
      </c>
      <c r="J80" s="346"/>
      <c r="K80" s="369"/>
      <c r="L80" s="369"/>
      <c r="M80" s="352"/>
      <c r="N80" s="347"/>
      <c r="O80" t="str">
        <f t="shared" si="96"/>
        <v/>
      </c>
      <c r="CA80" s="434" t="str">
        <f t="shared" si="97"/>
        <v/>
      </c>
      <c r="CB80" s="434"/>
      <c r="CO80" s="437">
        <f t="shared" si="98"/>
        <v>0</v>
      </c>
      <c r="CP80" s="437"/>
    </row>
    <row r="81" spans="1:102" ht="15" customHeight="1" x14ac:dyDescent="0.3">
      <c r="A81" s="6740" t="s">
        <v>1652</v>
      </c>
      <c r="B81" s="6738"/>
      <c r="C81" s="6738"/>
      <c r="D81" s="798">
        <f t="shared" si="95"/>
        <v>0</v>
      </c>
      <c r="E81" s="380"/>
      <c r="F81" s="2911"/>
      <c r="G81" s="2911"/>
      <c r="H81" s="389"/>
      <c r="I81" s="798">
        <f t="shared" si="99"/>
        <v>0</v>
      </c>
      <c r="J81" s="380"/>
      <c r="K81" s="2911"/>
      <c r="L81" s="2911"/>
      <c r="M81" s="390"/>
      <c r="N81" s="388"/>
      <c r="O81" t="str">
        <f t="shared" si="96"/>
        <v/>
      </c>
      <c r="CA81" s="434" t="str">
        <f>IF(I81&gt;D81," * El Total de PERTINENCIA ORIGEN  No puede ser mayor al Total Interconsultas generadas.","")</f>
        <v/>
      </c>
      <c r="CB81" s="434"/>
      <c r="CO81" s="437">
        <f t="shared" si="98"/>
        <v>0</v>
      </c>
      <c r="CP81" s="437"/>
    </row>
    <row r="82" spans="1:102" ht="18" customHeight="1" x14ac:dyDescent="0.3">
      <c r="A82" s="13" t="s">
        <v>1653</v>
      </c>
    </row>
    <row r="83" spans="1:102" ht="15" customHeight="1" x14ac:dyDescent="0.3">
      <c r="A83" s="6307" t="s">
        <v>1654</v>
      </c>
      <c r="B83" s="6223"/>
      <c r="C83" s="6308"/>
      <c r="D83" s="6721" t="s">
        <v>1655</v>
      </c>
      <c r="E83" s="6266"/>
      <c r="F83" s="6694"/>
    </row>
    <row r="84" spans="1:102" ht="15" customHeight="1" x14ac:dyDescent="0.3">
      <c r="A84" s="6482"/>
      <c r="B84" s="6481"/>
      <c r="C84" s="6645"/>
      <c r="D84" s="3486" t="s">
        <v>77</v>
      </c>
      <c r="E84" s="3535" t="s">
        <v>58</v>
      </c>
      <c r="F84" s="3669" t="s">
        <v>59</v>
      </c>
    </row>
    <row r="85" spans="1:102" ht="15" customHeight="1" x14ac:dyDescent="0.3">
      <c r="A85" s="6185" t="s">
        <v>1656</v>
      </c>
      <c r="B85" s="6741" t="s">
        <v>1657</v>
      </c>
      <c r="C85" s="6742"/>
      <c r="D85" s="344">
        <f>SUM(E85+F85)</f>
        <v>0</v>
      </c>
      <c r="E85" s="290"/>
      <c r="F85" s="637"/>
    </row>
    <row r="86" spans="1:102" ht="15" customHeight="1" x14ac:dyDescent="0.3">
      <c r="A86" s="6574"/>
      <c r="B86" s="6268" t="s">
        <v>1658</v>
      </c>
      <c r="C86" s="6057"/>
      <c r="D86" s="519">
        <f>SUM(E86+F86)</f>
        <v>0</v>
      </c>
      <c r="E86" s="380"/>
      <c r="F86" s="389"/>
    </row>
    <row r="87" spans="1:102" ht="18" customHeight="1" x14ac:dyDescent="0.3">
      <c r="A87" s="3" t="s">
        <v>1659</v>
      </c>
      <c r="B87" s="3670"/>
      <c r="C87" s="3670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102" ht="15" customHeight="1" x14ac:dyDescent="0.3">
      <c r="A88" s="6223" t="s">
        <v>1660</v>
      </c>
      <c r="B88" s="6223"/>
      <c r="C88" s="6308"/>
      <c r="D88" s="6307" t="s">
        <v>77</v>
      </c>
      <c r="E88" s="6223"/>
      <c r="F88" s="6308"/>
      <c r="G88" s="6688" t="s">
        <v>101</v>
      </c>
      <c r="H88" s="6247"/>
      <c r="I88" s="6247"/>
      <c r="J88" s="6247"/>
      <c r="K88" s="6247"/>
      <c r="L88" s="6247"/>
      <c r="M88" s="6247"/>
      <c r="N88" s="6247"/>
      <c r="O88" s="6247"/>
      <c r="P88" s="6247"/>
      <c r="Q88" s="6247"/>
      <c r="R88" s="6247"/>
      <c r="S88" s="6247"/>
      <c r="T88" s="6247"/>
      <c r="U88" s="6247"/>
      <c r="V88" s="6247"/>
      <c r="W88" s="6247"/>
      <c r="X88" s="6247"/>
      <c r="Y88" s="6247"/>
      <c r="Z88" s="6247"/>
      <c r="AA88" s="6247"/>
      <c r="AB88" s="6247"/>
      <c r="AC88" s="6247"/>
      <c r="AD88" s="6247"/>
      <c r="AE88" s="6247"/>
      <c r="AF88" s="6247"/>
      <c r="AG88" s="6247"/>
      <c r="AH88" s="6247"/>
      <c r="AI88" s="6247"/>
      <c r="AJ88" s="6247"/>
      <c r="AK88" s="6247"/>
      <c r="AL88" s="6247"/>
      <c r="AM88" s="6247"/>
      <c r="AN88" s="6689"/>
      <c r="AO88" s="6746" t="s">
        <v>1661</v>
      </c>
      <c r="AP88" s="6652" t="s">
        <v>1593</v>
      </c>
      <c r="AQ88" s="6377" t="s">
        <v>1662</v>
      </c>
      <c r="AR88" s="6377" t="s">
        <v>1663</v>
      </c>
      <c r="AS88" s="6377" t="s">
        <v>1664</v>
      </c>
      <c r="AT88" s="6745" t="s">
        <v>1665</v>
      </c>
      <c r="AU88" s="6377" t="s">
        <v>1575</v>
      </c>
      <c r="AV88" s="6377" t="s">
        <v>1576</v>
      </c>
      <c r="AW88" s="6690" t="s">
        <v>37</v>
      </c>
      <c r="AX88" s="6552" t="s">
        <v>1666</v>
      </c>
    </row>
    <row r="89" spans="1:102" ht="15" customHeight="1" x14ac:dyDescent="0.3">
      <c r="A89" s="6686"/>
      <c r="B89" s="6686"/>
      <c r="C89" s="6063"/>
      <c r="D89" s="6482"/>
      <c r="E89" s="6481"/>
      <c r="F89" s="6645"/>
      <c r="G89" s="6679" t="s">
        <v>1667</v>
      </c>
      <c r="H89" s="6693"/>
      <c r="I89" s="6688" t="s">
        <v>381</v>
      </c>
      <c r="J89" s="6277"/>
      <c r="K89" s="6688" t="s">
        <v>1577</v>
      </c>
      <c r="L89" s="6277"/>
      <c r="M89" s="6688" t="s">
        <v>383</v>
      </c>
      <c r="N89" s="6277"/>
      <c r="O89" s="6688" t="s">
        <v>384</v>
      </c>
      <c r="P89" s="6277"/>
      <c r="Q89" s="6688" t="s">
        <v>385</v>
      </c>
      <c r="R89" s="6277"/>
      <c r="S89" s="6688" t="s">
        <v>386</v>
      </c>
      <c r="T89" s="6277"/>
      <c r="U89" s="6247" t="s">
        <v>1578</v>
      </c>
      <c r="V89" s="6277"/>
      <c r="W89" s="6688" t="s">
        <v>303</v>
      </c>
      <c r="X89" s="6694"/>
      <c r="Y89" s="6688" t="s">
        <v>304</v>
      </c>
      <c r="Z89" s="6694"/>
      <c r="AA89" s="6688" t="s">
        <v>1579</v>
      </c>
      <c r="AB89" s="6694"/>
      <c r="AC89" s="6688" t="s">
        <v>1580</v>
      </c>
      <c r="AD89" s="6694"/>
      <c r="AE89" s="6688" t="s">
        <v>1581</v>
      </c>
      <c r="AF89" s="6694"/>
      <c r="AG89" s="6688" t="s">
        <v>1582</v>
      </c>
      <c r="AH89" s="6694"/>
      <c r="AI89" s="6688" t="s">
        <v>1583</v>
      </c>
      <c r="AJ89" s="6694"/>
      <c r="AK89" s="6247" t="s">
        <v>1584</v>
      </c>
      <c r="AL89" s="6694"/>
      <c r="AM89" s="6688" t="s">
        <v>938</v>
      </c>
      <c r="AN89" s="6675"/>
      <c r="AO89" s="6746"/>
      <c r="AP89" s="6652"/>
      <c r="AQ89" s="6118"/>
      <c r="AR89" s="6118"/>
      <c r="AS89" s="6118"/>
      <c r="AT89" s="6745"/>
      <c r="AU89" s="6118"/>
      <c r="AV89" s="6118"/>
      <c r="AW89" s="6691"/>
      <c r="AX89" s="6087"/>
    </row>
    <row r="90" spans="1:102" ht="15" customHeight="1" x14ac:dyDescent="0.3">
      <c r="A90" s="6481"/>
      <c r="B90" s="6481"/>
      <c r="C90" s="6645"/>
      <c r="D90" s="3488" t="s">
        <v>79</v>
      </c>
      <c r="E90" s="3507" t="s">
        <v>58</v>
      </c>
      <c r="F90" s="605" t="s">
        <v>59</v>
      </c>
      <c r="G90" s="3488" t="s">
        <v>58</v>
      </c>
      <c r="H90" s="605" t="s">
        <v>59</v>
      </c>
      <c r="I90" s="3488" t="s">
        <v>58</v>
      </c>
      <c r="J90" s="604" t="s">
        <v>59</v>
      </c>
      <c r="K90" s="3488" t="s">
        <v>58</v>
      </c>
      <c r="L90" s="605" t="s">
        <v>59</v>
      </c>
      <c r="M90" s="3488" t="s">
        <v>58</v>
      </c>
      <c r="N90" s="605" t="s">
        <v>59</v>
      </c>
      <c r="O90" s="3507" t="s">
        <v>58</v>
      </c>
      <c r="P90" s="605" t="s">
        <v>59</v>
      </c>
      <c r="Q90" s="3507" t="s">
        <v>58</v>
      </c>
      <c r="R90" s="605" t="s">
        <v>59</v>
      </c>
      <c r="S90" s="3507" t="s">
        <v>58</v>
      </c>
      <c r="T90" s="605" t="s">
        <v>59</v>
      </c>
      <c r="U90" s="3507" t="s">
        <v>58</v>
      </c>
      <c r="V90" s="605" t="s">
        <v>59</v>
      </c>
      <c r="W90" s="3507" t="s">
        <v>58</v>
      </c>
      <c r="X90" s="605" t="s">
        <v>59</v>
      </c>
      <c r="Y90" s="3507" t="s">
        <v>58</v>
      </c>
      <c r="Z90" s="605" t="s">
        <v>59</v>
      </c>
      <c r="AA90" s="3507" t="s">
        <v>58</v>
      </c>
      <c r="AB90" s="605" t="s">
        <v>59</v>
      </c>
      <c r="AC90" s="3507" t="s">
        <v>58</v>
      </c>
      <c r="AD90" s="605" t="s">
        <v>59</v>
      </c>
      <c r="AE90" s="3507" t="s">
        <v>58</v>
      </c>
      <c r="AF90" s="605" t="s">
        <v>59</v>
      </c>
      <c r="AG90" s="3507" t="s">
        <v>58</v>
      </c>
      <c r="AH90" s="605" t="s">
        <v>59</v>
      </c>
      <c r="AI90" s="3507" t="s">
        <v>58</v>
      </c>
      <c r="AJ90" s="605" t="s">
        <v>59</v>
      </c>
      <c r="AK90" s="3507" t="s">
        <v>58</v>
      </c>
      <c r="AL90" s="605" t="s">
        <v>59</v>
      </c>
      <c r="AM90" s="3507" t="s">
        <v>58</v>
      </c>
      <c r="AN90" s="3514" t="s">
        <v>59</v>
      </c>
      <c r="AO90" s="6746"/>
      <c r="AP90" s="6652"/>
      <c r="AQ90" s="5818"/>
      <c r="AR90" s="5818"/>
      <c r="AS90" s="5818"/>
      <c r="AT90" s="6745"/>
      <c r="AU90" s="5818"/>
      <c r="AV90" s="5818"/>
      <c r="AW90" s="6692"/>
      <c r="AX90" s="6797"/>
    </row>
    <row r="91" spans="1:102" ht="15" customHeight="1" x14ac:dyDescent="0.3">
      <c r="A91" s="6185" t="s">
        <v>1668</v>
      </c>
      <c r="B91" s="6646" t="s">
        <v>1669</v>
      </c>
      <c r="C91" s="6647"/>
      <c r="D91" s="3337">
        <f>SUM(E91:F91)</f>
        <v>0</v>
      </c>
      <c r="E91" s="3543">
        <f>SUM(G91+I91+K91+M91+O91+Q91+S91+U91+W91+Y91+AA91+AC91+AE91+AG91+AI91+AK91+AM91)</f>
        <v>0</v>
      </c>
      <c r="F91" s="3044">
        <f>SUM(H91+J91+L91+N91+P91+R91+T91+V91+X91+Z91+AB91+AD91+AF91+AH91+AJ91+AL91+AN91)</f>
        <v>0</v>
      </c>
      <c r="G91" s="3310"/>
      <c r="H91" s="771"/>
      <c r="I91" s="3310"/>
      <c r="J91" s="3344"/>
      <c r="K91" s="3310"/>
      <c r="L91" s="771"/>
      <c r="M91" s="3310"/>
      <c r="N91" s="771"/>
      <c r="O91" s="3309"/>
      <c r="P91" s="771"/>
      <c r="Q91" s="3309"/>
      <c r="R91" s="771"/>
      <c r="S91" s="3309"/>
      <c r="T91" s="771"/>
      <c r="U91" s="3309"/>
      <c r="V91" s="771"/>
      <c r="W91" s="3309"/>
      <c r="X91" s="771"/>
      <c r="Y91" s="3309"/>
      <c r="Z91" s="771"/>
      <c r="AA91" s="3309"/>
      <c r="AB91" s="771"/>
      <c r="AC91" s="3309"/>
      <c r="AD91" s="771"/>
      <c r="AE91" s="3309"/>
      <c r="AF91" s="771"/>
      <c r="AG91" s="3309"/>
      <c r="AH91" s="771"/>
      <c r="AI91" s="3309"/>
      <c r="AJ91" s="771"/>
      <c r="AK91" s="3309"/>
      <c r="AL91" s="771"/>
      <c r="AM91" s="3309"/>
      <c r="AN91" s="759"/>
      <c r="AO91" s="758"/>
      <c r="AP91" s="773"/>
      <c r="AQ91" s="773"/>
      <c r="AR91" s="773"/>
      <c r="AS91" s="773"/>
      <c r="AT91" s="773"/>
      <c r="AU91" s="773"/>
      <c r="AV91" s="773"/>
      <c r="AW91" s="773"/>
      <c r="AX91" s="661"/>
      <c r="AY91" t="str">
        <f>CA91&amp;CB91&amp;CC91&amp;CD91&amp;CE91&amp;CF91&amp;CG91&amp;CH91&amp;CI91&amp;CJ91</f>
        <v/>
      </c>
      <c r="CA91" s="434" t="str">
        <f t="shared" ref="CA91:CA103" si="100">IF(AND((W91+X91)&gt;0,AO91="")," * No olvide digitar la variable 12 años (incluido en el grupo de 10-14 años). Digite Cero si no tiene.",IF(AO91&gt;(W91+X91),"* Las Consultas de 12 años (incluido en el grupo de 10-14 años) NO DEBEN ser mayor que el total de Consultas entre 10-14 años",""))</f>
        <v/>
      </c>
      <c r="CB91" s="434" t="str">
        <f>IF(AND($F91&gt;0,AP91="")," * No olvide digitar la variable Gestante. Digite cero si no tiene.",IF(AP91&gt;$F91," * La variable Gestante NO DEBEN ser mayor al Total de Mujeres. ",""))</f>
        <v/>
      </c>
      <c r="CC91" s="434" t="str">
        <f>IF(AND(D91&gt;0,AQ91="")," * No olvide digitar la variable  Atención bajo sedación inhalatoria (con óxido nitroso). Digite Cero si no tiene.",IF(AQ91&gt;D91," * La variable  Atención bajo sedación inhalatoria (con óxido nitroso) NO DEBE ser mayor que el Total Ambos Sexos",""))</f>
        <v/>
      </c>
      <c r="CD91" s="434" t="str">
        <f>IF(AND((AI91+AJ91)&gt;0,AR91="")," * No olvide digitar la variable 60 años (incluido en grupos de 60-64 años). Digite Cero si no tiene.",IF(AR91&gt;(AI91+AJ91)," * La variable 60 años (incluido en grupos de 60-64 años) NO DEBE ser mayor que el Total de consultas del grupo 60-64 años",""))</f>
        <v/>
      </c>
      <c r="CE91" s="434" t="str">
        <f>IF(AND($D91&gt;0,AS91="")," * No olvide digitar la variable Compra de Servicios. Digite Cero si no tiene.",IF(AS91&gt;$D91," * La variable Compra de Servicio No puede ser mayor al Total Ambos Sexos.",""))</f>
        <v/>
      </c>
      <c r="CF91" s="434" t="str">
        <f>IF(AND($D91&gt;0,AT91="")," * No olvide digitar la Usuarios con Discapacidad. Digite Cero si no tiene.",IF(AT91&gt;$D91," * La variable Usuarios con Discapacidad No puede ser mayor al Total Ambos Sexos.",""))</f>
        <v/>
      </c>
      <c r="CG91" s="434" t="str">
        <f>IF(AND($D91&gt;0,AU91="")," * No olvide digitar la variable Niños, niñas, adolescentes y jóvenes SENAME. Digite Cero si no tiene.",IF(AU91&gt;$D91," * La variable Niños, niñas, adolescentes y jóvenes SENAME No puede ser mayor al Total Ambos Sexos.",""))</f>
        <v/>
      </c>
      <c r="CH91" s="434" t="str">
        <f>IF(AND($D91&gt;0,AV91="")," * No olvide digitar la variable Niños, niñas, adolescentes y jóvenes Mejor Niñez. Digite Cero si no tiene.",IF(AV91&gt;$D91," * La variable Niños, niñas, adolescentes y jóvenes Mejor Niñez no puede ser mayor al Total Ambos Sexos.",""))</f>
        <v/>
      </c>
      <c r="CI91" s="434" t="str">
        <f>IF(AND($D91&gt;0,AW91="")," * No olvide digitar la variable Migrantes. Digite Cero si no tiene.",IF(AW91&gt;$D91," * La variable Migrantes no puede ser mayor al Total Ambos Sexos.",""))</f>
        <v/>
      </c>
      <c r="CJ91" s="436"/>
      <c r="CO91" s="435">
        <f t="shared" ref="CO91:CO103" si="101">IF(AND($D91&gt;0,AO91=""),1,IF(AO91&gt;D91,1,0))</f>
        <v>0</v>
      </c>
      <c r="CP91" s="435">
        <f t="shared" ref="CP91:CP122" si="102">IF(AND($F91&gt;0,AP91=""),1,IF(AP91&gt;$F91,1,0))</f>
        <v>0</v>
      </c>
      <c r="CQ91" s="435">
        <f t="shared" ref="CQ91:CQ122" si="103">IF(AND($D91&gt;0,AQ91=""),1,IF(AQ91&gt;$D91,1,0))</f>
        <v>0</v>
      </c>
      <c r="CR91" s="435">
        <f t="shared" ref="CR91:CR104" si="104">IF(AND(AI91+AJ91&gt;0,AR91=""),1,IF(AR91&gt;AI91+AJ91,1,0))</f>
        <v>0</v>
      </c>
      <c r="CS91" s="435">
        <f t="shared" ref="CS91:CS122" si="105">IF(AND($D91&gt;0,AS91=""),1,IF(AS91&gt;$D91,1,0))</f>
        <v>0</v>
      </c>
      <c r="CT91" s="435">
        <f t="shared" ref="CT91:CT122" si="106">IF(AND($D91&gt;0,AT91=""),1,IF(AT91&gt;$D91,1,0))</f>
        <v>0</v>
      </c>
      <c r="CU91" s="435">
        <f t="shared" ref="CU91:CU122" si="107">IF(AND($D91&gt;0,AU91=""),1,IF(AU91&gt;$D91,1,0))</f>
        <v>0</v>
      </c>
      <c r="CV91" s="435">
        <f t="shared" ref="CV91:CV122" si="108">IF(AND($D91&gt;0,AV91=""),1,IF(AV91&gt;$D91,1,0))</f>
        <v>0</v>
      </c>
      <c r="CW91" s="435">
        <f t="shared" ref="CW91:CW122" si="109">IF(AND($D91&gt;0,AW91=""),1,IF(AW91&gt;$D91,1,0))</f>
        <v>0</v>
      </c>
      <c r="CX91" s="436"/>
    </row>
    <row r="92" spans="1:102" ht="15" customHeight="1" x14ac:dyDescent="0.3">
      <c r="A92" s="5790"/>
      <c r="B92" s="6349" t="s">
        <v>1641</v>
      </c>
      <c r="C92" s="6350"/>
      <c r="D92" s="760">
        <f t="shared" ref="D92:D101" si="110">SUM(E92:F92)</f>
        <v>0</v>
      </c>
      <c r="E92" s="479">
        <f t="shared" ref="E92:F103" si="111">SUM(G92+I92+K92+M92+O92+Q92+S92+U92+W92+Y92+AA92+AC92+AE92+AG92+AI92+AK92+AM92)</f>
        <v>0</v>
      </c>
      <c r="F92" s="479">
        <f t="shared" si="111"/>
        <v>0</v>
      </c>
      <c r="G92" s="290"/>
      <c r="H92" s="637"/>
      <c r="I92" s="290"/>
      <c r="J92" s="735"/>
      <c r="K92" s="290"/>
      <c r="L92" s="637"/>
      <c r="M92" s="290"/>
      <c r="N92" s="637"/>
      <c r="O92" s="22"/>
      <c r="P92" s="637"/>
      <c r="Q92" s="22"/>
      <c r="R92" s="637"/>
      <c r="S92" s="22"/>
      <c r="T92" s="637"/>
      <c r="U92" s="22"/>
      <c r="V92" s="637"/>
      <c r="W92" s="22"/>
      <c r="X92" s="637"/>
      <c r="Y92" s="22"/>
      <c r="Z92" s="637"/>
      <c r="AA92" s="22"/>
      <c r="AB92" s="637"/>
      <c r="AC92" s="22"/>
      <c r="AD92" s="637"/>
      <c r="AE92" s="22"/>
      <c r="AF92" s="637"/>
      <c r="AG92" s="22"/>
      <c r="AH92" s="637"/>
      <c r="AI92" s="22"/>
      <c r="AJ92" s="637"/>
      <c r="AK92" s="22"/>
      <c r="AL92" s="637"/>
      <c r="AM92" s="22"/>
      <c r="AN92" s="431"/>
      <c r="AO92" s="296"/>
      <c r="AP92" s="535"/>
      <c r="AQ92" s="535"/>
      <c r="AR92" s="535"/>
      <c r="AS92" s="535"/>
      <c r="AT92" s="535"/>
      <c r="AU92" s="535"/>
      <c r="AV92" s="535"/>
      <c r="AW92" s="535"/>
      <c r="AX92" s="687"/>
      <c r="AY92" t="str">
        <f t="shared" ref="AY92:AY141" si="112">CA92&amp;CB92&amp;CC92&amp;CD92&amp;CE92&amp;CF92&amp;CG92&amp;CH92&amp;CI92&amp;CJ92</f>
        <v/>
      </c>
      <c r="CA92" s="434" t="str">
        <f t="shared" si="100"/>
        <v/>
      </c>
      <c r="CB92" s="434" t="str">
        <f t="shared" ref="CB92:CB142" si="113">IF(AND($F92&gt;0,AP92="")," * No olvide digitar la variable Gestante. Digite cero si no tiene.",IF(AP92&gt;$F92," * La variable Gestante NO DEBEN ser mayor al Total de Mujeres. ",""))</f>
        <v/>
      </c>
      <c r="CC92" s="434" t="str">
        <f t="shared" ref="CC92:CC142" si="114">IF(AND(D92&gt;0,AQ92="")," * No olvide digitar la variable  Atención bajo sedación inhalatoria (con óxido nitroso). Digite Cero si no tiene.",IF(AQ92&gt;D92," * La variable  Atención bajo sedación inhalatoria (con óxido nitroso) NO DEBE ser mayor que el Total Ambos Sexos",""))</f>
        <v/>
      </c>
      <c r="CD92" s="434" t="str">
        <f t="shared" ref="CD92:CD142" si="115">IF(AND((AI92+AJ92)&gt;0,AR92="")," * No olvide digitar la variable 60 años (incluido en grupos de 60-64 años). Digite Cero si no tiene.",IF(AR92&gt;(AI92+AJ92)," * La variable 60 años (incluido en grupos de 60-64 años) NO DEBE ser mayor que el Total de consultas del grupo 60-64 años",""))</f>
        <v/>
      </c>
      <c r="CE92" s="434" t="str">
        <f t="shared" ref="CE92:CE142" si="116">IF(AND($D92&gt;0,AS92="")," * No olvide digitar la variable Compra de Servicios. Digite Cero si no tiene.",IF(AS92&gt;$D92," * La variable Compra de Servicio No puede ser mayor al Total Ambos Sexos.",""))</f>
        <v/>
      </c>
      <c r="CF92" s="434" t="str">
        <f t="shared" ref="CF92:CF142" si="117">IF(AND($D92&gt;0,AT92="")," * No olvide digitar la Usuarios con Discapacidad. Digite Cero si no tiene.",IF(AT92&gt;$D92," * La variable Usuarios con Discapacidad No puede ser mayor al Total Ambos Sexos.",""))</f>
        <v/>
      </c>
      <c r="CG92" s="434" t="str">
        <f t="shared" ref="CG92:CG142" si="118">IF(AND($D92&gt;0,AU92="")," * No olvide digitar la variable Niños, niñas, adolescentes y jóvenes SENAME. Digite Cero si no tiene.",IF(AU92&gt;$D92," * La variable Niños, niñas, adolescentes y jóvenes SENAME No puede ser mayor al Total Ambos Sexos.",""))</f>
        <v/>
      </c>
      <c r="CH92" s="434" t="str">
        <f t="shared" ref="CH92:CH142" si="119">IF(AND($D92&gt;0,AV92="")," * No olvide digitar la variable Niños, niñas, adolescentes y jóvenes Mejor Niñez. Digite Cero si no tiene.",IF(AV92&gt;$D92," * La variable Niños, niñas, adolescentes y jóvenes Mejor Niñez no puede ser mayor al Total Ambos Sexos.",""))</f>
        <v/>
      </c>
      <c r="CI92" s="434" t="str">
        <f t="shared" ref="CI92:CI142" si="120">IF(AND($D92&gt;0,AW92="")," * No olvide digitar la variable Migrantes. Digite Cero si no tiene.",IF(AW92&gt;$D92," * La variable Migrantes no puede ser mayor al Total Ambos Sexos.",""))</f>
        <v/>
      </c>
      <c r="CJ92" s="436"/>
      <c r="CO92" s="435">
        <f t="shared" si="101"/>
        <v>0</v>
      </c>
      <c r="CP92" s="435">
        <f t="shared" si="102"/>
        <v>0</v>
      </c>
      <c r="CQ92" s="435">
        <f t="shared" si="103"/>
        <v>0</v>
      </c>
      <c r="CR92" s="435">
        <f t="shared" si="104"/>
        <v>0</v>
      </c>
      <c r="CS92" s="435">
        <f t="shared" si="105"/>
        <v>0</v>
      </c>
      <c r="CT92" s="435">
        <f t="shared" si="106"/>
        <v>0</v>
      </c>
      <c r="CU92" s="435">
        <f t="shared" si="107"/>
        <v>0</v>
      </c>
      <c r="CV92" s="435">
        <f t="shared" si="108"/>
        <v>0</v>
      </c>
      <c r="CW92" s="435">
        <f t="shared" si="109"/>
        <v>0</v>
      </c>
      <c r="CX92" s="436"/>
    </row>
    <row r="93" spans="1:102" ht="15" customHeight="1" x14ac:dyDescent="0.3">
      <c r="A93" s="5790"/>
      <c r="B93" s="6349" t="s">
        <v>1646</v>
      </c>
      <c r="C93" s="6350"/>
      <c r="D93" s="760">
        <f t="shared" si="110"/>
        <v>0</v>
      </c>
      <c r="E93" s="479">
        <f t="shared" si="111"/>
        <v>0</v>
      </c>
      <c r="F93" s="479">
        <f t="shared" si="111"/>
        <v>0</v>
      </c>
      <c r="G93" s="346"/>
      <c r="H93" s="637"/>
      <c r="I93" s="290"/>
      <c r="J93" s="735"/>
      <c r="K93" s="290"/>
      <c r="L93" s="350"/>
      <c r="M93" s="346"/>
      <c r="N93" s="350"/>
      <c r="O93" s="348"/>
      <c r="P93" s="350"/>
      <c r="Q93" s="348"/>
      <c r="R93" s="350"/>
      <c r="S93" s="348"/>
      <c r="T93" s="350"/>
      <c r="U93" s="348"/>
      <c r="V93" s="350"/>
      <c r="W93" s="348"/>
      <c r="X93" s="350"/>
      <c r="Y93" s="348"/>
      <c r="Z93" s="350"/>
      <c r="AA93" s="348"/>
      <c r="AB93" s="350"/>
      <c r="AC93" s="348"/>
      <c r="AD93" s="350"/>
      <c r="AE93" s="348"/>
      <c r="AF93" s="350"/>
      <c r="AG93" s="348"/>
      <c r="AH93" s="350"/>
      <c r="AI93" s="348"/>
      <c r="AJ93" s="350"/>
      <c r="AK93" s="348"/>
      <c r="AL93" s="350"/>
      <c r="AM93" s="348"/>
      <c r="AN93" s="352"/>
      <c r="AO93" s="430"/>
      <c r="AP93" s="535"/>
      <c r="AQ93" s="535"/>
      <c r="AR93" s="535"/>
      <c r="AS93" s="535"/>
      <c r="AT93" s="535"/>
      <c r="AU93" s="535"/>
      <c r="AV93" s="535"/>
      <c r="AW93" s="535"/>
      <c r="AX93" s="687"/>
      <c r="AY93" t="str">
        <f t="shared" si="112"/>
        <v/>
      </c>
      <c r="CA93" s="434" t="str">
        <f t="shared" si="100"/>
        <v/>
      </c>
      <c r="CB93" s="434" t="str">
        <f t="shared" si="113"/>
        <v/>
      </c>
      <c r="CC93" s="434" t="str">
        <f t="shared" si="114"/>
        <v/>
      </c>
      <c r="CD93" s="434" t="str">
        <f t="shared" si="115"/>
        <v/>
      </c>
      <c r="CE93" s="434" t="str">
        <f t="shared" si="116"/>
        <v/>
      </c>
      <c r="CF93" s="434" t="str">
        <f t="shared" si="117"/>
        <v/>
      </c>
      <c r="CG93" s="434" t="str">
        <f t="shared" si="118"/>
        <v/>
      </c>
      <c r="CH93" s="434" t="str">
        <f t="shared" si="119"/>
        <v/>
      </c>
      <c r="CI93" s="434" t="str">
        <f t="shared" si="120"/>
        <v/>
      </c>
      <c r="CJ93" s="436"/>
      <c r="CO93" s="435">
        <f t="shared" si="101"/>
        <v>0</v>
      </c>
      <c r="CP93" s="435">
        <f t="shared" si="102"/>
        <v>0</v>
      </c>
      <c r="CQ93" s="435">
        <f t="shared" si="103"/>
        <v>0</v>
      </c>
      <c r="CR93" s="435">
        <f t="shared" si="104"/>
        <v>0</v>
      </c>
      <c r="CS93" s="435">
        <f t="shared" si="105"/>
        <v>0</v>
      </c>
      <c r="CT93" s="435">
        <f t="shared" si="106"/>
        <v>0</v>
      </c>
      <c r="CU93" s="435">
        <f t="shared" si="107"/>
        <v>0</v>
      </c>
      <c r="CV93" s="435">
        <f t="shared" si="108"/>
        <v>0</v>
      </c>
      <c r="CW93" s="435">
        <f t="shared" si="109"/>
        <v>0</v>
      </c>
      <c r="CX93" s="436"/>
    </row>
    <row r="94" spans="1:102" ht="15" customHeight="1" x14ac:dyDescent="0.3">
      <c r="A94" s="5790"/>
      <c r="B94" s="6349" t="s">
        <v>1670</v>
      </c>
      <c r="C94" s="6350"/>
      <c r="D94" s="760">
        <f t="shared" si="110"/>
        <v>0</v>
      </c>
      <c r="E94" s="479">
        <f>SUM(G94+I94+K94+M94+O94+Q94+S94+U94+W94+Y94+AA94+AC94+AE94+AG94+AI94+AK94+AM94)</f>
        <v>0</v>
      </c>
      <c r="F94" s="479">
        <f>SUM(H94+J94+L94+N94+P94+R94+T94+V94+X94+Z94+AB94+AD94+AF94+AH94+AJ94+AL94+AN94)</f>
        <v>0</v>
      </c>
      <c r="G94" s="346"/>
      <c r="H94" s="637"/>
      <c r="I94" s="290"/>
      <c r="J94" s="735"/>
      <c r="K94" s="290"/>
      <c r="L94" s="350"/>
      <c r="M94" s="346"/>
      <c r="N94" s="350"/>
      <c r="O94" s="348"/>
      <c r="P94" s="350"/>
      <c r="Q94" s="348"/>
      <c r="R94" s="350"/>
      <c r="S94" s="348"/>
      <c r="T94" s="350"/>
      <c r="U94" s="348"/>
      <c r="V94" s="350"/>
      <c r="W94" s="348"/>
      <c r="X94" s="350"/>
      <c r="Y94" s="348"/>
      <c r="Z94" s="350"/>
      <c r="AA94" s="348"/>
      <c r="AB94" s="350"/>
      <c r="AC94" s="348"/>
      <c r="AD94" s="350"/>
      <c r="AE94" s="348"/>
      <c r="AF94" s="350"/>
      <c r="AG94" s="348"/>
      <c r="AH94" s="350"/>
      <c r="AI94" s="348"/>
      <c r="AJ94" s="350"/>
      <c r="AK94" s="348"/>
      <c r="AL94" s="350"/>
      <c r="AM94" s="348"/>
      <c r="AN94" s="352"/>
      <c r="AO94" s="430"/>
      <c r="AP94" s="535"/>
      <c r="AQ94" s="535"/>
      <c r="AR94" s="535"/>
      <c r="AS94" s="535"/>
      <c r="AT94" s="535"/>
      <c r="AU94" s="535"/>
      <c r="AV94" s="535"/>
      <c r="AW94" s="535"/>
      <c r="AX94" s="687"/>
      <c r="AY94" t="str">
        <f t="shared" si="112"/>
        <v/>
      </c>
      <c r="CA94" s="434" t="str">
        <f t="shared" si="100"/>
        <v/>
      </c>
      <c r="CB94" s="434" t="str">
        <f t="shared" si="113"/>
        <v/>
      </c>
      <c r="CC94" s="434" t="str">
        <f t="shared" si="114"/>
        <v/>
      </c>
      <c r="CD94" s="434" t="str">
        <f t="shared" si="115"/>
        <v/>
      </c>
      <c r="CE94" s="434" t="str">
        <f t="shared" si="116"/>
        <v/>
      </c>
      <c r="CF94" s="434" t="str">
        <f t="shared" si="117"/>
        <v/>
      </c>
      <c r="CG94" s="434" t="str">
        <f t="shared" si="118"/>
        <v/>
      </c>
      <c r="CH94" s="434" t="str">
        <f t="shared" si="119"/>
        <v/>
      </c>
      <c r="CI94" s="434" t="str">
        <f t="shared" si="120"/>
        <v/>
      </c>
      <c r="CJ94" s="436"/>
      <c r="CO94" s="435">
        <f t="shared" si="101"/>
        <v>0</v>
      </c>
      <c r="CP94" s="435">
        <f t="shared" si="102"/>
        <v>0</v>
      </c>
      <c r="CQ94" s="435">
        <f t="shared" si="103"/>
        <v>0</v>
      </c>
      <c r="CR94" s="435">
        <f t="shared" si="104"/>
        <v>0</v>
      </c>
      <c r="CS94" s="435">
        <f t="shared" si="105"/>
        <v>0</v>
      </c>
      <c r="CT94" s="435">
        <f t="shared" si="106"/>
        <v>0</v>
      </c>
      <c r="CU94" s="435">
        <f t="shared" si="107"/>
        <v>0</v>
      </c>
      <c r="CV94" s="435">
        <f t="shared" si="108"/>
        <v>0</v>
      </c>
      <c r="CW94" s="435">
        <f t="shared" si="109"/>
        <v>0</v>
      </c>
      <c r="CX94" s="436"/>
    </row>
    <row r="95" spans="1:102" ht="15" customHeight="1" x14ac:dyDescent="0.3">
      <c r="A95" s="5790"/>
      <c r="B95" s="6349" t="s">
        <v>1671</v>
      </c>
      <c r="C95" s="6350"/>
      <c r="D95" s="760">
        <f t="shared" si="110"/>
        <v>0</v>
      </c>
      <c r="E95" s="479">
        <f>SUM(G95+I95+K95+M95+O95+Q95+S95+U95+W95+Y95+AA95+AC95+AE95+AG95+AI95+AK95+AM95)</f>
        <v>0</v>
      </c>
      <c r="F95" s="479">
        <f>SUM(H95+J95+L95+N95+P95+R95+T95+V95+X95+Z95+AB95+AD95+AF95+AH95+AJ95+AL95+AN95)</f>
        <v>0</v>
      </c>
      <c r="G95" s="346"/>
      <c r="H95" s="350"/>
      <c r="I95" s="346"/>
      <c r="J95" s="349"/>
      <c r="K95" s="346"/>
      <c r="L95" s="350"/>
      <c r="M95" s="346"/>
      <c r="N95" s="350"/>
      <c r="O95" s="348"/>
      <c r="P95" s="350"/>
      <c r="Q95" s="348"/>
      <c r="R95" s="350"/>
      <c r="S95" s="348"/>
      <c r="T95" s="350"/>
      <c r="U95" s="348"/>
      <c r="V95" s="350"/>
      <c r="W95" s="348"/>
      <c r="X95" s="350"/>
      <c r="Y95" s="348"/>
      <c r="Z95" s="350"/>
      <c r="AA95" s="348"/>
      <c r="AB95" s="350"/>
      <c r="AC95" s="348"/>
      <c r="AD95" s="350"/>
      <c r="AE95" s="348"/>
      <c r="AF95" s="350"/>
      <c r="AG95" s="348"/>
      <c r="AH95" s="350"/>
      <c r="AI95" s="348"/>
      <c r="AJ95" s="350"/>
      <c r="AK95" s="348"/>
      <c r="AL95" s="350"/>
      <c r="AM95" s="348"/>
      <c r="AN95" s="352"/>
      <c r="AO95" s="430"/>
      <c r="AP95" s="369"/>
      <c r="AQ95" s="369"/>
      <c r="AR95" s="369"/>
      <c r="AS95" s="369"/>
      <c r="AT95" s="369"/>
      <c r="AU95" s="369"/>
      <c r="AV95" s="369"/>
      <c r="AW95" s="369"/>
      <c r="AX95" s="687"/>
      <c r="AY95" t="str">
        <f t="shared" si="112"/>
        <v/>
      </c>
      <c r="CA95" s="434" t="str">
        <f t="shared" si="100"/>
        <v/>
      </c>
      <c r="CB95" s="434" t="str">
        <f t="shared" si="113"/>
        <v/>
      </c>
      <c r="CC95" s="434" t="str">
        <f t="shared" si="114"/>
        <v/>
      </c>
      <c r="CD95" s="434" t="str">
        <f t="shared" si="115"/>
        <v/>
      </c>
      <c r="CE95" s="434" t="str">
        <f t="shared" si="116"/>
        <v/>
      </c>
      <c r="CF95" s="434" t="str">
        <f t="shared" si="117"/>
        <v/>
      </c>
      <c r="CG95" s="434" t="str">
        <f t="shared" si="118"/>
        <v/>
      </c>
      <c r="CH95" s="434" t="str">
        <f t="shared" si="119"/>
        <v/>
      </c>
      <c r="CI95" s="434" t="str">
        <f t="shared" si="120"/>
        <v/>
      </c>
      <c r="CJ95" s="436"/>
      <c r="CO95" s="435">
        <f t="shared" si="101"/>
        <v>0</v>
      </c>
      <c r="CP95" s="435">
        <f t="shared" si="102"/>
        <v>0</v>
      </c>
      <c r="CQ95" s="435">
        <f t="shared" si="103"/>
        <v>0</v>
      </c>
      <c r="CR95" s="435">
        <f t="shared" si="104"/>
        <v>0</v>
      </c>
      <c r="CS95" s="435">
        <f t="shared" si="105"/>
        <v>0</v>
      </c>
      <c r="CT95" s="435">
        <f t="shared" si="106"/>
        <v>0</v>
      </c>
      <c r="CU95" s="435">
        <f t="shared" si="107"/>
        <v>0</v>
      </c>
      <c r="CV95" s="435">
        <f t="shared" si="108"/>
        <v>0</v>
      </c>
      <c r="CW95" s="435">
        <f t="shared" si="109"/>
        <v>0</v>
      </c>
      <c r="CX95" s="436"/>
    </row>
    <row r="96" spans="1:102" ht="15" customHeight="1" x14ac:dyDescent="0.3">
      <c r="A96" s="6574"/>
      <c r="B96" s="6750" t="s">
        <v>1672</v>
      </c>
      <c r="C96" s="6751"/>
      <c r="D96" s="201">
        <f>SUM(E96:F96)</f>
        <v>0</v>
      </c>
      <c r="E96" s="2326">
        <f t="shared" si="111"/>
        <v>0</v>
      </c>
      <c r="F96" s="2326">
        <f t="shared" si="111"/>
        <v>0</v>
      </c>
      <c r="G96" s="47"/>
      <c r="H96" s="95"/>
      <c r="I96" s="47"/>
      <c r="J96" s="3181"/>
      <c r="K96" s="47"/>
      <c r="L96" s="95"/>
      <c r="M96" s="47"/>
      <c r="N96" s="95"/>
      <c r="O96" s="704"/>
      <c r="P96" s="95"/>
      <c r="Q96" s="704"/>
      <c r="R96" s="95"/>
      <c r="S96" s="704"/>
      <c r="T96" s="95"/>
      <c r="U96" s="704"/>
      <c r="V96" s="95"/>
      <c r="W96" s="704"/>
      <c r="X96" s="95"/>
      <c r="Y96" s="704"/>
      <c r="Z96" s="95"/>
      <c r="AA96" s="704"/>
      <c r="AB96" s="95"/>
      <c r="AC96" s="704"/>
      <c r="AD96" s="95"/>
      <c r="AE96" s="704"/>
      <c r="AF96" s="95"/>
      <c r="AG96" s="704"/>
      <c r="AH96" s="95"/>
      <c r="AI96" s="704"/>
      <c r="AJ96" s="95"/>
      <c r="AK96" s="704"/>
      <c r="AL96" s="95"/>
      <c r="AM96" s="704"/>
      <c r="AN96" s="3671"/>
      <c r="AO96" s="74"/>
      <c r="AP96" s="242"/>
      <c r="AQ96" s="242"/>
      <c r="AR96" s="242"/>
      <c r="AS96" s="242"/>
      <c r="AT96" s="242"/>
      <c r="AU96" s="242"/>
      <c r="AV96" s="242"/>
      <c r="AW96" s="242"/>
      <c r="AX96" s="3672"/>
      <c r="AY96" t="str">
        <f t="shared" si="112"/>
        <v/>
      </c>
      <c r="CA96" s="434" t="str">
        <f t="shared" si="100"/>
        <v/>
      </c>
      <c r="CB96" s="434" t="str">
        <f t="shared" si="113"/>
        <v/>
      </c>
      <c r="CC96" s="434" t="str">
        <f t="shared" si="114"/>
        <v/>
      </c>
      <c r="CD96" s="434" t="str">
        <f t="shared" si="115"/>
        <v/>
      </c>
      <c r="CE96" s="434" t="str">
        <f t="shared" si="116"/>
        <v/>
      </c>
      <c r="CF96" s="434" t="str">
        <f t="shared" si="117"/>
        <v/>
      </c>
      <c r="CG96" s="434" t="str">
        <f t="shared" si="118"/>
        <v/>
      </c>
      <c r="CH96" s="434" t="str">
        <f t="shared" si="119"/>
        <v/>
      </c>
      <c r="CI96" s="434" t="str">
        <f t="shared" si="120"/>
        <v/>
      </c>
      <c r="CJ96" s="436"/>
      <c r="CO96" s="435">
        <f t="shared" si="101"/>
        <v>0</v>
      </c>
      <c r="CP96" s="435">
        <f t="shared" si="102"/>
        <v>0</v>
      </c>
      <c r="CQ96" s="435">
        <f t="shared" si="103"/>
        <v>0</v>
      </c>
      <c r="CR96" s="435">
        <f t="shared" si="104"/>
        <v>0</v>
      </c>
      <c r="CS96" s="435">
        <f t="shared" si="105"/>
        <v>0</v>
      </c>
      <c r="CT96" s="435">
        <f t="shared" si="106"/>
        <v>0</v>
      </c>
      <c r="CU96" s="435">
        <f t="shared" si="107"/>
        <v>0</v>
      </c>
      <c r="CV96" s="435">
        <f t="shared" si="108"/>
        <v>0</v>
      </c>
      <c r="CW96" s="435">
        <f t="shared" si="109"/>
        <v>0</v>
      </c>
      <c r="CX96" s="436"/>
    </row>
    <row r="97" spans="1:102" ht="15" customHeight="1" x14ac:dyDescent="0.3">
      <c r="A97" s="6185" t="s">
        <v>1673</v>
      </c>
      <c r="B97" s="6646" t="s">
        <v>1669</v>
      </c>
      <c r="C97" s="6647"/>
      <c r="D97" s="3337">
        <f t="shared" si="110"/>
        <v>0</v>
      </c>
      <c r="E97" s="3543">
        <f t="shared" si="111"/>
        <v>0</v>
      </c>
      <c r="F97" s="3543">
        <f t="shared" si="111"/>
        <v>0</v>
      </c>
      <c r="G97" s="3310"/>
      <c r="H97" s="771"/>
      <c r="I97" s="3310"/>
      <c r="J97" s="3344"/>
      <c r="K97" s="3310"/>
      <c r="L97" s="771"/>
      <c r="M97" s="3310"/>
      <c r="N97" s="771"/>
      <c r="O97" s="3309"/>
      <c r="P97" s="771"/>
      <c r="Q97" s="3309"/>
      <c r="R97" s="771"/>
      <c r="S97" s="3309"/>
      <c r="T97" s="771"/>
      <c r="U97" s="3309"/>
      <c r="V97" s="771"/>
      <c r="W97" s="3309"/>
      <c r="X97" s="771"/>
      <c r="Y97" s="3309"/>
      <c r="Z97" s="771"/>
      <c r="AA97" s="3309"/>
      <c r="AB97" s="771"/>
      <c r="AC97" s="3309"/>
      <c r="AD97" s="771"/>
      <c r="AE97" s="3309"/>
      <c r="AF97" s="771"/>
      <c r="AG97" s="3309"/>
      <c r="AH97" s="771"/>
      <c r="AI97" s="3309"/>
      <c r="AJ97" s="771"/>
      <c r="AK97" s="3309"/>
      <c r="AL97" s="771"/>
      <c r="AM97" s="3309"/>
      <c r="AN97" s="759"/>
      <c r="AO97" s="758"/>
      <c r="AP97" s="773"/>
      <c r="AQ97" s="773"/>
      <c r="AR97" s="773"/>
      <c r="AS97" s="773"/>
      <c r="AT97" s="773"/>
      <c r="AU97" s="773"/>
      <c r="AV97" s="773"/>
      <c r="AW97" s="773"/>
      <c r="AX97" s="130"/>
      <c r="AY97" t="str">
        <f t="shared" si="112"/>
        <v/>
      </c>
      <c r="CA97" s="434" t="str">
        <f t="shared" si="100"/>
        <v/>
      </c>
      <c r="CB97" s="434" t="str">
        <f t="shared" si="113"/>
        <v/>
      </c>
      <c r="CC97" s="434" t="str">
        <f t="shared" si="114"/>
        <v/>
      </c>
      <c r="CD97" s="434" t="str">
        <f t="shared" si="115"/>
        <v/>
      </c>
      <c r="CE97" s="434" t="str">
        <f t="shared" si="116"/>
        <v/>
      </c>
      <c r="CF97" s="434" t="str">
        <f t="shared" si="117"/>
        <v/>
      </c>
      <c r="CG97" s="434" t="str">
        <f t="shared" si="118"/>
        <v/>
      </c>
      <c r="CH97" s="434" t="str">
        <f t="shared" si="119"/>
        <v/>
      </c>
      <c r="CI97" s="434" t="str">
        <f t="shared" si="120"/>
        <v/>
      </c>
      <c r="CJ97" s="436"/>
      <c r="CO97" s="435">
        <f t="shared" si="101"/>
        <v>0</v>
      </c>
      <c r="CP97" s="435">
        <f t="shared" si="102"/>
        <v>0</v>
      </c>
      <c r="CQ97" s="435">
        <f t="shared" si="103"/>
        <v>0</v>
      </c>
      <c r="CR97" s="435">
        <f t="shared" si="104"/>
        <v>0</v>
      </c>
      <c r="CS97" s="435">
        <f t="shared" si="105"/>
        <v>0</v>
      </c>
      <c r="CT97" s="435">
        <f t="shared" si="106"/>
        <v>0</v>
      </c>
      <c r="CU97" s="435">
        <f t="shared" si="107"/>
        <v>0</v>
      </c>
      <c r="CV97" s="435">
        <f t="shared" si="108"/>
        <v>0</v>
      </c>
      <c r="CW97" s="435">
        <f t="shared" si="109"/>
        <v>0</v>
      </c>
      <c r="CX97" s="436"/>
    </row>
    <row r="98" spans="1:102" ht="15" customHeight="1" x14ac:dyDescent="0.3">
      <c r="A98" s="5790"/>
      <c r="B98" s="6349" t="s">
        <v>1641</v>
      </c>
      <c r="C98" s="6350"/>
      <c r="D98" s="760">
        <f t="shared" si="110"/>
        <v>0</v>
      </c>
      <c r="E98" s="479">
        <f t="shared" si="111"/>
        <v>0</v>
      </c>
      <c r="F98" s="479">
        <f t="shared" si="111"/>
        <v>0</v>
      </c>
      <c r="G98" s="290"/>
      <c r="H98" s="637"/>
      <c r="I98" s="290"/>
      <c r="J98" s="735"/>
      <c r="K98" s="290"/>
      <c r="L98" s="637"/>
      <c r="M98" s="290"/>
      <c r="N98" s="637"/>
      <c r="O98" s="22"/>
      <c r="P98" s="637"/>
      <c r="Q98" s="22"/>
      <c r="R98" s="637"/>
      <c r="S98" s="22"/>
      <c r="T98" s="637"/>
      <c r="U98" s="22"/>
      <c r="V98" s="637"/>
      <c r="W98" s="22"/>
      <c r="X98" s="637"/>
      <c r="Y98" s="22"/>
      <c r="Z98" s="637"/>
      <c r="AA98" s="22"/>
      <c r="AB98" s="637"/>
      <c r="AC98" s="22"/>
      <c r="AD98" s="637"/>
      <c r="AE98" s="22"/>
      <c r="AF98" s="637"/>
      <c r="AG98" s="22"/>
      <c r="AH98" s="637"/>
      <c r="AI98" s="22"/>
      <c r="AJ98" s="637"/>
      <c r="AK98" s="22"/>
      <c r="AL98" s="637"/>
      <c r="AM98" s="22"/>
      <c r="AN98" s="431"/>
      <c r="AO98" s="296"/>
      <c r="AP98" s="535"/>
      <c r="AQ98" s="535"/>
      <c r="AR98" s="535"/>
      <c r="AS98" s="535"/>
      <c r="AT98" s="535"/>
      <c r="AU98" s="535"/>
      <c r="AV98" s="535"/>
      <c r="AW98" s="535"/>
      <c r="AX98" s="687"/>
      <c r="AY98" t="str">
        <f t="shared" si="112"/>
        <v/>
      </c>
      <c r="CA98" s="434" t="str">
        <f t="shared" si="100"/>
        <v/>
      </c>
      <c r="CB98" s="434" t="str">
        <f t="shared" si="113"/>
        <v/>
      </c>
      <c r="CC98" s="434" t="str">
        <f t="shared" si="114"/>
        <v/>
      </c>
      <c r="CD98" s="434" t="str">
        <f t="shared" si="115"/>
        <v/>
      </c>
      <c r="CE98" s="434" t="str">
        <f t="shared" si="116"/>
        <v/>
      </c>
      <c r="CF98" s="434" t="str">
        <f t="shared" si="117"/>
        <v/>
      </c>
      <c r="CG98" s="434" t="str">
        <f t="shared" si="118"/>
        <v/>
      </c>
      <c r="CH98" s="434" t="str">
        <f t="shared" si="119"/>
        <v/>
      </c>
      <c r="CI98" s="434" t="str">
        <f t="shared" si="120"/>
        <v/>
      </c>
      <c r="CJ98" s="436"/>
      <c r="CO98" s="435">
        <f t="shared" si="101"/>
        <v>0</v>
      </c>
      <c r="CP98" s="435">
        <f t="shared" si="102"/>
        <v>0</v>
      </c>
      <c r="CQ98" s="435">
        <f t="shared" si="103"/>
        <v>0</v>
      </c>
      <c r="CR98" s="435">
        <f t="shared" si="104"/>
        <v>0</v>
      </c>
      <c r="CS98" s="435">
        <f t="shared" si="105"/>
        <v>0</v>
      </c>
      <c r="CT98" s="435">
        <f t="shared" si="106"/>
        <v>0</v>
      </c>
      <c r="CU98" s="435">
        <f t="shared" si="107"/>
        <v>0</v>
      </c>
      <c r="CV98" s="435">
        <f t="shared" si="108"/>
        <v>0</v>
      </c>
      <c r="CW98" s="435">
        <f t="shared" si="109"/>
        <v>0</v>
      </c>
      <c r="CX98" s="436"/>
    </row>
    <row r="99" spans="1:102" ht="15" customHeight="1" x14ac:dyDescent="0.3">
      <c r="A99" s="5790"/>
      <c r="B99" s="6349" t="s">
        <v>1646</v>
      </c>
      <c r="C99" s="6350"/>
      <c r="D99" s="760">
        <f t="shared" si="110"/>
        <v>0</v>
      </c>
      <c r="E99" s="589">
        <f t="shared" si="111"/>
        <v>0</v>
      </c>
      <c r="F99" s="479">
        <f t="shared" si="111"/>
        <v>0</v>
      </c>
      <c r="G99" s="346"/>
      <c r="H99" s="637"/>
      <c r="I99" s="290"/>
      <c r="J99" s="735"/>
      <c r="K99" s="290"/>
      <c r="L99" s="350"/>
      <c r="M99" s="346"/>
      <c r="N99" s="350"/>
      <c r="O99" s="348"/>
      <c r="P99" s="350"/>
      <c r="Q99" s="348"/>
      <c r="R99" s="350"/>
      <c r="S99" s="348"/>
      <c r="T99" s="350"/>
      <c r="U99" s="348"/>
      <c r="V99" s="350"/>
      <c r="W99" s="348"/>
      <c r="X99" s="350"/>
      <c r="Y99" s="348"/>
      <c r="Z99" s="350"/>
      <c r="AA99" s="348"/>
      <c r="AB99" s="350"/>
      <c r="AC99" s="348"/>
      <c r="AD99" s="350"/>
      <c r="AE99" s="348"/>
      <c r="AF99" s="350"/>
      <c r="AG99" s="348"/>
      <c r="AH99" s="350"/>
      <c r="AI99" s="348"/>
      <c r="AJ99" s="350"/>
      <c r="AK99" s="348"/>
      <c r="AL99" s="350"/>
      <c r="AM99" s="348"/>
      <c r="AN99" s="352"/>
      <c r="AO99" s="430"/>
      <c r="AP99" s="535"/>
      <c r="AQ99" s="535"/>
      <c r="AR99" s="535"/>
      <c r="AS99" s="535"/>
      <c r="AT99" s="535"/>
      <c r="AU99" s="535"/>
      <c r="AV99" s="535"/>
      <c r="AW99" s="535"/>
      <c r="AX99" s="687"/>
      <c r="AY99" t="str">
        <f t="shared" si="112"/>
        <v/>
      </c>
      <c r="CA99" s="434" t="str">
        <f t="shared" si="100"/>
        <v/>
      </c>
      <c r="CB99" s="434" t="str">
        <f t="shared" si="113"/>
        <v/>
      </c>
      <c r="CC99" s="434" t="str">
        <f t="shared" si="114"/>
        <v/>
      </c>
      <c r="CD99" s="434" t="str">
        <f t="shared" si="115"/>
        <v/>
      </c>
      <c r="CE99" s="434" t="str">
        <f t="shared" si="116"/>
        <v/>
      </c>
      <c r="CF99" s="434" t="str">
        <f t="shared" si="117"/>
        <v/>
      </c>
      <c r="CG99" s="434" t="str">
        <f t="shared" si="118"/>
        <v/>
      </c>
      <c r="CH99" s="434" t="str">
        <f t="shared" si="119"/>
        <v/>
      </c>
      <c r="CI99" s="434" t="str">
        <f t="shared" si="120"/>
        <v/>
      </c>
      <c r="CJ99" s="436"/>
      <c r="CO99" s="435">
        <f t="shared" si="101"/>
        <v>0</v>
      </c>
      <c r="CP99" s="435">
        <f t="shared" si="102"/>
        <v>0</v>
      </c>
      <c r="CQ99" s="435">
        <f t="shared" si="103"/>
        <v>0</v>
      </c>
      <c r="CR99" s="435">
        <f t="shared" si="104"/>
        <v>0</v>
      </c>
      <c r="CS99" s="435">
        <f t="shared" si="105"/>
        <v>0</v>
      </c>
      <c r="CT99" s="435">
        <f t="shared" si="106"/>
        <v>0</v>
      </c>
      <c r="CU99" s="435">
        <f t="shared" si="107"/>
        <v>0</v>
      </c>
      <c r="CV99" s="435">
        <f t="shared" si="108"/>
        <v>0</v>
      </c>
      <c r="CW99" s="435">
        <f t="shared" si="109"/>
        <v>0</v>
      </c>
      <c r="CX99" s="436"/>
    </row>
    <row r="100" spans="1:102" ht="15" customHeight="1" x14ac:dyDescent="0.3">
      <c r="A100" s="5790"/>
      <c r="B100" s="6752" t="s">
        <v>1670</v>
      </c>
      <c r="C100" s="6753"/>
      <c r="D100" s="760">
        <f t="shared" si="110"/>
        <v>0</v>
      </c>
      <c r="E100" s="589">
        <f>SUM(G100+I100+K100+M100+O100+Q100+S100+U100+W100+Y100+AA100+AC100+AE100+AG100+AI100+AK100+AM100)</f>
        <v>0</v>
      </c>
      <c r="F100" s="479">
        <f>SUM(H100+J100+L100+N100+P100+R100+T100+V100+X100+Z100+AB100+AD100+AF100+AH100+AJ100+AL100+AN100)</f>
        <v>0</v>
      </c>
      <c r="G100" s="346"/>
      <c r="H100" s="637"/>
      <c r="I100" s="290"/>
      <c r="J100" s="735"/>
      <c r="K100" s="290"/>
      <c r="L100" s="350"/>
      <c r="M100" s="346"/>
      <c r="N100" s="350"/>
      <c r="O100" s="348"/>
      <c r="P100" s="350"/>
      <c r="Q100" s="348"/>
      <c r="R100" s="350"/>
      <c r="S100" s="348"/>
      <c r="T100" s="350"/>
      <c r="U100" s="348"/>
      <c r="V100" s="350"/>
      <c r="W100" s="348"/>
      <c r="X100" s="350"/>
      <c r="Y100" s="348"/>
      <c r="Z100" s="350"/>
      <c r="AA100" s="348"/>
      <c r="AB100" s="350"/>
      <c r="AC100" s="348"/>
      <c r="AD100" s="350"/>
      <c r="AE100" s="348"/>
      <c r="AF100" s="350"/>
      <c r="AG100" s="348"/>
      <c r="AH100" s="350"/>
      <c r="AI100" s="348"/>
      <c r="AJ100" s="350"/>
      <c r="AK100" s="348"/>
      <c r="AL100" s="350"/>
      <c r="AM100" s="348"/>
      <c r="AN100" s="352"/>
      <c r="AO100" s="430"/>
      <c r="AP100" s="535"/>
      <c r="AQ100" s="535"/>
      <c r="AR100" s="535"/>
      <c r="AS100" s="535"/>
      <c r="AT100" s="535"/>
      <c r="AU100" s="535"/>
      <c r="AV100" s="535"/>
      <c r="AW100" s="535"/>
      <c r="AX100" s="687"/>
      <c r="AY100" t="str">
        <f t="shared" si="112"/>
        <v/>
      </c>
      <c r="CA100" s="434" t="str">
        <f t="shared" si="100"/>
        <v/>
      </c>
      <c r="CB100" s="434" t="str">
        <f t="shared" si="113"/>
        <v/>
      </c>
      <c r="CC100" s="434" t="str">
        <f t="shared" si="114"/>
        <v/>
      </c>
      <c r="CD100" s="434" t="str">
        <f t="shared" si="115"/>
        <v/>
      </c>
      <c r="CE100" s="434" t="str">
        <f t="shared" si="116"/>
        <v/>
      </c>
      <c r="CF100" s="434" t="str">
        <f t="shared" si="117"/>
        <v/>
      </c>
      <c r="CG100" s="434" t="str">
        <f t="shared" si="118"/>
        <v/>
      </c>
      <c r="CH100" s="434" t="str">
        <f t="shared" si="119"/>
        <v/>
      </c>
      <c r="CI100" s="434" t="str">
        <f t="shared" si="120"/>
        <v/>
      </c>
      <c r="CJ100" s="436"/>
      <c r="CO100" s="435">
        <f t="shared" si="101"/>
        <v>0</v>
      </c>
      <c r="CP100" s="435">
        <f t="shared" si="102"/>
        <v>0</v>
      </c>
      <c r="CQ100" s="435">
        <f t="shared" si="103"/>
        <v>0</v>
      </c>
      <c r="CR100" s="435">
        <f t="shared" si="104"/>
        <v>0</v>
      </c>
      <c r="CS100" s="435">
        <f t="shared" si="105"/>
        <v>0</v>
      </c>
      <c r="CT100" s="435">
        <f t="shared" si="106"/>
        <v>0</v>
      </c>
      <c r="CU100" s="435">
        <f t="shared" si="107"/>
        <v>0</v>
      </c>
      <c r="CV100" s="435">
        <f t="shared" si="108"/>
        <v>0</v>
      </c>
      <c r="CW100" s="435">
        <f t="shared" si="109"/>
        <v>0</v>
      </c>
      <c r="CX100" s="436"/>
    </row>
    <row r="101" spans="1:102" ht="15" customHeight="1" x14ac:dyDescent="0.3">
      <c r="A101" s="5790"/>
      <c r="B101" s="6349" t="s">
        <v>1671</v>
      </c>
      <c r="C101" s="6350"/>
      <c r="D101" s="760">
        <f t="shared" si="110"/>
        <v>0</v>
      </c>
      <c r="E101" s="589">
        <f>SUM(G101+I101+K101+M101+O101+Q101+S101+U101+W101+Y101+AA101+AC101+AE101+AG101+AI101+AK101+AM101)</f>
        <v>0</v>
      </c>
      <c r="F101" s="479">
        <f>SUM(H101+J101+L101+N101+P101+R101+T101+V101+X101+Z101+AB101+AD101+AF101+AH101+AJ101+AL101+AN101)</f>
        <v>0</v>
      </c>
      <c r="G101" s="192"/>
      <c r="H101" s="350"/>
      <c r="I101" s="346"/>
      <c r="J101" s="349"/>
      <c r="K101" s="346"/>
      <c r="L101" s="350"/>
      <c r="M101" s="192"/>
      <c r="N101" s="383"/>
      <c r="O101" s="482"/>
      <c r="P101" s="383"/>
      <c r="Q101" s="482"/>
      <c r="R101" s="383"/>
      <c r="S101" s="482"/>
      <c r="T101" s="383"/>
      <c r="U101" s="482"/>
      <c r="V101" s="383"/>
      <c r="W101" s="482"/>
      <c r="X101" s="383"/>
      <c r="Y101" s="482"/>
      <c r="Z101" s="383"/>
      <c r="AA101" s="482"/>
      <c r="AB101" s="383"/>
      <c r="AC101" s="482"/>
      <c r="AD101" s="383"/>
      <c r="AE101" s="482"/>
      <c r="AF101" s="383"/>
      <c r="AG101" s="482"/>
      <c r="AH101" s="383"/>
      <c r="AI101" s="482"/>
      <c r="AJ101" s="383"/>
      <c r="AK101" s="482"/>
      <c r="AL101" s="383"/>
      <c r="AM101" s="482"/>
      <c r="AN101" s="384"/>
      <c r="AO101" s="377"/>
      <c r="AP101" s="369"/>
      <c r="AQ101" s="369"/>
      <c r="AR101" s="369"/>
      <c r="AS101" s="369"/>
      <c r="AT101" s="369"/>
      <c r="AU101" s="369"/>
      <c r="AV101" s="369"/>
      <c r="AW101" s="369"/>
      <c r="AX101" s="687"/>
      <c r="AY101" t="str">
        <f t="shared" si="112"/>
        <v/>
      </c>
      <c r="CA101" s="434" t="str">
        <f t="shared" si="100"/>
        <v/>
      </c>
      <c r="CB101" s="434" t="str">
        <f t="shared" si="113"/>
        <v/>
      </c>
      <c r="CC101" s="434" t="str">
        <f t="shared" si="114"/>
        <v/>
      </c>
      <c r="CD101" s="434" t="str">
        <f t="shared" si="115"/>
        <v/>
      </c>
      <c r="CE101" s="434" t="str">
        <f t="shared" si="116"/>
        <v/>
      </c>
      <c r="CF101" s="434" t="str">
        <f t="shared" si="117"/>
        <v/>
      </c>
      <c r="CG101" s="434" t="str">
        <f t="shared" si="118"/>
        <v/>
      </c>
      <c r="CH101" s="434" t="str">
        <f t="shared" si="119"/>
        <v/>
      </c>
      <c r="CI101" s="434" t="str">
        <f t="shared" si="120"/>
        <v/>
      </c>
      <c r="CJ101" s="436"/>
      <c r="CO101" s="435">
        <f t="shared" si="101"/>
        <v>0</v>
      </c>
      <c r="CP101" s="435">
        <f t="shared" si="102"/>
        <v>0</v>
      </c>
      <c r="CQ101" s="435">
        <f t="shared" si="103"/>
        <v>0</v>
      </c>
      <c r="CR101" s="435">
        <f t="shared" si="104"/>
        <v>0</v>
      </c>
      <c r="CS101" s="435">
        <f t="shared" si="105"/>
        <v>0</v>
      </c>
      <c r="CT101" s="435">
        <f t="shared" si="106"/>
        <v>0</v>
      </c>
      <c r="CU101" s="435">
        <f t="shared" si="107"/>
        <v>0</v>
      </c>
      <c r="CV101" s="435">
        <f t="shared" si="108"/>
        <v>0</v>
      </c>
      <c r="CW101" s="435">
        <f t="shared" si="109"/>
        <v>0</v>
      </c>
      <c r="CX101" s="436"/>
    </row>
    <row r="102" spans="1:102" ht="15" customHeight="1" x14ac:dyDescent="0.3">
      <c r="A102" s="6574"/>
      <c r="B102" s="6648" t="s">
        <v>1674</v>
      </c>
      <c r="C102" s="6649"/>
      <c r="D102" s="724">
        <f>SUM(E102:F102)</f>
        <v>0</v>
      </c>
      <c r="E102" s="3673">
        <f t="shared" si="111"/>
        <v>0</v>
      </c>
      <c r="F102" s="485">
        <f t="shared" si="111"/>
        <v>0</v>
      </c>
      <c r="G102" s="380"/>
      <c r="H102" s="311"/>
      <c r="I102" s="1289"/>
      <c r="J102" s="316"/>
      <c r="K102" s="1289"/>
      <c r="L102" s="311"/>
      <c r="M102" s="380"/>
      <c r="N102" s="389"/>
      <c r="O102" s="429"/>
      <c r="P102" s="389"/>
      <c r="Q102" s="429"/>
      <c r="R102" s="389"/>
      <c r="S102" s="429"/>
      <c r="T102" s="389"/>
      <c r="U102" s="429"/>
      <c r="V102" s="389"/>
      <c r="W102" s="429"/>
      <c r="X102" s="389"/>
      <c r="Y102" s="429"/>
      <c r="Z102" s="389"/>
      <c r="AA102" s="429"/>
      <c r="AB102" s="389"/>
      <c r="AC102" s="429"/>
      <c r="AD102" s="389"/>
      <c r="AE102" s="429"/>
      <c r="AF102" s="389"/>
      <c r="AG102" s="429"/>
      <c r="AH102" s="389"/>
      <c r="AI102" s="429"/>
      <c r="AJ102" s="389"/>
      <c r="AK102" s="429"/>
      <c r="AL102" s="389"/>
      <c r="AM102" s="429"/>
      <c r="AN102" s="390"/>
      <c r="AO102" s="379"/>
      <c r="AP102" s="262"/>
      <c r="AQ102" s="262"/>
      <c r="AR102" s="262"/>
      <c r="AS102" s="262"/>
      <c r="AT102" s="262"/>
      <c r="AU102" s="262"/>
      <c r="AV102" s="262"/>
      <c r="AW102" s="262"/>
      <c r="AX102" s="3672"/>
      <c r="AY102" t="str">
        <f t="shared" si="112"/>
        <v/>
      </c>
      <c r="CA102" s="434" t="str">
        <f t="shared" si="100"/>
        <v/>
      </c>
      <c r="CB102" s="434" t="str">
        <f t="shared" si="113"/>
        <v/>
      </c>
      <c r="CC102" s="434" t="str">
        <f t="shared" si="114"/>
        <v/>
      </c>
      <c r="CD102" s="434" t="str">
        <f t="shared" si="115"/>
        <v/>
      </c>
      <c r="CE102" s="434" t="str">
        <f t="shared" si="116"/>
        <v/>
      </c>
      <c r="CF102" s="434" t="str">
        <f t="shared" si="117"/>
        <v/>
      </c>
      <c r="CG102" s="434" t="str">
        <f t="shared" si="118"/>
        <v/>
      </c>
      <c r="CH102" s="434" t="str">
        <f t="shared" si="119"/>
        <v/>
      </c>
      <c r="CI102" s="434" t="str">
        <f t="shared" si="120"/>
        <v/>
      </c>
      <c r="CJ102" s="436"/>
      <c r="CO102" s="435">
        <f t="shared" si="101"/>
        <v>0</v>
      </c>
      <c r="CP102" s="435">
        <f t="shared" si="102"/>
        <v>0</v>
      </c>
      <c r="CQ102" s="435">
        <f t="shared" si="103"/>
        <v>0</v>
      </c>
      <c r="CR102" s="435">
        <f t="shared" si="104"/>
        <v>0</v>
      </c>
      <c r="CS102" s="435">
        <f t="shared" si="105"/>
        <v>0</v>
      </c>
      <c r="CT102" s="435">
        <f t="shared" si="106"/>
        <v>0</v>
      </c>
      <c r="CU102" s="435">
        <f t="shared" si="107"/>
        <v>0</v>
      </c>
      <c r="CV102" s="435">
        <f t="shared" si="108"/>
        <v>0</v>
      </c>
      <c r="CW102" s="435">
        <f t="shared" si="109"/>
        <v>0</v>
      </c>
      <c r="CX102" s="436"/>
    </row>
    <row r="103" spans="1:102" ht="15" customHeight="1" x14ac:dyDescent="0.3">
      <c r="A103" s="6728" t="s">
        <v>1675</v>
      </c>
      <c r="B103" s="6729"/>
      <c r="C103" s="6730"/>
      <c r="D103" s="317">
        <f t="shared" ref="D103:D143" si="121">SUM(E103:F103)</f>
        <v>0</v>
      </c>
      <c r="E103" s="2326">
        <f t="shared" si="111"/>
        <v>0</v>
      </c>
      <c r="F103" s="588">
        <f t="shared" si="111"/>
        <v>0</v>
      </c>
      <c r="G103" s="290"/>
      <c r="H103" s="637"/>
      <c r="I103" s="290"/>
      <c r="J103" s="735"/>
      <c r="K103" s="290"/>
      <c r="L103" s="637"/>
      <c r="M103" s="290"/>
      <c r="N103" s="637"/>
      <c r="O103" s="22"/>
      <c r="P103" s="637"/>
      <c r="Q103" s="22"/>
      <c r="R103" s="637"/>
      <c r="S103" s="22"/>
      <c r="T103" s="637"/>
      <c r="U103" s="22"/>
      <c r="V103" s="637"/>
      <c r="W103" s="22"/>
      <c r="X103" s="637"/>
      <c r="Y103" s="22"/>
      <c r="Z103" s="637"/>
      <c r="AA103" s="22"/>
      <c r="AB103" s="637"/>
      <c r="AC103" s="22"/>
      <c r="AD103" s="637"/>
      <c r="AE103" s="22"/>
      <c r="AF103" s="637"/>
      <c r="AG103" s="22"/>
      <c r="AH103" s="637"/>
      <c r="AI103" s="22"/>
      <c r="AJ103" s="637"/>
      <c r="AK103" s="22"/>
      <c r="AL103" s="637"/>
      <c r="AM103" s="22"/>
      <c r="AN103" s="431"/>
      <c r="AO103" s="296"/>
      <c r="AP103" s="535"/>
      <c r="AQ103" s="535"/>
      <c r="AR103" s="535"/>
      <c r="AS103" s="535"/>
      <c r="AT103" s="535"/>
      <c r="AU103" s="535"/>
      <c r="AV103" s="535"/>
      <c r="AW103" s="535"/>
      <c r="AX103" s="130"/>
      <c r="AY103" t="str">
        <f t="shared" si="112"/>
        <v/>
      </c>
      <c r="CA103" s="434" t="str">
        <f t="shared" si="100"/>
        <v/>
      </c>
      <c r="CB103" s="434" t="str">
        <f t="shared" si="113"/>
        <v/>
      </c>
      <c r="CC103" s="434" t="str">
        <f t="shared" si="114"/>
        <v/>
      </c>
      <c r="CD103" s="434" t="str">
        <f t="shared" si="115"/>
        <v/>
      </c>
      <c r="CE103" s="434" t="str">
        <f t="shared" si="116"/>
        <v/>
      </c>
      <c r="CF103" s="434" t="str">
        <f t="shared" si="117"/>
        <v/>
      </c>
      <c r="CG103" s="434" t="str">
        <f t="shared" si="118"/>
        <v/>
      </c>
      <c r="CH103" s="434" t="str">
        <f t="shared" si="119"/>
        <v/>
      </c>
      <c r="CI103" s="434" t="str">
        <f t="shared" si="120"/>
        <v/>
      </c>
      <c r="CJ103" s="436"/>
      <c r="CO103" s="435">
        <f t="shared" si="101"/>
        <v>0</v>
      </c>
      <c r="CP103" s="435">
        <f t="shared" si="102"/>
        <v>0</v>
      </c>
      <c r="CQ103" s="435">
        <f t="shared" si="103"/>
        <v>0</v>
      </c>
      <c r="CR103" s="435">
        <f t="shared" si="104"/>
        <v>0</v>
      </c>
      <c r="CS103" s="435">
        <f t="shared" si="105"/>
        <v>0</v>
      </c>
      <c r="CT103" s="435">
        <f t="shared" si="106"/>
        <v>0</v>
      </c>
      <c r="CU103" s="435">
        <f t="shared" si="107"/>
        <v>0</v>
      </c>
      <c r="CV103" s="435">
        <f t="shared" si="108"/>
        <v>0</v>
      </c>
      <c r="CW103" s="435">
        <f t="shared" si="109"/>
        <v>0</v>
      </c>
      <c r="CX103" s="436"/>
    </row>
    <row r="104" spans="1:102" ht="15" customHeight="1" x14ac:dyDescent="0.3">
      <c r="A104" s="6747" t="s">
        <v>1676</v>
      </c>
      <c r="B104" s="6748"/>
      <c r="C104" s="6749"/>
      <c r="D104" s="760">
        <f t="shared" si="121"/>
        <v>0</v>
      </c>
      <c r="E104" s="479">
        <f>SUM(Y104+AA104+AC104+AE104+AG104+AI104+AK104+AM104)</f>
        <v>0</v>
      </c>
      <c r="F104" s="560">
        <f>SUM(Z104+AB104+AD104+AF104+AH104+AJ104+AL104+AN104)</f>
        <v>0</v>
      </c>
      <c r="G104" s="686"/>
      <c r="H104" s="2693"/>
      <c r="I104" s="686"/>
      <c r="J104" s="3677"/>
      <c r="K104" s="686"/>
      <c r="L104" s="2693"/>
      <c r="M104" s="686"/>
      <c r="N104" s="2693"/>
      <c r="O104" s="542"/>
      <c r="P104" s="2693"/>
      <c r="Q104" s="542"/>
      <c r="R104" s="2693"/>
      <c r="S104" s="542"/>
      <c r="T104" s="2693"/>
      <c r="U104" s="542"/>
      <c r="V104" s="2693"/>
      <c r="W104" s="542"/>
      <c r="X104" s="2693"/>
      <c r="Y104" s="348"/>
      <c r="Z104" s="350"/>
      <c r="AA104" s="348"/>
      <c r="AB104" s="350"/>
      <c r="AC104" s="348"/>
      <c r="AD104" s="350"/>
      <c r="AE104" s="348"/>
      <c r="AF104" s="350"/>
      <c r="AG104" s="348"/>
      <c r="AH104" s="350"/>
      <c r="AI104" s="348"/>
      <c r="AJ104" s="350"/>
      <c r="AK104" s="348"/>
      <c r="AL104" s="350"/>
      <c r="AM104" s="348"/>
      <c r="AN104" s="352"/>
      <c r="AO104" s="3678"/>
      <c r="AP104" s="535"/>
      <c r="AQ104" s="535"/>
      <c r="AR104" s="535"/>
      <c r="AS104" s="535"/>
      <c r="AT104" s="535"/>
      <c r="AU104" s="535"/>
      <c r="AV104" s="535"/>
      <c r="AW104" s="535"/>
      <c r="AX104" s="107"/>
      <c r="AY104" t="str">
        <f t="shared" si="112"/>
        <v/>
      </c>
      <c r="CA104" s="436"/>
      <c r="CB104" s="434" t="str">
        <f t="shared" si="113"/>
        <v/>
      </c>
      <c r="CC104" s="434" t="str">
        <f t="shared" si="114"/>
        <v/>
      </c>
      <c r="CD104" s="434" t="str">
        <f t="shared" si="115"/>
        <v/>
      </c>
      <c r="CE104" s="434" t="str">
        <f t="shared" si="116"/>
        <v/>
      </c>
      <c r="CF104" s="434" t="str">
        <f t="shared" si="117"/>
        <v/>
      </c>
      <c r="CG104" s="434" t="str">
        <f t="shared" si="118"/>
        <v/>
      </c>
      <c r="CH104" s="434" t="str">
        <f t="shared" si="119"/>
        <v/>
      </c>
      <c r="CI104" s="434" t="str">
        <f t="shared" si="120"/>
        <v/>
      </c>
      <c r="CJ104" s="434" t="str">
        <f t="shared" ref="CJ104:CJ142" si="122">IF(AND($D104&gt;0,AX104="")," * No olvide digitar la variable Flujo digital. Digite Cero si no tiene.",IF(AX104&gt;$D104," * La variable Flujo digital no puede ser mayor al Total Ambos Sexos.",""))</f>
        <v/>
      </c>
      <c r="CO104" s="436"/>
      <c r="CP104" s="435">
        <f t="shared" si="102"/>
        <v>0</v>
      </c>
      <c r="CQ104" s="435">
        <f t="shared" si="103"/>
        <v>0</v>
      </c>
      <c r="CR104" s="435">
        <f t="shared" si="104"/>
        <v>0</v>
      </c>
      <c r="CS104" s="435">
        <f t="shared" si="105"/>
        <v>0</v>
      </c>
      <c r="CT104" s="435">
        <f t="shared" si="106"/>
        <v>0</v>
      </c>
      <c r="CU104" s="435">
        <f t="shared" si="107"/>
        <v>0</v>
      </c>
      <c r="CV104" s="435">
        <f t="shared" si="108"/>
        <v>0</v>
      </c>
      <c r="CW104" s="435">
        <f t="shared" si="109"/>
        <v>0</v>
      </c>
      <c r="CX104" s="435">
        <f>IF(AND($D104&gt;0,AX104=""),1,IF(AX104&gt;$D104,1,0))</f>
        <v>0</v>
      </c>
    </row>
    <row r="105" spans="1:102" ht="15" customHeight="1" x14ac:dyDescent="0.3">
      <c r="A105" s="6747" t="s">
        <v>1677</v>
      </c>
      <c r="B105" s="6748"/>
      <c r="C105" s="6749"/>
      <c r="D105" s="760">
        <f t="shared" si="121"/>
        <v>0</v>
      </c>
      <c r="E105" s="479">
        <f>SUM(G105+I105+K105+M105+O105+Q105+S105+U105+W105+Y105)</f>
        <v>0</v>
      </c>
      <c r="F105" s="560">
        <f>SUM(H105+J105+L105+N105+P105+R105+T105+V105+X105+Z105)</f>
        <v>0</v>
      </c>
      <c r="G105" s="346"/>
      <c r="H105" s="350"/>
      <c r="I105" s="346"/>
      <c r="J105" s="349"/>
      <c r="K105" s="290"/>
      <c r="L105" s="350"/>
      <c r="M105" s="346"/>
      <c r="N105" s="350"/>
      <c r="O105" s="348"/>
      <c r="P105" s="350"/>
      <c r="Q105" s="348"/>
      <c r="R105" s="350"/>
      <c r="S105" s="348"/>
      <c r="T105" s="350"/>
      <c r="U105" s="348"/>
      <c r="V105" s="350"/>
      <c r="W105" s="348"/>
      <c r="X105" s="350"/>
      <c r="Y105" s="348"/>
      <c r="Z105" s="350"/>
      <c r="AA105" s="542"/>
      <c r="AB105" s="2693"/>
      <c r="AC105" s="542"/>
      <c r="AD105" s="2693"/>
      <c r="AE105" s="542"/>
      <c r="AF105" s="2693"/>
      <c r="AG105" s="542"/>
      <c r="AH105" s="2693"/>
      <c r="AI105" s="542"/>
      <c r="AJ105" s="2693"/>
      <c r="AK105" s="542"/>
      <c r="AL105" s="2693"/>
      <c r="AM105" s="542"/>
      <c r="AN105" s="525"/>
      <c r="AO105" s="430"/>
      <c r="AP105" s="369"/>
      <c r="AQ105" s="369"/>
      <c r="AR105" s="524"/>
      <c r="AS105" s="369"/>
      <c r="AT105" s="369"/>
      <c r="AU105" s="369"/>
      <c r="AV105" s="369"/>
      <c r="AW105" s="369"/>
      <c r="AX105" s="687"/>
      <c r="AY105" t="str">
        <f t="shared" si="112"/>
        <v/>
      </c>
      <c r="CA105" s="434" t="str">
        <f t="shared" ref="CA105:CA109" si="123">IF(AND((W105+X105)&gt;0,AO105="")," * No olvide digitar la variable 12 años (incluido en el grupo de 10-14 años). Digite Cero si no tiene.",IF(AO105&gt;(W105+X105),"* Las Consultas de 12 años (incluido en el grupo de 10-14 años) NO DEBEN ser mayor que el total de Consultas entre 10-14 años",""))</f>
        <v/>
      </c>
      <c r="CB105" s="434" t="str">
        <f t="shared" si="113"/>
        <v/>
      </c>
      <c r="CC105" s="434" t="str">
        <f t="shared" si="114"/>
        <v/>
      </c>
      <c r="CD105" s="436"/>
      <c r="CE105" s="434" t="str">
        <f t="shared" si="116"/>
        <v/>
      </c>
      <c r="CF105" s="434" t="str">
        <f t="shared" si="117"/>
        <v/>
      </c>
      <c r="CG105" s="434" t="str">
        <f t="shared" si="118"/>
        <v/>
      </c>
      <c r="CH105" s="434" t="str">
        <f t="shared" si="119"/>
        <v/>
      </c>
      <c r="CI105" s="434" t="str">
        <f t="shared" si="120"/>
        <v/>
      </c>
      <c r="CJ105" s="436"/>
      <c r="CO105" s="435">
        <f t="shared" ref="CO105:CO120" si="124">IF(AND($D105&gt;0,AO105=""),1,IF(AO105&gt;D105,1,0))</f>
        <v>0</v>
      </c>
      <c r="CP105" s="435">
        <f t="shared" si="102"/>
        <v>0</v>
      </c>
      <c r="CQ105" s="435">
        <f t="shared" si="103"/>
        <v>0</v>
      </c>
      <c r="CR105" s="436"/>
      <c r="CS105" s="435">
        <f t="shared" si="105"/>
        <v>0</v>
      </c>
      <c r="CT105" s="435">
        <f t="shared" si="106"/>
        <v>0</v>
      </c>
      <c r="CU105" s="435">
        <f t="shared" si="107"/>
        <v>0</v>
      </c>
      <c r="CV105" s="435">
        <f t="shared" si="108"/>
        <v>0</v>
      </c>
      <c r="CW105" s="435">
        <f t="shared" si="109"/>
        <v>0</v>
      </c>
      <c r="CX105" s="436"/>
    </row>
    <row r="106" spans="1:102" ht="15" customHeight="1" x14ac:dyDescent="0.3">
      <c r="A106" s="6747" t="s">
        <v>1678</v>
      </c>
      <c r="B106" s="6748"/>
      <c r="C106" s="6749"/>
      <c r="D106" s="760">
        <f t="shared" si="121"/>
        <v>0</v>
      </c>
      <c r="E106" s="479">
        <f t="shared" ref="E106:F109" si="125">SUM(G106+I106+K106+M106+O106+Q106+S106+U106+W106+Y106+AA106+AC106+AE106+AG106+AI106+AK106+AM106)</f>
        <v>0</v>
      </c>
      <c r="F106" s="560">
        <f t="shared" si="125"/>
        <v>0</v>
      </c>
      <c r="G106" s="346"/>
      <c r="H106" s="350"/>
      <c r="I106" s="346"/>
      <c r="J106" s="349"/>
      <c r="K106" s="290"/>
      <c r="L106" s="350"/>
      <c r="M106" s="346"/>
      <c r="N106" s="350"/>
      <c r="O106" s="348"/>
      <c r="P106" s="350"/>
      <c r="Q106" s="348"/>
      <c r="R106" s="350"/>
      <c r="S106" s="348"/>
      <c r="T106" s="350"/>
      <c r="U106" s="348"/>
      <c r="V106" s="350"/>
      <c r="W106" s="348"/>
      <c r="X106" s="350"/>
      <c r="Y106" s="348"/>
      <c r="Z106" s="350"/>
      <c r="AA106" s="348"/>
      <c r="AB106" s="350"/>
      <c r="AC106" s="348"/>
      <c r="AD106" s="350"/>
      <c r="AE106" s="348"/>
      <c r="AF106" s="350"/>
      <c r="AG106" s="348"/>
      <c r="AH106" s="350"/>
      <c r="AI106" s="348"/>
      <c r="AJ106" s="350"/>
      <c r="AK106" s="348"/>
      <c r="AL106" s="350"/>
      <c r="AM106" s="348"/>
      <c r="AN106" s="352"/>
      <c r="AO106" s="430"/>
      <c r="AP106" s="369"/>
      <c r="AQ106" s="369"/>
      <c r="AR106" s="535"/>
      <c r="AS106" s="369"/>
      <c r="AT106" s="369"/>
      <c r="AU106" s="369"/>
      <c r="AV106" s="369"/>
      <c r="AW106" s="369"/>
      <c r="AX106" s="687"/>
      <c r="AY106" t="str">
        <f t="shared" si="112"/>
        <v/>
      </c>
      <c r="CA106" s="434" t="str">
        <f t="shared" si="123"/>
        <v/>
      </c>
      <c r="CB106" s="434" t="str">
        <f t="shared" si="113"/>
        <v/>
      </c>
      <c r="CC106" s="434" t="str">
        <f t="shared" si="114"/>
        <v/>
      </c>
      <c r="CD106" s="434" t="str">
        <f t="shared" si="115"/>
        <v/>
      </c>
      <c r="CE106" s="434" t="str">
        <f t="shared" si="116"/>
        <v/>
      </c>
      <c r="CF106" s="434" t="str">
        <f t="shared" si="117"/>
        <v/>
      </c>
      <c r="CG106" s="434" t="str">
        <f t="shared" si="118"/>
        <v/>
      </c>
      <c r="CH106" s="434" t="str">
        <f t="shared" si="119"/>
        <v/>
      </c>
      <c r="CI106" s="434" t="str">
        <f t="shared" si="120"/>
        <v/>
      </c>
      <c r="CJ106" s="436"/>
      <c r="CO106" s="435">
        <f t="shared" si="124"/>
        <v>0</v>
      </c>
      <c r="CP106" s="435">
        <f t="shared" si="102"/>
        <v>0</v>
      </c>
      <c r="CQ106" s="435">
        <f t="shared" si="103"/>
        <v>0</v>
      </c>
      <c r="CR106" s="435">
        <f t="shared" ref="CR106:CR142" si="126">IF(AND(AI106+AJ106&gt;0,AR106=""),1,IF(AR106&gt;AI106+AJ106,1,0))</f>
        <v>0</v>
      </c>
      <c r="CS106" s="435">
        <f t="shared" si="105"/>
        <v>0</v>
      </c>
      <c r="CT106" s="435">
        <f t="shared" si="106"/>
        <v>0</v>
      </c>
      <c r="CU106" s="435">
        <f t="shared" si="107"/>
        <v>0</v>
      </c>
      <c r="CV106" s="435">
        <f t="shared" si="108"/>
        <v>0</v>
      </c>
      <c r="CW106" s="435">
        <f t="shared" si="109"/>
        <v>0</v>
      </c>
      <c r="CX106" s="436"/>
    </row>
    <row r="107" spans="1:102" ht="15" customHeight="1" x14ac:dyDescent="0.3">
      <c r="A107" s="6747" t="s">
        <v>1679</v>
      </c>
      <c r="B107" s="6748"/>
      <c r="C107" s="6749"/>
      <c r="D107" s="760">
        <f t="shared" si="121"/>
        <v>0</v>
      </c>
      <c r="E107" s="479">
        <f t="shared" si="125"/>
        <v>0</v>
      </c>
      <c r="F107" s="560">
        <f t="shared" si="125"/>
        <v>0</v>
      </c>
      <c r="G107" s="346"/>
      <c r="H107" s="350"/>
      <c r="I107" s="346"/>
      <c r="J107" s="349"/>
      <c r="K107" s="290"/>
      <c r="L107" s="350"/>
      <c r="M107" s="346"/>
      <c r="N107" s="350"/>
      <c r="O107" s="348"/>
      <c r="P107" s="350"/>
      <c r="Q107" s="348"/>
      <c r="R107" s="350"/>
      <c r="S107" s="348"/>
      <c r="T107" s="350"/>
      <c r="U107" s="348"/>
      <c r="V107" s="350"/>
      <c r="W107" s="348"/>
      <c r="X107" s="350"/>
      <c r="Y107" s="348"/>
      <c r="Z107" s="350"/>
      <c r="AA107" s="348"/>
      <c r="AB107" s="350"/>
      <c r="AC107" s="348"/>
      <c r="AD107" s="350"/>
      <c r="AE107" s="348"/>
      <c r="AF107" s="350"/>
      <c r="AG107" s="348"/>
      <c r="AH107" s="350"/>
      <c r="AI107" s="348"/>
      <c r="AJ107" s="350"/>
      <c r="AK107" s="348"/>
      <c r="AL107" s="350"/>
      <c r="AM107" s="348"/>
      <c r="AN107" s="352"/>
      <c r="AO107" s="430"/>
      <c r="AP107" s="369"/>
      <c r="AQ107" s="369"/>
      <c r="AR107" s="535"/>
      <c r="AS107" s="369"/>
      <c r="AT107" s="369"/>
      <c r="AU107" s="369"/>
      <c r="AV107" s="369"/>
      <c r="AW107" s="369"/>
      <c r="AX107" s="687"/>
      <c r="AY107" t="str">
        <f t="shared" si="112"/>
        <v/>
      </c>
      <c r="CA107" s="434" t="str">
        <f t="shared" si="123"/>
        <v/>
      </c>
      <c r="CB107" s="434" t="str">
        <f t="shared" si="113"/>
        <v/>
      </c>
      <c r="CC107" s="434" t="str">
        <f t="shared" si="114"/>
        <v/>
      </c>
      <c r="CD107" s="434" t="str">
        <f t="shared" si="115"/>
        <v/>
      </c>
      <c r="CE107" s="434" t="str">
        <f t="shared" si="116"/>
        <v/>
      </c>
      <c r="CF107" s="434" t="str">
        <f t="shared" si="117"/>
        <v/>
      </c>
      <c r="CG107" s="434" t="str">
        <f t="shared" si="118"/>
        <v/>
      </c>
      <c r="CH107" s="434" t="str">
        <f t="shared" si="119"/>
        <v/>
      </c>
      <c r="CI107" s="434" t="str">
        <f t="shared" si="120"/>
        <v/>
      </c>
      <c r="CJ107" s="436"/>
      <c r="CO107" s="435">
        <f t="shared" si="124"/>
        <v>0</v>
      </c>
      <c r="CP107" s="435">
        <f t="shared" si="102"/>
        <v>0</v>
      </c>
      <c r="CQ107" s="435">
        <f t="shared" si="103"/>
        <v>0</v>
      </c>
      <c r="CR107" s="435">
        <f t="shared" si="126"/>
        <v>0</v>
      </c>
      <c r="CS107" s="435">
        <f t="shared" si="105"/>
        <v>0</v>
      </c>
      <c r="CT107" s="435">
        <f t="shared" si="106"/>
        <v>0</v>
      </c>
      <c r="CU107" s="435">
        <f t="shared" si="107"/>
        <v>0</v>
      </c>
      <c r="CV107" s="435">
        <f t="shared" si="108"/>
        <v>0</v>
      </c>
      <c r="CW107" s="435">
        <f t="shared" si="109"/>
        <v>0</v>
      </c>
      <c r="CX107" s="436"/>
    </row>
    <row r="108" spans="1:102" ht="15" customHeight="1" x14ac:dyDescent="0.3">
      <c r="A108" s="6747" t="s">
        <v>1680</v>
      </c>
      <c r="B108" s="6748"/>
      <c r="C108" s="6749"/>
      <c r="D108" s="760">
        <f t="shared" si="121"/>
        <v>0</v>
      </c>
      <c r="E108" s="479">
        <f t="shared" si="125"/>
        <v>0</v>
      </c>
      <c r="F108" s="560">
        <f t="shared" si="125"/>
        <v>0</v>
      </c>
      <c r="G108" s="346"/>
      <c r="H108" s="350"/>
      <c r="I108" s="346"/>
      <c r="J108" s="349"/>
      <c r="K108" s="346"/>
      <c r="L108" s="350"/>
      <c r="M108" s="346"/>
      <c r="N108" s="350"/>
      <c r="O108" s="348"/>
      <c r="P108" s="350"/>
      <c r="Q108" s="348"/>
      <c r="R108" s="350"/>
      <c r="S108" s="348"/>
      <c r="T108" s="350"/>
      <c r="U108" s="348"/>
      <c r="V108" s="350"/>
      <c r="W108" s="348"/>
      <c r="X108" s="350"/>
      <c r="Y108" s="348"/>
      <c r="Z108" s="350"/>
      <c r="AA108" s="348"/>
      <c r="AB108" s="350"/>
      <c r="AC108" s="348"/>
      <c r="AD108" s="350"/>
      <c r="AE108" s="348"/>
      <c r="AF108" s="350"/>
      <c r="AG108" s="348"/>
      <c r="AH108" s="350"/>
      <c r="AI108" s="348"/>
      <c r="AJ108" s="350"/>
      <c r="AK108" s="348"/>
      <c r="AL108" s="350"/>
      <c r="AM108" s="348"/>
      <c r="AN108" s="352"/>
      <c r="AO108" s="430"/>
      <c r="AP108" s="369"/>
      <c r="AQ108" s="369"/>
      <c r="AR108" s="535"/>
      <c r="AS108" s="369"/>
      <c r="AT108" s="369"/>
      <c r="AU108" s="369"/>
      <c r="AV108" s="369"/>
      <c r="AW108" s="369"/>
      <c r="AX108" s="687"/>
      <c r="AY108" t="str">
        <f t="shared" si="112"/>
        <v/>
      </c>
      <c r="CA108" s="434" t="str">
        <f t="shared" si="123"/>
        <v/>
      </c>
      <c r="CB108" s="434" t="str">
        <f t="shared" si="113"/>
        <v/>
      </c>
      <c r="CC108" s="434" t="str">
        <f t="shared" si="114"/>
        <v/>
      </c>
      <c r="CD108" s="434" t="str">
        <f t="shared" si="115"/>
        <v/>
      </c>
      <c r="CE108" s="434" t="str">
        <f t="shared" si="116"/>
        <v/>
      </c>
      <c r="CF108" s="434" t="str">
        <f t="shared" si="117"/>
        <v/>
      </c>
      <c r="CG108" s="434" t="str">
        <f t="shared" si="118"/>
        <v/>
      </c>
      <c r="CH108" s="434" t="str">
        <f t="shared" si="119"/>
        <v/>
      </c>
      <c r="CI108" s="434" t="str">
        <f t="shared" si="120"/>
        <v/>
      </c>
      <c r="CJ108" s="436"/>
      <c r="CO108" s="435">
        <f t="shared" si="124"/>
        <v>0</v>
      </c>
      <c r="CP108" s="435">
        <f t="shared" si="102"/>
        <v>0</v>
      </c>
      <c r="CQ108" s="435">
        <f t="shared" si="103"/>
        <v>0</v>
      </c>
      <c r="CR108" s="435">
        <f t="shared" si="126"/>
        <v>0</v>
      </c>
      <c r="CS108" s="435">
        <f t="shared" si="105"/>
        <v>0</v>
      </c>
      <c r="CT108" s="435">
        <f t="shared" si="106"/>
        <v>0</v>
      </c>
      <c r="CU108" s="435">
        <f t="shared" si="107"/>
        <v>0</v>
      </c>
      <c r="CV108" s="435">
        <f t="shared" si="108"/>
        <v>0</v>
      </c>
      <c r="CW108" s="435">
        <f t="shared" si="109"/>
        <v>0</v>
      </c>
      <c r="CX108" s="436"/>
    </row>
    <row r="109" spans="1:102" ht="15" customHeight="1" x14ac:dyDescent="0.3">
      <c r="A109" s="6747" t="s">
        <v>1681</v>
      </c>
      <c r="B109" s="6748"/>
      <c r="C109" s="6749"/>
      <c r="D109" s="760">
        <f t="shared" si="121"/>
        <v>0</v>
      </c>
      <c r="E109" s="479">
        <f t="shared" si="125"/>
        <v>0</v>
      </c>
      <c r="F109" s="560">
        <f t="shared" si="125"/>
        <v>0</v>
      </c>
      <c r="G109" s="346"/>
      <c r="H109" s="350"/>
      <c r="I109" s="346"/>
      <c r="J109" s="349"/>
      <c r="K109" s="346"/>
      <c r="L109" s="350"/>
      <c r="M109" s="346"/>
      <c r="N109" s="350"/>
      <c r="O109" s="348"/>
      <c r="P109" s="350"/>
      <c r="Q109" s="348"/>
      <c r="R109" s="350"/>
      <c r="S109" s="348"/>
      <c r="T109" s="350"/>
      <c r="U109" s="348"/>
      <c r="V109" s="350"/>
      <c r="W109" s="348"/>
      <c r="X109" s="350"/>
      <c r="Y109" s="348"/>
      <c r="Z109" s="350"/>
      <c r="AA109" s="348"/>
      <c r="AB109" s="350"/>
      <c r="AC109" s="348"/>
      <c r="AD109" s="350"/>
      <c r="AE109" s="348"/>
      <c r="AF109" s="350"/>
      <c r="AG109" s="348"/>
      <c r="AH109" s="350"/>
      <c r="AI109" s="348"/>
      <c r="AJ109" s="350"/>
      <c r="AK109" s="348"/>
      <c r="AL109" s="350"/>
      <c r="AM109" s="348"/>
      <c r="AN109" s="352"/>
      <c r="AO109" s="430"/>
      <c r="AP109" s="369"/>
      <c r="AQ109" s="369"/>
      <c r="AR109" s="535"/>
      <c r="AS109" s="369"/>
      <c r="AT109" s="369"/>
      <c r="AU109" s="369"/>
      <c r="AV109" s="369"/>
      <c r="AW109" s="369"/>
      <c r="AX109" s="687"/>
      <c r="AY109" t="str">
        <f t="shared" si="112"/>
        <v/>
      </c>
      <c r="CA109" s="434" t="str">
        <f t="shared" si="123"/>
        <v/>
      </c>
      <c r="CB109" s="434" t="str">
        <f t="shared" si="113"/>
        <v/>
      </c>
      <c r="CC109" s="434" t="str">
        <f t="shared" si="114"/>
        <v/>
      </c>
      <c r="CD109" s="434" t="str">
        <f t="shared" si="115"/>
        <v/>
      </c>
      <c r="CE109" s="434" t="str">
        <f t="shared" si="116"/>
        <v/>
      </c>
      <c r="CF109" s="434" t="str">
        <f t="shared" si="117"/>
        <v/>
      </c>
      <c r="CG109" s="434" t="str">
        <f t="shared" si="118"/>
        <v/>
      </c>
      <c r="CH109" s="434" t="str">
        <f t="shared" si="119"/>
        <v/>
      </c>
      <c r="CI109" s="434" t="str">
        <f t="shared" si="120"/>
        <v/>
      </c>
      <c r="CJ109" s="436"/>
      <c r="CO109" s="435">
        <f t="shared" si="124"/>
        <v>0</v>
      </c>
      <c r="CP109" s="435">
        <f t="shared" si="102"/>
        <v>0</v>
      </c>
      <c r="CQ109" s="435">
        <f t="shared" si="103"/>
        <v>0</v>
      </c>
      <c r="CR109" s="435">
        <f t="shared" si="126"/>
        <v>0</v>
      </c>
      <c r="CS109" s="435">
        <f t="shared" si="105"/>
        <v>0</v>
      </c>
      <c r="CT109" s="435">
        <f t="shared" si="106"/>
        <v>0</v>
      </c>
      <c r="CU109" s="435">
        <f t="shared" si="107"/>
        <v>0</v>
      </c>
      <c r="CV109" s="435">
        <f t="shared" si="108"/>
        <v>0</v>
      </c>
      <c r="CW109" s="435">
        <f t="shared" si="109"/>
        <v>0</v>
      </c>
      <c r="CX109" s="436"/>
    </row>
    <row r="110" spans="1:102" ht="15" customHeight="1" x14ac:dyDescent="0.3">
      <c r="A110" s="6747" t="s">
        <v>1682</v>
      </c>
      <c r="B110" s="6748"/>
      <c r="C110" s="6749"/>
      <c r="D110" s="760">
        <f t="shared" si="121"/>
        <v>0</v>
      </c>
      <c r="E110" s="479">
        <f>SUM(Q110+S110+U110+W110+Y110+AA110+AC110+AE110+AG110+AI110+AK110+AM110)</f>
        <v>0</v>
      </c>
      <c r="F110" s="560">
        <f>SUM(R110+T110+V110+X110+Z110+AB110+AD110+AF110+AH110+AJ110+AL110+AN110)</f>
        <v>0</v>
      </c>
      <c r="G110" s="634"/>
      <c r="H110" s="847"/>
      <c r="I110" s="634"/>
      <c r="J110" s="3679"/>
      <c r="K110" s="634"/>
      <c r="L110" s="847"/>
      <c r="M110" s="634"/>
      <c r="N110" s="847"/>
      <c r="O110" s="3314"/>
      <c r="P110" s="847"/>
      <c r="Q110" s="348"/>
      <c r="R110" s="350"/>
      <c r="S110" s="348"/>
      <c r="T110" s="350"/>
      <c r="U110" s="348"/>
      <c r="V110" s="350"/>
      <c r="W110" s="348"/>
      <c r="X110" s="350"/>
      <c r="Y110" s="348"/>
      <c r="Z110" s="350"/>
      <c r="AA110" s="348"/>
      <c r="AB110" s="350"/>
      <c r="AC110" s="348"/>
      <c r="AD110" s="350"/>
      <c r="AE110" s="348"/>
      <c r="AF110" s="350"/>
      <c r="AG110" s="348"/>
      <c r="AH110" s="350"/>
      <c r="AI110" s="348"/>
      <c r="AJ110" s="350"/>
      <c r="AK110" s="348"/>
      <c r="AL110" s="350"/>
      <c r="AM110" s="348"/>
      <c r="AN110" s="352"/>
      <c r="AO110" s="430"/>
      <c r="AP110" s="369"/>
      <c r="AQ110" s="369"/>
      <c r="AR110" s="369"/>
      <c r="AS110" s="369"/>
      <c r="AT110" s="369"/>
      <c r="AU110" s="369"/>
      <c r="AV110" s="369"/>
      <c r="AW110" s="369"/>
      <c r="AX110" s="687"/>
      <c r="AY110" t="str">
        <f t="shared" si="112"/>
        <v/>
      </c>
      <c r="CA110" s="434" t="str">
        <f>IF(AND((W110+X110)&gt;0,AO110="")," * No olvide digitar la variable 12 años (incluido en el grupo de 10-14 años). Digite Cero si no tiene.",IF(AO110&gt;(W110+X110),"* Las Consultas de 12 años (incluido en el grupo de 10-14 años) NO DEBEN ser mayor que el total de Consultas entre 10-14 años",""))</f>
        <v/>
      </c>
      <c r="CB110" s="434" t="str">
        <f t="shared" si="113"/>
        <v/>
      </c>
      <c r="CC110" s="434" t="str">
        <f t="shared" si="114"/>
        <v/>
      </c>
      <c r="CD110" s="434" t="str">
        <f>IF(AND((AI110+AJ110)&gt;0,AR110="")," * No olvide digitar la variable 60 años (incluido en grupos de 60-64 años). Digite Cero si no tiene.",IF(AR110&gt;(AI110+AJ110)," * La variable 60 años (incluido en grupos de 60-64 años) NO DEBE ser mayor que el Total de consultas del grupo 60-64 años",""))</f>
        <v/>
      </c>
      <c r="CE110" s="434" t="str">
        <f t="shared" si="116"/>
        <v/>
      </c>
      <c r="CF110" s="434" t="str">
        <f t="shared" si="117"/>
        <v/>
      </c>
      <c r="CG110" s="434" t="str">
        <f t="shared" si="118"/>
        <v/>
      </c>
      <c r="CH110" s="434" t="str">
        <f t="shared" si="119"/>
        <v/>
      </c>
      <c r="CI110" s="434" t="str">
        <f t="shared" si="120"/>
        <v/>
      </c>
      <c r="CJ110" s="436"/>
      <c r="CO110" s="435">
        <f t="shared" si="124"/>
        <v>0</v>
      </c>
      <c r="CP110" s="435">
        <f t="shared" si="102"/>
        <v>0</v>
      </c>
      <c r="CQ110" s="435">
        <f t="shared" si="103"/>
        <v>0</v>
      </c>
      <c r="CR110" s="435">
        <f t="shared" si="126"/>
        <v>0</v>
      </c>
      <c r="CS110" s="435">
        <f t="shared" si="105"/>
        <v>0</v>
      </c>
      <c r="CT110" s="435">
        <f t="shared" si="106"/>
        <v>0</v>
      </c>
      <c r="CU110" s="435">
        <f t="shared" si="107"/>
        <v>0</v>
      </c>
      <c r="CV110" s="435">
        <f t="shared" si="108"/>
        <v>0</v>
      </c>
      <c r="CW110" s="435">
        <f t="shared" si="109"/>
        <v>0</v>
      </c>
      <c r="CX110" s="436"/>
    </row>
    <row r="111" spans="1:102" ht="15" customHeight="1" x14ac:dyDescent="0.3">
      <c r="A111" s="6747" t="s">
        <v>1683</v>
      </c>
      <c r="B111" s="6748"/>
      <c r="C111" s="6749"/>
      <c r="D111" s="760">
        <f t="shared" si="121"/>
        <v>0</v>
      </c>
      <c r="E111" s="479">
        <f t="shared" ref="E111:E114" si="127">SUM(Q111+S111+U111+W111+Y111+AA111+AC111+AE111+AG111+AI111+AK111+AM111)</f>
        <v>0</v>
      </c>
      <c r="F111" s="560">
        <f t="shared" ref="F111:F113" si="128">SUM(R111+T111+V111+X111+Z111+AB111+AD111+AF111+AH111+AJ111+AL111+AN111)</f>
        <v>0</v>
      </c>
      <c r="G111" s="634"/>
      <c r="H111" s="847"/>
      <c r="I111" s="634"/>
      <c r="J111" s="3679"/>
      <c r="K111" s="634"/>
      <c r="L111" s="847"/>
      <c r="M111" s="634"/>
      <c r="N111" s="847"/>
      <c r="O111" s="3314"/>
      <c r="P111" s="847"/>
      <c r="Q111" s="348"/>
      <c r="R111" s="350"/>
      <c r="S111" s="348"/>
      <c r="T111" s="350"/>
      <c r="U111" s="348"/>
      <c r="V111" s="350"/>
      <c r="W111" s="348"/>
      <c r="X111" s="350"/>
      <c r="Y111" s="348"/>
      <c r="Z111" s="350"/>
      <c r="AA111" s="348"/>
      <c r="AB111" s="350"/>
      <c r="AC111" s="348"/>
      <c r="AD111" s="350"/>
      <c r="AE111" s="348"/>
      <c r="AF111" s="350"/>
      <c r="AG111" s="348"/>
      <c r="AH111" s="350"/>
      <c r="AI111" s="348"/>
      <c r="AJ111" s="350"/>
      <c r="AK111" s="348"/>
      <c r="AL111" s="350"/>
      <c r="AM111" s="348"/>
      <c r="AN111" s="352"/>
      <c r="AO111" s="430"/>
      <c r="AP111" s="369"/>
      <c r="AQ111" s="369"/>
      <c r="AR111" s="369"/>
      <c r="AS111" s="369"/>
      <c r="AT111" s="369"/>
      <c r="AU111" s="369"/>
      <c r="AV111" s="369"/>
      <c r="AW111" s="369"/>
      <c r="AX111" s="687"/>
      <c r="AY111" t="str">
        <f t="shared" si="112"/>
        <v/>
      </c>
      <c r="CA111" s="434" t="str">
        <f t="shared" ref="CA111:CA120" si="129">IF(AND((W111+X111)&gt;0,AO111="")," * No olvide digitar la variable 12 años (incluido en el grupo de 10-14 años). Digite Cero si no tiene.",IF(AO111&gt;(W111+X111),"* Las Consultas de 12 años (incluido en el grupo de 10-14 años) NO DEBEN ser mayor que el total de Consultas entre 10-14 años",""))</f>
        <v/>
      </c>
      <c r="CB111" s="434" t="str">
        <f t="shared" si="113"/>
        <v/>
      </c>
      <c r="CC111" s="434" t="str">
        <f t="shared" si="114"/>
        <v/>
      </c>
      <c r="CD111" s="434" t="str">
        <f t="shared" si="115"/>
        <v/>
      </c>
      <c r="CE111" s="434" t="str">
        <f t="shared" si="116"/>
        <v/>
      </c>
      <c r="CF111" s="434" t="str">
        <f t="shared" si="117"/>
        <v/>
      </c>
      <c r="CG111" s="434" t="str">
        <f t="shared" si="118"/>
        <v/>
      </c>
      <c r="CH111" s="434" t="str">
        <f t="shared" si="119"/>
        <v/>
      </c>
      <c r="CI111" s="434" t="str">
        <f t="shared" si="120"/>
        <v/>
      </c>
      <c r="CJ111" s="436"/>
      <c r="CO111" s="435">
        <f t="shared" si="124"/>
        <v>0</v>
      </c>
      <c r="CP111" s="435">
        <f t="shared" si="102"/>
        <v>0</v>
      </c>
      <c r="CQ111" s="435">
        <f t="shared" si="103"/>
        <v>0</v>
      </c>
      <c r="CR111" s="435">
        <f t="shared" si="126"/>
        <v>0</v>
      </c>
      <c r="CS111" s="435">
        <f t="shared" si="105"/>
        <v>0</v>
      </c>
      <c r="CT111" s="435">
        <f t="shared" si="106"/>
        <v>0</v>
      </c>
      <c r="CU111" s="435">
        <f t="shared" si="107"/>
        <v>0</v>
      </c>
      <c r="CV111" s="435">
        <f t="shared" si="108"/>
        <v>0</v>
      </c>
      <c r="CW111" s="435">
        <f t="shared" si="109"/>
        <v>0</v>
      </c>
      <c r="CX111" s="436"/>
    </row>
    <row r="112" spans="1:102" ht="15" customHeight="1" x14ac:dyDescent="0.3">
      <c r="A112" s="6747" t="s">
        <v>1684</v>
      </c>
      <c r="B112" s="6748"/>
      <c r="C112" s="6749"/>
      <c r="D112" s="760">
        <f t="shared" si="121"/>
        <v>0</v>
      </c>
      <c r="E112" s="479">
        <f t="shared" si="127"/>
        <v>0</v>
      </c>
      <c r="F112" s="560">
        <f t="shared" si="128"/>
        <v>0</v>
      </c>
      <c r="G112" s="634"/>
      <c r="H112" s="3680"/>
      <c r="I112" s="634"/>
      <c r="J112" s="3679"/>
      <c r="K112" s="634"/>
      <c r="L112" s="847"/>
      <c r="M112" s="634"/>
      <c r="N112" s="847"/>
      <c r="O112" s="3314"/>
      <c r="P112" s="847"/>
      <c r="Q112" s="348"/>
      <c r="R112" s="350"/>
      <c r="S112" s="348"/>
      <c r="T112" s="350"/>
      <c r="U112" s="348"/>
      <c r="V112" s="350"/>
      <c r="W112" s="348"/>
      <c r="X112" s="350"/>
      <c r="Y112" s="348"/>
      <c r="Z112" s="350"/>
      <c r="AA112" s="348"/>
      <c r="AB112" s="350"/>
      <c r="AC112" s="348"/>
      <c r="AD112" s="350"/>
      <c r="AE112" s="348"/>
      <c r="AF112" s="350"/>
      <c r="AG112" s="348"/>
      <c r="AH112" s="350"/>
      <c r="AI112" s="348"/>
      <c r="AJ112" s="350"/>
      <c r="AK112" s="348"/>
      <c r="AL112" s="350"/>
      <c r="AM112" s="348"/>
      <c r="AN112" s="352"/>
      <c r="AO112" s="430"/>
      <c r="AP112" s="369"/>
      <c r="AQ112" s="369"/>
      <c r="AR112" s="369"/>
      <c r="AS112" s="369"/>
      <c r="AT112" s="369"/>
      <c r="AU112" s="369"/>
      <c r="AV112" s="369"/>
      <c r="AW112" s="369"/>
      <c r="AX112" s="687"/>
      <c r="AY112" t="str">
        <f t="shared" si="112"/>
        <v/>
      </c>
      <c r="CA112" s="434" t="str">
        <f t="shared" si="129"/>
        <v/>
      </c>
      <c r="CB112" s="434" t="str">
        <f t="shared" si="113"/>
        <v/>
      </c>
      <c r="CC112" s="434" t="str">
        <f t="shared" si="114"/>
        <v/>
      </c>
      <c r="CD112" s="434" t="str">
        <f t="shared" si="115"/>
        <v/>
      </c>
      <c r="CE112" s="434" t="str">
        <f t="shared" si="116"/>
        <v/>
      </c>
      <c r="CF112" s="434" t="str">
        <f t="shared" si="117"/>
        <v/>
      </c>
      <c r="CG112" s="434" t="str">
        <f t="shared" si="118"/>
        <v/>
      </c>
      <c r="CH112" s="434" t="str">
        <f t="shared" si="119"/>
        <v/>
      </c>
      <c r="CI112" s="434" t="str">
        <f t="shared" si="120"/>
        <v/>
      </c>
      <c r="CJ112" s="436"/>
      <c r="CO112" s="435">
        <f t="shared" si="124"/>
        <v>0</v>
      </c>
      <c r="CP112" s="435">
        <f t="shared" si="102"/>
        <v>0</v>
      </c>
      <c r="CQ112" s="435">
        <f t="shared" si="103"/>
        <v>0</v>
      </c>
      <c r="CR112" s="435">
        <f t="shared" si="126"/>
        <v>0</v>
      </c>
      <c r="CS112" s="435">
        <f t="shared" si="105"/>
        <v>0</v>
      </c>
      <c r="CT112" s="435">
        <f t="shared" si="106"/>
        <v>0</v>
      </c>
      <c r="CU112" s="435">
        <f t="shared" si="107"/>
        <v>0</v>
      </c>
      <c r="CV112" s="435">
        <f t="shared" si="108"/>
        <v>0</v>
      </c>
      <c r="CW112" s="435">
        <f t="shared" si="109"/>
        <v>0</v>
      </c>
      <c r="CX112" s="436"/>
    </row>
    <row r="113" spans="1:102" ht="15" customHeight="1" x14ac:dyDescent="0.3">
      <c r="A113" s="6747" t="s">
        <v>1685</v>
      </c>
      <c r="B113" s="6748"/>
      <c r="C113" s="6749"/>
      <c r="D113" s="760">
        <f t="shared" si="121"/>
        <v>0</v>
      </c>
      <c r="E113" s="479">
        <f t="shared" si="127"/>
        <v>0</v>
      </c>
      <c r="F113" s="560">
        <f t="shared" si="128"/>
        <v>0</v>
      </c>
      <c r="G113" s="686"/>
      <c r="H113" s="2693"/>
      <c r="I113" s="686"/>
      <c r="J113" s="3677"/>
      <c r="K113" s="686"/>
      <c r="L113" s="2693"/>
      <c r="M113" s="686"/>
      <c r="N113" s="2693"/>
      <c r="O113" s="542"/>
      <c r="P113" s="2693"/>
      <c r="Q113" s="348"/>
      <c r="R113" s="350"/>
      <c r="S113" s="348"/>
      <c r="T113" s="350"/>
      <c r="U113" s="348"/>
      <c r="V113" s="350"/>
      <c r="W113" s="348"/>
      <c r="X113" s="350"/>
      <c r="Y113" s="348"/>
      <c r="Z113" s="350"/>
      <c r="AA113" s="542"/>
      <c r="AB113" s="2693"/>
      <c r="AC113" s="542"/>
      <c r="AD113" s="2693"/>
      <c r="AE113" s="542"/>
      <c r="AF113" s="2693"/>
      <c r="AG113" s="542"/>
      <c r="AH113" s="2693"/>
      <c r="AI113" s="542"/>
      <c r="AJ113" s="2693"/>
      <c r="AK113" s="542"/>
      <c r="AL113" s="2693"/>
      <c r="AM113" s="542"/>
      <c r="AN113" s="525"/>
      <c r="AO113" s="430"/>
      <c r="AP113" s="369"/>
      <c r="AQ113" s="369"/>
      <c r="AR113" s="524"/>
      <c r="AS113" s="369"/>
      <c r="AT113" s="369"/>
      <c r="AU113" s="369"/>
      <c r="AV113" s="369"/>
      <c r="AW113" s="369"/>
      <c r="AX113" s="687"/>
      <c r="AY113" t="str">
        <f t="shared" si="112"/>
        <v/>
      </c>
      <c r="CA113" s="434" t="str">
        <f t="shared" si="129"/>
        <v/>
      </c>
      <c r="CB113" s="434" t="str">
        <f t="shared" si="113"/>
        <v/>
      </c>
      <c r="CC113" s="434" t="str">
        <f t="shared" si="114"/>
        <v/>
      </c>
      <c r="CD113" s="436"/>
      <c r="CE113" s="434" t="str">
        <f t="shared" si="116"/>
        <v/>
      </c>
      <c r="CF113" s="434" t="str">
        <f t="shared" si="117"/>
        <v/>
      </c>
      <c r="CG113" s="434" t="str">
        <f t="shared" si="118"/>
        <v/>
      </c>
      <c r="CH113" s="434" t="str">
        <f t="shared" si="119"/>
        <v/>
      </c>
      <c r="CI113" s="434" t="str">
        <f t="shared" si="120"/>
        <v/>
      </c>
      <c r="CJ113" s="436"/>
      <c r="CO113" s="435">
        <f t="shared" si="124"/>
        <v>0</v>
      </c>
      <c r="CP113" s="435">
        <f t="shared" si="102"/>
        <v>0</v>
      </c>
      <c r="CQ113" s="435">
        <f t="shared" si="103"/>
        <v>0</v>
      </c>
      <c r="CR113" s="435">
        <f t="shared" si="126"/>
        <v>0</v>
      </c>
      <c r="CS113" s="435">
        <f t="shared" si="105"/>
        <v>0</v>
      </c>
      <c r="CT113" s="435">
        <f t="shared" si="106"/>
        <v>0</v>
      </c>
      <c r="CU113" s="435">
        <f t="shared" si="107"/>
        <v>0</v>
      </c>
      <c r="CV113" s="435">
        <f t="shared" si="108"/>
        <v>0</v>
      </c>
      <c r="CW113" s="435">
        <f t="shared" si="109"/>
        <v>0</v>
      </c>
      <c r="CX113" s="436"/>
    </row>
    <row r="114" spans="1:102" ht="15" customHeight="1" x14ac:dyDescent="0.3">
      <c r="A114" s="6747" t="s">
        <v>1686</v>
      </c>
      <c r="B114" s="6748"/>
      <c r="C114" s="6749"/>
      <c r="D114" s="760">
        <f t="shared" si="121"/>
        <v>0</v>
      </c>
      <c r="E114" s="479">
        <f t="shared" si="127"/>
        <v>0</v>
      </c>
      <c r="F114" s="560">
        <f>SUM(R114+T114+V114+X114+Z114+AB114+AD114+AF114+AH114+AJ114+AL114+AN114)</f>
        <v>0</v>
      </c>
      <c r="G114" s="686"/>
      <c r="H114" s="2693"/>
      <c r="I114" s="686"/>
      <c r="J114" s="3677"/>
      <c r="K114" s="686"/>
      <c r="L114" s="2693"/>
      <c r="M114" s="686"/>
      <c r="N114" s="2693"/>
      <c r="O114" s="542"/>
      <c r="P114" s="2693"/>
      <c r="Q114" s="348"/>
      <c r="R114" s="350"/>
      <c r="S114" s="348"/>
      <c r="T114" s="350"/>
      <c r="U114" s="348"/>
      <c r="V114" s="350"/>
      <c r="W114" s="348"/>
      <c r="X114" s="350"/>
      <c r="Y114" s="348"/>
      <c r="Z114" s="350"/>
      <c r="AA114" s="348"/>
      <c r="AB114" s="350"/>
      <c r="AC114" s="348"/>
      <c r="AD114" s="350"/>
      <c r="AE114" s="348"/>
      <c r="AF114" s="350"/>
      <c r="AG114" s="348"/>
      <c r="AH114" s="350"/>
      <c r="AI114" s="348"/>
      <c r="AJ114" s="350"/>
      <c r="AK114" s="348"/>
      <c r="AL114" s="350"/>
      <c r="AM114" s="348"/>
      <c r="AN114" s="352"/>
      <c r="AO114" s="430"/>
      <c r="AP114" s="369"/>
      <c r="AQ114" s="369"/>
      <c r="AR114" s="369"/>
      <c r="AS114" s="369"/>
      <c r="AT114" s="369"/>
      <c r="AU114" s="369"/>
      <c r="AV114" s="369"/>
      <c r="AW114" s="369"/>
      <c r="AX114" s="687"/>
      <c r="AY114" t="str">
        <f t="shared" si="112"/>
        <v/>
      </c>
      <c r="CA114" s="434" t="str">
        <f t="shared" si="129"/>
        <v/>
      </c>
      <c r="CB114" s="434" t="str">
        <f t="shared" si="113"/>
        <v/>
      </c>
      <c r="CC114" s="434" t="str">
        <f t="shared" si="114"/>
        <v/>
      </c>
      <c r="CD114" s="434" t="str">
        <f t="shared" si="115"/>
        <v/>
      </c>
      <c r="CE114" s="434" t="str">
        <f t="shared" si="116"/>
        <v/>
      </c>
      <c r="CF114" s="434" t="str">
        <f t="shared" si="117"/>
        <v/>
      </c>
      <c r="CG114" s="434" t="str">
        <f t="shared" si="118"/>
        <v/>
      </c>
      <c r="CH114" s="434" t="str">
        <f t="shared" si="119"/>
        <v/>
      </c>
      <c r="CI114" s="434" t="str">
        <f t="shared" si="120"/>
        <v/>
      </c>
      <c r="CJ114" s="436"/>
      <c r="CO114" s="435">
        <f t="shared" si="124"/>
        <v>0</v>
      </c>
      <c r="CP114" s="435">
        <f t="shared" si="102"/>
        <v>0</v>
      </c>
      <c r="CQ114" s="435">
        <f t="shared" si="103"/>
        <v>0</v>
      </c>
      <c r="CR114" s="435">
        <f t="shared" si="126"/>
        <v>0</v>
      </c>
      <c r="CS114" s="435">
        <f t="shared" si="105"/>
        <v>0</v>
      </c>
      <c r="CT114" s="435">
        <f t="shared" si="106"/>
        <v>0</v>
      </c>
      <c r="CU114" s="435">
        <f t="shared" si="107"/>
        <v>0</v>
      </c>
      <c r="CV114" s="435">
        <f t="shared" si="108"/>
        <v>0</v>
      </c>
      <c r="CW114" s="435">
        <f t="shared" si="109"/>
        <v>0</v>
      </c>
      <c r="CX114" s="436"/>
    </row>
    <row r="115" spans="1:102" ht="15" customHeight="1" x14ac:dyDescent="0.3">
      <c r="A115" s="6747" t="s">
        <v>1687</v>
      </c>
      <c r="B115" s="6748"/>
      <c r="C115" s="6749"/>
      <c r="D115" s="760">
        <f t="shared" si="121"/>
        <v>0</v>
      </c>
      <c r="E115" s="479">
        <f t="shared" ref="E115:F116" si="130">SUM(G115+I115+K115+M115+O115+Q115+S115+U115+W115+Y115+AA115+AC115+AE115+AG115+AI115+AK115+AM115)</f>
        <v>0</v>
      </c>
      <c r="F115" s="560">
        <f t="shared" si="130"/>
        <v>0</v>
      </c>
      <c r="G115" s="3681"/>
      <c r="H115" s="3682"/>
      <c r="I115" s="346"/>
      <c r="J115" s="349"/>
      <c r="K115" s="346"/>
      <c r="L115" s="350"/>
      <c r="M115" s="346"/>
      <c r="N115" s="350"/>
      <c r="O115" s="348"/>
      <c r="P115" s="350"/>
      <c r="Q115" s="348"/>
      <c r="R115" s="350"/>
      <c r="S115" s="348"/>
      <c r="T115" s="350"/>
      <c r="U115" s="348"/>
      <c r="V115" s="350"/>
      <c r="W115" s="348"/>
      <c r="X115" s="350"/>
      <c r="Y115" s="348"/>
      <c r="Z115" s="350"/>
      <c r="AA115" s="348"/>
      <c r="AB115" s="350"/>
      <c r="AC115" s="348"/>
      <c r="AD115" s="350"/>
      <c r="AE115" s="348"/>
      <c r="AF115" s="350"/>
      <c r="AG115" s="348"/>
      <c r="AH115" s="350"/>
      <c r="AI115" s="348"/>
      <c r="AJ115" s="350"/>
      <c r="AK115" s="348"/>
      <c r="AL115" s="350"/>
      <c r="AM115" s="348"/>
      <c r="AN115" s="352"/>
      <c r="AO115" s="430"/>
      <c r="AP115" s="369"/>
      <c r="AQ115" s="369"/>
      <c r="AR115" s="369"/>
      <c r="AS115" s="369"/>
      <c r="AT115" s="369"/>
      <c r="AU115" s="369"/>
      <c r="AV115" s="369"/>
      <c r="AW115" s="369"/>
      <c r="AX115" s="687"/>
      <c r="AY115" t="str">
        <f t="shared" si="112"/>
        <v/>
      </c>
      <c r="CA115" s="434" t="str">
        <f t="shared" si="129"/>
        <v/>
      </c>
      <c r="CB115" s="434" t="str">
        <f t="shared" si="113"/>
        <v/>
      </c>
      <c r="CC115" s="434" t="str">
        <f t="shared" si="114"/>
        <v/>
      </c>
      <c r="CD115" s="434" t="str">
        <f t="shared" si="115"/>
        <v/>
      </c>
      <c r="CE115" s="434" t="str">
        <f t="shared" si="116"/>
        <v/>
      </c>
      <c r="CF115" s="434" t="str">
        <f t="shared" si="117"/>
        <v/>
      </c>
      <c r="CG115" s="434" t="str">
        <f t="shared" si="118"/>
        <v/>
      </c>
      <c r="CH115" s="434" t="str">
        <f t="shared" si="119"/>
        <v/>
      </c>
      <c r="CI115" s="434" t="str">
        <f t="shared" si="120"/>
        <v/>
      </c>
      <c r="CJ115" s="436"/>
      <c r="CO115" s="435">
        <f t="shared" si="124"/>
        <v>0</v>
      </c>
      <c r="CP115" s="435">
        <f t="shared" si="102"/>
        <v>0</v>
      </c>
      <c r="CQ115" s="435">
        <f t="shared" si="103"/>
        <v>0</v>
      </c>
      <c r="CR115" s="435">
        <f t="shared" si="126"/>
        <v>0</v>
      </c>
      <c r="CS115" s="435">
        <f t="shared" si="105"/>
        <v>0</v>
      </c>
      <c r="CT115" s="435">
        <f t="shared" si="106"/>
        <v>0</v>
      </c>
      <c r="CU115" s="435">
        <f t="shared" si="107"/>
        <v>0</v>
      </c>
      <c r="CV115" s="435">
        <f t="shared" si="108"/>
        <v>0</v>
      </c>
      <c r="CW115" s="435">
        <f t="shared" si="109"/>
        <v>0</v>
      </c>
      <c r="CX115" s="436"/>
    </row>
    <row r="116" spans="1:102" ht="15" customHeight="1" x14ac:dyDescent="0.3">
      <c r="A116" s="6747" t="s">
        <v>1688</v>
      </c>
      <c r="B116" s="6748"/>
      <c r="C116" s="6749"/>
      <c r="D116" s="760">
        <f t="shared" si="121"/>
        <v>0</v>
      </c>
      <c r="E116" s="479">
        <f t="shared" si="130"/>
        <v>0</v>
      </c>
      <c r="F116" s="560">
        <f t="shared" si="130"/>
        <v>0</v>
      </c>
      <c r="G116" s="3681"/>
      <c r="H116" s="3682"/>
      <c r="I116" s="346"/>
      <c r="J116" s="349"/>
      <c r="K116" s="346"/>
      <c r="L116" s="350"/>
      <c r="M116" s="346"/>
      <c r="N116" s="350"/>
      <c r="O116" s="348"/>
      <c r="P116" s="350"/>
      <c r="Q116" s="348"/>
      <c r="R116" s="350"/>
      <c r="S116" s="348"/>
      <c r="T116" s="350"/>
      <c r="U116" s="348"/>
      <c r="V116" s="350"/>
      <c r="W116" s="348"/>
      <c r="X116" s="350"/>
      <c r="Y116" s="348"/>
      <c r="Z116" s="350"/>
      <c r="AA116" s="348"/>
      <c r="AB116" s="350"/>
      <c r="AC116" s="348"/>
      <c r="AD116" s="350"/>
      <c r="AE116" s="348"/>
      <c r="AF116" s="350"/>
      <c r="AG116" s="348"/>
      <c r="AH116" s="350"/>
      <c r="AI116" s="348"/>
      <c r="AJ116" s="350"/>
      <c r="AK116" s="348"/>
      <c r="AL116" s="350"/>
      <c r="AM116" s="348"/>
      <c r="AN116" s="352"/>
      <c r="AO116" s="430"/>
      <c r="AP116" s="369"/>
      <c r="AQ116" s="369"/>
      <c r="AR116" s="369"/>
      <c r="AS116" s="369"/>
      <c r="AT116" s="369"/>
      <c r="AU116" s="369"/>
      <c r="AV116" s="369"/>
      <c r="AW116" s="369"/>
      <c r="AX116" s="347"/>
      <c r="AY116" t="str">
        <f t="shared" si="112"/>
        <v/>
      </c>
      <c r="CA116" s="434" t="str">
        <f t="shared" si="129"/>
        <v/>
      </c>
      <c r="CB116" s="434" t="str">
        <f t="shared" si="113"/>
        <v/>
      </c>
      <c r="CC116" s="434" t="str">
        <f t="shared" si="114"/>
        <v/>
      </c>
      <c r="CD116" s="434" t="str">
        <f t="shared" si="115"/>
        <v/>
      </c>
      <c r="CE116" s="434" t="str">
        <f t="shared" si="116"/>
        <v/>
      </c>
      <c r="CF116" s="434" t="str">
        <f t="shared" si="117"/>
        <v/>
      </c>
      <c r="CG116" s="434" t="str">
        <f t="shared" si="118"/>
        <v/>
      </c>
      <c r="CH116" s="434" t="str">
        <f t="shared" si="119"/>
        <v/>
      </c>
      <c r="CI116" s="434" t="str">
        <f t="shared" si="120"/>
        <v/>
      </c>
      <c r="CJ116" s="434" t="str">
        <f t="shared" si="122"/>
        <v/>
      </c>
      <c r="CO116" s="435">
        <f t="shared" si="124"/>
        <v>0</v>
      </c>
      <c r="CP116" s="435">
        <f t="shared" si="102"/>
        <v>0</v>
      </c>
      <c r="CQ116" s="435">
        <f t="shared" si="103"/>
        <v>0</v>
      </c>
      <c r="CR116" s="435">
        <f t="shared" si="126"/>
        <v>0</v>
      </c>
      <c r="CS116" s="435">
        <f t="shared" si="105"/>
        <v>0</v>
      </c>
      <c r="CT116" s="435">
        <f t="shared" si="106"/>
        <v>0</v>
      </c>
      <c r="CU116" s="435">
        <f t="shared" si="107"/>
        <v>0</v>
      </c>
      <c r="CV116" s="435">
        <f t="shared" si="108"/>
        <v>0</v>
      </c>
      <c r="CW116" s="435">
        <f t="shared" si="109"/>
        <v>0</v>
      </c>
      <c r="CX116" s="435">
        <f>IF(AND($D116&gt;0,AX116=""),1,IF(AX116&gt;$D116,1,0))</f>
        <v>0</v>
      </c>
    </row>
    <row r="117" spans="1:102" ht="15" customHeight="1" x14ac:dyDescent="0.3">
      <c r="A117" s="6747" t="s">
        <v>1689</v>
      </c>
      <c r="B117" s="6748"/>
      <c r="C117" s="6749"/>
      <c r="D117" s="760">
        <f t="shared" si="121"/>
        <v>0</v>
      </c>
      <c r="E117" s="479">
        <f>SUM(G117+I117+K117+M117+O117+Q117+S117+U117+W117+Y117+AA117+AC117+AE117+AG117+AI117+AK117+AM117)</f>
        <v>0</v>
      </c>
      <c r="F117" s="560">
        <f>SUM(H117+J117+L117+N117+P117+R117+T117+V117+X117+Z117+AB117+AD117+AF117+AH117+AJ117+AL117+AN117)</f>
        <v>0</v>
      </c>
      <c r="G117" s="3681"/>
      <c r="H117" s="3682"/>
      <c r="I117" s="346"/>
      <c r="J117" s="349"/>
      <c r="K117" s="346"/>
      <c r="L117" s="350"/>
      <c r="M117" s="346"/>
      <c r="N117" s="350"/>
      <c r="O117" s="348"/>
      <c r="P117" s="350"/>
      <c r="Q117" s="348"/>
      <c r="R117" s="350"/>
      <c r="S117" s="348"/>
      <c r="T117" s="350"/>
      <c r="U117" s="348"/>
      <c r="V117" s="350"/>
      <c r="W117" s="348"/>
      <c r="X117" s="350"/>
      <c r="Y117" s="348"/>
      <c r="Z117" s="350"/>
      <c r="AA117" s="348"/>
      <c r="AB117" s="350"/>
      <c r="AC117" s="348"/>
      <c r="AD117" s="350"/>
      <c r="AE117" s="348"/>
      <c r="AF117" s="350"/>
      <c r="AG117" s="348"/>
      <c r="AH117" s="350"/>
      <c r="AI117" s="348"/>
      <c r="AJ117" s="350"/>
      <c r="AK117" s="348"/>
      <c r="AL117" s="350"/>
      <c r="AM117" s="348"/>
      <c r="AN117" s="352"/>
      <c r="AO117" s="430"/>
      <c r="AP117" s="369"/>
      <c r="AQ117" s="369"/>
      <c r="AR117" s="369"/>
      <c r="AS117" s="369"/>
      <c r="AT117" s="369"/>
      <c r="AU117" s="369"/>
      <c r="AV117" s="369"/>
      <c r="AW117" s="369"/>
      <c r="AX117" s="687"/>
      <c r="AY117" t="str">
        <f t="shared" si="112"/>
        <v/>
      </c>
      <c r="CA117" s="434" t="str">
        <f t="shared" si="129"/>
        <v/>
      </c>
      <c r="CB117" s="434" t="str">
        <f t="shared" si="113"/>
        <v/>
      </c>
      <c r="CC117" s="434" t="str">
        <f t="shared" si="114"/>
        <v/>
      </c>
      <c r="CD117" s="434" t="str">
        <f t="shared" si="115"/>
        <v/>
      </c>
      <c r="CE117" s="434" t="str">
        <f t="shared" si="116"/>
        <v/>
      </c>
      <c r="CF117" s="434" t="str">
        <f t="shared" si="117"/>
        <v/>
      </c>
      <c r="CG117" s="434" t="str">
        <f t="shared" si="118"/>
        <v/>
      </c>
      <c r="CH117" s="434" t="str">
        <f t="shared" si="119"/>
        <v/>
      </c>
      <c r="CI117" s="434" t="str">
        <f t="shared" si="120"/>
        <v/>
      </c>
      <c r="CJ117" s="436"/>
      <c r="CO117" s="435">
        <f t="shared" si="124"/>
        <v>0</v>
      </c>
      <c r="CP117" s="435">
        <f t="shared" si="102"/>
        <v>0</v>
      </c>
      <c r="CQ117" s="435">
        <f t="shared" si="103"/>
        <v>0</v>
      </c>
      <c r="CR117" s="435">
        <f t="shared" si="126"/>
        <v>0</v>
      </c>
      <c r="CS117" s="435">
        <f t="shared" si="105"/>
        <v>0</v>
      </c>
      <c r="CT117" s="435">
        <f t="shared" si="106"/>
        <v>0</v>
      </c>
      <c r="CU117" s="435">
        <f t="shared" si="107"/>
        <v>0</v>
      </c>
      <c r="CV117" s="435">
        <f t="shared" si="108"/>
        <v>0</v>
      </c>
      <c r="CW117" s="435">
        <f t="shared" si="109"/>
        <v>0</v>
      </c>
      <c r="CX117" s="436"/>
    </row>
    <row r="118" spans="1:102" ht="15" customHeight="1" x14ac:dyDescent="0.3">
      <c r="A118" s="6747" t="s">
        <v>1690</v>
      </c>
      <c r="B118" s="6748"/>
      <c r="C118" s="6749"/>
      <c r="D118" s="760">
        <f t="shared" si="121"/>
        <v>0</v>
      </c>
      <c r="E118" s="479">
        <f>SUM(S118+U118+W118+Y118+AA118+AC118+AE118+AG118+AI118+AK118+AM118)</f>
        <v>0</v>
      </c>
      <c r="F118" s="560">
        <f>SUM(T118+V118+X118+Z118+AB118+AD118+AF118+AH118+AJ118+AL118+AN118)</f>
        <v>0</v>
      </c>
      <c r="G118" s="634"/>
      <c r="H118" s="847"/>
      <c r="I118" s="634"/>
      <c r="J118" s="3679"/>
      <c r="K118" s="634"/>
      <c r="L118" s="847"/>
      <c r="M118" s="634"/>
      <c r="N118" s="847"/>
      <c r="O118" s="3314"/>
      <c r="P118" s="847"/>
      <c r="Q118" s="3314"/>
      <c r="R118" s="847"/>
      <c r="S118" s="348"/>
      <c r="T118" s="350"/>
      <c r="U118" s="348"/>
      <c r="V118" s="350"/>
      <c r="W118" s="348"/>
      <c r="X118" s="350"/>
      <c r="Y118" s="348"/>
      <c r="Z118" s="350"/>
      <c r="AA118" s="348"/>
      <c r="AB118" s="350"/>
      <c r="AC118" s="348"/>
      <c r="AD118" s="350"/>
      <c r="AE118" s="348"/>
      <c r="AF118" s="350"/>
      <c r="AG118" s="348"/>
      <c r="AH118" s="350"/>
      <c r="AI118" s="348"/>
      <c r="AJ118" s="350"/>
      <c r="AK118" s="348"/>
      <c r="AL118" s="350"/>
      <c r="AM118" s="348"/>
      <c r="AN118" s="352"/>
      <c r="AO118" s="430"/>
      <c r="AP118" s="369"/>
      <c r="AQ118" s="369"/>
      <c r="AR118" s="369"/>
      <c r="AS118" s="369"/>
      <c r="AT118" s="369"/>
      <c r="AU118" s="369"/>
      <c r="AV118" s="369"/>
      <c r="AW118" s="369"/>
      <c r="AX118" s="687"/>
      <c r="AY118" t="str">
        <f t="shared" si="112"/>
        <v/>
      </c>
      <c r="CA118" s="434" t="str">
        <f t="shared" si="129"/>
        <v/>
      </c>
      <c r="CB118" s="434" t="str">
        <f t="shared" si="113"/>
        <v/>
      </c>
      <c r="CC118" s="434" t="str">
        <f t="shared" si="114"/>
        <v/>
      </c>
      <c r="CD118" s="434" t="str">
        <f t="shared" si="115"/>
        <v/>
      </c>
      <c r="CE118" s="434" t="str">
        <f t="shared" si="116"/>
        <v/>
      </c>
      <c r="CF118" s="434" t="str">
        <f t="shared" si="117"/>
        <v/>
      </c>
      <c r="CG118" s="434" t="str">
        <f t="shared" si="118"/>
        <v/>
      </c>
      <c r="CH118" s="434" t="str">
        <f t="shared" si="119"/>
        <v/>
      </c>
      <c r="CI118" s="434" t="str">
        <f t="shared" si="120"/>
        <v/>
      </c>
      <c r="CJ118" s="436"/>
      <c r="CO118" s="435">
        <f t="shared" si="124"/>
        <v>0</v>
      </c>
      <c r="CP118" s="435">
        <f t="shared" si="102"/>
        <v>0</v>
      </c>
      <c r="CQ118" s="435">
        <f t="shared" si="103"/>
        <v>0</v>
      </c>
      <c r="CR118" s="435">
        <f t="shared" si="126"/>
        <v>0</v>
      </c>
      <c r="CS118" s="435">
        <f t="shared" si="105"/>
        <v>0</v>
      </c>
      <c r="CT118" s="435">
        <f t="shared" si="106"/>
        <v>0</v>
      </c>
      <c r="CU118" s="435">
        <f t="shared" si="107"/>
        <v>0</v>
      </c>
      <c r="CV118" s="435">
        <f t="shared" si="108"/>
        <v>0</v>
      </c>
      <c r="CW118" s="435">
        <f t="shared" si="109"/>
        <v>0</v>
      </c>
      <c r="CX118" s="436"/>
    </row>
    <row r="119" spans="1:102" ht="15" customHeight="1" x14ac:dyDescent="0.3">
      <c r="A119" s="6747" t="s">
        <v>1691</v>
      </c>
      <c r="B119" s="6748"/>
      <c r="C119" s="6749"/>
      <c r="D119" s="760">
        <f t="shared" si="121"/>
        <v>0</v>
      </c>
      <c r="E119" s="479">
        <f>SUM(K119+M119+O119+Q119+S119+U119+W119+Y119+AA119+AC119+AE119+AG119+AI119+AK119+AM119)</f>
        <v>0</v>
      </c>
      <c r="F119" s="560">
        <f>SUM(L119+N119+P119+R119+T119+V119+X119+Z119+AB119+AD119+AF119+AH119+AJ119+AL119+AN119)</f>
        <v>0</v>
      </c>
      <c r="G119" s="686"/>
      <c r="H119" s="2693"/>
      <c r="I119" s="686"/>
      <c r="J119" s="3677"/>
      <c r="K119" s="346"/>
      <c r="L119" s="350"/>
      <c r="M119" s="346"/>
      <c r="N119" s="350"/>
      <c r="O119" s="348"/>
      <c r="P119" s="350"/>
      <c r="Q119" s="348"/>
      <c r="R119" s="350"/>
      <c r="S119" s="348"/>
      <c r="T119" s="350"/>
      <c r="U119" s="348"/>
      <c r="V119" s="350"/>
      <c r="W119" s="348"/>
      <c r="X119" s="350"/>
      <c r="Y119" s="348"/>
      <c r="Z119" s="350"/>
      <c r="AA119" s="348"/>
      <c r="AB119" s="350"/>
      <c r="AC119" s="348"/>
      <c r="AD119" s="350"/>
      <c r="AE119" s="348"/>
      <c r="AF119" s="350"/>
      <c r="AG119" s="348"/>
      <c r="AH119" s="350"/>
      <c r="AI119" s="348"/>
      <c r="AJ119" s="350"/>
      <c r="AK119" s="348"/>
      <c r="AL119" s="350"/>
      <c r="AM119" s="348"/>
      <c r="AN119" s="352"/>
      <c r="AO119" s="430"/>
      <c r="AP119" s="369"/>
      <c r="AQ119" s="369"/>
      <c r="AR119" s="369"/>
      <c r="AS119" s="369"/>
      <c r="AT119" s="369"/>
      <c r="AU119" s="369"/>
      <c r="AV119" s="369"/>
      <c r="AW119" s="369"/>
      <c r="AX119" s="687"/>
      <c r="AY119" t="str">
        <f t="shared" si="112"/>
        <v/>
      </c>
      <c r="CA119" s="434" t="str">
        <f t="shared" si="129"/>
        <v/>
      </c>
      <c r="CB119" s="434" t="str">
        <f t="shared" si="113"/>
        <v/>
      </c>
      <c r="CC119" s="434" t="str">
        <f t="shared" si="114"/>
        <v/>
      </c>
      <c r="CD119" s="434" t="str">
        <f t="shared" si="115"/>
        <v/>
      </c>
      <c r="CE119" s="434" t="str">
        <f t="shared" si="116"/>
        <v/>
      </c>
      <c r="CF119" s="434" t="str">
        <f t="shared" si="117"/>
        <v/>
      </c>
      <c r="CG119" s="434" t="str">
        <f t="shared" si="118"/>
        <v/>
      </c>
      <c r="CH119" s="434" t="str">
        <f t="shared" si="119"/>
        <v/>
      </c>
      <c r="CI119" s="434" t="str">
        <f t="shared" si="120"/>
        <v/>
      </c>
      <c r="CJ119" s="436"/>
      <c r="CO119" s="435">
        <f t="shared" si="124"/>
        <v>0</v>
      </c>
      <c r="CP119" s="435">
        <f t="shared" si="102"/>
        <v>0</v>
      </c>
      <c r="CQ119" s="435">
        <f t="shared" si="103"/>
        <v>0</v>
      </c>
      <c r="CR119" s="435">
        <f t="shared" si="126"/>
        <v>0</v>
      </c>
      <c r="CS119" s="435">
        <f t="shared" si="105"/>
        <v>0</v>
      </c>
      <c r="CT119" s="435">
        <f t="shared" si="106"/>
        <v>0</v>
      </c>
      <c r="CU119" s="435">
        <f t="shared" si="107"/>
        <v>0</v>
      </c>
      <c r="CV119" s="435">
        <f t="shared" si="108"/>
        <v>0</v>
      </c>
      <c r="CW119" s="435">
        <f t="shared" si="109"/>
        <v>0</v>
      </c>
      <c r="CX119" s="436"/>
    </row>
    <row r="120" spans="1:102" ht="15" customHeight="1" x14ac:dyDescent="0.3">
      <c r="A120" s="6349" t="s">
        <v>1692</v>
      </c>
      <c r="B120" s="6706"/>
      <c r="C120" s="6350"/>
      <c r="D120" s="760">
        <f t="shared" si="121"/>
        <v>0</v>
      </c>
      <c r="E120" s="479">
        <f>SUM(G120+I120+K120+M120+O120+Q120+S120+U120+W120+Y120+AA120+AC120+AE120+AG120+AI120+AK120+AM120)</f>
        <v>0</v>
      </c>
      <c r="F120" s="560">
        <f>SUM(H120+J120+L120+N120+P120+R120+T120+V120+X120+Z120+AB120+AD120+AF120+AH120+AJ120+AL120+AN120)</f>
        <v>0</v>
      </c>
      <c r="G120" s="346"/>
      <c r="H120" s="350"/>
      <c r="I120" s="346"/>
      <c r="J120" s="349"/>
      <c r="K120" s="346"/>
      <c r="L120" s="350"/>
      <c r="M120" s="346"/>
      <c r="N120" s="350"/>
      <c r="O120" s="348"/>
      <c r="P120" s="350"/>
      <c r="Q120" s="348"/>
      <c r="R120" s="350"/>
      <c r="S120" s="348"/>
      <c r="T120" s="350"/>
      <c r="U120" s="348"/>
      <c r="V120" s="350"/>
      <c r="W120" s="348"/>
      <c r="X120" s="350"/>
      <c r="Y120" s="348"/>
      <c r="Z120" s="350"/>
      <c r="AA120" s="348"/>
      <c r="AB120" s="350"/>
      <c r="AC120" s="348"/>
      <c r="AD120" s="350"/>
      <c r="AE120" s="348"/>
      <c r="AF120" s="350"/>
      <c r="AG120" s="348"/>
      <c r="AH120" s="350"/>
      <c r="AI120" s="348"/>
      <c r="AJ120" s="350"/>
      <c r="AK120" s="348"/>
      <c r="AL120" s="350"/>
      <c r="AM120" s="348"/>
      <c r="AN120" s="352"/>
      <c r="AO120" s="430"/>
      <c r="AP120" s="369"/>
      <c r="AQ120" s="369"/>
      <c r="AR120" s="369"/>
      <c r="AS120" s="369"/>
      <c r="AT120" s="369"/>
      <c r="AU120" s="369"/>
      <c r="AV120" s="369"/>
      <c r="AW120" s="369"/>
      <c r="AX120" s="687"/>
      <c r="AY120" t="str">
        <f t="shared" si="112"/>
        <v/>
      </c>
      <c r="CA120" s="434" t="str">
        <f t="shared" si="129"/>
        <v/>
      </c>
      <c r="CB120" s="434" t="str">
        <f t="shared" si="113"/>
        <v/>
      </c>
      <c r="CC120" s="434" t="str">
        <f t="shared" si="114"/>
        <v/>
      </c>
      <c r="CD120" s="434" t="str">
        <f t="shared" si="115"/>
        <v/>
      </c>
      <c r="CE120" s="434" t="str">
        <f t="shared" si="116"/>
        <v/>
      </c>
      <c r="CF120" s="434" t="str">
        <f t="shared" si="117"/>
        <v/>
      </c>
      <c r="CG120" s="434" t="str">
        <f t="shared" si="118"/>
        <v/>
      </c>
      <c r="CH120" s="434" t="str">
        <f t="shared" si="119"/>
        <v/>
      </c>
      <c r="CI120" s="434" t="str">
        <f t="shared" si="120"/>
        <v/>
      </c>
      <c r="CJ120" s="436"/>
      <c r="CO120" s="435">
        <f t="shared" si="124"/>
        <v>0</v>
      </c>
      <c r="CP120" s="435">
        <f t="shared" si="102"/>
        <v>0</v>
      </c>
      <c r="CQ120" s="435">
        <f t="shared" si="103"/>
        <v>0</v>
      </c>
      <c r="CR120" s="435">
        <f t="shared" si="126"/>
        <v>0</v>
      </c>
      <c r="CS120" s="435">
        <f t="shared" si="105"/>
        <v>0</v>
      </c>
      <c r="CT120" s="435">
        <f t="shared" si="106"/>
        <v>0</v>
      </c>
      <c r="CU120" s="435">
        <f t="shared" si="107"/>
        <v>0</v>
      </c>
      <c r="CV120" s="435">
        <f t="shared" si="108"/>
        <v>0</v>
      </c>
      <c r="CW120" s="435">
        <f t="shared" si="109"/>
        <v>0</v>
      </c>
      <c r="CX120" s="436"/>
    </row>
    <row r="121" spans="1:102" ht="15" customHeight="1" x14ac:dyDescent="0.3">
      <c r="A121" s="6717" t="s">
        <v>1693</v>
      </c>
      <c r="B121" s="6718"/>
      <c r="C121" s="6719"/>
      <c r="D121" s="760">
        <f t="shared" si="121"/>
        <v>0</v>
      </c>
      <c r="E121" s="479">
        <f>SUM(Q121+S121+U121+W121+Y121+AA121+AC121+AE121+AG121+AI121+AK121+AM121)</f>
        <v>0</v>
      </c>
      <c r="F121" s="560">
        <f>SUM(R121+T121+V121+X121+Z121+AB121+AD121+AF121+AH121+AJ121+AL121+AN121)</f>
        <v>0</v>
      </c>
      <c r="G121" s="686"/>
      <c r="H121" s="2693"/>
      <c r="I121" s="686"/>
      <c r="J121" s="3677"/>
      <c r="K121" s="686"/>
      <c r="L121" s="2693"/>
      <c r="M121" s="686"/>
      <c r="N121" s="2693"/>
      <c r="O121" s="542"/>
      <c r="P121" s="2693"/>
      <c r="Q121" s="348"/>
      <c r="R121" s="350"/>
      <c r="S121" s="348"/>
      <c r="T121" s="350"/>
      <c r="U121" s="348"/>
      <c r="V121" s="350"/>
      <c r="W121" s="348"/>
      <c r="X121" s="350"/>
      <c r="Y121" s="348"/>
      <c r="Z121" s="350"/>
      <c r="AA121" s="348"/>
      <c r="AB121" s="350"/>
      <c r="AC121" s="348"/>
      <c r="AD121" s="350"/>
      <c r="AE121" s="348"/>
      <c r="AF121" s="350"/>
      <c r="AG121" s="348"/>
      <c r="AH121" s="350"/>
      <c r="AI121" s="348"/>
      <c r="AJ121" s="350"/>
      <c r="AK121" s="348"/>
      <c r="AL121" s="350"/>
      <c r="AM121" s="348"/>
      <c r="AN121" s="352"/>
      <c r="AO121" s="3678"/>
      <c r="AP121" s="369"/>
      <c r="AQ121" s="369"/>
      <c r="AR121" s="3683"/>
      <c r="AS121" s="369"/>
      <c r="AT121" s="369"/>
      <c r="AU121" s="369"/>
      <c r="AV121" s="369"/>
      <c r="AW121" s="369"/>
      <c r="AX121" s="347"/>
      <c r="AY121" t="str">
        <f t="shared" si="112"/>
        <v/>
      </c>
      <c r="CA121" s="436"/>
      <c r="CB121" s="434" t="str">
        <f t="shared" si="113"/>
        <v/>
      </c>
      <c r="CC121" s="434" t="str">
        <f t="shared" si="114"/>
        <v/>
      </c>
      <c r="CD121" s="434" t="str">
        <f t="shared" si="115"/>
        <v/>
      </c>
      <c r="CE121" s="434" t="str">
        <f t="shared" si="116"/>
        <v/>
      </c>
      <c r="CF121" s="434" t="str">
        <f t="shared" si="117"/>
        <v/>
      </c>
      <c r="CG121" s="434" t="str">
        <f t="shared" si="118"/>
        <v/>
      </c>
      <c r="CH121" s="434" t="str">
        <f t="shared" si="119"/>
        <v/>
      </c>
      <c r="CI121" s="434" t="str">
        <f t="shared" si="120"/>
        <v/>
      </c>
      <c r="CJ121" s="434" t="str">
        <f t="shared" si="122"/>
        <v/>
      </c>
      <c r="CO121" s="438"/>
      <c r="CP121" s="435">
        <f t="shared" si="102"/>
        <v>0</v>
      </c>
      <c r="CQ121" s="435">
        <f t="shared" si="103"/>
        <v>0</v>
      </c>
      <c r="CR121" s="435">
        <f t="shared" si="126"/>
        <v>0</v>
      </c>
      <c r="CS121" s="435">
        <f t="shared" si="105"/>
        <v>0</v>
      </c>
      <c r="CT121" s="435">
        <f t="shared" si="106"/>
        <v>0</v>
      </c>
      <c r="CU121" s="435">
        <f t="shared" si="107"/>
        <v>0</v>
      </c>
      <c r="CV121" s="435">
        <f t="shared" si="108"/>
        <v>0</v>
      </c>
      <c r="CW121" s="435">
        <f t="shared" si="109"/>
        <v>0</v>
      </c>
      <c r="CX121" s="435">
        <f t="shared" ref="CX121:CX127" si="131">IF(AND($D121&gt;0,AX121=""),1,IF(AX121&gt;$D121,1,0))</f>
        <v>0</v>
      </c>
    </row>
    <row r="122" spans="1:102" ht="15" customHeight="1" x14ac:dyDescent="0.3">
      <c r="A122" s="6717" t="s">
        <v>1694</v>
      </c>
      <c r="B122" s="6718"/>
      <c r="C122" s="6719"/>
      <c r="D122" s="760">
        <f t="shared" si="121"/>
        <v>0</v>
      </c>
      <c r="E122" s="479">
        <f>SUM(Y122+AA122+AC122+AE122+AG122+AI122+AK122+AM122)</f>
        <v>0</v>
      </c>
      <c r="F122" s="560">
        <f>SUM(Z122+AB122+AD122+AF122+AH122+AJ122+AL122+AN122)</f>
        <v>0</v>
      </c>
      <c r="G122" s="686"/>
      <c r="H122" s="2693"/>
      <c r="I122" s="686"/>
      <c r="J122" s="3677"/>
      <c r="K122" s="686"/>
      <c r="L122" s="2693"/>
      <c r="M122" s="686"/>
      <c r="N122" s="2693"/>
      <c r="O122" s="542"/>
      <c r="P122" s="2693"/>
      <c r="Q122" s="542"/>
      <c r="R122" s="2693"/>
      <c r="S122" s="542"/>
      <c r="T122" s="2693"/>
      <c r="U122" s="542"/>
      <c r="V122" s="2693"/>
      <c r="W122" s="542"/>
      <c r="X122" s="2693"/>
      <c r="Y122" s="348"/>
      <c r="Z122" s="350"/>
      <c r="AA122" s="348"/>
      <c r="AB122" s="350"/>
      <c r="AC122" s="348"/>
      <c r="AD122" s="350"/>
      <c r="AE122" s="348"/>
      <c r="AF122" s="350"/>
      <c r="AG122" s="348"/>
      <c r="AH122" s="350"/>
      <c r="AI122" s="348"/>
      <c r="AJ122" s="350"/>
      <c r="AK122" s="348"/>
      <c r="AL122" s="350"/>
      <c r="AM122" s="348"/>
      <c r="AN122" s="352"/>
      <c r="AO122" s="3678"/>
      <c r="AP122" s="369"/>
      <c r="AQ122" s="369"/>
      <c r="AR122" s="3683"/>
      <c r="AS122" s="369"/>
      <c r="AT122" s="369"/>
      <c r="AU122" s="369"/>
      <c r="AV122" s="369"/>
      <c r="AW122" s="369"/>
      <c r="AX122" s="347"/>
      <c r="AY122" t="str">
        <f t="shared" si="112"/>
        <v/>
      </c>
      <c r="CA122" s="436"/>
      <c r="CB122" s="434" t="str">
        <f t="shared" si="113"/>
        <v/>
      </c>
      <c r="CC122" s="434" t="str">
        <f t="shared" si="114"/>
        <v/>
      </c>
      <c r="CD122" s="434" t="str">
        <f t="shared" si="115"/>
        <v/>
      </c>
      <c r="CE122" s="434" t="str">
        <f t="shared" si="116"/>
        <v/>
      </c>
      <c r="CF122" s="434" t="str">
        <f t="shared" si="117"/>
        <v/>
      </c>
      <c r="CG122" s="434" t="str">
        <f t="shared" si="118"/>
        <v/>
      </c>
      <c r="CH122" s="434" t="str">
        <f t="shared" si="119"/>
        <v/>
      </c>
      <c r="CI122" s="434" t="str">
        <f t="shared" si="120"/>
        <v/>
      </c>
      <c r="CJ122" s="434" t="str">
        <f t="shared" si="122"/>
        <v/>
      </c>
      <c r="CO122" s="438"/>
      <c r="CP122" s="435">
        <f t="shared" si="102"/>
        <v>0</v>
      </c>
      <c r="CQ122" s="435">
        <f t="shared" si="103"/>
        <v>0</v>
      </c>
      <c r="CR122" s="435">
        <f t="shared" si="126"/>
        <v>0</v>
      </c>
      <c r="CS122" s="435">
        <f t="shared" si="105"/>
        <v>0</v>
      </c>
      <c r="CT122" s="435">
        <f t="shared" si="106"/>
        <v>0</v>
      </c>
      <c r="CU122" s="435">
        <f t="shared" si="107"/>
        <v>0</v>
      </c>
      <c r="CV122" s="435">
        <f t="shared" si="108"/>
        <v>0</v>
      </c>
      <c r="CW122" s="435">
        <f t="shared" si="109"/>
        <v>0</v>
      </c>
      <c r="CX122" s="435">
        <f t="shared" si="131"/>
        <v>0</v>
      </c>
    </row>
    <row r="123" spans="1:102" ht="15" customHeight="1" x14ac:dyDescent="0.3">
      <c r="A123" s="6349" t="s">
        <v>1695</v>
      </c>
      <c r="B123" s="6706"/>
      <c r="C123" s="6350"/>
      <c r="D123" s="760">
        <f t="shared" si="121"/>
        <v>0</v>
      </c>
      <c r="E123" s="479">
        <f t="shared" ref="E123:F127" si="132">SUM(Y123+AA123+AC123+AE123+AG123+AI123+AK123+AM123)</f>
        <v>0</v>
      </c>
      <c r="F123" s="560">
        <f t="shared" si="132"/>
        <v>0</v>
      </c>
      <c r="G123" s="686"/>
      <c r="H123" s="2693"/>
      <c r="I123" s="686"/>
      <c r="J123" s="3677"/>
      <c r="K123" s="686"/>
      <c r="L123" s="2693"/>
      <c r="M123" s="686"/>
      <c r="N123" s="2693"/>
      <c r="O123" s="542"/>
      <c r="P123" s="2693"/>
      <c r="Q123" s="542"/>
      <c r="R123" s="2693"/>
      <c r="S123" s="542"/>
      <c r="T123" s="2693"/>
      <c r="U123" s="542"/>
      <c r="V123" s="2693"/>
      <c r="W123" s="542"/>
      <c r="X123" s="2693"/>
      <c r="Y123" s="348"/>
      <c r="Z123" s="350"/>
      <c r="AA123" s="348"/>
      <c r="AB123" s="350"/>
      <c r="AC123" s="348"/>
      <c r="AD123" s="350"/>
      <c r="AE123" s="348"/>
      <c r="AF123" s="350"/>
      <c r="AG123" s="348"/>
      <c r="AH123" s="350"/>
      <c r="AI123" s="348"/>
      <c r="AJ123" s="350"/>
      <c r="AK123" s="348"/>
      <c r="AL123" s="350"/>
      <c r="AM123" s="348"/>
      <c r="AN123" s="352"/>
      <c r="AO123" s="3678"/>
      <c r="AP123" s="369"/>
      <c r="AQ123" s="369"/>
      <c r="AR123" s="369"/>
      <c r="AS123" s="369"/>
      <c r="AT123" s="369"/>
      <c r="AU123" s="369"/>
      <c r="AV123" s="369"/>
      <c r="AW123" s="369"/>
      <c r="AX123" s="347"/>
      <c r="AY123" t="str">
        <f t="shared" si="112"/>
        <v/>
      </c>
      <c r="CA123" s="436"/>
      <c r="CB123" s="434" t="str">
        <f t="shared" si="113"/>
        <v/>
      </c>
      <c r="CC123" s="434" t="str">
        <f t="shared" si="114"/>
        <v/>
      </c>
      <c r="CD123" s="434" t="str">
        <f t="shared" si="115"/>
        <v/>
      </c>
      <c r="CE123" s="434" t="str">
        <f t="shared" si="116"/>
        <v/>
      </c>
      <c r="CF123" s="434" t="str">
        <f t="shared" si="117"/>
        <v/>
      </c>
      <c r="CG123" s="434" t="str">
        <f t="shared" si="118"/>
        <v/>
      </c>
      <c r="CH123" s="434" t="str">
        <f t="shared" si="119"/>
        <v/>
      </c>
      <c r="CI123" s="434" t="str">
        <f t="shared" si="120"/>
        <v/>
      </c>
      <c r="CJ123" s="434" t="str">
        <f t="shared" si="122"/>
        <v/>
      </c>
      <c r="CO123" s="438"/>
      <c r="CP123" s="435">
        <f t="shared" ref="CP123:CP142" si="133">IF(AND($F123&gt;0,AP123=""),1,IF(AP123&gt;$F123,1,0))</f>
        <v>0</v>
      </c>
      <c r="CQ123" s="435">
        <f t="shared" ref="CQ123:CQ142" si="134">IF(AND($D123&gt;0,AQ123=""),1,IF(AQ123&gt;$D123,1,0))</f>
        <v>0</v>
      </c>
      <c r="CR123" s="435">
        <f t="shared" si="126"/>
        <v>0</v>
      </c>
      <c r="CS123" s="435">
        <f t="shared" ref="CS123:CS142" si="135">IF(AND($D123&gt;0,AS123=""),1,IF(AS123&gt;$D123,1,0))</f>
        <v>0</v>
      </c>
      <c r="CT123" s="435">
        <f t="shared" ref="CT123:CT142" si="136">IF(AND($D123&gt;0,AT123=""),1,IF(AT123&gt;$D123,1,0))</f>
        <v>0</v>
      </c>
      <c r="CU123" s="435">
        <f t="shared" ref="CU123:CU142" si="137">IF(AND($D123&gt;0,AU123=""),1,IF(AU123&gt;$D123,1,0))</f>
        <v>0</v>
      </c>
      <c r="CV123" s="435">
        <f t="shared" ref="CV123:CV142" si="138">IF(AND($D123&gt;0,AV123=""),1,IF(AV123&gt;$D123,1,0))</f>
        <v>0</v>
      </c>
      <c r="CW123" s="435">
        <f t="shared" ref="CW123:CW142" si="139">IF(AND($D123&gt;0,AW123=""),1,IF(AW123&gt;$D123,1,0))</f>
        <v>0</v>
      </c>
      <c r="CX123" s="435">
        <f t="shared" si="131"/>
        <v>0</v>
      </c>
    </row>
    <row r="124" spans="1:102" ht="15" customHeight="1" x14ac:dyDescent="0.3">
      <c r="A124" s="6747" t="s">
        <v>1696</v>
      </c>
      <c r="B124" s="6748"/>
      <c r="C124" s="6749"/>
      <c r="D124" s="760">
        <f t="shared" si="121"/>
        <v>0</v>
      </c>
      <c r="E124" s="479">
        <f t="shared" si="132"/>
        <v>0</v>
      </c>
      <c r="F124" s="560">
        <f t="shared" si="132"/>
        <v>0</v>
      </c>
      <c r="G124" s="686"/>
      <c r="H124" s="2693"/>
      <c r="I124" s="686"/>
      <c r="J124" s="3677"/>
      <c r="K124" s="686"/>
      <c r="L124" s="2693"/>
      <c r="M124" s="686"/>
      <c r="N124" s="2693"/>
      <c r="O124" s="542"/>
      <c r="P124" s="2693"/>
      <c r="Q124" s="542"/>
      <c r="R124" s="2693"/>
      <c r="S124" s="542"/>
      <c r="T124" s="2693"/>
      <c r="U124" s="542"/>
      <c r="V124" s="2693"/>
      <c r="W124" s="542"/>
      <c r="X124" s="2693"/>
      <c r="Y124" s="348"/>
      <c r="Z124" s="350"/>
      <c r="AA124" s="348"/>
      <c r="AB124" s="350"/>
      <c r="AC124" s="348"/>
      <c r="AD124" s="350"/>
      <c r="AE124" s="348"/>
      <c r="AF124" s="350"/>
      <c r="AG124" s="348"/>
      <c r="AH124" s="350"/>
      <c r="AI124" s="348"/>
      <c r="AJ124" s="350"/>
      <c r="AK124" s="348"/>
      <c r="AL124" s="350"/>
      <c r="AM124" s="348"/>
      <c r="AN124" s="352"/>
      <c r="AO124" s="3678"/>
      <c r="AP124" s="369"/>
      <c r="AQ124" s="369"/>
      <c r="AR124" s="369"/>
      <c r="AS124" s="369"/>
      <c r="AT124" s="369"/>
      <c r="AU124" s="369"/>
      <c r="AV124" s="369"/>
      <c r="AW124" s="369"/>
      <c r="AX124" s="347"/>
      <c r="AY124" t="str">
        <f t="shared" si="112"/>
        <v/>
      </c>
      <c r="CA124" s="436"/>
      <c r="CB124" s="434" t="str">
        <f t="shared" si="113"/>
        <v/>
      </c>
      <c r="CC124" s="434" t="str">
        <f t="shared" si="114"/>
        <v/>
      </c>
      <c r="CD124" s="434" t="str">
        <f t="shared" si="115"/>
        <v/>
      </c>
      <c r="CE124" s="434" t="str">
        <f t="shared" si="116"/>
        <v/>
      </c>
      <c r="CF124" s="434" t="str">
        <f t="shared" si="117"/>
        <v/>
      </c>
      <c r="CG124" s="434" t="str">
        <f t="shared" si="118"/>
        <v/>
      </c>
      <c r="CH124" s="434" t="str">
        <f t="shared" si="119"/>
        <v/>
      </c>
      <c r="CI124" s="434" t="str">
        <f t="shared" si="120"/>
        <v/>
      </c>
      <c r="CJ124" s="434" t="str">
        <f t="shared" si="122"/>
        <v/>
      </c>
      <c r="CO124" s="438"/>
      <c r="CP124" s="435">
        <f t="shared" si="133"/>
        <v>0</v>
      </c>
      <c r="CQ124" s="435">
        <f t="shared" si="134"/>
        <v>0</v>
      </c>
      <c r="CR124" s="435">
        <f t="shared" si="126"/>
        <v>0</v>
      </c>
      <c r="CS124" s="435">
        <f t="shared" si="135"/>
        <v>0</v>
      </c>
      <c r="CT124" s="435">
        <f t="shared" si="136"/>
        <v>0</v>
      </c>
      <c r="CU124" s="435">
        <f t="shared" si="137"/>
        <v>0</v>
      </c>
      <c r="CV124" s="435">
        <f t="shared" si="138"/>
        <v>0</v>
      </c>
      <c r="CW124" s="435">
        <f t="shared" si="139"/>
        <v>0</v>
      </c>
      <c r="CX124" s="435">
        <f t="shared" si="131"/>
        <v>0</v>
      </c>
    </row>
    <row r="125" spans="1:102" ht="15" customHeight="1" x14ac:dyDescent="0.3">
      <c r="A125" s="6747" t="s">
        <v>1697</v>
      </c>
      <c r="B125" s="6748"/>
      <c r="C125" s="6749"/>
      <c r="D125" s="760">
        <f t="shared" si="121"/>
        <v>0</v>
      </c>
      <c r="E125" s="479">
        <f t="shared" si="132"/>
        <v>0</v>
      </c>
      <c r="F125" s="560">
        <f t="shared" si="132"/>
        <v>0</v>
      </c>
      <c r="G125" s="686"/>
      <c r="H125" s="2693"/>
      <c r="I125" s="686"/>
      <c r="J125" s="3677"/>
      <c r="K125" s="686"/>
      <c r="L125" s="2693"/>
      <c r="M125" s="686"/>
      <c r="N125" s="2693"/>
      <c r="O125" s="542"/>
      <c r="P125" s="2693"/>
      <c r="Q125" s="542"/>
      <c r="R125" s="2693"/>
      <c r="S125" s="542"/>
      <c r="T125" s="2693"/>
      <c r="U125" s="542"/>
      <c r="V125" s="2693"/>
      <c r="W125" s="542"/>
      <c r="X125" s="2693"/>
      <c r="Y125" s="348"/>
      <c r="Z125" s="350"/>
      <c r="AA125" s="348"/>
      <c r="AB125" s="350"/>
      <c r="AC125" s="348"/>
      <c r="AD125" s="350"/>
      <c r="AE125" s="348"/>
      <c r="AF125" s="350"/>
      <c r="AG125" s="348"/>
      <c r="AH125" s="350"/>
      <c r="AI125" s="348"/>
      <c r="AJ125" s="350"/>
      <c r="AK125" s="348"/>
      <c r="AL125" s="350"/>
      <c r="AM125" s="348"/>
      <c r="AN125" s="352"/>
      <c r="AO125" s="3678"/>
      <c r="AP125" s="369"/>
      <c r="AQ125" s="369"/>
      <c r="AR125" s="369"/>
      <c r="AS125" s="369"/>
      <c r="AT125" s="369"/>
      <c r="AU125" s="369"/>
      <c r="AV125" s="369"/>
      <c r="AW125" s="369"/>
      <c r="AX125" s="347"/>
      <c r="AY125" t="str">
        <f t="shared" si="112"/>
        <v/>
      </c>
      <c r="CA125" s="436"/>
      <c r="CB125" s="434" t="str">
        <f t="shared" si="113"/>
        <v/>
      </c>
      <c r="CC125" s="434" t="str">
        <f t="shared" si="114"/>
        <v/>
      </c>
      <c r="CD125" s="434" t="str">
        <f t="shared" si="115"/>
        <v/>
      </c>
      <c r="CE125" s="434" t="str">
        <f t="shared" si="116"/>
        <v/>
      </c>
      <c r="CF125" s="434" t="str">
        <f t="shared" si="117"/>
        <v/>
      </c>
      <c r="CG125" s="434" t="str">
        <f t="shared" si="118"/>
        <v/>
      </c>
      <c r="CH125" s="434" t="str">
        <f t="shared" si="119"/>
        <v/>
      </c>
      <c r="CI125" s="434" t="str">
        <f t="shared" si="120"/>
        <v/>
      </c>
      <c r="CJ125" s="434" t="str">
        <f t="shared" si="122"/>
        <v/>
      </c>
      <c r="CO125" s="438"/>
      <c r="CP125" s="435">
        <f t="shared" si="133"/>
        <v>0</v>
      </c>
      <c r="CQ125" s="435">
        <f t="shared" si="134"/>
        <v>0</v>
      </c>
      <c r="CR125" s="435">
        <f t="shared" si="126"/>
        <v>0</v>
      </c>
      <c r="CS125" s="435">
        <f t="shared" si="135"/>
        <v>0</v>
      </c>
      <c r="CT125" s="435">
        <f t="shared" si="136"/>
        <v>0</v>
      </c>
      <c r="CU125" s="435">
        <f t="shared" si="137"/>
        <v>0</v>
      </c>
      <c r="CV125" s="435">
        <f t="shared" si="138"/>
        <v>0</v>
      </c>
      <c r="CW125" s="435">
        <f t="shared" si="139"/>
        <v>0</v>
      </c>
      <c r="CX125" s="435">
        <f t="shared" si="131"/>
        <v>0</v>
      </c>
    </row>
    <row r="126" spans="1:102" ht="15" customHeight="1" x14ac:dyDescent="0.3">
      <c r="A126" s="6747" t="s">
        <v>1698</v>
      </c>
      <c r="B126" s="6748"/>
      <c r="C126" s="6749"/>
      <c r="D126" s="760">
        <f t="shared" si="121"/>
        <v>0</v>
      </c>
      <c r="E126" s="479">
        <f>SUM(Q126+S126+U126+W126+Y126+AA126+AC126+AE126+AG126+AI126+AK126+AM126)</f>
        <v>0</v>
      </c>
      <c r="F126" s="560">
        <f>SUM(R126+T126+V126+X126+Z126+AB126+AD126+AF126+AH126+AJ126+AL126+AN126)</f>
        <v>0</v>
      </c>
      <c r="G126" s="686"/>
      <c r="H126" s="2693"/>
      <c r="I126" s="686"/>
      <c r="J126" s="3677"/>
      <c r="K126" s="686"/>
      <c r="L126" s="2693"/>
      <c r="M126" s="686"/>
      <c r="N126" s="2693"/>
      <c r="O126" s="542"/>
      <c r="P126" s="2693"/>
      <c r="Q126" s="348"/>
      <c r="R126" s="350"/>
      <c r="S126" s="348"/>
      <c r="T126" s="350"/>
      <c r="U126" s="348"/>
      <c r="V126" s="350"/>
      <c r="W126" s="348"/>
      <c r="X126" s="350"/>
      <c r="Y126" s="348"/>
      <c r="Z126" s="350"/>
      <c r="AA126" s="348"/>
      <c r="AB126" s="350"/>
      <c r="AC126" s="348"/>
      <c r="AD126" s="350"/>
      <c r="AE126" s="348"/>
      <c r="AF126" s="350"/>
      <c r="AG126" s="348"/>
      <c r="AH126" s="350"/>
      <c r="AI126" s="348"/>
      <c r="AJ126" s="350"/>
      <c r="AK126" s="348"/>
      <c r="AL126" s="350"/>
      <c r="AM126" s="348"/>
      <c r="AN126" s="352"/>
      <c r="AO126" s="430"/>
      <c r="AP126" s="369"/>
      <c r="AQ126" s="369"/>
      <c r="AR126" s="3683"/>
      <c r="AS126" s="369"/>
      <c r="AT126" s="369"/>
      <c r="AU126" s="369"/>
      <c r="AV126" s="369"/>
      <c r="AW126" s="369"/>
      <c r="AX126" s="347"/>
      <c r="AY126" t="str">
        <f t="shared" si="112"/>
        <v/>
      </c>
      <c r="CA126" s="434" t="str">
        <f>IF(AND((W126+X126)&gt;0,AO126="")," * No olvide digitar la variable 12 años (incluido en el grupo de 10-14 años). Digite Cero si no tiene.",IF(AO126&gt;(W126+X126),"* Las Consultas de 12 años (incluido en el grupo de 10-14 años) NO DEBEN ser mayor que el total de Consultas entre 10-14 años",""))</f>
        <v/>
      </c>
      <c r="CB126" s="434" t="str">
        <f t="shared" si="113"/>
        <v/>
      </c>
      <c r="CC126" s="434" t="str">
        <f t="shared" si="114"/>
        <v/>
      </c>
      <c r="CD126" s="434" t="str">
        <f t="shared" si="115"/>
        <v/>
      </c>
      <c r="CE126" s="434" t="str">
        <f t="shared" si="116"/>
        <v/>
      </c>
      <c r="CF126" s="434" t="str">
        <f t="shared" si="117"/>
        <v/>
      </c>
      <c r="CG126" s="434" t="str">
        <f t="shared" si="118"/>
        <v/>
      </c>
      <c r="CH126" s="434" t="str">
        <f t="shared" si="119"/>
        <v/>
      </c>
      <c r="CI126" s="434" t="str">
        <f t="shared" si="120"/>
        <v/>
      </c>
      <c r="CJ126" s="434" t="str">
        <f t="shared" si="122"/>
        <v/>
      </c>
      <c r="CO126" s="435">
        <f>IF(AND($D126&gt;0,AO126=""),1,IF(AO126&gt;D126,1,0))</f>
        <v>0</v>
      </c>
      <c r="CP126" s="435">
        <f t="shared" si="133"/>
        <v>0</v>
      </c>
      <c r="CQ126" s="435">
        <f t="shared" si="134"/>
        <v>0</v>
      </c>
      <c r="CR126" s="435">
        <f t="shared" si="126"/>
        <v>0</v>
      </c>
      <c r="CS126" s="435">
        <f t="shared" si="135"/>
        <v>0</v>
      </c>
      <c r="CT126" s="435">
        <f t="shared" si="136"/>
        <v>0</v>
      </c>
      <c r="CU126" s="435">
        <f t="shared" si="137"/>
        <v>0</v>
      </c>
      <c r="CV126" s="435">
        <f t="shared" si="138"/>
        <v>0</v>
      </c>
      <c r="CW126" s="435">
        <f t="shared" si="139"/>
        <v>0</v>
      </c>
      <c r="CX126" s="435">
        <f t="shared" si="131"/>
        <v>0</v>
      </c>
    </row>
    <row r="127" spans="1:102" ht="15" customHeight="1" x14ac:dyDescent="0.3">
      <c r="A127" s="6747" t="s">
        <v>1699</v>
      </c>
      <c r="B127" s="6748"/>
      <c r="C127" s="6749"/>
      <c r="D127" s="760">
        <f t="shared" si="121"/>
        <v>0</v>
      </c>
      <c r="E127" s="479">
        <f t="shared" si="132"/>
        <v>0</v>
      </c>
      <c r="F127" s="560">
        <f t="shared" si="132"/>
        <v>0</v>
      </c>
      <c r="G127" s="686"/>
      <c r="H127" s="2693"/>
      <c r="I127" s="686"/>
      <c r="J127" s="3677"/>
      <c r="K127" s="686"/>
      <c r="L127" s="2693"/>
      <c r="M127" s="686"/>
      <c r="N127" s="2693"/>
      <c r="O127" s="542"/>
      <c r="P127" s="2693"/>
      <c r="Q127" s="542"/>
      <c r="R127" s="2693"/>
      <c r="S127" s="542"/>
      <c r="T127" s="2693"/>
      <c r="U127" s="542"/>
      <c r="V127" s="2693"/>
      <c r="W127" s="542"/>
      <c r="X127" s="2693"/>
      <c r="Y127" s="348"/>
      <c r="Z127" s="350"/>
      <c r="AA127" s="348"/>
      <c r="AB127" s="350"/>
      <c r="AC127" s="348"/>
      <c r="AD127" s="350"/>
      <c r="AE127" s="348"/>
      <c r="AF127" s="350"/>
      <c r="AG127" s="348"/>
      <c r="AH127" s="350"/>
      <c r="AI127" s="348"/>
      <c r="AJ127" s="350"/>
      <c r="AK127" s="348"/>
      <c r="AL127" s="350"/>
      <c r="AM127" s="348"/>
      <c r="AN127" s="352"/>
      <c r="AO127" s="3678"/>
      <c r="AP127" s="369"/>
      <c r="AQ127" s="369"/>
      <c r="AR127" s="3683"/>
      <c r="AS127" s="369"/>
      <c r="AT127" s="369"/>
      <c r="AU127" s="369"/>
      <c r="AV127" s="369"/>
      <c r="AW127" s="369"/>
      <c r="AX127" s="347"/>
      <c r="AY127" t="str">
        <f t="shared" si="112"/>
        <v/>
      </c>
      <c r="CA127" s="436"/>
      <c r="CB127" s="434" t="str">
        <f t="shared" si="113"/>
        <v/>
      </c>
      <c r="CC127" s="434" t="str">
        <f t="shared" si="114"/>
        <v/>
      </c>
      <c r="CD127" s="434" t="str">
        <f t="shared" si="115"/>
        <v/>
      </c>
      <c r="CE127" s="434" t="str">
        <f t="shared" si="116"/>
        <v/>
      </c>
      <c r="CF127" s="434" t="str">
        <f t="shared" si="117"/>
        <v/>
      </c>
      <c r="CG127" s="434" t="str">
        <f t="shared" si="118"/>
        <v/>
      </c>
      <c r="CH127" s="434" t="str">
        <f t="shared" si="119"/>
        <v/>
      </c>
      <c r="CI127" s="434" t="str">
        <f t="shared" si="120"/>
        <v/>
      </c>
      <c r="CJ127" s="434" t="str">
        <f t="shared" si="122"/>
        <v/>
      </c>
      <c r="CO127" s="436"/>
      <c r="CP127" s="435">
        <f t="shared" si="133"/>
        <v>0</v>
      </c>
      <c r="CQ127" s="435">
        <f t="shared" si="134"/>
        <v>0</v>
      </c>
      <c r="CR127" s="435">
        <f t="shared" si="126"/>
        <v>0</v>
      </c>
      <c r="CS127" s="435">
        <f t="shared" si="135"/>
        <v>0</v>
      </c>
      <c r="CT127" s="435">
        <f t="shared" si="136"/>
        <v>0</v>
      </c>
      <c r="CU127" s="435">
        <f t="shared" si="137"/>
        <v>0</v>
      </c>
      <c r="CV127" s="435">
        <f t="shared" si="138"/>
        <v>0</v>
      </c>
      <c r="CW127" s="435">
        <f t="shared" si="139"/>
        <v>0</v>
      </c>
      <c r="CX127" s="435">
        <f t="shared" si="131"/>
        <v>0</v>
      </c>
    </row>
    <row r="128" spans="1:102" ht="15" customHeight="1" x14ac:dyDescent="0.3">
      <c r="A128" s="6747" t="s">
        <v>1700</v>
      </c>
      <c r="B128" s="6748"/>
      <c r="C128" s="6749"/>
      <c r="D128" s="760">
        <f t="shared" si="121"/>
        <v>0</v>
      </c>
      <c r="E128" s="479">
        <f>SUM(G128+I128+K128+M128+O128+Q128+S128+U128+W128+Y128+AA128+AC128+AE128+AG128+AI128+AK128+AM128)</f>
        <v>0</v>
      </c>
      <c r="F128" s="560">
        <f>SUM(H128+J128+L128+N128+P128+R128+T128+V128+X128+Z128+AB128+AD128+AF128+AH128+AJ128+AL128+AN128)</f>
        <v>0</v>
      </c>
      <c r="G128" s="3681"/>
      <c r="H128" s="3682"/>
      <c r="I128" s="3681"/>
      <c r="J128" s="3684"/>
      <c r="K128" s="3681"/>
      <c r="L128" s="3682"/>
      <c r="M128" s="3681"/>
      <c r="N128" s="3682"/>
      <c r="O128" s="3685"/>
      <c r="P128" s="350"/>
      <c r="Q128" s="348"/>
      <c r="R128" s="350"/>
      <c r="S128" s="348"/>
      <c r="T128" s="3682"/>
      <c r="U128" s="3685"/>
      <c r="V128" s="350"/>
      <c r="W128" s="348"/>
      <c r="X128" s="350"/>
      <c r="Y128" s="348"/>
      <c r="Z128" s="350"/>
      <c r="AA128" s="348"/>
      <c r="AB128" s="350"/>
      <c r="AC128" s="348"/>
      <c r="AD128" s="350"/>
      <c r="AE128" s="348"/>
      <c r="AF128" s="350"/>
      <c r="AG128" s="348"/>
      <c r="AH128" s="350"/>
      <c r="AI128" s="348"/>
      <c r="AJ128" s="350"/>
      <c r="AK128" s="348"/>
      <c r="AL128" s="350"/>
      <c r="AM128" s="348"/>
      <c r="AN128" s="352"/>
      <c r="AO128" s="430"/>
      <c r="AP128" s="3683"/>
      <c r="AQ128" s="3683"/>
      <c r="AR128" s="3683"/>
      <c r="AS128" s="369"/>
      <c r="AT128" s="369"/>
      <c r="AU128" s="369"/>
      <c r="AV128" s="369"/>
      <c r="AW128" s="369"/>
      <c r="AX128" s="687"/>
      <c r="AY128" t="str">
        <f t="shared" si="112"/>
        <v/>
      </c>
      <c r="CA128" s="434" t="str">
        <f t="shared" ref="CA128:CA142" si="140">IF(AND((W128+X128)&gt;0,AO128="")," * No olvide digitar la variable 12 años (incluido en el grupo de 10-14 años). Digite Cero si no tiene.",IF(AO128&gt;(W128+X128),"* Las Consultas de 12 años (incluido en el grupo de 10-14 años) NO DEBEN ser mayor que el total de Consultas entre 10-14 años",""))</f>
        <v/>
      </c>
      <c r="CB128" s="434" t="str">
        <f t="shared" si="113"/>
        <v/>
      </c>
      <c r="CC128" s="434" t="str">
        <f t="shared" si="114"/>
        <v/>
      </c>
      <c r="CD128" s="434" t="str">
        <f t="shared" si="115"/>
        <v/>
      </c>
      <c r="CE128" s="434" t="str">
        <f t="shared" si="116"/>
        <v/>
      </c>
      <c r="CF128" s="434" t="str">
        <f t="shared" si="117"/>
        <v/>
      </c>
      <c r="CG128" s="434" t="str">
        <f t="shared" si="118"/>
        <v/>
      </c>
      <c r="CH128" s="434" t="str">
        <f t="shared" si="119"/>
        <v/>
      </c>
      <c r="CI128" s="434" t="str">
        <f t="shared" si="120"/>
        <v/>
      </c>
      <c r="CJ128" s="436"/>
      <c r="CO128" s="435">
        <f>IF(AND($D128&gt;0,AO128=""),1,IF(AO128&gt;$D128,1,0))</f>
        <v>0</v>
      </c>
      <c r="CP128" s="435">
        <f t="shared" si="133"/>
        <v>0</v>
      </c>
      <c r="CQ128" s="435">
        <f t="shared" si="134"/>
        <v>0</v>
      </c>
      <c r="CR128" s="435">
        <f t="shared" si="126"/>
        <v>0</v>
      </c>
      <c r="CS128" s="435">
        <f t="shared" si="135"/>
        <v>0</v>
      </c>
      <c r="CT128" s="435">
        <f t="shared" si="136"/>
        <v>0</v>
      </c>
      <c r="CU128" s="435">
        <f t="shared" si="137"/>
        <v>0</v>
      </c>
      <c r="CV128" s="435">
        <f t="shared" si="138"/>
        <v>0</v>
      </c>
      <c r="CW128" s="435">
        <f t="shared" si="139"/>
        <v>0</v>
      </c>
      <c r="CX128" s="436"/>
    </row>
    <row r="129" spans="1:102" ht="15" customHeight="1" x14ac:dyDescent="0.3">
      <c r="A129" s="6747" t="s">
        <v>1701</v>
      </c>
      <c r="B129" s="6748"/>
      <c r="C129" s="6749"/>
      <c r="D129" s="760">
        <f t="shared" si="121"/>
        <v>0</v>
      </c>
      <c r="E129" s="479">
        <f t="shared" ref="E129:E143" si="141">SUM(G129+I129+K129+M129+O129+Q129+S129+U129+W129+Y129+AA129+AC129+AE129+AG129+AI129+AK129+AM129)</f>
        <v>0</v>
      </c>
      <c r="F129" s="560">
        <f t="shared" ref="F129:F142" si="142">SUM(H129+J129+L129+N129+P129+R129+T129+V129+X129+Z129+AB129+AD129+AF129+AH129+AJ129+AL129+AN129)</f>
        <v>0</v>
      </c>
      <c r="G129" s="3681"/>
      <c r="H129" s="3682"/>
      <c r="I129" s="3681"/>
      <c r="J129" s="3684"/>
      <c r="K129" s="3681"/>
      <c r="L129" s="3682"/>
      <c r="M129" s="3681"/>
      <c r="N129" s="3682"/>
      <c r="O129" s="3685"/>
      <c r="P129" s="350"/>
      <c r="Q129" s="348"/>
      <c r="R129" s="350"/>
      <c r="S129" s="348"/>
      <c r="T129" s="3682"/>
      <c r="U129" s="3685"/>
      <c r="V129" s="350"/>
      <c r="W129" s="348"/>
      <c r="X129" s="350"/>
      <c r="Y129" s="348"/>
      <c r="Z129" s="350"/>
      <c r="AA129" s="348"/>
      <c r="AB129" s="350"/>
      <c r="AC129" s="348"/>
      <c r="AD129" s="350"/>
      <c r="AE129" s="348"/>
      <c r="AF129" s="350"/>
      <c r="AG129" s="348"/>
      <c r="AH129" s="350"/>
      <c r="AI129" s="348"/>
      <c r="AJ129" s="350"/>
      <c r="AK129" s="348"/>
      <c r="AL129" s="350"/>
      <c r="AM129" s="348"/>
      <c r="AN129" s="352"/>
      <c r="AO129" s="430"/>
      <c r="AP129" s="3683"/>
      <c r="AQ129" s="3683"/>
      <c r="AR129" s="3683"/>
      <c r="AS129" s="369"/>
      <c r="AT129" s="369"/>
      <c r="AU129" s="369"/>
      <c r="AV129" s="369"/>
      <c r="AW129" s="369"/>
      <c r="AX129" s="687"/>
      <c r="AY129" t="str">
        <f t="shared" si="112"/>
        <v/>
      </c>
      <c r="CA129" s="434" t="str">
        <f t="shared" si="140"/>
        <v/>
      </c>
      <c r="CB129" s="434" t="str">
        <f t="shared" si="113"/>
        <v/>
      </c>
      <c r="CC129" s="434" t="str">
        <f t="shared" si="114"/>
        <v/>
      </c>
      <c r="CD129" s="434" t="str">
        <f t="shared" si="115"/>
        <v/>
      </c>
      <c r="CE129" s="434" t="str">
        <f t="shared" si="116"/>
        <v/>
      </c>
      <c r="CF129" s="434" t="str">
        <f t="shared" si="117"/>
        <v/>
      </c>
      <c r="CG129" s="434" t="str">
        <f t="shared" si="118"/>
        <v/>
      </c>
      <c r="CH129" s="434" t="str">
        <f t="shared" si="119"/>
        <v/>
      </c>
      <c r="CI129" s="434" t="str">
        <f t="shared" si="120"/>
        <v/>
      </c>
      <c r="CJ129" s="436"/>
      <c r="CO129" s="435">
        <f>IF(AND($D129&gt;0,AO129=""),1,IF(AO129&gt;$D129,1,0))</f>
        <v>0</v>
      </c>
      <c r="CP129" s="435">
        <f t="shared" si="133"/>
        <v>0</v>
      </c>
      <c r="CQ129" s="435">
        <f t="shared" si="134"/>
        <v>0</v>
      </c>
      <c r="CR129" s="435">
        <f t="shared" si="126"/>
        <v>0</v>
      </c>
      <c r="CS129" s="435">
        <f t="shared" si="135"/>
        <v>0</v>
      </c>
      <c r="CT129" s="435">
        <f t="shared" si="136"/>
        <v>0</v>
      </c>
      <c r="CU129" s="435">
        <f t="shared" si="137"/>
        <v>0</v>
      </c>
      <c r="CV129" s="435">
        <f t="shared" si="138"/>
        <v>0</v>
      </c>
      <c r="CW129" s="435">
        <f t="shared" si="139"/>
        <v>0</v>
      </c>
      <c r="CX129" s="436"/>
    </row>
    <row r="130" spans="1:102" ht="15" customHeight="1" x14ac:dyDescent="0.3">
      <c r="A130" s="6747" t="s">
        <v>1702</v>
      </c>
      <c r="B130" s="6748"/>
      <c r="C130" s="6749"/>
      <c r="D130" s="760">
        <f t="shared" si="121"/>
        <v>0</v>
      </c>
      <c r="E130" s="479">
        <f t="shared" si="141"/>
        <v>0</v>
      </c>
      <c r="F130" s="560">
        <f t="shared" si="142"/>
        <v>0</v>
      </c>
      <c r="G130" s="3681"/>
      <c r="H130" s="3682"/>
      <c r="I130" s="3681"/>
      <c r="J130" s="3684"/>
      <c r="K130" s="3681"/>
      <c r="L130" s="3682"/>
      <c r="M130" s="3681"/>
      <c r="N130" s="3682"/>
      <c r="O130" s="3685"/>
      <c r="P130" s="350"/>
      <c r="Q130" s="348"/>
      <c r="R130" s="350"/>
      <c r="S130" s="348"/>
      <c r="T130" s="3682"/>
      <c r="U130" s="3685"/>
      <c r="V130" s="350"/>
      <c r="W130" s="348"/>
      <c r="X130" s="350"/>
      <c r="Y130" s="348"/>
      <c r="Z130" s="350"/>
      <c r="AA130" s="348"/>
      <c r="AB130" s="350"/>
      <c r="AC130" s="348"/>
      <c r="AD130" s="350"/>
      <c r="AE130" s="348"/>
      <c r="AF130" s="350"/>
      <c r="AG130" s="348"/>
      <c r="AH130" s="350"/>
      <c r="AI130" s="348"/>
      <c r="AJ130" s="350"/>
      <c r="AK130" s="348"/>
      <c r="AL130" s="350"/>
      <c r="AM130" s="348"/>
      <c r="AN130" s="352"/>
      <c r="AO130" s="430"/>
      <c r="AP130" s="3683"/>
      <c r="AQ130" s="3683"/>
      <c r="AR130" s="3683"/>
      <c r="AS130" s="369"/>
      <c r="AT130" s="369"/>
      <c r="AU130" s="369"/>
      <c r="AV130" s="369"/>
      <c r="AW130" s="369"/>
      <c r="AX130" s="687"/>
      <c r="AY130" t="str">
        <f t="shared" si="112"/>
        <v/>
      </c>
      <c r="CA130" s="434" t="str">
        <f t="shared" si="140"/>
        <v/>
      </c>
      <c r="CB130" s="434" t="str">
        <f t="shared" si="113"/>
        <v/>
      </c>
      <c r="CC130" s="434" t="str">
        <f t="shared" si="114"/>
        <v/>
      </c>
      <c r="CD130" s="434" t="str">
        <f t="shared" si="115"/>
        <v/>
      </c>
      <c r="CE130" s="434" t="str">
        <f t="shared" si="116"/>
        <v/>
      </c>
      <c r="CF130" s="434" t="str">
        <f t="shared" si="117"/>
        <v/>
      </c>
      <c r="CG130" s="434" t="str">
        <f t="shared" si="118"/>
        <v/>
      </c>
      <c r="CH130" s="434" t="str">
        <f t="shared" si="119"/>
        <v/>
      </c>
      <c r="CI130" s="434" t="str">
        <f t="shared" si="120"/>
        <v/>
      </c>
      <c r="CJ130" s="436"/>
      <c r="CO130" s="435">
        <f t="shared" ref="CO130:CO142" si="143">IF(AND($D130&gt;0,AO130=""),1,IF(AO130&gt;D130,1,0))</f>
        <v>0</v>
      </c>
      <c r="CP130" s="435">
        <f t="shared" si="133"/>
        <v>0</v>
      </c>
      <c r="CQ130" s="435">
        <f t="shared" si="134"/>
        <v>0</v>
      </c>
      <c r="CR130" s="435">
        <f t="shared" si="126"/>
        <v>0</v>
      </c>
      <c r="CS130" s="435">
        <f t="shared" si="135"/>
        <v>0</v>
      </c>
      <c r="CT130" s="435">
        <f t="shared" si="136"/>
        <v>0</v>
      </c>
      <c r="CU130" s="435">
        <f t="shared" si="137"/>
        <v>0</v>
      </c>
      <c r="CV130" s="435">
        <f t="shared" si="138"/>
        <v>0</v>
      </c>
      <c r="CW130" s="435">
        <f t="shared" si="139"/>
        <v>0</v>
      </c>
      <c r="CX130" s="436"/>
    </row>
    <row r="131" spans="1:102" ht="15" customHeight="1" x14ac:dyDescent="0.3">
      <c r="A131" s="6747" t="s">
        <v>1703</v>
      </c>
      <c r="B131" s="6748"/>
      <c r="C131" s="6749"/>
      <c r="D131" s="760">
        <f t="shared" si="121"/>
        <v>0</v>
      </c>
      <c r="E131" s="479">
        <f t="shared" si="141"/>
        <v>0</v>
      </c>
      <c r="F131" s="560">
        <f t="shared" si="142"/>
        <v>0</v>
      </c>
      <c r="G131" s="3681"/>
      <c r="H131" s="3682"/>
      <c r="I131" s="3681"/>
      <c r="J131" s="3684"/>
      <c r="K131" s="3681"/>
      <c r="L131" s="3682"/>
      <c r="M131" s="3681"/>
      <c r="N131" s="3682"/>
      <c r="O131" s="3685"/>
      <c r="P131" s="350"/>
      <c r="Q131" s="348"/>
      <c r="R131" s="350"/>
      <c r="S131" s="348"/>
      <c r="T131" s="3682"/>
      <c r="U131" s="3685"/>
      <c r="V131" s="350"/>
      <c r="W131" s="348"/>
      <c r="X131" s="350"/>
      <c r="Y131" s="348"/>
      <c r="Z131" s="350"/>
      <c r="AA131" s="348"/>
      <c r="AB131" s="350"/>
      <c r="AC131" s="348"/>
      <c r="AD131" s="350"/>
      <c r="AE131" s="348"/>
      <c r="AF131" s="350"/>
      <c r="AG131" s="348"/>
      <c r="AH131" s="350"/>
      <c r="AI131" s="348"/>
      <c r="AJ131" s="350"/>
      <c r="AK131" s="348"/>
      <c r="AL131" s="350"/>
      <c r="AM131" s="348"/>
      <c r="AN131" s="352"/>
      <c r="AO131" s="430"/>
      <c r="AP131" s="3683"/>
      <c r="AQ131" s="3683"/>
      <c r="AR131" s="3683"/>
      <c r="AS131" s="369"/>
      <c r="AT131" s="369"/>
      <c r="AU131" s="369"/>
      <c r="AV131" s="369"/>
      <c r="AW131" s="369"/>
      <c r="AX131" s="687"/>
      <c r="AY131" t="str">
        <f t="shared" si="112"/>
        <v/>
      </c>
      <c r="CA131" s="434" t="str">
        <f t="shared" si="140"/>
        <v/>
      </c>
      <c r="CB131" s="434" t="str">
        <f t="shared" si="113"/>
        <v/>
      </c>
      <c r="CC131" s="434" t="str">
        <f t="shared" si="114"/>
        <v/>
      </c>
      <c r="CD131" s="434" t="str">
        <f t="shared" si="115"/>
        <v/>
      </c>
      <c r="CE131" s="434" t="str">
        <f t="shared" si="116"/>
        <v/>
      </c>
      <c r="CF131" s="434" t="str">
        <f t="shared" si="117"/>
        <v/>
      </c>
      <c r="CG131" s="434" t="str">
        <f t="shared" si="118"/>
        <v/>
      </c>
      <c r="CH131" s="434" t="str">
        <f t="shared" si="119"/>
        <v/>
      </c>
      <c r="CI131" s="434" t="str">
        <f t="shared" si="120"/>
        <v/>
      </c>
      <c r="CJ131" s="436"/>
      <c r="CO131" s="435">
        <f t="shared" si="143"/>
        <v>0</v>
      </c>
      <c r="CP131" s="435">
        <f t="shared" si="133"/>
        <v>0</v>
      </c>
      <c r="CQ131" s="435">
        <f t="shared" si="134"/>
        <v>0</v>
      </c>
      <c r="CR131" s="435">
        <f t="shared" si="126"/>
        <v>0</v>
      </c>
      <c r="CS131" s="435">
        <f t="shared" si="135"/>
        <v>0</v>
      </c>
      <c r="CT131" s="435">
        <f t="shared" si="136"/>
        <v>0</v>
      </c>
      <c r="CU131" s="435">
        <f t="shared" si="137"/>
        <v>0</v>
      </c>
      <c r="CV131" s="435">
        <f t="shared" si="138"/>
        <v>0</v>
      </c>
      <c r="CW131" s="435">
        <f t="shared" si="139"/>
        <v>0</v>
      </c>
      <c r="CX131" s="436"/>
    </row>
    <row r="132" spans="1:102" ht="15" customHeight="1" x14ac:dyDescent="0.3">
      <c r="A132" s="6747" t="s">
        <v>1704</v>
      </c>
      <c r="B132" s="6748"/>
      <c r="C132" s="6749"/>
      <c r="D132" s="760">
        <f t="shared" si="121"/>
        <v>0</v>
      </c>
      <c r="E132" s="479">
        <f t="shared" si="141"/>
        <v>0</v>
      </c>
      <c r="F132" s="560">
        <f t="shared" si="142"/>
        <v>0</v>
      </c>
      <c r="G132" s="3681"/>
      <c r="H132" s="3682"/>
      <c r="I132" s="3681"/>
      <c r="J132" s="3684"/>
      <c r="K132" s="3681"/>
      <c r="L132" s="3682"/>
      <c r="M132" s="3681"/>
      <c r="N132" s="3682"/>
      <c r="O132" s="3685"/>
      <c r="P132" s="350"/>
      <c r="Q132" s="348"/>
      <c r="R132" s="350"/>
      <c r="S132" s="348"/>
      <c r="T132" s="3682"/>
      <c r="U132" s="3685"/>
      <c r="V132" s="350"/>
      <c r="W132" s="348"/>
      <c r="X132" s="350"/>
      <c r="Y132" s="348"/>
      <c r="Z132" s="350"/>
      <c r="AA132" s="348"/>
      <c r="AB132" s="350"/>
      <c r="AC132" s="348"/>
      <c r="AD132" s="350"/>
      <c r="AE132" s="348"/>
      <c r="AF132" s="350"/>
      <c r="AG132" s="348"/>
      <c r="AH132" s="350"/>
      <c r="AI132" s="348"/>
      <c r="AJ132" s="350"/>
      <c r="AK132" s="348"/>
      <c r="AL132" s="350"/>
      <c r="AM132" s="348"/>
      <c r="AN132" s="352"/>
      <c r="AO132" s="430"/>
      <c r="AP132" s="3683"/>
      <c r="AQ132" s="3683"/>
      <c r="AR132" s="3683"/>
      <c r="AS132" s="369"/>
      <c r="AT132" s="369"/>
      <c r="AU132" s="369"/>
      <c r="AV132" s="369"/>
      <c r="AW132" s="369"/>
      <c r="AX132" s="687"/>
      <c r="AY132" t="str">
        <f t="shared" si="112"/>
        <v/>
      </c>
      <c r="CA132" s="434" t="str">
        <f t="shared" si="140"/>
        <v/>
      </c>
      <c r="CB132" s="434" t="str">
        <f t="shared" si="113"/>
        <v/>
      </c>
      <c r="CC132" s="434" t="str">
        <f t="shared" si="114"/>
        <v/>
      </c>
      <c r="CD132" s="434" t="str">
        <f t="shared" si="115"/>
        <v/>
      </c>
      <c r="CE132" s="434" t="str">
        <f t="shared" si="116"/>
        <v/>
      </c>
      <c r="CF132" s="434" t="str">
        <f t="shared" si="117"/>
        <v/>
      </c>
      <c r="CG132" s="434" t="str">
        <f t="shared" si="118"/>
        <v/>
      </c>
      <c r="CH132" s="434" t="str">
        <f t="shared" si="119"/>
        <v/>
      </c>
      <c r="CI132" s="434" t="str">
        <f t="shared" si="120"/>
        <v/>
      </c>
      <c r="CJ132" s="436"/>
      <c r="CO132" s="435">
        <f t="shared" si="143"/>
        <v>0</v>
      </c>
      <c r="CP132" s="435">
        <f t="shared" si="133"/>
        <v>0</v>
      </c>
      <c r="CQ132" s="435">
        <f t="shared" si="134"/>
        <v>0</v>
      </c>
      <c r="CR132" s="435">
        <f t="shared" si="126"/>
        <v>0</v>
      </c>
      <c r="CS132" s="435">
        <f t="shared" si="135"/>
        <v>0</v>
      </c>
      <c r="CT132" s="435">
        <f t="shared" si="136"/>
        <v>0</v>
      </c>
      <c r="CU132" s="435">
        <f t="shared" si="137"/>
        <v>0</v>
      </c>
      <c r="CV132" s="435">
        <f t="shared" si="138"/>
        <v>0</v>
      </c>
      <c r="CW132" s="435">
        <f t="shared" si="139"/>
        <v>0</v>
      </c>
      <c r="CX132" s="436"/>
    </row>
    <row r="133" spans="1:102" ht="15" customHeight="1" x14ac:dyDescent="0.3">
      <c r="A133" s="6747" t="s">
        <v>1705</v>
      </c>
      <c r="B133" s="6748"/>
      <c r="C133" s="6749"/>
      <c r="D133" s="760">
        <f t="shared" si="121"/>
        <v>0</v>
      </c>
      <c r="E133" s="479">
        <f t="shared" si="141"/>
        <v>0</v>
      </c>
      <c r="F133" s="560">
        <f t="shared" si="142"/>
        <v>0</v>
      </c>
      <c r="G133" s="346"/>
      <c r="H133" s="350"/>
      <c r="I133" s="346"/>
      <c r="J133" s="349"/>
      <c r="K133" s="346"/>
      <c r="L133" s="350"/>
      <c r="M133" s="346"/>
      <c r="N133" s="350"/>
      <c r="O133" s="348"/>
      <c r="P133" s="350"/>
      <c r="Q133" s="348"/>
      <c r="R133" s="350"/>
      <c r="S133" s="348"/>
      <c r="T133" s="350"/>
      <c r="U133" s="348"/>
      <c r="V133" s="350"/>
      <c r="W133" s="348"/>
      <c r="X133" s="350"/>
      <c r="Y133" s="348"/>
      <c r="Z133" s="350"/>
      <c r="AA133" s="348"/>
      <c r="AB133" s="350"/>
      <c r="AC133" s="348"/>
      <c r="AD133" s="350"/>
      <c r="AE133" s="348"/>
      <c r="AF133" s="350"/>
      <c r="AG133" s="348"/>
      <c r="AH133" s="350"/>
      <c r="AI133" s="348"/>
      <c r="AJ133" s="350"/>
      <c r="AK133" s="348"/>
      <c r="AL133" s="350"/>
      <c r="AM133" s="348"/>
      <c r="AN133" s="352"/>
      <c r="AO133" s="430"/>
      <c r="AP133" s="369"/>
      <c r="AQ133" s="369"/>
      <c r="AR133" s="369"/>
      <c r="AS133" s="369"/>
      <c r="AT133" s="369"/>
      <c r="AU133" s="369"/>
      <c r="AV133" s="369"/>
      <c r="AW133" s="369"/>
      <c r="AX133" s="687"/>
      <c r="AY133" t="str">
        <f t="shared" si="112"/>
        <v/>
      </c>
      <c r="CA133" s="434" t="str">
        <f t="shared" si="140"/>
        <v/>
      </c>
      <c r="CB133" s="434" t="str">
        <f t="shared" si="113"/>
        <v/>
      </c>
      <c r="CC133" s="434" t="str">
        <f t="shared" si="114"/>
        <v/>
      </c>
      <c r="CD133" s="434" t="str">
        <f t="shared" si="115"/>
        <v/>
      </c>
      <c r="CE133" s="434" t="str">
        <f t="shared" si="116"/>
        <v/>
      </c>
      <c r="CF133" s="434" t="str">
        <f t="shared" si="117"/>
        <v/>
      </c>
      <c r="CG133" s="434" t="str">
        <f t="shared" si="118"/>
        <v/>
      </c>
      <c r="CH133" s="434" t="str">
        <f t="shared" si="119"/>
        <v/>
      </c>
      <c r="CI133" s="434" t="str">
        <f t="shared" si="120"/>
        <v/>
      </c>
      <c r="CJ133" s="436"/>
      <c r="CO133" s="435">
        <f t="shared" si="143"/>
        <v>0</v>
      </c>
      <c r="CP133" s="435">
        <f t="shared" si="133"/>
        <v>0</v>
      </c>
      <c r="CQ133" s="435">
        <f t="shared" si="134"/>
        <v>0</v>
      </c>
      <c r="CR133" s="435">
        <f t="shared" si="126"/>
        <v>0</v>
      </c>
      <c r="CS133" s="435">
        <f t="shared" si="135"/>
        <v>0</v>
      </c>
      <c r="CT133" s="435">
        <f t="shared" si="136"/>
        <v>0</v>
      </c>
      <c r="CU133" s="435">
        <f t="shared" si="137"/>
        <v>0</v>
      </c>
      <c r="CV133" s="435">
        <f t="shared" si="138"/>
        <v>0</v>
      </c>
      <c r="CW133" s="435">
        <f t="shared" si="139"/>
        <v>0</v>
      </c>
      <c r="CX133" s="436"/>
    </row>
    <row r="134" spans="1:102" ht="15" customHeight="1" x14ac:dyDescent="0.3">
      <c r="A134" s="6747" t="s">
        <v>1706</v>
      </c>
      <c r="B134" s="6748"/>
      <c r="C134" s="6749"/>
      <c r="D134" s="760">
        <f t="shared" si="121"/>
        <v>0</v>
      </c>
      <c r="E134" s="479">
        <f t="shared" si="141"/>
        <v>0</v>
      </c>
      <c r="F134" s="560">
        <f t="shared" si="142"/>
        <v>0</v>
      </c>
      <c r="G134" s="346"/>
      <c r="H134" s="350"/>
      <c r="I134" s="346"/>
      <c r="J134" s="349"/>
      <c r="K134" s="346"/>
      <c r="L134" s="350"/>
      <c r="M134" s="346"/>
      <c r="N134" s="350"/>
      <c r="O134" s="348"/>
      <c r="P134" s="350"/>
      <c r="Q134" s="348"/>
      <c r="R134" s="350"/>
      <c r="S134" s="348"/>
      <c r="T134" s="350"/>
      <c r="U134" s="348"/>
      <c r="V134" s="350"/>
      <c r="W134" s="348"/>
      <c r="X134" s="350"/>
      <c r="Y134" s="348"/>
      <c r="Z134" s="350"/>
      <c r="AA134" s="348"/>
      <c r="AB134" s="350"/>
      <c r="AC134" s="348"/>
      <c r="AD134" s="350"/>
      <c r="AE134" s="348"/>
      <c r="AF134" s="350"/>
      <c r="AG134" s="348"/>
      <c r="AH134" s="350"/>
      <c r="AI134" s="348"/>
      <c r="AJ134" s="350"/>
      <c r="AK134" s="348"/>
      <c r="AL134" s="350"/>
      <c r="AM134" s="348"/>
      <c r="AN134" s="352"/>
      <c r="AO134" s="430"/>
      <c r="AP134" s="369"/>
      <c r="AQ134" s="369"/>
      <c r="AR134" s="369"/>
      <c r="AS134" s="369"/>
      <c r="AT134" s="369"/>
      <c r="AU134" s="369"/>
      <c r="AV134" s="369"/>
      <c r="AW134" s="369"/>
      <c r="AX134" s="687"/>
      <c r="AY134" t="str">
        <f t="shared" si="112"/>
        <v/>
      </c>
      <c r="CA134" s="434" t="str">
        <f t="shared" si="140"/>
        <v/>
      </c>
      <c r="CB134" s="434" t="str">
        <f t="shared" si="113"/>
        <v/>
      </c>
      <c r="CC134" s="434" t="str">
        <f t="shared" si="114"/>
        <v/>
      </c>
      <c r="CD134" s="434" t="str">
        <f t="shared" si="115"/>
        <v/>
      </c>
      <c r="CE134" s="434" t="str">
        <f t="shared" si="116"/>
        <v/>
      </c>
      <c r="CF134" s="434" t="str">
        <f t="shared" si="117"/>
        <v/>
      </c>
      <c r="CG134" s="434" t="str">
        <f t="shared" si="118"/>
        <v/>
      </c>
      <c r="CH134" s="434" t="str">
        <f t="shared" si="119"/>
        <v/>
      </c>
      <c r="CI134" s="434" t="str">
        <f t="shared" si="120"/>
        <v/>
      </c>
      <c r="CJ134" s="436"/>
      <c r="CO134" s="435">
        <f t="shared" si="143"/>
        <v>0</v>
      </c>
      <c r="CP134" s="435">
        <f t="shared" si="133"/>
        <v>0</v>
      </c>
      <c r="CQ134" s="435">
        <f t="shared" si="134"/>
        <v>0</v>
      </c>
      <c r="CR134" s="435">
        <f t="shared" si="126"/>
        <v>0</v>
      </c>
      <c r="CS134" s="435">
        <f t="shared" si="135"/>
        <v>0</v>
      </c>
      <c r="CT134" s="435">
        <f t="shared" si="136"/>
        <v>0</v>
      </c>
      <c r="CU134" s="435">
        <f t="shared" si="137"/>
        <v>0</v>
      </c>
      <c r="CV134" s="435">
        <f t="shared" si="138"/>
        <v>0</v>
      </c>
      <c r="CW134" s="435">
        <f t="shared" si="139"/>
        <v>0</v>
      </c>
      <c r="CX134" s="436"/>
    </row>
    <row r="135" spans="1:102" ht="15" customHeight="1" x14ac:dyDescent="0.3">
      <c r="A135" s="6747" t="s">
        <v>1707</v>
      </c>
      <c r="B135" s="6748"/>
      <c r="C135" s="6749"/>
      <c r="D135" s="760">
        <f t="shared" si="121"/>
        <v>0</v>
      </c>
      <c r="E135" s="479">
        <f t="shared" si="141"/>
        <v>0</v>
      </c>
      <c r="F135" s="560">
        <f t="shared" si="142"/>
        <v>0</v>
      </c>
      <c r="G135" s="192"/>
      <c r="H135" s="383"/>
      <c r="I135" s="192"/>
      <c r="J135" s="1123"/>
      <c r="K135" s="192"/>
      <c r="L135" s="350"/>
      <c r="M135" s="346"/>
      <c r="N135" s="350"/>
      <c r="O135" s="348"/>
      <c r="P135" s="350"/>
      <c r="Q135" s="348"/>
      <c r="R135" s="350"/>
      <c r="S135" s="348"/>
      <c r="T135" s="350"/>
      <c r="U135" s="348"/>
      <c r="V135" s="350"/>
      <c r="W135" s="348"/>
      <c r="X135" s="350"/>
      <c r="Y135" s="348"/>
      <c r="Z135" s="350"/>
      <c r="AA135" s="348"/>
      <c r="AB135" s="350"/>
      <c r="AC135" s="348"/>
      <c r="AD135" s="350"/>
      <c r="AE135" s="348"/>
      <c r="AF135" s="350"/>
      <c r="AG135" s="348"/>
      <c r="AH135" s="350"/>
      <c r="AI135" s="348"/>
      <c r="AJ135" s="350"/>
      <c r="AK135" s="348"/>
      <c r="AL135" s="350"/>
      <c r="AM135" s="348"/>
      <c r="AN135" s="352"/>
      <c r="AO135" s="430"/>
      <c r="AP135" s="594"/>
      <c r="AQ135" s="369"/>
      <c r="AR135" s="369"/>
      <c r="AS135" s="594"/>
      <c r="AT135" s="369"/>
      <c r="AU135" s="369"/>
      <c r="AV135" s="369"/>
      <c r="AW135" s="369"/>
      <c r="AX135" s="687"/>
      <c r="AY135" t="str">
        <f t="shared" si="112"/>
        <v/>
      </c>
      <c r="CA135" s="434" t="str">
        <f t="shared" si="140"/>
        <v/>
      </c>
      <c r="CB135" s="434" t="str">
        <f t="shared" si="113"/>
        <v/>
      </c>
      <c r="CC135" s="434" t="str">
        <f t="shared" si="114"/>
        <v/>
      </c>
      <c r="CD135" s="434" t="str">
        <f t="shared" si="115"/>
        <v/>
      </c>
      <c r="CE135" s="434" t="str">
        <f t="shared" si="116"/>
        <v/>
      </c>
      <c r="CF135" s="434" t="str">
        <f t="shared" si="117"/>
        <v/>
      </c>
      <c r="CG135" s="434" t="str">
        <f t="shared" si="118"/>
        <v/>
      </c>
      <c r="CH135" s="434" t="str">
        <f t="shared" si="119"/>
        <v/>
      </c>
      <c r="CI135" s="434" t="str">
        <f t="shared" si="120"/>
        <v/>
      </c>
      <c r="CJ135" s="436"/>
      <c r="CO135" s="435">
        <f t="shared" si="143"/>
        <v>0</v>
      </c>
      <c r="CP135" s="435">
        <f t="shared" si="133"/>
        <v>0</v>
      </c>
      <c r="CQ135" s="435">
        <f t="shared" si="134"/>
        <v>0</v>
      </c>
      <c r="CR135" s="435">
        <f t="shared" si="126"/>
        <v>0</v>
      </c>
      <c r="CS135" s="435">
        <f t="shared" si="135"/>
        <v>0</v>
      </c>
      <c r="CT135" s="435">
        <f t="shared" si="136"/>
        <v>0</v>
      </c>
      <c r="CU135" s="435">
        <f t="shared" si="137"/>
        <v>0</v>
      </c>
      <c r="CV135" s="435">
        <f t="shared" si="138"/>
        <v>0</v>
      </c>
      <c r="CW135" s="435">
        <f t="shared" si="139"/>
        <v>0</v>
      </c>
      <c r="CX135" s="436"/>
    </row>
    <row r="136" spans="1:102" ht="15" customHeight="1" x14ac:dyDescent="0.3">
      <c r="A136" s="6747" t="s">
        <v>1708</v>
      </c>
      <c r="B136" s="6748"/>
      <c r="C136" s="6749"/>
      <c r="D136" s="760">
        <f t="shared" si="121"/>
        <v>0</v>
      </c>
      <c r="E136" s="479">
        <f t="shared" si="141"/>
        <v>0</v>
      </c>
      <c r="F136" s="560">
        <f t="shared" si="142"/>
        <v>0</v>
      </c>
      <c r="G136" s="192"/>
      <c r="H136" s="383"/>
      <c r="I136" s="192"/>
      <c r="J136" s="1123"/>
      <c r="K136" s="192"/>
      <c r="L136" s="350"/>
      <c r="M136" s="346"/>
      <c r="N136" s="350"/>
      <c r="O136" s="348"/>
      <c r="P136" s="350"/>
      <c r="Q136" s="348"/>
      <c r="R136" s="350"/>
      <c r="S136" s="348"/>
      <c r="T136" s="350"/>
      <c r="U136" s="348"/>
      <c r="V136" s="350"/>
      <c r="W136" s="348"/>
      <c r="X136" s="350"/>
      <c r="Y136" s="348"/>
      <c r="Z136" s="350"/>
      <c r="AA136" s="348"/>
      <c r="AB136" s="350"/>
      <c r="AC136" s="348"/>
      <c r="AD136" s="350"/>
      <c r="AE136" s="348"/>
      <c r="AF136" s="350"/>
      <c r="AG136" s="348"/>
      <c r="AH136" s="350"/>
      <c r="AI136" s="348"/>
      <c r="AJ136" s="350"/>
      <c r="AK136" s="348"/>
      <c r="AL136" s="350"/>
      <c r="AM136" s="348"/>
      <c r="AN136" s="352"/>
      <c r="AO136" s="430"/>
      <c r="AP136" s="594"/>
      <c r="AQ136" s="369"/>
      <c r="AR136" s="369"/>
      <c r="AS136" s="594"/>
      <c r="AT136" s="369"/>
      <c r="AU136" s="369"/>
      <c r="AV136" s="369"/>
      <c r="AW136" s="369"/>
      <c r="AX136" s="687"/>
      <c r="AY136" t="str">
        <f t="shared" si="112"/>
        <v/>
      </c>
      <c r="CA136" s="434" t="str">
        <f t="shared" si="140"/>
        <v/>
      </c>
      <c r="CB136" s="434" t="str">
        <f t="shared" si="113"/>
        <v/>
      </c>
      <c r="CC136" s="434" t="str">
        <f t="shared" si="114"/>
        <v/>
      </c>
      <c r="CD136" s="434" t="str">
        <f t="shared" si="115"/>
        <v/>
      </c>
      <c r="CE136" s="434" t="str">
        <f t="shared" si="116"/>
        <v/>
      </c>
      <c r="CF136" s="434" t="str">
        <f t="shared" si="117"/>
        <v/>
      </c>
      <c r="CG136" s="434" t="str">
        <f t="shared" si="118"/>
        <v/>
      </c>
      <c r="CH136" s="434" t="str">
        <f t="shared" si="119"/>
        <v/>
      </c>
      <c r="CI136" s="434" t="str">
        <f t="shared" si="120"/>
        <v/>
      </c>
      <c r="CJ136" s="436"/>
      <c r="CO136" s="435">
        <f t="shared" si="143"/>
        <v>0</v>
      </c>
      <c r="CP136" s="435">
        <f t="shared" si="133"/>
        <v>0</v>
      </c>
      <c r="CQ136" s="435">
        <f t="shared" si="134"/>
        <v>0</v>
      </c>
      <c r="CR136" s="435">
        <f t="shared" si="126"/>
        <v>0</v>
      </c>
      <c r="CS136" s="435">
        <f t="shared" si="135"/>
        <v>0</v>
      </c>
      <c r="CT136" s="435">
        <f t="shared" si="136"/>
        <v>0</v>
      </c>
      <c r="CU136" s="435">
        <f t="shared" si="137"/>
        <v>0</v>
      </c>
      <c r="CV136" s="435">
        <f t="shared" si="138"/>
        <v>0</v>
      </c>
      <c r="CW136" s="435">
        <f t="shared" si="139"/>
        <v>0</v>
      </c>
      <c r="CX136" s="436"/>
    </row>
    <row r="137" spans="1:102" ht="15" customHeight="1" x14ac:dyDescent="0.3">
      <c r="A137" s="6747" t="s">
        <v>1709</v>
      </c>
      <c r="B137" s="6748"/>
      <c r="C137" s="6749"/>
      <c r="D137" s="760">
        <f t="shared" si="121"/>
        <v>0</v>
      </c>
      <c r="E137" s="479">
        <f t="shared" si="141"/>
        <v>0</v>
      </c>
      <c r="F137" s="560">
        <f t="shared" si="142"/>
        <v>0</v>
      </c>
      <c r="G137" s="192"/>
      <c r="H137" s="383"/>
      <c r="I137" s="192"/>
      <c r="J137" s="1123"/>
      <c r="K137" s="192"/>
      <c r="L137" s="350"/>
      <c r="M137" s="346"/>
      <c r="N137" s="350"/>
      <c r="O137" s="348"/>
      <c r="P137" s="350"/>
      <c r="Q137" s="348"/>
      <c r="R137" s="350"/>
      <c r="S137" s="348"/>
      <c r="T137" s="350"/>
      <c r="U137" s="348"/>
      <c r="V137" s="350"/>
      <c r="W137" s="348"/>
      <c r="X137" s="350"/>
      <c r="Y137" s="348"/>
      <c r="Z137" s="350"/>
      <c r="AA137" s="348"/>
      <c r="AB137" s="350"/>
      <c r="AC137" s="348"/>
      <c r="AD137" s="350"/>
      <c r="AE137" s="348"/>
      <c r="AF137" s="350"/>
      <c r="AG137" s="348"/>
      <c r="AH137" s="350"/>
      <c r="AI137" s="348"/>
      <c r="AJ137" s="350"/>
      <c r="AK137" s="348"/>
      <c r="AL137" s="350"/>
      <c r="AM137" s="348"/>
      <c r="AN137" s="352"/>
      <c r="AO137" s="430"/>
      <c r="AP137" s="594"/>
      <c r="AQ137" s="369"/>
      <c r="AR137" s="369"/>
      <c r="AS137" s="594"/>
      <c r="AT137" s="369"/>
      <c r="AU137" s="369"/>
      <c r="AV137" s="369"/>
      <c r="AW137" s="369"/>
      <c r="AX137" s="687"/>
      <c r="AY137" t="str">
        <f t="shared" si="112"/>
        <v/>
      </c>
      <c r="CA137" s="434" t="str">
        <f t="shared" si="140"/>
        <v/>
      </c>
      <c r="CB137" s="434" t="str">
        <f t="shared" si="113"/>
        <v/>
      </c>
      <c r="CC137" s="434" t="str">
        <f t="shared" si="114"/>
        <v/>
      </c>
      <c r="CD137" s="434" t="str">
        <f t="shared" si="115"/>
        <v/>
      </c>
      <c r="CE137" s="434" t="str">
        <f t="shared" si="116"/>
        <v/>
      </c>
      <c r="CF137" s="434" t="str">
        <f t="shared" si="117"/>
        <v/>
      </c>
      <c r="CG137" s="434" t="str">
        <f t="shared" si="118"/>
        <v/>
      </c>
      <c r="CH137" s="434" t="str">
        <f t="shared" si="119"/>
        <v/>
      </c>
      <c r="CI137" s="434" t="str">
        <f t="shared" si="120"/>
        <v/>
      </c>
      <c r="CJ137" s="436"/>
      <c r="CO137" s="435">
        <f t="shared" si="143"/>
        <v>0</v>
      </c>
      <c r="CP137" s="435">
        <f t="shared" si="133"/>
        <v>0</v>
      </c>
      <c r="CQ137" s="435">
        <f t="shared" si="134"/>
        <v>0</v>
      </c>
      <c r="CR137" s="435">
        <f t="shared" si="126"/>
        <v>0</v>
      </c>
      <c r="CS137" s="435">
        <f t="shared" si="135"/>
        <v>0</v>
      </c>
      <c r="CT137" s="435">
        <f t="shared" si="136"/>
        <v>0</v>
      </c>
      <c r="CU137" s="435">
        <f t="shared" si="137"/>
        <v>0</v>
      </c>
      <c r="CV137" s="435">
        <f t="shared" si="138"/>
        <v>0</v>
      </c>
      <c r="CW137" s="435">
        <f t="shared" si="139"/>
        <v>0</v>
      </c>
      <c r="CX137" s="436"/>
    </row>
    <row r="138" spans="1:102" ht="15" customHeight="1" x14ac:dyDescent="0.3">
      <c r="A138" s="6747" t="s">
        <v>1710</v>
      </c>
      <c r="B138" s="6748"/>
      <c r="C138" s="6749"/>
      <c r="D138" s="760">
        <f t="shared" si="121"/>
        <v>0</v>
      </c>
      <c r="E138" s="479">
        <f t="shared" si="141"/>
        <v>0</v>
      </c>
      <c r="F138" s="560">
        <f t="shared" si="142"/>
        <v>0</v>
      </c>
      <c r="G138" s="192"/>
      <c r="H138" s="383"/>
      <c r="I138" s="192"/>
      <c r="J138" s="1123"/>
      <c r="K138" s="192"/>
      <c r="L138" s="350"/>
      <c r="M138" s="346"/>
      <c r="N138" s="350"/>
      <c r="O138" s="348"/>
      <c r="P138" s="350"/>
      <c r="Q138" s="348"/>
      <c r="R138" s="350"/>
      <c r="S138" s="348"/>
      <c r="T138" s="350"/>
      <c r="U138" s="348"/>
      <c r="V138" s="350"/>
      <c r="W138" s="348"/>
      <c r="X138" s="350"/>
      <c r="Y138" s="348"/>
      <c r="Z138" s="350"/>
      <c r="AA138" s="348"/>
      <c r="AB138" s="350"/>
      <c r="AC138" s="348"/>
      <c r="AD138" s="350"/>
      <c r="AE138" s="348"/>
      <c r="AF138" s="350"/>
      <c r="AG138" s="348"/>
      <c r="AH138" s="350"/>
      <c r="AI138" s="348"/>
      <c r="AJ138" s="350"/>
      <c r="AK138" s="348"/>
      <c r="AL138" s="350"/>
      <c r="AM138" s="348"/>
      <c r="AN138" s="352"/>
      <c r="AO138" s="430"/>
      <c r="AP138" s="594"/>
      <c r="AQ138" s="369"/>
      <c r="AR138" s="369"/>
      <c r="AS138" s="594"/>
      <c r="AT138" s="369"/>
      <c r="AU138" s="369"/>
      <c r="AV138" s="369"/>
      <c r="AW138" s="369"/>
      <c r="AX138" s="347"/>
      <c r="AY138" t="str">
        <f t="shared" si="112"/>
        <v/>
      </c>
      <c r="CA138" s="434" t="str">
        <f t="shared" si="140"/>
        <v/>
      </c>
      <c r="CB138" s="434" t="str">
        <f t="shared" si="113"/>
        <v/>
      </c>
      <c r="CC138" s="434" t="str">
        <f t="shared" si="114"/>
        <v/>
      </c>
      <c r="CD138" s="434" t="str">
        <f t="shared" si="115"/>
        <v/>
      </c>
      <c r="CE138" s="434" t="str">
        <f t="shared" si="116"/>
        <v/>
      </c>
      <c r="CF138" s="434" t="str">
        <f t="shared" si="117"/>
        <v/>
      </c>
      <c r="CG138" s="434" t="str">
        <f t="shared" si="118"/>
        <v/>
      </c>
      <c r="CH138" s="434" t="str">
        <f t="shared" si="119"/>
        <v/>
      </c>
      <c r="CI138" s="434" t="str">
        <f t="shared" si="120"/>
        <v/>
      </c>
      <c r="CJ138" s="434" t="str">
        <f t="shared" si="122"/>
        <v/>
      </c>
      <c r="CO138" s="435">
        <f t="shared" si="143"/>
        <v>0</v>
      </c>
      <c r="CP138" s="435">
        <f t="shared" si="133"/>
        <v>0</v>
      </c>
      <c r="CQ138" s="435">
        <f t="shared" si="134"/>
        <v>0</v>
      </c>
      <c r="CR138" s="435">
        <f t="shared" si="126"/>
        <v>0</v>
      </c>
      <c r="CS138" s="435">
        <f t="shared" si="135"/>
        <v>0</v>
      </c>
      <c r="CT138" s="435">
        <f t="shared" si="136"/>
        <v>0</v>
      </c>
      <c r="CU138" s="435">
        <f t="shared" si="137"/>
        <v>0</v>
      </c>
      <c r="CV138" s="435">
        <f t="shared" si="138"/>
        <v>0</v>
      </c>
      <c r="CW138" s="435">
        <f t="shared" si="139"/>
        <v>0</v>
      </c>
      <c r="CX138" s="435">
        <f>IF(AND($D138&gt;0,AX138=""),1,IF(AX138&gt;$D138,1,0))</f>
        <v>0</v>
      </c>
    </row>
    <row r="139" spans="1:102" ht="15" customHeight="1" x14ac:dyDescent="0.3">
      <c r="A139" s="6747" t="s">
        <v>1711</v>
      </c>
      <c r="B139" s="6748"/>
      <c r="C139" s="6749"/>
      <c r="D139" s="760">
        <f t="shared" si="121"/>
        <v>0</v>
      </c>
      <c r="E139" s="479">
        <f t="shared" si="141"/>
        <v>0</v>
      </c>
      <c r="F139" s="560">
        <f t="shared" si="142"/>
        <v>0</v>
      </c>
      <c r="G139" s="3686"/>
      <c r="H139" s="383"/>
      <c r="I139" s="192"/>
      <c r="J139" s="1123"/>
      <c r="K139" s="192"/>
      <c r="L139" s="350"/>
      <c r="M139" s="346"/>
      <c r="N139" s="350"/>
      <c r="O139" s="348"/>
      <c r="P139" s="350"/>
      <c r="Q139" s="348"/>
      <c r="R139" s="350"/>
      <c r="S139" s="348"/>
      <c r="T139" s="350"/>
      <c r="U139" s="348"/>
      <c r="V139" s="350"/>
      <c r="W139" s="348"/>
      <c r="X139" s="350"/>
      <c r="Y139" s="348"/>
      <c r="Z139" s="350"/>
      <c r="AA139" s="348"/>
      <c r="AB139" s="350"/>
      <c r="AC139" s="348"/>
      <c r="AD139" s="350"/>
      <c r="AE139" s="348"/>
      <c r="AF139" s="350"/>
      <c r="AG139" s="348"/>
      <c r="AH139" s="350"/>
      <c r="AI139" s="348"/>
      <c r="AJ139" s="350"/>
      <c r="AK139" s="348"/>
      <c r="AL139" s="350"/>
      <c r="AM139" s="348"/>
      <c r="AN139" s="352"/>
      <c r="AO139" s="430"/>
      <c r="AP139" s="594"/>
      <c r="AQ139" s="369"/>
      <c r="AR139" s="369"/>
      <c r="AS139" s="594"/>
      <c r="AT139" s="369"/>
      <c r="AU139" s="369"/>
      <c r="AV139" s="369"/>
      <c r="AW139" s="369"/>
      <c r="AX139" s="347"/>
      <c r="AY139" t="str">
        <f t="shared" si="112"/>
        <v/>
      </c>
      <c r="CA139" s="434" t="str">
        <f t="shared" si="140"/>
        <v/>
      </c>
      <c r="CB139" s="434" t="str">
        <f t="shared" si="113"/>
        <v/>
      </c>
      <c r="CC139" s="434" t="str">
        <f t="shared" si="114"/>
        <v/>
      </c>
      <c r="CD139" s="434" t="str">
        <f t="shared" si="115"/>
        <v/>
      </c>
      <c r="CE139" s="434" t="str">
        <f t="shared" si="116"/>
        <v/>
      </c>
      <c r="CF139" s="434" t="str">
        <f t="shared" si="117"/>
        <v/>
      </c>
      <c r="CG139" s="434" t="str">
        <f t="shared" si="118"/>
        <v/>
      </c>
      <c r="CH139" s="434" t="str">
        <f t="shared" si="119"/>
        <v/>
      </c>
      <c r="CI139" s="434" t="str">
        <f t="shared" si="120"/>
        <v/>
      </c>
      <c r="CJ139" s="434" t="str">
        <f t="shared" si="122"/>
        <v/>
      </c>
      <c r="CO139" s="435">
        <f t="shared" si="143"/>
        <v>0</v>
      </c>
      <c r="CP139" s="435">
        <f t="shared" si="133"/>
        <v>0</v>
      </c>
      <c r="CQ139" s="435">
        <f t="shared" si="134"/>
        <v>0</v>
      </c>
      <c r="CR139" s="435">
        <f t="shared" si="126"/>
        <v>0</v>
      </c>
      <c r="CS139" s="435">
        <f t="shared" si="135"/>
        <v>0</v>
      </c>
      <c r="CT139" s="435">
        <f t="shared" si="136"/>
        <v>0</v>
      </c>
      <c r="CU139" s="435">
        <f t="shared" si="137"/>
        <v>0</v>
      </c>
      <c r="CV139" s="435">
        <f t="shared" si="138"/>
        <v>0</v>
      </c>
      <c r="CW139" s="435">
        <f t="shared" si="139"/>
        <v>0</v>
      </c>
      <c r="CX139" s="435">
        <f>IF(AND($D139&gt;0,AX139=""),1,IF(AX139&gt;$D139,1,0))</f>
        <v>0</v>
      </c>
    </row>
    <row r="140" spans="1:102" ht="15" customHeight="1" x14ac:dyDescent="0.3">
      <c r="A140" s="3674" t="s">
        <v>1712</v>
      </c>
      <c r="B140" s="3675"/>
      <c r="C140" s="3676"/>
      <c r="D140" s="760">
        <f t="shared" si="121"/>
        <v>0</v>
      </c>
      <c r="E140" s="479">
        <f t="shared" si="141"/>
        <v>0</v>
      </c>
      <c r="F140" s="560">
        <f t="shared" si="142"/>
        <v>0</v>
      </c>
      <c r="G140" s="192"/>
      <c r="H140" s="383"/>
      <c r="I140" s="192"/>
      <c r="J140" s="1123"/>
      <c r="K140" s="192"/>
      <c r="L140" s="350"/>
      <c r="M140" s="346"/>
      <c r="N140" s="350"/>
      <c r="O140" s="348"/>
      <c r="P140" s="350"/>
      <c r="Q140" s="348"/>
      <c r="R140" s="350"/>
      <c r="S140" s="348"/>
      <c r="T140" s="350"/>
      <c r="U140" s="348"/>
      <c r="V140" s="350"/>
      <c r="W140" s="348"/>
      <c r="X140" s="350"/>
      <c r="Y140" s="348"/>
      <c r="Z140" s="350"/>
      <c r="AA140" s="348"/>
      <c r="AB140" s="350"/>
      <c r="AC140" s="348"/>
      <c r="AD140" s="350"/>
      <c r="AE140" s="348"/>
      <c r="AF140" s="350"/>
      <c r="AG140" s="348"/>
      <c r="AH140" s="350"/>
      <c r="AI140" s="348"/>
      <c r="AJ140" s="350"/>
      <c r="AK140" s="348"/>
      <c r="AL140" s="350"/>
      <c r="AM140" s="348"/>
      <c r="AN140" s="352"/>
      <c r="AO140" s="430"/>
      <c r="AP140" s="594"/>
      <c r="AQ140" s="369"/>
      <c r="AR140" s="369"/>
      <c r="AS140" s="594"/>
      <c r="AT140" s="369"/>
      <c r="AU140" s="369"/>
      <c r="AV140" s="369"/>
      <c r="AW140" s="369"/>
      <c r="AX140" s="687"/>
      <c r="AY140" t="str">
        <f t="shared" si="112"/>
        <v/>
      </c>
      <c r="CA140" s="434" t="str">
        <f t="shared" si="140"/>
        <v/>
      </c>
      <c r="CB140" s="434" t="str">
        <f t="shared" si="113"/>
        <v/>
      </c>
      <c r="CC140" s="434" t="str">
        <f t="shared" si="114"/>
        <v/>
      </c>
      <c r="CD140" s="434" t="str">
        <f t="shared" si="115"/>
        <v/>
      </c>
      <c r="CE140" s="434" t="str">
        <f t="shared" si="116"/>
        <v/>
      </c>
      <c r="CF140" s="434" t="str">
        <f t="shared" si="117"/>
        <v/>
      </c>
      <c r="CG140" s="434" t="str">
        <f t="shared" si="118"/>
        <v/>
      </c>
      <c r="CH140" s="434" t="str">
        <f t="shared" si="119"/>
        <v/>
      </c>
      <c r="CI140" s="434" t="str">
        <f t="shared" si="120"/>
        <v/>
      </c>
      <c r="CJ140" s="436"/>
      <c r="CO140" s="435">
        <f t="shared" si="143"/>
        <v>0</v>
      </c>
      <c r="CP140" s="435">
        <f t="shared" si="133"/>
        <v>0</v>
      </c>
      <c r="CQ140" s="435">
        <f t="shared" si="134"/>
        <v>0</v>
      </c>
      <c r="CR140" s="435">
        <f t="shared" si="126"/>
        <v>0</v>
      </c>
      <c r="CS140" s="435">
        <f t="shared" si="135"/>
        <v>0</v>
      </c>
      <c r="CT140" s="435">
        <f t="shared" si="136"/>
        <v>0</v>
      </c>
      <c r="CU140" s="435">
        <f t="shared" si="137"/>
        <v>0</v>
      </c>
      <c r="CV140" s="435">
        <f t="shared" si="138"/>
        <v>0</v>
      </c>
      <c r="CW140" s="435">
        <f t="shared" si="139"/>
        <v>0</v>
      </c>
      <c r="CX140" s="436"/>
    </row>
    <row r="141" spans="1:102" ht="15" customHeight="1" x14ac:dyDescent="0.3">
      <c r="A141" s="6747" t="s">
        <v>1713</v>
      </c>
      <c r="B141" s="6748"/>
      <c r="C141" s="6749"/>
      <c r="D141" s="760">
        <f t="shared" si="121"/>
        <v>0</v>
      </c>
      <c r="E141" s="479">
        <f t="shared" si="141"/>
        <v>0</v>
      </c>
      <c r="F141" s="560">
        <f t="shared" si="142"/>
        <v>0</v>
      </c>
      <c r="G141" s="3681"/>
      <c r="H141" s="3682"/>
      <c r="I141" s="3681"/>
      <c r="J141" s="349"/>
      <c r="K141" s="346"/>
      <c r="L141" s="350"/>
      <c r="M141" s="346"/>
      <c r="N141" s="350"/>
      <c r="O141" s="348"/>
      <c r="P141" s="350"/>
      <c r="Q141" s="348"/>
      <c r="R141" s="350"/>
      <c r="S141" s="348"/>
      <c r="T141" s="350"/>
      <c r="U141" s="348"/>
      <c r="V141" s="350"/>
      <c r="W141" s="348"/>
      <c r="X141" s="350"/>
      <c r="Y141" s="348"/>
      <c r="Z141" s="350"/>
      <c r="AA141" s="348"/>
      <c r="AB141" s="350"/>
      <c r="AC141" s="348"/>
      <c r="AD141" s="350"/>
      <c r="AE141" s="348"/>
      <c r="AF141" s="350"/>
      <c r="AG141" s="348"/>
      <c r="AH141" s="350"/>
      <c r="AI141" s="348"/>
      <c r="AJ141" s="350"/>
      <c r="AK141" s="348"/>
      <c r="AL141" s="350"/>
      <c r="AM141" s="348"/>
      <c r="AN141" s="352"/>
      <c r="AO141" s="430"/>
      <c r="AP141" s="369"/>
      <c r="AQ141" s="369"/>
      <c r="AR141" s="369"/>
      <c r="AS141" s="369"/>
      <c r="AT141" s="369"/>
      <c r="AU141" s="369"/>
      <c r="AV141" s="369"/>
      <c r="AW141" s="369"/>
      <c r="AX141" s="347"/>
      <c r="AY141" t="str">
        <f t="shared" si="112"/>
        <v/>
      </c>
      <c r="CA141" s="434" t="str">
        <f t="shared" si="140"/>
        <v/>
      </c>
      <c r="CB141" s="434" t="str">
        <f t="shared" si="113"/>
        <v/>
      </c>
      <c r="CC141" s="434" t="str">
        <f t="shared" si="114"/>
        <v/>
      </c>
      <c r="CD141" s="434" t="str">
        <f t="shared" si="115"/>
        <v/>
      </c>
      <c r="CE141" s="434" t="str">
        <f t="shared" si="116"/>
        <v/>
      </c>
      <c r="CF141" s="434" t="str">
        <f t="shared" si="117"/>
        <v/>
      </c>
      <c r="CG141" s="434" t="str">
        <f t="shared" si="118"/>
        <v/>
      </c>
      <c r="CH141" s="434" t="str">
        <f t="shared" si="119"/>
        <v/>
      </c>
      <c r="CI141" s="434" t="str">
        <f t="shared" si="120"/>
        <v/>
      </c>
      <c r="CJ141" s="434" t="str">
        <f t="shared" si="122"/>
        <v/>
      </c>
      <c r="CO141" s="435">
        <f t="shared" si="143"/>
        <v>0</v>
      </c>
      <c r="CP141" s="435">
        <f t="shared" si="133"/>
        <v>0</v>
      </c>
      <c r="CQ141" s="435">
        <f t="shared" si="134"/>
        <v>0</v>
      </c>
      <c r="CR141" s="435">
        <f t="shared" si="126"/>
        <v>0</v>
      </c>
      <c r="CS141" s="435">
        <f t="shared" si="135"/>
        <v>0</v>
      </c>
      <c r="CT141" s="435">
        <f t="shared" si="136"/>
        <v>0</v>
      </c>
      <c r="CU141" s="435">
        <f t="shared" si="137"/>
        <v>0</v>
      </c>
      <c r="CV141" s="435">
        <f t="shared" si="138"/>
        <v>0</v>
      </c>
      <c r="CW141" s="435">
        <f t="shared" si="139"/>
        <v>0</v>
      </c>
      <c r="CX141" s="435">
        <f>IF(AND($D141&gt;0,AX141=""),1,IF(AX141&gt;$D141,1,0))</f>
        <v>0</v>
      </c>
    </row>
    <row r="142" spans="1:102" ht="15" customHeight="1" x14ac:dyDescent="0.3">
      <c r="A142" s="6648" t="s">
        <v>1714</v>
      </c>
      <c r="B142" s="6738"/>
      <c r="C142" s="6649"/>
      <c r="D142" s="724">
        <f>SUM(E142:F142)</f>
        <v>0</v>
      </c>
      <c r="E142" s="484">
        <f t="shared" si="141"/>
        <v>0</v>
      </c>
      <c r="F142" s="563">
        <f t="shared" si="142"/>
        <v>0</v>
      </c>
      <c r="G142" s="3687"/>
      <c r="H142" s="3688"/>
      <c r="I142" s="3687"/>
      <c r="J142" s="3181"/>
      <c r="K142" s="47"/>
      <c r="L142" s="389"/>
      <c r="M142" s="380"/>
      <c r="N142" s="389"/>
      <c r="O142" s="429"/>
      <c r="P142" s="389"/>
      <c r="Q142" s="429"/>
      <c r="R142" s="389"/>
      <c r="S142" s="429"/>
      <c r="T142" s="389"/>
      <c r="U142" s="429"/>
      <c r="V142" s="389"/>
      <c r="W142" s="429"/>
      <c r="X142" s="389"/>
      <c r="Y142" s="429"/>
      <c r="Z142" s="389"/>
      <c r="AA142" s="429"/>
      <c r="AB142" s="389"/>
      <c r="AC142" s="429"/>
      <c r="AD142" s="389"/>
      <c r="AE142" s="429"/>
      <c r="AF142" s="389"/>
      <c r="AG142" s="429"/>
      <c r="AH142" s="389"/>
      <c r="AI142" s="429"/>
      <c r="AJ142" s="389"/>
      <c r="AK142" s="429"/>
      <c r="AL142" s="389"/>
      <c r="AM142" s="429"/>
      <c r="AN142" s="390"/>
      <c r="AO142" s="379"/>
      <c r="AP142" s="369"/>
      <c r="AQ142" s="369"/>
      <c r="AR142" s="369"/>
      <c r="AS142" s="369"/>
      <c r="AT142" s="369"/>
      <c r="AU142" s="242"/>
      <c r="AV142" s="242"/>
      <c r="AW142" s="242"/>
      <c r="AX142" s="42"/>
      <c r="AY142" t="str">
        <f>CA142&amp;CB142&amp;CC142&amp;CD142&amp;CE142&amp;CF142&amp;CG142&amp;CH142&amp;CI142&amp;CJ142</f>
        <v/>
      </c>
      <c r="CA142" s="434" t="str">
        <f t="shared" si="140"/>
        <v/>
      </c>
      <c r="CB142" s="434" t="str">
        <f t="shared" si="113"/>
        <v/>
      </c>
      <c r="CC142" s="434" t="str">
        <f t="shared" si="114"/>
        <v/>
      </c>
      <c r="CD142" s="434" t="str">
        <f t="shared" si="115"/>
        <v/>
      </c>
      <c r="CE142" s="434" t="str">
        <f t="shared" si="116"/>
        <v/>
      </c>
      <c r="CF142" s="434" t="str">
        <f t="shared" si="117"/>
        <v/>
      </c>
      <c r="CG142" s="434" t="str">
        <f t="shared" si="118"/>
        <v/>
      </c>
      <c r="CH142" s="434" t="str">
        <f t="shared" si="119"/>
        <v/>
      </c>
      <c r="CI142" s="434" t="str">
        <f t="shared" si="120"/>
        <v/>
      </c>
      <c r="CJ142" s="434" t="str">
        <f t="shared" si="122"/>
        <v/>
      </c>
      <c r="CO142" s="435">
        <f t="shared" si="143"/>
        <v>0</v>
      </c>
      <c r="CP142" s="435">
        <f t="shared" si="133"/>
        <v>0</v>
      </c>
      <c r="CQ142" s="435">
        <f t="shared" si="134"/>
        <v>0</v>
      </c>
      <c r="CR142" s="435">
        <f t="shared" si="126"/>
        <v>0</v>
      </c>
      <c r="CS142" s="435">
        <f t="shared" si="135"/>
        <v>0</v>
      </c>
      <c r="CT142" s="435">
        <f t="shared" si="136"/>
        <v>0</v>
      </c>
      <c r="CU142" s="435">
        <f t="shared" si="137"/>
        <v>0</v>
      </c>
      <c r="CV142" s="435">
        <f t="shared" si="138"/>
        <v>0</v>
      </c>
      <c r="CW142" s="435">
        <f t="shared" si="139"/>
        <v>0</v>
      </c>
      <c r="CX142" s="435">
        <f>IF(AND($D142&gt;0,AX142=""),1,IF(AX142&gt;$D142,1,0))</f>
        <v>0</v>
      </c>
    </row>
    <row r="143" spans="1:102" ht="15" customHeight="1" x14ac:dyDescent="0.3">
      <c r="A143" s="6688" t="s">
        <v>77</v>
      </c>
      <c r="B143" s="6247"/>
      <c r="C143" s="6277"/>
      <c r="D143" s="3689">
        <f t="shared" si="121"/>
        <v>0</v>
      </c>
      <c r="E143" s="3550">
        <f t="shared" si="141"/>
        <v>0</v>
      </c>
      <c r="F143" s="586">
        <f>SUM(H143+J143+L143+N143+P143+R143+T143+V143+X143+Z143+AB143+AD143+AF143+AH143+AJ143+AL143+AN143)</f>
        <v>0</v>
      </c>
      <c r="G143" s="3689">
        <f>SUM(G91:G103,G105:G109,G115:G117,G120,G128:G142)</f>
        <v>0</v>
      </c>
      <c r="H143" s="3690">
        <f>SUM(H91:H103,H105:H109,H115:H117,H120,H128:H142)</f>
        <v>0</v>
      </c>
      <c r="I143" s="3689">
        <f>SUM(I91:I103,I105:I109,I115:I117,I120,I128:I142)</f>
        <v>0</v>
      </c>
      <c r="J143" s="3691">
        <f>SUM(J91:J103,J105:J109,J115:J117,J120,J128:J142)</f>
        <v>0</v>
      </c>
      <c r="K143" s="3689">
        <f t="shared" ref="K143:P143" si="144">SUM(K91:K103,K105:K109,K115:K117,K119:K120,K128:K142)</f>
        <v>0</v>
      </c>
      <c r="L143" s="3690">
        <f t="shared" si="144"/>
        <v>0</v>
      </c>
      <c r="M143" s="3509">
        <f t="shared" si="144"/>
        <v>0</v>
      </c>
      <c r="N143" s="3510">
        <f t="shared" si="144"/>
        <v>0</v>
      </c>
      <c r="O143" s="3509">
        <f t="shared" si="144"/>
        <v>0</v>
      </c>
      <c r="P143" s="3510">
        <f t="shared" si="144"/>
        <v>0</v>
      </c>
      <c r="Q143" s="3509">
        <f>SUM(Q91:Q103,Q105:Q117,Q119:Q121,Q126,Q128:Q142)</f>
        <v>0</v>
      </c>
      <c r="R143" s="3692">
        <f>SUM(R91:R103,R105:R117,R119:R121,R126,R128:R142)</f>
        <v>0</v>
      </c>
      <c r="S143" s="3509">
        <f t="shared" ref="S143:X143" si="145">SUM(S91:S103,S105:S121,S126,S128:S142)</f>
        <v>0</v>
      </c>
      <c r="T143" s="3510">
        <f t="shared" si="145"/>
        <v>0</v>
      </c>
      <c r="U143" s="3509">
        <f t="shared" si="145"/>
        <v>0</v>
      </c>
      <c r="V143" s="3510">
        <f t="shared" si="145"/>
        <v>0</v>
      </c>
      <c r="W143" s="3509">
        <f t="shared" si="145"/>
        <v>0</v>
      </c>
      <c r="X143" s="3510">
        <f t="shared" si="145"/>
        <v>0</v>
      </c>
      <c r="Y143" s="3509">
        <f>SUM(Y91:Y142)</f>
        <v>0</v>
      </c>
      <c r="Z143" s="3510">
        <f>SUM(Z91:Z142)</f>
        <v>0</v>
      </c>
      <c r="AA143" s="3509">
        <f t="shared" ref="AA143:AN143" si="146">SUM(AA91:AA104,AA106:AA112,AA114:AA142)</f>
        <v>0</v>
      </c>
      <c r="AB143" s="3510">
        <f t="shared" si="146"/>
        <v>0</v>
      </c>
      <c r="AC143" s="3509">
        <f t="shared" si="146"/>
        <v>0</v>
      </c>
      <c r="AD143" s="3510">
        <f t="shared" si="146"/>
        <v>0</v>
      </c>
      <c r="AE143" s="3509">
        <f t="shared" si="146"/>
        <v>0</v>
      </c>
      <c r="AF143" s="3510">
        <f t="shared" si="146"/>
        <v>0</v>
      </c>
      <c r="AG143" s="3509">
        <f t="shared" si="146"/>
        <v>0</v>
      </c>
      <c r="AH143" s="3510">
        <f t="shared" si="146"/>
        <v>0</v>
      </c>
      <c r="AI143" s="3509">
        <f t="shared" si="146"/>
        <v>0</v>
      </c>
      <c r="AJ143" s="3510">
        <f t="shared" si="146"/>
        <v>0</v>
      </c>
      <c r="AK143" s="3509">
        <f t="shared" si="146"/>
        <v>0</v>
      </c>
      <c r="AL143" s="3510">
        <f t="shared" si="146"/>
        <v>0</v>
      </c>
      <c r="AM143" s="3509">
        <f t="shared" si="146"/>
        <v>0</v>
      </c>
      <c r="AN143" s="3510">
        <f t="shared" si="146"/>
        <v>0</v>
      </c>
      <c r="AO143" s="628">
        <f>SUM(AO91:AO103,AO105:AO120,AO128:AO142,AO126)</f>
        <v>0</v>
      </c>
      <c r="AP143" s="625">
        <f>SUM(AP91:AP142)</f>
        <v>0</v>
      </c>
      <c r="AQ143" s="625">
        <f>SUM(AQ91:AQ142)</f>
        <v>0</v>
      </c>
      <c r="AR143" s="625">
        <f>SUM(AR91:AR104,AR106:AR112,AR114:AR142)</f>
        <v>0</v>
      </c>
      <c r="AS143" s="625">
        <f>SUM(AS91:AS142)</f>
        <v>0</v>
      </c>
      <c r="AT143" s="625">
        <f t="shared" ref="AT143:AW143" si="147">SUM(AT91:AT142)</f>
        <v>0</v>
      </c>
      <c r="AU143" s="625">
        <f t="shared" si="147"/>
        <v>0</v>
      </c>
      <c r="AV143" s="625">
        <f t="shared" si="147"/>
        <v>0</v>
      </c>
      <c r="AW143" s="625">
        <f t="shared" si="147"/>
        <v>0</v>
      </c>
      <c r="AX143" s="3510">
        <f>SUM(AX104,AX116,AX121:AX127,AX138:AX139,AX141:AX142)</f>
        <v>0</v>
      </c>
    </row>
    <row r="144" spans="1:102" ht="18" customHeight="1" x14ac:dyDescent="0.3">
      <c r="A144" s="3" t="s">
        <v>1715</v>
      </c>
      <c r="B144" s="53"/>
      <c r="C144" s="53"/>
      <c r="D144" s="3693"/>
      <c r="E144" s="24"/>
      <c r="F144" s="24"/>
      <c r="G144" s="3693"/>
      <c r="H144" s="3693"/>
      <c r="I144" s="3693"/>
      <c r="J144" s="3693"/>
      <c r="K144" s="3693"/>
      <c r="L144" s="3693"/>
      <c r="M144" s="3694"/>
      <c r="N144" s="3694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</row>
    <row r="145" spans="1:50" ht="21.75" customHeight="1" x14ac:dyDescent="0.3">
      <c r="A145" s="6176" t="s">
        <v>1635</v>
      </c>
      <c r="B145" s="6190" t="s">
        <v>1716</v>
      </c>
      <c r="C145" s="6186" t="s">
        <v>1717</v>
      </c>
      <c r="D145" s="6377" t="s">
        <v>1718</v>
      </c>
      <c r="E145" s="6311" t="s">
        <v>1719</v>
      </c>
      <c r="F145" s="6224" t="s">
        <v>1720</v>
      </c>
      <c r="G145" s="6377" t="s">
        <v>1721</v>
      </c>
      <c r="H145" s="6805" t="s">
        <v>1722</v>
      </c>
      <c r="I145" s="6243" t="s">
        <v>1723</v>
      </c>
      <c r="J145" s="6808" t="s">
        <v>1724</v>
      </c>
      <c r="K145" s="6809" t="s">
        <v>1725</v>
      </c>
      <c r="L145" s="6249" t="s">
        <v>1720</v>
      </c>
      <c r="M145" s="6377" t="s">
        <v>1721</v>
      </c>
      <c r="N145" s="6308" t="s">
        <v>1722</v>
      </c>
      <c r="O145" s="166"/>
      <c r="P145" s="166"/>
      <c r="Q145" s="166"/>
      <c r="R145" s="166"/>
      <c r="S145" s="166"/>
      <c r="T145" s="166"/>
      <c r="U145" s="166"/>
      <c r="V145" s="166"/>
      <c r="W145" s="166"/>
      <c r="X145" s="166"/>
      <c r="Y145" s="166"/>
      <c r="Z145" s="166"/>
      <c r="AA145" s="166"/>
      <c r="AB145" s="166"/>
      <c r="AC145" s="166"/>
      <c r="AD145" s="166"/>
      <c r="AE145" s="166"/>
      <c r="AF145" s="166"/>
      <c r="AG145" s="166"/>
      <c r="AH145" s="166"/>
      <c r="AI145" s="166"/>
      <c r="AJ145" s="166"/>
      <c r="AK145" s="166"/>
      <c r="AL145" s="166"/>
      <c r="AM145" s="166"/>
      <c r="AN145" s="166"/>
      <c r="AO145" s="166"/>
      <c r="AP145" s="166"/>
      <c r="AQ145" s="5777"/>
      <c r="AR145" s="5777"/>
      <c r="AS145" s="5777"/>
      <c r="AT145" s="5777"/>
      <c r="AU145" s="5777"/>
      <c r="AV145" s="5777"/>
      <c r="AW145" s="5777"/>
      <c r="AX145" s="5777"/>
    </row>
    <row r="146" spans="1:50" ht="27" customHeight="1" x14ac:dyDescent="0.3">
      <c r="A146" s="5771"/>
      <c r="B146" s="5755"/>
      <c r="C146" s="5834"/>
      <c r="D146" s="6118"/>
      <c r="E146" s="6804"/>
      <c r="F146" s="5837"/>
      <c r="G146" s="6118"/>
      <c r="H146" s="6806"/>
      <c r="I146" s="5759"/>
      <c r="J146" s="6808"/>
      <c r="K146" s="6809"/>
      <c r="L146" s="5766"/>
      <c r="M146" s="6118"/>
      <c r="N146" s="6063"/>
      <c r="O146" s="166"/>
      <c r="P146" s="166"/>
      <c r="Q146" s="166"/>
      <c r="R146" s="166"/>
      <c r="S146" s="166"/>
      <c r="T146" s="166"/>
      <c r="U146" s="166"/>
      <c r="V146" s="166"/>
      <c r="W146" s="166"/>
      <c r="X146" s="166"/>
      <c r="Y146" s="166"/>
      <c r="Z146" s="167"/>
      <c r="AA146" s="166"/>
      <c r="AB146" s="167"/>
      <c r="AC146" s="166"/>
      <c r="AD146" s="167"/>
      <c r="AE146" s="166"/>
      <c r="AF146" s="167"/>
      <c r="AG146" s="166"/>
      <c r="AH146" s="167"/>
      <c r="AI146" s="166"/>
      <c r="AJ146" s="167"/>
      <c r="AK146" s="166"/>
      <c r="AL146" s="167"/>
      <c r="AM146" s="166"/>
      <c r="AN146" s="167"/>
      <c r="AO146" s="166"/>
      <c r="AP146" s="167"/>
      <c r="AQ146" s="5777"/>
      <c r="AR146" s="5777"/>
      <c r="AS146" s="5777"/>
      <c r="AT146" s="5777"/>
      <c r="AU146" s="5777"/>
      <c r="AV146" s="5777"/>
      <c r="AW146" s="5777"/>
      <c r="AX146" s="5777"/>
    </row>
    <row r="147" spans="1:50" ht="22.5" customHeight="1" x14ac:dyDescent="0.3">
      <c r="A147" s="6465"/>
      <c r="B147" s="6471"/>
      <c r="C147" s="6483"/>
      <c r="D147" s="5818"/>
      <c r="E147" s="5956"/>
      <c r="F147" s="6626"/>
      <c r="G147" s="5818"/>
      <c r="H147" s="6807"/>
      <c r="I147" s="6687"/>
      <c r="J147" s="6808"/>
      <c r="K147" s="6809"/>
      <c r="L147" s="5767"/>
      <c r="M147" s="5818"/>
      <c r="N147" s="6645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777"/>
      <c r="AR147" s="5777"/>
      <c r="AS147" s="5777"/>
      <c r="AT147" s="5777"/>
      <c r="AU147" s="5777"/>
      <c r="AV147" s="5777"/>
      <c r="AW147" s="5777"/>
      <c r="AX147" s="5777"/>
    </row>
    <row r="148" spans="1:50" ht="15" customHeight="1" x14ac:dyDescent="0.3">
      <c r="A148" s="3695" t="s">
        <v>1641</v>
      </c>
      <c r="B148" s="3173">
        <f>SUM(C148:E148)</f>
        <v>0</v>
      </c>
      <c r="C148" s="3696"/>
      <c r="D148" s="3697"/>
      <c r="E148" s="3698"/>
      <c r="F148" s="542"/>
      <c r="G148" s="3697"/>
      <c r="H148" s="3699"/>
      <c r="I148" s="223">
        <f>SUM(J148:K148)</f>
        <v>0</v>
      </c>
      <c r="J148" s="3700"/>
      <c r="K148" s="3698"/>
      <c r="L148" s="3678"/>
      <c r="M148" s="3697"/>
      <c r="N148" s="3701"/>
      <c r="P148" s="3336"/>
      <c r="Q148" s="3336"/>
      <c r="R148" s="3336"/>
      <c r="S148" s="3336"/>
      <c r="T148" s="3336"/>
      <c r="U148" s="3336"/>
      <c r="V148" s="3336"/>
      <c r="W148" s="3336"/>
      <c r="X148" s="3336"/>
      <c r="Y148" s="3336"/>
      <c r="Z148" s="3336"/>
      <c r="AA148" s="3336"/>
      <c r="AB148" s="3336"/>
      <c r="AC148" s="3336"/>
      <c r="AD148" s="3336"/>
      <c r="AE148" s="3336"/>
      <c r="AF148" s="3336"/>
      <c r="AG148" s="3336"/>
      <c r="AH148" s="3336"/>
      <c r="AI148" s="3336"/>
      <c r="AJ148" s="3336"/>
      <c r="AK148" s="3336"/>
      <c r="AL148" s="3336"/>
      <c r="AM148" s="3336"/>
      <c r="AN148" s="3336"/>
      <c r="AO148" s="3336"/>
      <c r="AP148" s="3336"/>
      <c r="AQ148" s="3336"/>
      <c r="AR148" s="3336"/>
      <c r="AS148" s="3336"/>
      <c r="AT148" s="3336"/>
      <c r="AU148" s="3336"/>
      <c r="AV148" s="3336"/>
      <c r="AW148" s="3336"/>
      <c r="AX148" s="3336"/>
    </row>
    <row r="149" spans="1:50" ht="15" customHeight="1" x14ac:dyDescent="0.3">
      <c r="A149" s="3695" t="s">
        <v>1671</v>
      </c>
      <c r="B149" s="3178">
        <f t="shared" ref="B149:B157" si="148">SUM(C149:E149)</f>
        <v>0</v>
      </c>
      <c r="C149" s="3702"/>
      <c r="D149" s="3683"/>
      <c r="E149" s="3703"/>
      <c r="F149" s="3685"/>
      <c r="G149" s="3683"/>
      <c r="H149" s="3704"/>
      <c r="I149" s="223">
        <f t="shared" ref="I149:I156" si="149">SUM(J149:K149)</f>
        <v>0</v>
      </c>
      <c r="J149" s="3681"/>
      <c r="K149" s="3703"/>
      <c r="L149" s="3705"/>
      <c r="M149" s="3683"/>
      <c r="N149" s="3706"/>
      <c r="P149" s="3336"/>
      <c r="Q149" s="3336"/>
      <c r="R149" s="3336"/>
      <c r="S149" s="3336"/>
      <c r="T149" s="3336"/>
      <c r="U149" s="3336"/>
      <c r="V149" s="3336"/>
      <c r="W149" s="3336"/>
      <c r="X149" s="3336"/>
      <c r="Y149" s="3336"/>
      <c r="Z149" s="3336"/>
      <c r="AA149" s="3336"/>
      <c r="AB149" s="3336"/>
      <c r="AC149" s="3336"/>
      <c r="AD149" s="3336"/>
      <c r="AE149" s="3336"/>
      <c r="AF149" s="3336"/>
      <c r="AG149" s="3336"/>
      <c r="AH149" s="3336"/>
      <c r="AI149" s="3336"/>
      <c r="AJ149" s="3336"/>
      <c r="AK149" s="3336"/>
      <c r="AL149" s="3336"/>
      <c r="AM149" s="3336"/>
      <c r="AN149" s="3336"/>
      <c r="AO149" s="3336"/>
      <c r="AP149" s="3336"/>
      <c r="AQ149" s="3336"/>
      <c r="AR149" s="3336"/>
      <c r="AS149" s="3336"/>
      <c r="AT149" s="3336"/>
      <c r="AU149" s="3336"/>
      <c r="AV149" s="3336"/>
      <c r="AW149" s="3336"/>
      <c r="AX149" s="3336"/>
    </row>
    <row r="150" spans="1:50" ht="15" customHeight="1" x14ac:dyDescent="0.3">
      <c r="A150" s="3695" t="s">
        <v>1645</v>
      </c>
      <c r="B150" s="3178">
        <f t="shared" si="148"/>
        <v>0</v>
      </c>
      <c r="C150" s="3707"/>
      <c r="D150" s="3683"/>
      <c r="E150" s="3703"/>
      <c r="F150" s="3685"/>
      <c r="G150" s="3683"/>
      <c r="H150" s="3704"/>
      <c r="I150" s="223">
        <f t="shared" si="149"/>
        <v>0</v>
      </c>
      <c r="J150" s="3681"/>
      <c r="K150" s="3703"/>
      <c r="L150" s="3705"/>
      <c r="M150" s="3683"/>
      <c r="N150" s="3706"/>
      <c r="P150" s="3336"/>
      <c r="Q150" s="3336"/>
      <c r="R150" s="3336"/>
      <c r="S150" s="3336"/>
      <c r="T150" s="3336"/>
      <c r="U150" s="3336"/>
      <c r="V150" s="3336"/>
      <c r="W150" s="3336"/>
      <c r="X150" s="3336"/>
      <c r="Y150" s="3336"/>
      <c r="Z150" s="3336"/>
      <c r="AA150" s="3336"/>
      <c r="AB150" s="3336"/>
      <c r="AC150" s="3336"/>
      <c r="AD150" s="3336"/>
      <c r="AE150" s="3336"/>
      <c r="AF150" s="3336"/>
      <c r="AG150" s="3336"/>
      <c r="AH150" s="3336"/>
      <c r="AI150" s="3336"/>
      <c r="AJ150" s="3336"/>
      <c r="AK150" s="3336"/>
      <c r="AL150" s="3336"/>
      <c r="AM150" s="3336"/>
      <c r="AN150" s="3336"/>
      <c r="AO150" s="3336"/>
      <c r="AP150" s="3336"/>
      <c r="AQ150" s="3336"/>
      <c r="AR150" s="3336"/>
      <c r="AS150" s="3336"/>
      <c r="AT150" s="3336"/>
      <c r="AU150" s="3336"/>
      <c r="AV150" s="3336"/>
      <c r="AW150" s="3336"/>
      <c r="AX150" s="3336"/>
    </row>
    <row r="151" spans="1:50" ht="15" customHeight="1" x14ac:dyDescent="0.3">
      <c r="A151" s="3695" t="s">
        <v>1646</v>
      </c>
      <c r="B151" s="3178">
        <f t="shared" si="148"/>
        <v>0</v>
      </c>
      <c r="C151" s="3702"/>
      <c r="D151" s="3683"/>
      <c r="E151" s="3703"/>
      <c r="F151" s="542"/>
      <c r="G151" s="3683"/>
      <c r="H151" s="3704"/>
      <c r="I151" s="223">
        <f t="shared" si="149"/>
        <v>0</v>
      </c>
      <c r="J151" s="3681"/>
      <c r="K151" s="3703"/>
      <c r="L151" s="3678"/>
      <c r="M151" s="3683"/>
      <c r="N151" s="3706"/>
      <c r="P151" s="3336"/>
      <c r="Q151" s="3336"/>
      <c r="R151" s="3336"/>
      <c r="S151" s="3336"/>
      <c r="T151" s="3336"/>
      <c r="U151" s="3336"/>
      <c r="V151" s="3336"/>
      <c r="W151" s="3336"/>
      <c r="X151" s="3336"/>
      <c r="Y151" s="3336"/>
      <c r="Z151" s="3336"/>
      <c r="AA151" s="3336"/>
      <c r="AB151" s="3336"/>
      <c r="AC151" s="3336"/>
      <c r="AD151" s="3336"/>
      <c r="AE151" s="3336"/>
      <c r="AF151" s="3336"/>
      <c r="AG151" s="3336"/>
      <c r="AH151" s="3336"/>
      <c r="AI151" s="3336"/>
      <c r="AJ151" s="3336"/>
      <c r="AK151" s="3336"/>
      <c r="AL151" s="3336"/>
      <c r="AM151" s="3336"/>
      <c r="AN151" s="3336"/>
      <c r="AO151" s="3336"/>
      <c r="AP151" s="3336"/>
      <c r="AQ151" s="3336"/>
      <c r="AR151" s="3336"/>
      <c r="AS151" s="3336"/>
      <c r="AT151" s="3336"/>
      <c r="AU151" s="3336"/>
      <c r="AV151" s="3336"/>
      <c r="AW151" s="3336"/>
      <c r="AX151" s="3336"/>
    </row>
    <row r="152" spans="1:50" ht="15" customHeight="1" x14ac:dyDescent="0.3">
      <c r="A152" s="3695" t="s">
        <v>1726</v>
      </c>
      <c r="B152" s="3178">
        <f t="shared" si="148"/>
        <v>0</v>
      </c>
      <c r="C152" s="3707"/>
      <c r="D152" s="3683"/>
      <c r="E152" s="3703"/>
      <c r="F152" s="542"/>
      <c r="G152" s="3683"/>
      <c r="H152" s="3704"/>
      <c r="I152" s="223">
        <f t="shared" si="149"/>
        <v>0</v>
      </c>
      <c r="J152" s="3681"/>
      <c r="K152" s="3703"/>
      <c r="L152" s="3678"/>
      <c r="M152" s="3683"/>
      <c r="N152" s="3706"/>
      <c r="P152" s="3336"/>
      <c r="Q152" s="3336"/>
      <c r="R152" s="3336"/>
      <c r="S152" s="3336"/>
      <c r="T152" s="3336"/>
      <c r="U152" s="3336"/>
      <c r="V152" s="3336"/>
      <c r="W152" s="3336"/>
      <c r="X152" s="3336"/>
      <c r="Y152" s="3336"/>
      <c r="Z152" s="3336"/>
      <c r="AA152" s="3336"/>
      <c r="AB152" s="3336"/>
      <c r="AC152" s="3336"/>
      <c r="AD152" s="3336"/>
      <c r="AE152" s="3336"/>
      <c r="AF152" s="3336"/>
      <c r="AG152" s="3336"/>
      <c r="AH152" s="3336"/>
      <c r="AI152" s="3336"/>
      <c r="AJ152" s="3336"/>
      <c r="AK152" s="3336"/>
      <c r="AL152" s="3336"/>
      <c r="AM152" s="3336"/>
      <c r="AN152" s="3336"/>
      <c r="AO152" s="3336"/>
      <c r="AP152" s="3336"/>
      <c r="AQ152" s="3336"/>
      <c r="AR152" s="3336"/>
      <c r="AS152" s="3336"/>
      <c r="AT152" s="3336"/>
      <c r="AU152" s="3336"/>
      <c r="AV152" s="3336"/>
      <c r="AW152" s="3336"/>
      <c r="AX152" s="3336"/>
    </row>
    <row r="153" spans="1:50" ht="15" customHeight="1" x14ac:dyDescent="0.3">
      <c r="A153" s="3695" t="s">
        <v>1648</v>
      </c>
      <c r="B153" s="3178">
        <f t="shared" si="148"/>
        <v>0</v>
      </c>
      <c r="C153" s="3702"/>
      <c r="D153" s="3683"/>
      <c r="E153" s="3703"/>
      <c r="F153" s="3685"/>
      <c r="G153" s="3683"/>
      <c r="H153" s="3704"/>
      <c r="I153" s="223">
        <f t="shared" si="149"/>
        <v>0</v>
      </c>
      <c r="J153" s="3681"/>
      <c r="K153" s="3703"/>
      <c r="L153" s="3705"/>
      <c r="M153" s="3683"/>
      <c r="N153" s="3706"/>
      <c r="P153" s="3336"/>
      <c r="Q153" s="3336"/>
      <c r="R153" s="3336"/>
      <c r="S153" s="3336"/>
      <c r="T153" s="3336"/>
      <c r="U153" s="3336"/>
      <c r="V153" s="3336"/>
      <c r="W153" s="3336"/>
      <c r="X153" s="3336"/>
      <c r="Y153" s="3336"/>
      <c r="Z153" s="3336"/>
      <c r="AA153" s="3336"/>
      <c r="AB153" s="3336"/>
      <c r="AC153" s="3336"/>
      <c r="AD153" s="3336"/>
      <c r="AE153" s="3336"/>
      <c r="AF153" s="3336"/>
      <c r="AG153" s="3336"/>
      <c r="AH153" s="3336"/>
      <c r="AI153" s="3336"/>
      <c r="AJ153" s="3336"/>
      <c r="AK153" s="3336"/>
      <c r="AL153" s="3336"/>
      <c r="AM153" s="3336"/>
      <c r="AN153" s="3336"/>
      <c r="AO153" s="3336"/>
      <c r="AP153" s="3336"/>
      <c r="AQ153" s="3336"/>
      <c r="AR153" s="3336"/>
      <c r="AS153" s="3336"/>
      <c r="AT153" s="3336"/>
      <c r="AU153" s="3336"/>
      <c r="AV153" s="3336"/>
      <c r="AW153" s="3336"/>
      <c r="AX153" s="3336"/>
    </row>
    <row r="154" spans="1:50" ht="15" customHeight="1" x14ac:dyDescent="0.3">
      <c r="A154" s="3695" t="s">
        <v>1649</v>
      </c>
      <c r="B154" s="3178">
        <f t="shared" si="148"/>
        <v>0</v>
      </c>
      <c r="C154" s="3702"/>
      <c r="D154" s="3683"/>
      <c r="E154" s="3703"/>
      <c r="F154" s="542"/>
      <c r="G154" s="3683"/>
      <c r="H154" s="3704"/>
      <c r="I154" s="223">
        <f t="shared" si="149"/>
        <v>0</v>
      </c>
      <c r="J154" s="3681"/>
      <c r="K154" s="3703"/>
      <c r="L154" s="3678"/>
      <c r="M154" s="3683"/>
      <c r="N154" s="3706"/>
      <c r="P154" s="3336"/>
      <c r="Q154" s="3336"/>
      <c r="R154" s="3336"/>
      <c r="S154" s="3336"/>
      <c r="T154" s="3336"/>
      <c r="U154" s="3336"/>
      <c r="V154" s="3336"/>
      <c r="W154" s="3336"/>
      <c r="X154" s="3336"/>
      <c r="Y154" s="3336"/>
      <c r="Z154" s="3336"/>
      <c r="AA154" s="3336"/>
      <c r="AB154" s="3336"/>
      <c r="AC154" s="3336"/>
      <c r="AD154" s="3336"/>
      <c r="AE154" s="3336"/>
      <c r="AF154" s="3336"/>
      <c r="AG154" s="3336"/>
      <c r="AH154" s="3336"/>
      <c r="AI154" s="3336"/>
      <c r="AJ154" s="3336"/>
      <c r="AK154" s="3336"/>
      <c r="AL154" s="3336"/>
      <c r="AM154" s="3336"/>
      <c r="AN154" s="3336"/>
      <c r="AO154" s="3336"/>
      <c r="AP154" s="3336"/>
      <c r="AQ154" s="3336"/>
      <c r="AR154" s="3336"/>
      <c r="AS154" s="3336"/>
      <c r="AT154" s="3336"/>
      <c r="AU154" s="3336"/>
      <c r="AV154" s="3336"/>
      <c r="AW154" s="3336"/>
      <c r="AX154" s="3336"/>
    </row>
    <row r="155" spans="1:50" ht="15" customHeight="1" x14ac:dyDescent="0.3">
      <c r="A155" s="3695" t="s">
        <v>1650</v>
      </c>
      <c r="B155" s="3178">
        <f t="shared" si="148"/>
        <v>0</v>
      </c>
      <c r="C155" s="3702"/>
      <c r="D155" s="3683"/>
      <c r="E155" s="3703"/>
      <c r="F155" s="3685"/>
      <c r="G155" s="3683"/>
      <c r="H155" s="3704"/>
      <c r="I155" s="223">
        <f t="shared" si="149"/>
        <v>0</v>
      </c>
      <c r="J155" s="3681"/>
      <c r="K155" s="3703"/>
      <c r="L155" s="3705"/>
      <c r="M155" s="3683"/>
      <c r="N155" s="3706"/>
      <c r="P155" s="3336"/>
      <c r="Q155" s="3336"/>
      <c r="R155" s="3336"/>
      <c r="S155" s="3336"/>
      <c r="T155" s="3336"/>
      <c r="U155" s="3336"/>
      <c r="V155" s="3336"/>
      <c r="W155" s="3336"/>
      <c r="X155" s="3336"/>
      <c r="Y155" s="3336"/>
      <c r="Z155" s="3336"/>
      <c r="AA155" s="3336"/>
      <c r="AB155" s="3336"/>
      <c r="AC155" s="3336"/>
      <c r="AD155" s="3336"/>
      <c r="AE155" s="3336"/>
      <c r="AF155" s="3336"/>
      <c r="AG155" s="3336"/>
      <c r="AH155" s="3336"/>
      <c r="AI155" s="3336"/>
      <c r="AJ155" s="3336"/>
      <c r="AK155" s="3336"/>
      <c r="AL155" s="3336"/>
      <c r="AM155" s="3336"/>
      <c r="AN155" s="3336"/>
      <c r="AO155" s="3336"/>
      <c r="AP155" s="3336"/>
      <c r="AQ155" s="3336"/>
      <c r="AR155" s="3336"/>
      <c r="AS155" s="3336"/>
      <c r="AT155" s="3336"/>
      <c r="AU155" s="3336"/>
      <c r="AV155" s="3336"/>
      <c r="AW155" s="3336"/>
      <c r="AX155" s="3336"/>
    </row>
    <row r="156" spans="1:50" x14ac:dyDescent="0.3">
      <c r="A156" s="3708" t="s">
        <v>1651</v>
      </c>
      <c r="B156" s="3178">
        <f t="shared" si="148"/>
        <v>0</v>
      </c>
      <c r="C156" s="3702"/>
      <c r="D156" s="3683"/>
      <c r="E156" s="3703"/>
      <c r="F156" s="542"/>
      <c r="G156" s="3683"/>
      <c r="H156" s="3704"/>
      <c r="I156" s="223">
        <f t="shared" si="149"/>
        <v>0</v>
      </c>
      <c r="J156" s="3681"/>
      <c r="K156" s="3703"/>
      <c r="L156" s="3678"/>
      <c r="M156" s="3683"/>
      <c r="N156" s="3706"/>
      <c r="P156" s="3336"/>
      <c r="Q156" s="3336"/>
      <c r="R156" s="3336"/>
      <c r="S156" s="3336"/>
      <c r="T156" s="3336"/>
      <c r="U156" s="3336"/>
      <c r="V156" s="3336"/>
      <c r="W156" s="3336"/>
      <c r="X156" s="3336"/>
      <c r="Y156" s="3336"/>
      <c r="Z156" s="3336"/>
      <c r="AA156" s="3336"/>
      <c r="AB156" s="3336"/>
      <c r="AC156" s="3336"/>
      <c r="AD156" s="3336"/>
      <c r="AE156" s="3336"/>
      <c r="AF156" s="3336"/>
      <c r="AG156" s="3336"/>
      <c r="AH156" s="3336"/>
      <c r="AI156" s="3336"/>
      <c r="AJ156" s="3336"/>
      <c r="AK156" s="3336"/>
      <c r="AL156" s="3336"/>
      <c r="AM156" s="3336"/>
      <c r="AN156" s="3336"/>
      <c r="AO156" s="3336"/>
      <c r="AP156" s="3336"/>
      <c r="AQ156" s="3336"/>
      <c r="AR156" s="3336"/>
      <c r="AS156" s="3336"/>
      <c r="AT156" s="3336"/>
      <c r="AU156" s="3336"/>
      <c r="AV156" s="3336"/>
      <c r="AW156" s="3336"/>
      <c r="AX156" s="3336"/>
    </row>
    <row r="157" spans="1:50" x14ac:dyDescent="0.3">
      <c r="A157" s="3695" t="s">
        <v>1652</v>
      </c>
      <c r="B157" s="3186">
        <f t="shared" si="148"/>
        <v>0</v>
      </c>
      <c r="C157" s="3709"/>
      <c r="D157" s="3710"/>
      <c r="E157" s="3711"/>
      <c r="F157" s="3685"/>
      <c r="G157" s="3710"/>
      <c r="H157" s="3712"/>
      <c r="I157" s="223">
        <f>SUM(J157:K157)</f>
        <v>0</v>
      </c>
      <c r="J157" s="3713"/>
      <c r="K157" s="3714"/>
      <c r="L157" s="3705"/>
      <c r="M157" s="3710"/>
      <c r="N157" s="3706"/>
      <c r="P157" s="3694"/>
      <c r="Q157" s="3694"/>
      <c r="R157" s="3694"/>
      <c r="S157" s="3694"/>
      <c r="T157" s="3694"/>
      <c r="U157" s="3694"/>
      <c r="V157" s="3694"/>
      <c r="W157" s="3694"/>
      <c r="X157" s="3694"/>
      <c r="Y157" s="3694"/>
      <c r="Z157" s="3694"/>
      <c r="AA157" s="3694"/>
      <c r="AB157" s="3694"/>
      <c r="AC157" s="3694"/>
      <c r="AD157" s="3694"/>
      <c r="AE157" s="3694"/>
      <c r="AF157" s="3694"/>
      <c r="AG157" s="3694"/>
      <c r="AH157" s="3694"/>
      <c r="AI157" s="3694"/>
      <c r="AJ157" s="3694"/>
      <c r="AK157" s="3694"/>
      <c r="AL157" s="3694"/>
      <c r="AM157" s="3694"/>
      <c r="AN157" s="3694"/>
      <c r="AO157" s="3694"/>
      <c r="AP157" s="3694"/>
      <c r="AQ157" s="3694"/>
      <c r="AR157" s="3694"/>
      <c r="AS157" s="3694"/>
      <c r="AT157" s="3694"/>
      <c r="AU157" s="3694"/>
      <c r="AV157" s="3694"/>
      <c r="AW157" s="3694"/>
      <c r="AX157" s="3694"/>
    </row>
    <row r="158" spans="1:50" x14ac:dyDescent="0.3">
      <c r="A158" s="3487" t="s">
        <v>77</v>
      </c>
      <c r="B158" s="3715">
        <f>SUM(B148:B157)</f>
        <v>0</v>
      </c>
      <c r="C158" s="3597">
        <f>SUM(C148:C157)</f>
        <v>0</v>
      </c>
      <c r="D158" s="880">
        <f>SUM(D148:D157)</f>
        <v>0</v>
      </c>
      <c r="E158" s="3636">
        <f>SUM(E148:E157)</f>
        <v>0</v>
      </c>
      <c r="F158" s="3635">
        <f>SUM(F149,F150,F153,F155,F157)</f>
        <v>0</v>
      </c>
      <c r="G158" s="880">
        <f>SUM(G148:G157)</f>
        <v>0</v>
      </c>
      <c r="H158" s="882">
        <f>SUM(H148:H157)</f>
        <v>0</v>
      </c>
      <c r="I158" s="3598">
        <f>SUM(I148:I157)</f>
        <v>0</v>
      </c>
      <c r="J158" s="3597">
        <f>SUM(J148:J157)</f>
        <v>0</v>
      </c>
      <c r="K158" s="3636">
        <f>SUM(K148:K157)</f>
        <v>0</v>
      </c>
      <c r="L158" s="3637" cm="1">
        <f t="array" ref="L158">SUM(L149:L150+L153+L155+L157)</f>
        <v>0</v>
      </c>
      <c r="M158" s="880">
        <f>SUM(M148:M157)</f>
        <v>0</v>
      </c>
      <c r="N158" s="3598">
        <f>SUM(N148:N157)</f>
        <v>0</v>
      </c>
      <c r="O158" s="3694"/>
      <c r="P158" s="3694"/>
      <c r="Q158" s="3694"/>
      <c r="R158" s="3694"/>
      <c r="S158" s="3694"/>
      <c r="T158" s="3694"/>
      <c r="U158" s="3694"/>
      <c r="V158" s="3694"/>
      <c r="W158" s="3694"/>
      <c r="X158" s="3694"/>
      <c r="Y158" s="3694"/>
      <c r="Z158" s="3694"/>
      <c r="AA158" s="3694"/>
      <c r="AB158" s="3694"/>
      <c r="AC158" s="3694"/>
      <c r="AD158" s="3694"/>
      <c r="AE158" s="3694"/>
      <c r="AF158" s="3694"/>
      <c r="AG158" s="3694"/>
      <c r="AH158" s="3694"/>
      <c r="AI158" s="3694"/>
      <c r="AJ158" s="3694"/>
      <c r="AK158" s="3694"/>
      <c r="AL158" s="3694"/>
      <c r="AM158" s="3694"/>
      <c r="AN158" s="3694"/>
      <c r="AO158" s="3694"/>
      <c r="AP158" s="3694"/>
      <c r="AQ158" s="3694"/>
      <c r="AR158" s="3694"/>
      <c r="AS158" s="3694"/>
      <c r="AT158" s="3716"/>
      <c r="AU158" s="3716"/>
      <c r="AV158" s="3716"/>
      <c r="AW158" s="3716"/>
      <c r="AX158" s="3716"/>
    </row>
    <row r="159" spans="1:50" ht="18" customHeight="1" x14ac:dyDescent="0.3">
      <c r="A159" s="3" t="s">
        <v>1727</v>
      </c>
      <c r="B159" s="5"/>
      <c r="C159" s="5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</row>
    <row r="160" spans="1:50" x14ac:dyDescent="0.3">
      <c r="A160" s="6754" t="s">
        <v>1728</v>
      </c>
      <c r="B160" s="6627"/>
      <c r="C160" s="6628"/>
      <c r="D160" s="5944" t="s">
        <v>77</v>
      </c>
      <c r="E160" s="6242"/>
      <c r="F160" s="6243"/>
      <c r="G160" s="6688" t="s">
        <v>1729</v>
      </c>
      <c r="H160" s="6247"/>
      <c r="I160" s="6247"/>
      <c r="J160" s="6247"/>
      <c r="K160" s="6247"/>
      <c r="L160" s="6247"/>
      <c r="M160" s="6247"/>
      <c r="N160" s="6247"/>
      <c r="O160" s="6247"/>
      <c r="P160" s="6247"/>
      <c r="Q160" s="6247"/>
      <c r="R160" s="6247"/>
      <c r="S160" s="6247"/>
      <c r="T160" s="6247"/>
      <c r="U160" s="6247"/>
      <c r="V160" s="6247"/>
      <c r="W160" s="6247"/>
      <c r="X160" s="6247"/>
      <c r="Y160" s="6247"/>
      <c r="Z160" s="6247"/>
      <c r="AA160" s="6247"/>
      <c r="AB160" s="6247"/>
      <c r="AC160" s="6247"/>
      <c r="AD160" s="6247"/>
      <c r="AE160" s="6247"/>
      <c r="AF160" s="6247"/>
      <c r="AG160" s="6247"/>
      <c r="AH160" s="6247"/>
      <c r="AI160" s="6247"/>
      <c r="AJ160" s="6247"/>
      <c r="AK160" s="6247"/>
      <c r="AL160" s="6247"/>
      <c r="AM160" s="6247"/>
      <c r="AN160" s="6247"/>
      <c r="AO160" s="6247"/>
      <c r="AP160" s="6689"/>
      <c r="AQ160" s="6746" t="s">
        <v>1661</v>
      </c>
      <c r="AR160" s="6652" t="s">
        <v>453</v>
      </c>
      <c r="AS160" s="6652" t="s">
        <v>1572</v>
      </c>
      <c r="AT160" s="6652" t="s">
        <v>1594</v>
      </c>
      <c r="AU160" s="6745" t="s">
        <v>1665</v>
      </c>
      <c r="AV160" s="6745" t="s">
        <v>1575</v>
      </c>
      <c r="AW160" s="6745" t="s">
        <v>1576</v>
      </c>
      <c r="AX160" s="6795" t="s">
        <v>37</v>
      </c>
    </row>
    <row r="161" spans="1:100" ht="18" customHeight="1" x14ac:dyDescent="0.3">
      <c r="A161" s="6755"/>
      <c r="B161" s="6756"/>
      <c r="C161" s="6757"/>
      <c r="D161" s="6466"/>
      <c r="E161" s="6467"/>
      <c r="F161" s="6687"/>
      <c r="G161" s="6679" t="s">
        <v>474</v>
      </c>
      <c r="H161" s="6693"/>
      <c r="I161" s="6688" t="s">
        <v>380</v>
      </c>
      <c r="J161" s="6277"/>
      <c r="K161" s="6247" t="s">
        <v>381</v>
      </c>
      <c r="L161" s="6277"/>
      <c r="M161" s="6688" t="s">
        <v>1577</v>
      </c>
      <c r="N161" s="6277"/>
      <c r="O161" s="6688" t="s">
        <v>383</v>
      </c>
      <c r="P161" s="6277"/>
      <c r="Q161" s="6688" t="s">
        <v>384</v>
      </c>
      <c r="R161" s="6277"/>
      <c r="S161" s="6688" t="s">
        <v>385</v>
      </c>
      <c r="T161" s="6277"/>
      <c r="U161" s="6688" t="s">
        <v>386</v>
      </c>
      <c r="V161" s="6277"/>
      <c r="W161" s="6688" t="s">
        <v>1578</v>
      </c>
      <c r="X161" s="6277"/>
      <c r="Y161" s="6688" t="s">
        <v>303</v>
      </c>
      <c r="Z161" s="6694"/>
      <c r="AA161" s="6688" t="s">
        <v>304</v>
      </c>
      <c r="AB161" s="6694"/>
      <c r="AC161" s="6688" t="s">
        <v>1579</v>
      </c>
      <c r="AD161" s="6694"/>
      <c r="AE161" s="6688" t="s">
        <v>1580</v>
      </c>
      <c r="AF161" s="6694"/>
      <c r="AG161" s="6688" t="s">
        <v>1581</v>
      </c>
      <c r="AH161" s="6694"/>
      <c r="AI161" s="6688" t="s">
        <v>1582</v>
      </c>
      <c r="AJ161" s="6694"/>
      <c r="AK161" s="6688" t="s">
        <v>1583</v>
      </c>
      <c r="AL161" s="6694"/>
      <c r="AM161" s="6688" t="s">
        <v>1584</v>
      </c>
      <c r="AN161" s="6694"/>
      <c r="AO161" s="6688" t="s">
        <v>938</v>
      </c>
      <c r="AP161" s="6675"/>
      <c r="AQ161" s="6746"/>
      <c r="AR161" s="6652"/>
      <c r="AS161" s="6652"/>
      <c r="AT161" s="6652"/>
      <c r="AU161" s="6745"/>
      <c r="AV161" s="6745"/>
      <c r="AW161" s="6745"/>
      <c r="AX161" s="6795"/>
    </row>
    <row r="162" spans="1:100" ht="15" customHeight="1" x14ac:dyDescent="0.3">
      <c r="A162" s="6758"/>
      <c r="B162" s="6629"/>
      <c r="C162" s="6696"/>
      <c r="D162" s="3488" t="s">
        <v>1730</v>
      </c>
      <c r="E162" s="3507" t="s">
        <v>58</v>
      </c>
      <c r="F162" s="605" t="s">
        <v>59</v>
      </c>
      <c r="G162" s="3488" t="s">
        <v>58</v>
      </c>
      <c r="H162" s="605" t="s">
        <v>59</v>
      </c>
      <c r="I162" s="3488" t="s">
        <v>58</v>
      </c>
      <c r="J162" s="605" t="s">
        <v>59</v>
      </c>
      <c r="K162" s="3488" t="s">
        <v>58</v>
      </c>
      <c r="L162" s="605" t="s">
        <v>59</v>
      </c>
      <c r="M162" s="3488" t="s">
        <v>58</v>
      </c>
      <c r="N162" s="605" t="s">
        <v>59</v>
      </c>
      <c r="O162" s="3488" t="s">
        <v>58</v>
      </c>
      <c r="P162" s="605" t="s">
        <v>59</v>
      </c>
      <c r="Q162" s="3488" t="s">
        <v>58</v>
      </c>
      <c r="R162" s="605" t="s">
        <v>59</v>
      </c>
      <c r="S162" s="3488" t="s">
        <v>58</v>
      </c>
      <c r="T162" s="605" t="s">
        <v>59</v>
      </c>
      <c r="U162" s="3488" t="s">
        <v>58</v>
      </c>
      <c r="V162" s="605" t="s">
        <v>59</v>
      </c>
      <c r="W162" s="3488" t="s">
        <v>58</v>
      </c>
      <c r="X162" s="605" t="s">
        <v>59</v>
      </c>
      <c r="Y162" s="3488" t="s">
        <v>58</v>
      </c>
      <c r="Z162" s="605" t="s">
        <v>59</v>
      </c>
      <c r="AA162" s="3488" t="s">
        <v>58</v>
      </c>
      <c r="AB162" s="605" t="s">
        <v>59</v>
      </c>
      <c r="AC162" s="3488" t="s">
        <v>58</v>
      </c>
      <c r="AD162" s="605" t="s">
        <v>59</v>
      </c>
      <c r="AE162" s="3488" t="s">
        <v>58</v>
      </c>
      <c r="AF162" s="605" t="s">
        <v>59</v>
      </c>
      <c r="AG162" s="3488" t="s">
        <v>58</v>
      </c>
      <c r="AH162" s="605" t="s">
        <v>59</v>
      </c>
      <c r="AI162" s="3488" t="s">
        <v>58</v>
      </c>
      <c r="AJ162" s="605" t="s">
        <v>59</v>
      </c>
      <c r="AK162" s="3488" t="s">
        <v>58</v>
      </c>
      <c r="AL162" s="605" t="s">
        <v>59</v>
      </c>
      <c r="AM162" s="3488" t="s">
        <v>58</v>
      </c>
      <c r="AN162" s="605" t="s">
        <v>59</v>
      </c>
      <c r="AO162" s="3488" t="s">
        <v>58</v>
      </c>
      <c r="AP162" s="3514" t="s">
        <v>59</v>
      </c>
      <c r="AQ162" s="6746"/>
      <c r="AR162" s="6652"/>
      <c r="AS162" s="6652"/>
      <c r="AT162" s="6652"/>
      <c r="AU162" s="6745"/>
      <c r="AV162" s="6745"/>
      <c r="AW162" s="6745"/>
      <c r="AX162" s="6795"/>
    </row>
    <row r="163" spans="1:100" ht="15" customHeight="1" x14ac:dyDescent="0.3">
      <c r="A163" s="6759" t="s">
        <v>1731</v>
      </c>
      <c r="B163" s="6760"/>
      <c r="C163" s="6761"/>
      <c r="D163" s="3543">
        <f>E163+F163</f>
        <v>0</v>
      </c>
      <c r="E163" s="3543">
        <f>SUM(G163+I163+K163+M163+O163+Q163+S163+U163+W163+Y163+AA163+AC163+AE163+AG163+AI163+AK163+AM163+AO163)</f>
        <v>0</v>
      </c>
      <c r="F163" s="3044">
        <f>SUM(H163+J163+L163+N163+P163+R163+T163+V163+X163+Z163+AB163+AD163+AF163+AH163+AJ163+AL163+AN163+AP163)</f>
        <v>0</v>
      </c>
      <c r="G163" s="3310"/>
      <c r="H163" s="771"/>
      <c r="I163" s="3309"/>
      <c r="J163" s="771"/>
      <c r="K163" s="3309"/>
      <c r="L163" s="771"/>
      <c r="M163" s="3309"/>
      <c r="N163" s="771"/>
      <c r="O163" s="773"/>
      <c r="P163" s="771"/>
      <c r="Q163" s="773"/>
      <c r="R163" s="771"/>
      <c r="S163" s="773"/>
      <c r="T163" s="771"/>
      <c r="U163" s="3309"/>
      <c r="V163" s="771"/>
      <c r="W163" s="3309"/>
      <c r="X163" s="771"/>
      <c r="Y163" s="3309"/>
      <c r="Z163" s="771"/>
      <c r="AA163" s="3309"/>
      <c r="AB163" s="771"/>
      <c r="AC163" s="3309"/>
      <c r="AD163" s="771"/>
      <c r="AE163" s="3309"/>
      <c r="AF163" s="771"/>
      <c r="AG163" s="3309"/>
      <c r="AH163" s="771"/>
      <c r="AI163" s="3309"/>
      <c r="AJ163" s="771"/>
      <c r="AK163" s="3309"/>
      <c r="AL163" s="771"/>
      <c r="AM163" s="3309"/>
      <c r="AN163" s="771"/>
      <c r="AO163" s="3309"/>
      <c r="AP163" s="759"/>
      <c r="AQ163" s="758"/>
      <c r="AR163" s="535"/>
      <c r="AS163" s="535"/>
      <c r="AT163" s="535"/>
      <c r="AU163" s="535"/>
      <c r="AV163" s="535"/>
      <c r="AW163" s="535"/>
      <c r="AX163" s="107"/>
      <c r="AY163" t="str">
        <f>CA163&amp;CB163&amp;CC163&amp;CD163&amp;CE163&amp;CF163&amp;CG163&amp;CH163</f>
        <v/>
      </c>
      <c r="CA163" s="434" t="str">
        <f>IF(AND(Y163+Z163&gt;0,AQ163="")," * No olvide digitar la variable 12 años (incluidos en  grupo de 10-14 años). Digite Cero si no tiene.",IF(AQ163&gt;Y163+Z163," * La variable 12 años (incluidos en  grupo de 10-14 años) no pueden superar la suma del Grupo 10-14 años.",""))</f>
        <v/>
      </c>
      <c r="CB163" s="434" t="str">
        <f>IF(AND(F163&gt;0,AR163="")," * No olvide digitar la variable Gestante. Digite Cero si no tiene.",IF(AR163&gt;F163," * La variable Gestante no pueden superar el Total Mujeres.",""))</f>
        <v/>
      </c>
      <c r="CC163" s="434" t="str">
        <f t="shared" ref="CC163:CC172" si="150">IF(AND(AK163+AL163&gt;0,AS163="")," * No olvide digitar la variable 60 años (incluido en grupos de 60-64 años). Digite Cero si no tiene.",IF(AS163&gt;AK163+AL163," * La variable 60 años (incluido en grupos de 60-64 años) no pueden superar la suma del Grupo 60-64 años.",""))</f>
        <v/>
      </c>
      <c r="CD163" s="434" t="str">
        <f>IF(AND($D163&gt;0,AT163=""),"  * No olvide digitar la variable Compra de servicio. Digite Cero si no tiene.",IF(AT163&gt;$D163," * La variable Compra de servicio no pueden superar el Total Ambos Sexos.",""))</f>
        <v/>
      </c>
      <c r="CE163" s="434" t="str">
        <f>IF(AND($D163&gt;0,AU163="")," * No olvide digitar la variable Usuario con Discapacidad. Digite Cero si no tiene.",IF(AU163&gt;$D163," * La variable Usuario con Discapacidad no pueden superar el Total Ambos Sexos.",""))</f>
        <v/>
      </c>
      <c r="CF163" s="434" t="str">
        <f>IF(AND($D163&gt;0,AV163=""),"  * No olvide digitar la variable Niños, niñas, adolescentes y jóvenes SENAME. Digite Cero si no tiene.",IF(AV163&gt;$D163," * La variable Niños, niñas, adolescentes y jóvenes SENAME no pueden superar el Total Ambos Sexos.",""))</f>
        <v/>
      </c>
      <c r="CG163" s="434" t="str">
        <f>IF(AND($D163&gt;0,AW163=""),"  * No olvide digitar la variable Niños, niñas, adolescentes y jóvenes Mejor Niñez. Digite Cero si no tiene.",IF(AW163&gt;$D163," * La variable Niños, niñas, adolescentes y jóvenes Mejor Niñez no pueden superar el Total Ambos Sexos.",""))</f>
        <v/>
      </c>
      <c r="CH163" s="434" t="str">
        <f>IF(AND($D163&gt;0,AX163=""),"  * No olvide digitar la variable Migrantes. Digite Cero si no tiene.",IF(AX163&gt;$D163," * La variable Migrantes no pueden superar el Total Ambos Sexos.",""))</f>
        <v/>
      </c>
      <c r="CO163" s="435">
        <f t="shared" ref="CO163:CO173" si="151">IF(AND(Y163+Z163&gt;0,AQ163=""),1,IF(AQ163&gt;Y163+Z163,1,0))</f>
        <v>0</v>
      </c>
      <c r="CP163" s="435">
        <f t="shared" ref="CP163:CP173" si="152">IF(AND(F163&gt;0,AR163=""),1,IF(AR163&gt;F163,1,0))</f>
        <v>0</v>
      </c>
      <c r="CQ163" s="435">
        <f t="shared" ref="CQ163:CQ173" si="153">IF(AND(AK163+AL163&gt;0,AS163=""),1,IF(AS163&gt;AK163+AL163,1,0))</f>
        <v>0</v>
      </c>
      <c r="CR163" s="435">
        <f t="shared" ref="CR163:CR173" si="154">IF(AND(D163&gt;0,AT163=""),1,IF(AT163&gt;D163,1,0))</f>
        <v>0</v>
      </c>
      <c r="CS163" s="435">
        <f t="shared" ref="CS163:CS173" si="155">IF(AND($D163&gt;0,AU163=""),1,IF(AU163&gt;$D163,1,0))</f>
        <v>0</v>
      </c>
      <c r="CT163" s="435">
        <f t="shared" ref="CT163:CT173" si="156">IF(AND($D163&gt;0,AV163=""),1,IF(AV163&gt;$D163,1,0))</f>
        <v>0</v>
      </c>
      <c r="CU163" s="435">
        <f t="shared" ref="CU163:CU173" si="157">IF(AND($D163&gt;0,AW163=""),1,IF(AW163&gt;$D163,1,0))</f>
        <v>0</v>
      </c>
      <c r="CV163" s="435">
        <f t="shared" ref="CV163:CV173" si="158">IF(AND($D163&gt;0,AX163=""),1,IF(AX163&gt;$D163,1,0))</f>
        <v>0</v>
      </c>
    </row>
    <row r="164" spans="1:100" x14ac:dyDescent="0.3">
      <c r="A164" s="6747" t="s">
        <v>4343</v>
      </c>
      <c r="B164" s="6748"/>
      <c r="C164" s="6749"/>
      <c r="D164" s="479">
        <f t="shared" ref="D164:D173" si="159">E164+F164</f>
        <v>0</v>
      </c>
      <c r="E164" s="479">
        <f t="shared" ref="E164:E173" si="160">SUM(G164+I164+K164+M164+O164+Q164+S164+U164+W164+Y164+AA164+AC164+AE164+AG164+AI164+AK164+AM164+AO164)</f>
        <v>0</v>
      </c>
      <c r="F164" s="560">
        <f t="shared" ref="F164:F173" si="161">SUM(H164+J164+L164+N164+P164+R164+T164+V164+X164+Z164+AB164+AD164+AF164+AH164+AJ164+AL164+AN164+AP164)</f>
        <v>0</v>
      </c>
      <c r="G164" s="346"/>
      <c r="H164" s="350"/>
      <c r="I164" s="348"/>
      <c r="J164" s="350"/>
      <c r="K164" s="348"/>
      <c r="L164" s="350"/>
      <c r="M164" s="348"/>
      <c r="N164" s="350"/>
      <c r="O164" s="369"/>
      <c r="P164" s="350"/>
      <c r="Q164" s="369"/>
      <c r="R164" s="350"/>
      <c r="S164" s="369"/>
      <c r="T164" s="350"/>
      <c r="U164" s="348"/>
      <c r="V164" s="350"/>
      <c r="W164" s="348"/>
      <c r="X164" s="350"/>
      <c r="Y164" s="348"/>
      <c r="Z164" s="350"/>
      <c r="AA164" s="348"/>
      <c r="AB164" s="350"/>
      <c r="AC164" s="348"/>
      <c r="AD164" s="350"/>
      <c r="AE164" s="348"/>
      <c r="AF164" s="350"/>
      <c r="AG164" s="348"/>
      <c r="AH164" s="350"/>
      <c r="AI164" s="348"/>
      <c r="AJ164" s="350"/>
      <c r="AK164" s="348"/>
      <c r="AL164" s="350"/>
      <c r="AM164" s="348"/>
      <c r="AN164" s="350"/>
      <c r="AO164" s="348"/>
      <c r="AP164" s="352"/>
      <c r="AQ164" s="430"/>
      <c r="AR164" s="535"/>
      <c r="AS164" s="535"/>
      <c r="AT164" s="535"/>
      <c r="AU164" s="535"/>
      <c r="AV164" s="535"/>
      <c r="AW164" s="535"/>
      <c r="AX164" s="107"/>
      <c r="AY164" t="str">
        <f t="shared" ref="AY164:AY173" si="162">CA164&amp;CB164&amp;CC164&amp;CD164&amp;CE164&amp;CF164&amp;CG164&amp;CH164</f>
        <v/>
      </c>
      <c r="CA164" s="434" t="str">
        <f t="shared" ref="CA164:CA173" si="163">IF(AND(Y164+Z164&gt;0,AQ164="")," * No olvide digitar la variable 12 años (incluidos en  grupo de 10-14 años). Digite Cero si no tiene.",IF(AQ164&gt;Y164+Z164," * La variable 12 años (incluidos en  grupo de 10-14 años) no pueden superar la suma del Grupo 10-14 años.",""))</f>
        <v/>
      </c>
      <c r="CB164" s="434" t="str">
        <f t="shared" ref="CB164:CB173" si="164">IF(AND(F164&gt;0,AR164="")," * No olvide digitar la variable Gestante. Digite Cero si no tiene.",IF(AR164&gt;F164," * La variable Gestante no pueden superar el Total Mujeres.",""))</f>
        <v/>
      </c>
      <c r="CC164" s="434" t="str">
        <f t="shared" si="150"/>
        <v/>
      </c>
      <c r="CD164" s="434" t="str">
        <f t="shared" ref="CD164:CD173" si="165">IF(AND($D164&gt;0,AT164=""),"  * No olvide digitar la variable Compra de servicio. Digite Cero si no tiene.",IF(AT164&gt;$D164," * La variable Compra de servicio no pueden superar el Total Ambos Sexos.",""))</f>
        <v/>
      </c>
      <c r="CE164" s="434" t="str">
        <f t="shared" ref="CE164:CE173" si="166">IF(AND($D164&gt;0,AU164="")," * No olvide digitar la variable Usuario con Discapacidad. Digite Cero si no tiene.",IF(AU164&gt;$D164," * La variable Usuario con Discapacidad no pueden superar el Total Ambos Sexos.",""))</f>
        <v/>
      </c>
      <c r="CF164" s="434" t="str">
        <f t="shared" ref="CF164:CF173" si="167">IF(AND($D164&gt;0,AV164=""),"  * No olvide digitar la variable Niños, niñas, adolescentes y jóvenes SENAME. Digite Cero si no tiene.",IF(AV164&gt;$D164," * La variable Niños, niñas, adolescentes y jóvenes SENAME no pueden superar el Total Ambos Sexos.",""))</f>
        <v/>
      </c>
      <c r="CG164" s="434" t="str">
        <f t="shared" ref="CG164:CG173" si="168">IF(AND($D164&gt;0,AW164=""),"  * No olvide digitar la variable Niños, niñas, adolescentes y jóvenes Mejor Niñez. Digite Cero si no tiene.",IF(AW164&gt;$D164," * La variable Niños, niñas, adolescentes y jóvenes Mejor Niñez no pueden superar el Total Ambos Sexos.",""))</f>
        <v/>
      </c>
      <c r="CH164" s="434" t="str">
        <f t="shared" ref="CH164:CH173" si="169">IF(AND($D164&gt;0,AX164=""),"  * No olvide digitar la variable Migrantes. Digite Cero si no tiene.",IF(AX164&gt;$D164," * La variable Migrantes no pueden superar el Total Ambos Sexos.",""))</f>
        <v/>
      </c>
      <c r="CO164" s="435">
        <f t="shared" si="151"/>
        <v>0</v>
      </c>
      <c r="CP164" s="435">
        <f t="shared" si="152"/>
        <v>0</v>
      </c>
      <c r="CQ164" s="435">
        <f t="shared" si="153"/>
        <v>0</v>
      </c>
      <c r="CR164" s="435">
        <f t="shared" si="154"/>
        <v>0</v>
      </c>
      <c r="CS164" s="435">
        <f t="shared" si="155"/>
        <v>0</v>
      </c>
      <c r="CT164" s="435">
        <f t="shared" si="156"/>
        <v>0</v>
      </c>
      <c r="CU164" s="435">
        <f t="shared" si="157"/>
        <v>0</v>
      </c>
      <c r="CV164" s="435">
        <f t="shared" si="158"/>
        <v>0</v>
      </c>
    </row>
    <row r="165" spans="1:100" ht="15" customHeight="1" x14ac:dyDescent="0.3">
      <c r="A165" s="6349" t="s">
        <v>1732</v>
      </c>
      <c r="B165" s="6706"/>
      <c r="C165" s="6350"/>
      <c r="D165" s="479">
        <f t="shared" si="159"/>
        <v>0</v>
      </c>
      <c r="E165" s="479">
        <f t="shared" si="160"/>
        <v>0</v>
      </c>
      <c r="F165" s="560">
        <f t="shared" si="161"/>
        <v>0</v>
      </c>
      <c r="G165" s="346"/>
      <c r="H165" s="350"/>
      <c r="I165" s="348"/>
      <c r="J165" s="350"/>
      <c r="K165" s="348"/>
      <c r="L165" s="350"/>
      <c r="M165" s="348"/>
      <c r="N165" s="350"/>
      <c r="O165" s="369"/>
      <c r="P165" s="350"/>
      <c r="Q165" s="369"/>
      <c r="R165" s="350"/>
      <c r="S165" s="369"/>
      <c r="T165" s="350"/>
      <c r="U165" s="348"/>
      <c r="V165" s="350"/>
      <c r="W165" s="348"/>
      <c r="X165" s="350"/>
      <c r="Y165" s="348"/>
      <c r="Z165" s="350"/>
      <c r="AA165" s="348"/>
      <c r="AB165" s="350"/>
      <c r="AC165" s="348"/>
      <c r="AD165" s="350"/>
      <c r="AE165" s="348"/>
      <c r="AF165" s="350"/>
      <c r="AG165" s="348"/>
      <c r="AH165" s="350"/>
      <c r="AI165" s="348"/>
      <c r="AJ165" s="350"/>
      <c r="AK165" s="348"/>
      <c r="AL165" s="350"/>
      <c r="AM165" s="348"/>
      <c r="AN165" s="350"/>
      <c r="AO165" s="348"/>
      <c r="AP165" s="352"/>
      <c r="AQ165" s="430"/>
      <c r="AR165" s="535"/>
      <c r="AS165" s="535"/>
      <c r="AT165" s="535"/>
      <c r="AU165" s="535"/>
      <c r="AV165" s="535"/>
      <c r="AW165" s="535"/>
      <c r="AX165" s="107"/>
      <c r="AY165" t="str">
        <f t="shared" si="162"/>
        <v/>
      </c>
      <c r="CA165" s="434" t="str">
        <f t="shared" si="163"/>
        <v/>
      </c>
      <c r="CB165" s="434" t="str">
        <f t="shared" si="164"/>
        <v/>
      </c>
      <c r="CC165" s="434" t="str">
        <f t="shared" si="150"/>
        <v/>
      </c>
      <c r="CD165" s="434" t="str">
        <f t="shared" si="165"/>
        <v/>
      </c>
      <c r="CE165" s="434" t="str">
        <f t="shared" si="166"/>
        <v/>
      </c>
      <c r="CF165" s="434" t="str">
        <f t="shared" si="167"/>
        <v/>
      </c>
      <c r="CG165" s="434" t="str">
        <f t="shared" si="168"/>
        <v/>
      </c>
      <c r="CH165" s="434" t="str">
        <f t="shared" si="169"/>
        <v/>
      </c>
      <c r="CO165" s="435">
        <f t="shared" si="151"/>
        <v>0</v>
      </c>
      <c r="CP165" s="435">
        <f t="shared" si="152"/>
        <v>0</v>
      </c>
      <c r="CQ165" s="435">
        <f t="shared" si="153"/>
        <v>0</v>
      </c>
      <c r="CR165" s="435">
        <f t="shared" si="154"/>
        <v>0</v>
      </c>
      <c r="CS165" s="435">
        <f t="shared" si="155"/>
        <v>0</v>
      </c>
      <c r="CT165" s="435">
        <f t="shared" si="156"/>
        <v>0</v>
      </c>
      <c r="CU165" s="435">
        <f t="shared" si="157"/>
        <v>0</v>
      </c>
      <c r="CV165" s="435">
        <f t="shared" si="158"/>
        <v>0</v>
      </c>
    </row>
    <row r="166" spans="1:100" ht="15" customHeight="1" x14ac:dyDescent="0.3">
      <c r="A166" s="6717" t="s">
        <v>1733</v>
      </c>
      <c r="B166" s="6718"/>
      <c r="C166" s="6719"/>
      <c r="D166" s="479">
        <f t="shared" si="159"/>
        <v>0</v>
      </c>
      <c r="E166" s="479">
        <f t="shared" si="160"/>
        <v>0</v>
      </c>
      <c r="F166" s="560">
        <f t="shared" si="161"/>
        <v>0</v>
      </c>
      <c r="G166" s="346"/>
      <c r="H166" s="350"/>
      <c r="I166" s="348"/>
      <c r="J166" s="350"/>
      <c r="K166" s="348"/>
      <c r="L166" s="350"/>
      <c r="M166" s="348"/>
      <c r="N166" s="350"/>
      <c r="O166" s="369"/>
      <c r="P166" s="350"/>
      <c r="Q166" s="369"/>
      <c r="R166" s="350"/>
      <c r="S166" s="369"/>
      <c r="T166" s="350"/>
      <c r="U166" s="348"/>
      <c r="V166" s="350"/>
      <c r="W166" s="348"/>
      <c r="X166" s="350"/>
      <c r="Y166" s="348"/>
      <c r="Z166" s="350"/>
      <c r="AA166" s="348"/>
      <c r="AB166" s="350"/>
      <c r="AC166" s="348"/>
      <c r="AD166" s="350"/>
      <c r="AE166" s="348"/>
      <c r="AF166" s="350"/>
      <c r="AG166" s="348"/>
      <c r="AH166" s="350"/>
      <c r="AI166" s="348"/>
      <c r="AJ166" s="350"/>
      <c r="AK166" s="348"/>
      <c r="AL166" s="350"/>
      <c r="AM166" s="348"/>
      <c r="AN166" s="350"/>
      <c r="AO166" s="348"/>
      <c r="AP166" s="352"/>
      <c r="AQ166" s="430"/>
      <c r="AR166" s="535"/>
      <c r="AS166" s="535"/>
      <c r="AT166" s="535"/>
      <c r="AU166" s="535"/>
      <c r="AV166" s="535"/>
      <c r="AW166" s="535"/>
      <c r="AX166" s="107"/>
      <c r="AY166" t="str">
        <f t="shared" si="162"/>
        <v/>
      </c>
      <c r="CA166" s="434" t="str">
        <f t="shared" si="163"/>
        <v/>
      </c>
      <c r="CB166" s="434" t="str">
        <f t="shared" si="164"/>
        <v/>
      </c>
      <c r="CC166" s="434" t="str">
        <f t="shared" si="150"/>
        <v/>
      </c>
      <c r="CD166" s="434" t="str">
        <f t="shared" si="165"/>
        <v/>
      </c>
      <c r="CE166" s="434" t="str">
        <f t="shared" si="166"/>
        <v/>
      </c>
      <c r="CF166" s="434" t="str">
        <f t="shared" si="167"/>
        <v/>
      </c>
      <c r="CG166" s="434" t="str">
        <f t="shared" si="168"/>
        <v/>
      </c>
      <c r="CH166" s="434" t="str">
        <f t="shared" si="169"/>
        <v/>
      </c>
      <c r="CO166" s="435">
        <f t="shared" si="151"/>
        <v>0</v>
      </c>
      <c r="CP166" s="435">
        <f t="shared" si="152"/>
        <v>0</v>
      </c>
      <c r="CQ166" s="435">
        <f t="shared" si="153"/>
        <v>0</v>
      </c>
      <c r="CR166" s="435">
        <f t="shared" si="154"/>
        <v>0</v>
      </c>
      <c r="CS166" s="435">
        <f t="shared" si="155"/>
        <v>0</v>
      </c>
      <c r="CT166" s="435">
        <f t="shared" si="156"/>
        <v>0</v>
      </c>
      <c r="CU166" s="435">
        <f t="shared" si="157"/>
        <v>0</v>
      </c>
      <c r="CV166" s="435">
        <f t="shared" si="158"/>
        <v>0</v>
      </c>
    </row>
    <row r="167" spans="1:100" ht="15" customHeight="1" x14ac:dyDescent="0.3">
      <c r="A167" s="6717" t="s">
        <v>1734</v>
      </c>
      <c r="B167" s="6718"/>
      <c r="C167" s="6719"/>
      <c r="D167" s="479">
        <f t="shared" si="159"/>
        <v>0</v>
      </c>
      <c r="E167" s="479">
        <f t="shared" si="160"/>
        <v>0</v>
      </c>
      <c r="F167" s="560">
        <f t="shared" si="161"/>
        <v>0</v>
      </c>
      <c r="G167" s="346"/>
      <c r="H167" s="350"/>
      <c r="I167" s="348"/>
      <c r="J167" s="350"/>
      <c r="K167" s="348"/>
      <c r="L167" s="350"/>
      <c r="M167" s="348"/>
      <c r="N167" s="350"/>
      <c r="O167" s="369"/>
      <c r="P167" s="350"/>
      <c r="Q167" s="369"/>
      <c r="R167" s="350"/>
      <c r="S167" s="369"/>
      <c r="T167" s="350"/>
      <c r="U167" s="348"/>
      <c r="V167" s="350"/>
      <c r="W167" s="348"/>
      <c r="X167" s="350"/>
      <c r="Y167" s="348"/>
      <c r="Z167" s="350"/>
      <c r="AA167" s="348"/>
      <c r="AB167" s="350"/>
      <c r="AC167" s="348"/>
      <c r="AD167" s="350"/>
      <c r="AE167" s="348"/>
      <c r="AF167" s="350"/>
      <c r="AG167" s="348"/>
      <c r="AH167" s="350"/>
      <c r="AI167" s="348"/>
      <c r="AJ167" s="350"/>
      <c r="AK167" s="348"/>
      <c r="AL167" s="350"/>
      <c r="AM167" s="348"/>
      <c r="AN167" s="350"/>
      <c r="AO167" s="348"/>
      <c r="AP167" s="352"/>
      <c r="AQ167" s="430"/>
      <c r="AR167" s="535"/>
      <c r="AS167" s="535"/>
      <c r="AT167" s="535"/>
      <c r="AU167" s="535"/>
      <c r="AV167" s="535"/>
      <c r="AW167" s="535"/>
      <c r="AX167" s="107"/>
      <c r="AY167" t="str">
        <f t="shared" si="162"/>
        <v/>
      </c>
      <c r="CA167" s="434" t="str">
        <f t="shared" si="163"/>
        <v/>
      </c>
      <c r="CB167" s="434" t="str">
        <f t="shared" si="164"/>
        <v/>
      </c>
      <c r="CC167" s="434" t="str">
        <f t="shared" si="150"/>
        <v/>
      </c>
      <c r="CD167" s="434" t="str">
        <f t="shared" si="165"/>
        <v/>
      </c>
      <c r="CE167" s="434" t="str">
        <f t="shared" si="166"/>
        <v/>
      </c>
      <c r="CF167" s="434" t="str">
        <f t="shared" si="167"/>
        <v/>
      </c>
      <c r="CG167" s="434" t="str">
        <f t="shared" si="168"/>
        <v/>
      </c>
      <c r="CH167" s="434" t="str">
        <f t="shared" si="169"/>
        <v/>
      </c>
      <c r="CO167" s="435">
        <f t="shared" si="151"/>
        <v>0</v>
      </c>
      <c r="CP167" s="435">
        <f t="shared" si="152"/>
        <v>0</v>
      </c>
      <c r="CQ167" s="435">
        <f t="shared" si="153"/>
        <v>0</v>
      </c>
      <c r="CR167" s="435">
        <f t="shared" si="154"/>
        <v>0</v>
      </c>
      <c r="CS167" s="435">
        <f t="shared" si="155"/>
        <v>0</v>
      </c>
      <c r="CT167" s="435">
        <f t="shared" si="156"/>
        <v>0</v>
      </c>
      <c r="CU167" s="435">
        <f t="shared" si="157"/>
        <v>0</v>
      </c>
      <c r="CV167" s="435">
        <f t="shared" si="158"/>
        <v>0</v>
      </c>
    </row>
    <row r="168" spans="1:100" ht="15" customHeight="1" x14ac:dyDescent="0.3">
      <c r="A168" s="6717" t="s">
        <v>4344</v>
      </c>
      <c r="B168" s="6718"/>
      <c r="C168" s="6719"/>
      <c r="D168" s="479">
        <f t="shared" si="159"/>
        <v>0</v>
      </c>
      <c r="E168" s="479">
        <f t="shared" si="160"/>
        <v>0</v>
      </c>
      <c r="F168" s="560">
        <f t="shared" si="161"/>
        <v>0</v>
      </c>
      <c r="G168" s="346"/>
      <c r="H168" s="350"/>
      <c r="I168" s="348"/>
      <c r="J168" s="350"/>
      <c r="K168" s="348"/>
      <c r="L168" s="350"/>
      <c r="M168" s="348"/>
      <c r="N168" s="350"/>
      <c r="O168" s="369"/>
      <c r="P168" s="350"/>
      <c r="Q168" s="369"/>
      <c r="R168" s="350"/>
      <c r="S168" s="369"/>
      <c r="T168" s="350"/>
      <c r="U168" s="348"/>
      <c r="V168" s="350"/>
      <c r="W168" s="348"/>
      <c r="X168" s="350"/>
      <c r="Y168" s="348"/>
      <c r="Z168" s="350"/>
      <c r="AA168" s="348"/>
      <c r="AB168" s="350"/>
      <c r="AC168" s="348"/>
      <c r="AD168" s="350"/>
      <c r="AE168" s="348"/>
      <c r="AF168" s="350"/>
      <c r="AG168" s="348"/>
      <c r="AH168" s="350"/>
      <c r="AI168" s="348"/>
      <c r="AJ168" s="350"/>
      <c r="AK168" s="348"/>
      <c r="AL168" s="350"/>
      <c r="AM168" s="348"/>
      <c r="AN168" s="350"/>
      <c r="AO168" s="348"/>
      <c r="AP168" s="352"/>
      <c r="AQ168" s="430"/>
      <c r="AR168" s="535"/>
      <c r="AS168" s="535"/>
      <c r="AT168" s="535"/>
      <c r="AU168" s="535"/>
      <c r="AV168" s="535"/>
      <c r="AW168" s="535"/>
      <c r="AX168" s="107"/>
      <c r="AY168" t="str">
        <f t="shared" si="162"/>
        <v/>
      </c>
      <c r="CA168" s="434" t="str">
        <f t="shared" si="163"/>
        <v/>
      </c>
      <c r="CB168" s="434" t="str">
        <f t="shared" si="164"/>
        <v/>
      </c>
      <c r="CC168" s="434" t="str">
        <f t="shared" si="150"/>
        <v/>
      </c>
      <c r="CD168" s="434" t="str">
        <f t="shared" si="165"/>
        <v/>
      </c>
      <c r="CE168" s="434" t="str">
        <f t="shared" si="166"/>
        <v/>
      </c>
      <c r="CF168" s="434" t="str">
        <f t="shared" si="167"/>
        <v/>
      </c>
      <c r="CG168" s="434" t="str">
        <f t="shared" si="168"/>
        <v/>
      </c>
      <c r="CH168" s="434" t="str">
        <f t="shared" si="169"/>
        <v/>
      </c>
      <c r="CO168" s="435">
        <f t="shared" si="151"/>
        <v>0</v>
      </c>
      <c r="CP168" s="435">
        <f t="shared" si="152"/>
        <v>0</v>
      </c>
      <c r="CQ168" s="435">
        <f t="shared" si="153"/>
        <v>0</v>
      </c>
      <c r="CR168" s="435">
        <f t="shared" si="154"/>
        <v>0</v>
      </c>
      <c r="CS168" s="435">
        <f t="shared" si="155"/>
        <v>0</v>
      </c>
      <c r="CT168" s="435">
        <f t="shared" si="156"/>
        <v>0</v>
      </c>
      <c r="CU168" s="435">
        <f t="shared" si="157"/>
        <v>0</v>
      </c>
      <c r="CV168" s="435">
        <f t="shared" si="158"/>
        <v>0</v>
      </c>
    </row>
    <row r="169" spans="1:100" ht="15" customHeight="1" x14ac:dyDescent="0.3">
      <c r="A169" s="6717" t="s">
        <v>1735</v>
      </c>
      <c r="B169" s="6718"/>
      <c r="C169" s="6719"/>
      <c r="D169" s="479">
        <f t="shared" si="159"/>
        <v>0</v>
      </c>
      <c r="E169" s="479">
        <f t="shared" si="160"/>
        <v>0</v>
      </c>
      <c r="F169" s="560">
        <f t="shared" si="161"/>
        <v>0</v>
      </c>
      <c r="G169" s="346"/>
      <c r="H169" s="350"/>
      <c r="I169" s="348"/>
      <c r="J169" s="350"/>
      <c r="K169" s="348"/>
      <c r="L169" s="350"/>
      <c r="M169" s="348"/>
      <c r="N169" s="350"/>
      <c r="O169" s="369"/>
      <c r="P169" s="350"/>
      <c r="Q169" s="369"/>
      <c r="R169" s="350"/>
      <c r="S169" s="369"/>
      <c r="T169" s="350"/>
      <c r="U169" s="348"/>
      <c r="V169" s="350"/>
      <c r="W169" s="348"/>
      <c r="X169" s="350"/>
      <c r="Y169" s="348"/>
      <c r="Z169" s="350"/>
      <c r="AA169" s="348"/>
      <c r="AB169" s="350"/>
      <c r="AC169" s="348"/>
      <c r="AD169" s="350"/>
      <c r="AE169" s="348"/>
      <c r="AF169" s="350"/>
      <c r="AG169" s="348"/>
      <c r="AH169" s="350"/>
      <c r="AI169" s="348"/>
      <c r="AJ169" s="350"/>
      <c r="AK169" s="348"/>
      <c r="AL169" s="350"/>
      <c r="AM169" s="348"/>
      <c r="AN169" s="350"/>
      <c r="AO169" s="348"/>
      <c r="AP169" s="352"/>
      <c r="AQ169" s="430"/>
      <c r="AR169" s="535"/>
      <c r="AS169" s="535"/>
      <c r="AT169" s="535"/>
      <c r="AU169" s="535"/>
      <c r="AV169" s="535"/>
      <c r="AW169" s="535"/>
      <c r="AX169" s="107"/>
      <c r="AY169" t="str">
        <f t="shared" si="162"/>
        <v/>
      </c>
      <c r="CA169" s="434" t="str">
        <f t="shared" si="163"/>
        <v/>
      </c>
      <c r="CB169" s="434" t="str">
        <f t="shared" si="164"/>
        <v/>
      </c>
      <c r="CC169" s="434" t="str">
        <f t="shared" si="150"/>
        <v/>
      </c>
      <c r="CD169" s="434" t="str">
        <f t="shared" si="165"/>
        <v/>
      </c>
      <c r="CE169" s="434" t="str">
        <f t="shared" si="166"/>
        <v/>
      </c>
      <c r="CF169" s="434" t="str">
        <f t="shared" si="167"/>
        <v/>
      </c>
      <c r="CG169" s="434" t="str">
        <f t="shared" si="168"/>
        <v/>
      </c>
      <c r="CH169" s="434" t="str">
        <f t="shared" si="169"/>
        <v/>
      </c>
      <c r="CO169" s="435">
        <f t="shared" si="151"/>
        <v>0</v>
      </c>
      <c r="CP169" s="435">
        <f t="shared" si="152"/>
        <v>0</v>
      </c>
      <c r="CQ169" s="435">
        <f t="shared" si="153"/>
        <v>0</v>
      </c>
      <c r="CR169" s="435">
        <f t="shared" si="154"/>
        <v>0</v>
      </c>
      <c r="CS169" s="435">
        <f t="shared" si="155"/>
        <v>0</v>
      </c>
      <c r="CT169" s="435">
        <f t="shared" si="156"/>
        <v>0</v>
      </c>
      <c r="CU169" s="435">
        <f t="shared" si="157"/>
        <v>0</v>
      </c>
      <c r="CV169" s="435">
        <f t="shared" si="158"/>
        <v>0</v>
      </c>
    </row>
    <row r="170" spans="1:100" ht="15" customHeight="1" x14ac:dyDescent="0.3">
      <c r="A170" s="6717" t="s">
        <v>1736</v>
      </c>
      <c r="B170" s="6718"/>
      <c r="C170" s="3545"/>
      <c r="D170" s="479">
        <f t="shared" si="159"/>
        <v>0</v>
      </c>
      <c r="E170" s="479">
        <f t="shared" si="160"/>
        <v>0</v>
      </c>
      <c r="F170" s="560">
        <f t="shared" si="161"/>
        <v>0</v>
      </c>
      <c r="G170" s="346"/>
      <c r="H170" s="350"/>
      <c r="I170" s="348"/>
      <c r="J170" s="350"/>
      <c r="K170" s="348"/>
      <c r="L170" s="350"/>
      <c r="M170" s="348"/>
      <c r="N170" s="350"/>
      <c r="O170" s="369"/>
      <c r="P170" s="350"/>
      <c r="Q170" s="369"/>
      <c r="R170" s="350"/>
      <c r="S170" s="369"/>
      <c r="T170" s="350"/>
      <c r="U170" s="348"/>
      <c r="V170" s="350"/>
      <c r="W170" s="348"/>
      <c r="X170" s="350"/>
      <c r="Y170" s="348"/>
      <c r="Z170" s="350"/>
      <c r="AA170" s="348"/>
      <c r="AB170" s="350"/>
      <c r="AC170" s="348"/>
      <c r="AD170" s="350"/>
      <c r="AE170" s="348"/>
      <c r="AF170" s="350"/>
      <c r="AG170" s="348"/>
      <c r="AH170" s="350"/>
      <c r="AI170" s="348"/>
      <c r="AJ170" s="350"/>
      <c r="AK170" s="348"/>
      <c r="AL170" s="350"/>
      <c r="AM170" s="348"/>
      <c r="AN170" s="350"/>
      <c r="AO170" s="348"/>
      <c r="AP170" s="352"/>
      <c r="AQ170" s="430"/>
      <c r="AR170" s="535"/>
      <c r="AS170" s="535"/>
      <c r="AT170" s="535"/>
      <c r="AU170" s="535"/>
      <c r="AV170" s="535"/>
      <c r="AW170" s="535"/>
      <c r="AX170" s="107"/>
      <c r="AY170" t="str">
        <f t="shared" si="162"/>
        <v/>
      </c>
      <c r="CA170" s="434" t="str">
        <f t="shared" si="163"/>
        <v/>
      </c>
      <c r="CB170" s="434" t="str">
        <f t="shared" si="164"/>
        <v/>
      </c>
      <c r="CC170" s="434" t="str">
        <f t="shared" si="150"/>
        <v/>
      </c>
      <c r="CD170" s="434" t="str">
        <f t="shared" si="165"/>
        <v/>
      </c>
      <c r="CE170" s="434" t="str">
        <f t="shared" si="166"/>
        <v/>
      </c>
      <c r="CF170" s="434" t="str">
        <f t="shared" si="167"/>
        <v/>
      </c>
      <c r="CG170" s="434" t="str">
        <f t="shared" si="168"/>
        <v/>
      </c>
      <c r="CH170" s="434" t="str">
        <f t="shared" si="169"/>
        <v/>
      </c>
      <c r="CO170" s="435">
        <f t="shared" si="151"/>
        <v>0</v>
      </c>
      <c r="CP170" s="435">
        <f t="shared" si="152"/>
        <v>0</v>
      </c>
      <c r="CQ170" s="435">
        <f t="shared" si="153"/>
        <v>0</v>
      </c>
      <c r="CR170" s="435">
        <f t="shared" si="154"/>
        <v>0</v>
      </c>
      <c r="CS170" s="435">
        <f t="shared" si="155"/>
        <v>0</v>
      </c>
      <c r="CT170" s="435">
        <f t="shared" si="156"/>
        <v>0</v>
      </c>
      <c r="CU170" s="435">
        <f t="shared" si="157"/>
        <v>0</v>
      </c>
      <c r="CV170" s="435">
        <f t="shared" si="158"/>
        <v>0</v>
      </c>
    </row>
    <row r="171" spans="1:100" ht="15" customHeight="1" x14ac:dyDescent="0.3">
      <c r="A171" s="6349" t="s">
        <v>1737</v>
      </c>
      <c r="B171" s="6706"/>
      <c r="C171" s="6350"/>
      <c r="D171" s="479">
        <f t="shared" si="159"/>
        <v>0</v>
      </c>
      <c r="E171" s="479">
        <f t="shared" si="160"/>
        <v>0</v>
      </c>
      <c r="F171" s="560">
        <f t="shared" si="161"/>
        <v>0</v>
      </c>
      <c r="G171" s="346"/>
      <c r="H171" s="350"/>
      <c r="I171" s="348"/>
      <c r="J171" s="350"/>
      <c r="K171" s="348"/>
      <c r="L171" s="350"/>
      <c r="M171" s="348"/>
      <c r="N171" s="350"/>
      <c r="O171" s="369"/>
      <c r="P171" s="350"/>
      <c r="Q171" s="369"/>
      <c r="R171" s="350"/>
      <c r="S171" s="369"/>
      <c r="T171" s="350"/>
      <c r="U171" s="348"/>
      <c r="V171" s="350"/>
      <c r="W171" s="348"/>
      <c r="X171" s="350"/>
      <c r="Y171" s="348"/>
      <c r="Z171" s="350"/>
      <c r="AA171" s="348"/>
      <c r="AB171" s="350"/>
      <c r="AC171" s="348"/>
      <c r="AD171" s="350"/>
      <c r="AE171" s="348"/>
      <c r="AF171" s="350"/>
      <c r="AG171" s="348"/>
      <c r="AH171" s="350"/>
      <c r="AI171" s="348"/>
      <c r="AJ171" s="350"/>
      <c r="AK171" s="348"/>
      <c r="AL171" s="350"/>
      <c r="AM171" s="348"/>
      <c r="AN171" s="350"/>
      <c r="AO171" s="348"/>
      <c r="AP171" s="352"/>
      <c r="AQ171" s="430"/>
      <c r="AR171" s="535"/>
      <c r="AS171" s="535"/>
      <c r="AT171" s="594"/>
      <c r="AU171" s="594"/>
      <c r="AV171" s="594"/>
      <c r="AW171" s="594"/>
      <c r="AX171" s="2"/>
      <c r="AY171" t="str">
        <f t="shared" si="162"/>
        <v/>
      </c>
      <c r="CA171" s="434" t="str">
        <f t="shared" si="163"/>
        <v/>
      </c>
      <c r="CB171" s="434" t="str">
        <f t="shared" si="164"/>
        <v/>
      </c>
      <c r="CC171" s="434" t="str">
        <f t="shared" si="150"/>
        <v/>
      </c>
      <c r="CD171" s="434" t="str">
        <f t="shared" si="165"/>
        <v/>
      </c>
      <c r="CE171" s="434" t="str">
        <f t="shared" si="166"/>
        <v/>
      </c>
      <c r="CF171" s="434" t="str">
        <f t="shared" si="167"/>
        <v/>
      </c>
      <c r="CG171" s="434" t="str">
        <f t="shared" si="168"/>
        <v/>
      </c>
      <c r="CH171" s="434" t="str">
        <f t="shared" si="169"/>
        <v/>
      </c>
      <c r="CO171" s="435">
        <f t="shared" si="151"/>
        <v>0</v>
      </c>
      <c r="CP171" s="435">
        <f t="shared" si="152"/>
        <v>0</v>
      </c>
      <c r="CQ171" s="435">
        <f t="shared" si="153"/>
        <v>0</v>
      </c>
      <c r="CR171" s="435">
        <f t="shared" si="154"/>
        <v>0</v>
      </c>
      <c r="CS171" s="435">
        <f t="shared" si="155"/>
        <v>0</v>
      </c>
      <c r="CT171" s="435">
        <f t="shared" si="156"/>
        <v>0</v>
      </c>
      <c r="CU171" s="435">
        <f t="shared" si="157"/>
        <v>0</v>
      </c>
      <c r="CV171" s="435">
        <f t="shared" si="158"/>
        <v>0</v>
      </c>
    </row>
    <row r="172" spans="1:100" ht="15" customHeight="1" x14ac:dyDescent="0.3">
      <c r="A172" s="6802" t="s">
        <v>1738</v>
      </c>
      <c r="B172" s="6802"/>
      <c r="C172" s="6803"/>
      <c r="D172" s="478">
        <f t="shared" si="159"/>
        <v>0</v>
      </c>
      <c r="E172" s="479">
        <f t="shared" si="160"/>
        <v>0</v>
      </c>
      <c r="F172" s="560">
        <f t="shared" si="161"/>
        <v>0</v>
      </c>
      <c r="G172" s="346"/>
      <c r="H172" s="350"/>
      <c r="I172" s="346"/>
      <c r="J172" s="350"/>
      <c r="K172" s="346"/>
      <c r="L172" s="350"/>
      <c r="M172" s="346"/>
      <c r="N172" s="350"/>
      <c r="O172" s="346"/>
      <c r="P172" s="350"/>
      <c r="Q172" s="346"/>
      <c r="R172" s="350"/>
      <c r="S172" s="346"/>
      <c r="T172" s="350"/>
      <c r="U172" s="346"/>
      <c r="V172" s="350"/>
      <c r="W172" s="346"/>
      <c r="X172" s="350"/>
      <c r="Y172" s="346"/>
      <c r="Z172" s="350"/>
      <c r="AA172" s="346"/>
      <c r="AB172" s="350"/>
      <c r="AC172" s="346"/>
      <c r="AD172" s="350"/>
      <c r="AE172" s="346"/>
      <c r="AF172" s="350"/>
      <c r="AG172" s="346"/>
      <c r="AH172" s="350"/>
      <c r="AI172" s="346"/>
      <c r="AJ172" s="350"/>
      <c r="AK172" s="346"/>
      <c r="AL172" s="350"/>
      <c r="AM172" s="346"/>
      <c r="AN172" s="350"/>
      <c r="AO172" s="346"/>
      <c r="AP172" s="352"/>
      <c r="AQ172" s="377"/>
      <c r="AR172" s="369"/>
      <c r="AS172" s="535"/>
      <c r="AT172" s="594"/>
      <c r="AU172" s="594"/>
      <c r="AV172" s="594"/>
      <c r="AW172" s="594"/>
      <c r="AX172" s="2"/>
      <c r="AY172" t="str">
        <f t="shared" si="162"/>
        <v/>
      </c>
      <c r="CA172" s="434" t="str">
        <f t="shared" si="163"/>
        <v/>
      </c>
      <c r="CB172" s="434" t="str">
        <f t="shared" si="164"/>
        <v/>
      </c>
      <c r="CC172" s="434" t="str">
        <f t="shared" si="150"/>
        <v/>
      </c>
      <c r="CD172" s="434" t="str">
        <f t="shared" si="165"/>
        <v/>
      </c>
      <c r="CE172" s="434" t="str">
        <f t="shared" si="166"/>
        <v/>
      </c>
      <c r="CF172" s="434" t="str">
        <f t="shared" si="167"/>
        <v/>
      </c>
      <c r="CG172" s="434" t="str">
        <f t="shared" si="168"/>
        <v/>
      </c>
      <c r="CH172" s="434" t="str">
        <f t="shared" si="169"/>
        <v/>
      </c>
      <c r="CO172" s="435">
        <f t="shared" si="151"/>
        <v>0</v>
      </c>
      <c r="CP172" s="435">
        <f t="shared" si="152"/>
        <v>0</v>
      </c>
      <c r="CQ172" s="435">
        <f t="shared" si="153"/>
        <v>0</v>
      </c>
      <c r="CR172" s="435">
        <f t="shared" si="154"/>
        <v>0</v>
      </c>
      <c r="CS172" s="435">
        <f t="shared" si="155"/>
        <v>0</v>
      </c>
      <c r="CT172" s="435">
        <f t="shared" si="156"/>
        <v>0</v>
      </c>
      <c r="CU172" s="435">
        <f t="shared" si="157"/>
        <v>0</v>
      </c>
      <c r="CV172" s="435">
        <f t="shared" si="158"/>
        <v>0</v>
      </c>
    </row>
    <row r="173" spans="1:100" ht="15" customHeight="1" x14ac:dyDescent="0.3">
      <c r="A173" s="3717" t="s">
        <v>1739</v>
      </c>
      <c r="B173" s="3717"/>
      <c r="C173" s="417"/>
      <c r="D173" s="197">
        <f t="shared" si="159"/>
        <v>0</v>
      </c>
      <c r="E173" s="486">
        <f t="shared" si="160"/>
        <v>0</v>
      </c>
      <c r="F173" s="591">
        <f t="shared" si="161"/>
        <v>0</v>
      </c>
      <c r="G173" s="346"/>
      <c r="H173" s="350"/>
      <c r="I173" s="346"/>
      <c r="J173" s="350"/>
      <c r="K173" s="346"/>
      <c r="L173" s="350"/>
      <c r="M173" s="346"/>
      <c r="N173" s="350"/>
      <c r="O173" s="346"/>
      <c r="P173" s="350"/>
      <c r="Q173" s="346"/>
      <c r="R173" s="350"/>
      <c r="S173" s="346"/>
      <c r="T173" s="350"/>
      <c r="U173" s="346"/>
      <c r="V173" s="350"/>
      <c r="W173" s="346"/>
      <c r="X173" s="350"/>
      <c r="Y173" s="346"/>
      <c r="Z173" s="350"/>
      <c r="AA173" s="346"/>
      <c r="AB173" s="350"/>
      <c r="AC173" s="346"/>
      <c r="AD173" s="350"/>
      <c r="AE173" s="346"/>
      <c r="AF173" s="350"/>
      <c r="AG173" s="346"/>
      <c r="AH173" s="350"/>
      <c r="AI173" s="346"/>
      <c r="AJ173" s="350"/>
      <c r="AK173" s="346"/>
      <c r="AL173" s="350"/>
      <c r="AM173" s="346"/>
      <c r="AN173" s="350"/>
      <c r="AO173" s="380"/>
      <c r="AP173" s="390"/>
      <c r="AQ173" s="430"/>
      <c r="AR173" s="594"/>
      <c r="AS173" s="535"/>
      <c r="AT173" s="594"/>
      <c r="AU173" s="594"/>
      <c r="AV173" s="594"/>
      <c r="AW173" s="594"/>
      <c r="AX173" s="2"/>
      <c r="AY173" t="str">
        <f t="shared" si="162"/>
        <v/>
      </c>
      <c r="CA173" s="434" t="str">
        <f t="shared" si="163"/>
        <v/>
      </c>
      <c r="CB173" s="434" t="str">
        <f t="shared" si="164"/>
        <v/>
      </c>
      <c r="CC173" s="434" t="str">
        <f>IF(AND(AK173+AL173&gt;0,AS173="")," * No olvide digitar la variable 60 años (incluido en grupos de 60-64 años). Digite Cero si no tiene.",IF(AS173&gt;AK173+AL173," * La variable 60 años (incluido en grupos de 60-64 años) no pueden superar la suma del Grupo 60-64 años.",""))</f>
        <v/>
      </c>
      <c r="CD173" s="434" t="str">
        <f t="shared" si="165"/>
        <v/>
      </c>
      <c r="CE173" s="434" t="str">
        <f t="shared" si="166"/>
        <v/>
      </c>
      <c r="CF173" s="434" t="str">
        <f t="shared" si="167"/>
        <v/>
      </c>
      <c r="CG173" s="434" t="str">
        <f t="shared" si="168"/>
        <v/>
      </c>
      <c r="CH173" s="434" t="str">
        <f t="shared" si="169"/>
        <v/>
      </c>
      <c r="CO173" s="435">
        <f t="shared" si="151"/>
        <v>0</v>
      </c>
      <c r="CP173" s="435">
        <f t="shared" si="152"/>
        <v>0</v>
      </c>
      <c r="CQ173" s="435">
        <f t="shared" si="153"/>
        <v>0</v>
      </c>
      <c r="CR173" s="435">
        <f t="shared" si="154"/>
        <v>0</v>
      </c>
      <c r="CS173" s="435">
        <f t="shared" si="155"/>
        <v>0</v>
      </c>
      <c r="CT173" s="435">
        <f t="shared" si="156"/>
        <v>0</v>
      </c>
      <c r="CU173" s="435">
        <f t="shared" si="157"/>
        <v>0</v>
      </c>
      <c r="CV173" s="435">
        <f t="shared" si="158"/>
        <v>0</v>
      </c>
    </row>
    <row r="174" spans="1:100" ht="15" customHeight="1" x14ac:dyDescent="0.3">
      <c r="A174" s="6688" t="s">
        <v>77</v>
      </c>
      <c r="B174" s="6247"/>
      <c r="C174" s="6277"/>
      <c r="D174" s="3689">
        <f t="shared" ref="D174:AX174" si="170">SUM(D163:D173)</f>
        <v>0</v>
      </c>
      <c r="E174" s="3718">
        <f t="shared" si="170"/>
        <v>0</v>
      </c>
      <c r="F174" s="3510">
        <f t="shared" si="170"/>
        <v>0</v>
      </c>
      <c r="G174" s="3509">
        <f t="shared" si="170"/>
        <v>0</v>
      </c>
      <c r="H174" s="3510">
        <f t="shared" si="170"/>
        <v>0</v>
      </c>
      <c r="I174" s="3509">
        <f t="shared" si="170"/>
        <v>0</v>
      </c>
      <c r="J174" s="3510">
        <f t="shared" si="170"/>
        <v>0</v>
      </c>
      <c r="K174" s="3509">
        <f t="shared" si="170"/>
        <v>0</v>
      </c>
      <c r="L174" s="3510">
        <f>SUM(L163:L173)</f>
        <v>0</v>
      </c>
      <c r="M174" s="3509">
        <f t="shared" si="170"/>
        <v>0</v>
      </c>
      <c r="N174" s="3510">
        <f t="shared" si="170"/>
        <v>0</v>
      </c>
      <c r="O174" s="3509">
        <f t="shared" si="170"/>
        <v>0</v>
      </c>
      <c r="P174" s="3510">
        <f t="shared" si="170"/>
        <v>0</v>
      </c>
      <c r="Q174" s="3509">
        <f t="shared" si="170"/>
        <v>0</v>
      </c>
      <c r="R174" s="3510">
        <f t="shared" si="170"/>
        <v>0</v>
      </c>
      <c r="S174" s="3509">
        <f t="shared" si="170"/>
        <v>0</v>
      </c>
      <c r="T174" s="3510">
        <f t="shared" si="170"/>
        <v>0</v>
      </c>
      <c r="U174" s="3509">
        <f t="shared" si="170"/>
        <v>0</v>
      </c>
      <c r="V174" s="3510">
        <f t="shared" si="170"/>
        <v>0</v>
      </c>
      <c r="W174" s="3509">
        <f t="shared" si="170"/>
        <v>0</v>
      </c>
      <c r="X174" s="3510">
        <f t="shared" si="170"/>
        <v>0</v>
      </c>
      <c r="Y174" s="3509">
        <f t="shared" si="170"/>
        <v>0</v>
      </c>
      <c r="Z174" s="3510">
        <f t="shared" si="170"/>
        <v>0</v>
      </c>
      <c r="AA174" s="3509">
        <f t="shared" si="170"/>
        <v>0</v>
      </c>
      <c r="AB174" s="3510">
        <f t="shared" si="170"/>
        <v>0</v>
      </c>
      <c r="AC174" s="3509">
        <f t="shared" si="170"/>
        <v>0</v>
      </c>
      <c r="AD174" s="3510">
        <f t="shared" si="170"/>
        <v>0</v>
      </c>
      <c r="AE174" s="3509">
        <f t="shared" si="170"/>
        <v>0</v>
      </c>
      <c r="AF174" s="3510">
        <f t="shared" si="170"/>
        <v>0</v>
      </c>
      <c r="AG174" s="3509">
        <f t="shared" si="170"/>
        <v>0</v>
      </c>
      <c r="AH174" s="3510">
        <f t="shared" si="170"/>
        <v>0</v>
      </c>
      <c r="AI174" s="3509">
        <f t="shared" si="170"/>
        <v>0</v>
      </c>
      <c r="AJ174" s="3510">
        <f t="shared" si="170"/>
        <v>0</v>
      </c>
      <c r="AK174" s="3509">
        <f t="shared" si="170"/>
        <v>0</v>
      </c>
      <c r="AL174" s="3510">
        <f t="shared" si="170"/>
        <v>0</v>
      </c>
      <c r="AM174" s="3509">
        <f t="shared" si="170"/>
        <v>0</v>
      </c>
      <c r="AN174" s="3510">
        <f t="shared" si="170"/>
        <v>0</v>
      </c>
      <c r="AO174" s="3509">
        <f t="shared" si="170"/>
        <v>0</v>
      </c>
      <c r="AP174" s="3519">
        <f t="shared" si="170"/>
        <v>0</v>
      </c>
      <c r="AQ174" s="628">
        <f t="shared" si="170"/>
        <v>0</v>
      </c>
      <c r="AR174" s="625">
        <f t="shared" si="170"/>
        <v>0</v>
      </c>
      <c r="AS174" s="625">
        <f t="shared" si="170"/>
        <v>0</v>
      </c>
      <c r="AT174" s="3719">
        <f t="shared" si="170"/>
        <v>0</v>
      </c>
      <c r="AU174" s="3719">
        <f t="shared" si="170"/>
        <v>0</v>
      </c>
      <c r="AV174" s="3719">
        <f t="shared" si="170"/>
        <v>0</v>
      </c>
      <c r="AW174" s="3719">
        <f t="shared" si="170"/>
        <v>0</v>
      </c>
      <c r="AX174" s="3720">
        <f t="shared" si="170"/>
        <v>0</v>
      </c>
    </row>
    <row r="175" spans="1:100" ht="18" customHeight="1" x14ac:dyDescent="0.3">
      <c r="A175" s="3" t="s">
        <v>1740</v>
      </c>
      <c r="B175" s="3721"/>
      <c r="C175" s="3721"/>
      <c r="D175" s="3721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3312"/>
      <c r="R175" s="4"/>
      <c r="S175" s="1873"/>
      <c r="T175" s="1873"/>
      <c r="U175" s="1873"/>
      <c r="V175" s="1873"/>
      <c r="W175" s="1873"/>
      <c r="X175" s="5"/>
      <c r="Y175" s="1873"/>
      <c r="Z175" s="1873"/>
      <c r="AA175" s="1873"/>
      <c r="AB175" s="1873"/>
      <c r="AC175" s="1873"/>
      <c r="AD175" s="1873"/>
      <c r="AE175" s="1873"/>
      <c r="AF175" s="1873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</row>
    <row r="176" spans="1:100" ht="15" customHeight="1" x14ac:dyDescent="0.3">
      <c r="A176" s="6307" t="s">
        <v>1741</v>
      </c>
      <c r="B176" s="6223"/>
      <c r="C176" s="6308"/>
      <c r="D176" s="5944" t="s">
        <v>77</v>
      </c>
      <c r="E176" s="6242"/>
      <c r="F176" s="6243"/>
      <c r="G176" s="6688" t="s">
        <v>101</v>
      </c>
      <c r="H176" s="6247"/>
      <c r="I176" s="6247"/>
      <c r="J176" s="6247"/>
      <c r="K176" s="6247"/>
      <c r="L176" s="6247"/>
      <c r="M176" s="6247"/>
      <c r="N176" s="6247"/>
      <c r="O176" s="6247"/>
      <c r="P176" s="6247"/>
      <c r="Q176" s="6247"/>
      <c r="R176" s="6247"/>
      <c r="S176" s="6247"/>
      <c r="T176" s="6247"/>
      <c r="U176" s="6247"/>
      <c r="V176" s="6247"/>
      <c r="W176" s="6247"/>
      <c r="X176" s="6247"/>
      <c r="Y176" s="6247"/>
      <c r="Z176" s="6247"/>
      <c r="AA176" s="6247"/>
      <c r="AB176" s="6247"/>
      <c r="AC176" s="6247"/>
      <c r="AD176" s="6247"/>
      <c r="AE176" s="6247"/>
      <c r="AF176" s="6247"/>
      <c r="AG176" s="6247"/>
      <c r="AH176" s="6247"/>
      <c r="AI176" s="6247"/>
      <c r="AJ176" s="6247"/>
      <c r="AK176" s="6247"/>
      <c r="AL176" s="6247"/>
      <c r="AM176" s="6247"/>
      <c r="AN176" s="6247"/>
      <c r="AO176" s="6247"/>
      <c r="AP176" s="6277"/>
      <c r="AQ176" s="6249" t="s">
        <v>1594</v>
      </c>
      <c r="AR176" s="6695" t="s">
        <v>1573</v>
      </c>
      <c r="AS176" s="6745" t="s">
        <v>1575</v>
      </c>
      <c r="AT176" s="6745" t="s">
        <v>1576</v>
      </c>
      <c r="AU176" s="6690" t="s">
        <v>37</v>
      </c>
      <c r="AV176" s="6690" t="s">
        <v>1742</v>
      </c>
      <c r="AW176" s="6690" t="s">
        <v>1574</v>
      </c>
      <c r="AX176" s="6552" t="s">
        <v>322</v>
      </c>
    </row>
    <row r="177" spans="1:100" ht="15" customHeight="1" x14ac:dyDescent="0.3">
      <c r="A177" s="6559"/>
      <c r="B177" s="6686"/>
      <c r="C177" s="6063"/>
      <c r="D177" s="5776"/>
      <c r="E177" s="5777"/>
      <c r="F177" s="5759"/>
      <c r="G177" s="6679" t="s">
        <v>474</v>
      </c>
      <c r="H177" s="6693"/>
      <c r="I177" s="6688" t="s">
        <v>380</v>
      </c>
      <c r="J177" s="6277"/>
      <c r="K177" s="6247" t="s">
        <v>381</v>
      </c>
      <c r="L177" s="6277"/>
      <c r="M177" s="6688" t="s">
        <v>1577</v>
      </c>
      <c r="N177" s="6277"/>
      <c r="O177" s="6688" t="s">
        <v>383</v>
      </c>
      <c r="P177" s="6277"/>
      <c r="Q177" s="6688" t="s">
        <v>384</v>
      </c>
      <c r="R177" s="6277"/>
      <c r="S177" s="6688" t="s">
        <v>385</v>
      </c>
      <c r="T177" s="6277"/>
      <c r="U177" s="6688" t="s">
        <v>386</v>
      </c>
      <c r="V177" s="6277"/>
      <c r="W177" s="6688" t="s">
        <v>1578</v>
      </c>
      <c r="X177" s="6277"/>
      <c r="Y177" s="6688" t="s">
        <v>303</v>
      </c>
      <c r="Z177" s="6694"/>
      <c r="AA177" s="6688" t="s">
        <v>304</v>
      </c>
      <c r="AB177" s="6694"/>
      <c r="AC177" s="6811" t="s">
        <v>1579</v>
      </c>
      <c r="AD177" s="6812"/>
      <c r="AE177" s="6811" t="s">
        <v>1580</v>
      </c>
      <c r="AF177" s="6812"/>
      <c r="AG177" s="6811" t="s">
        <v>1581</v>
      </c>
      <c r="AH177" s="6812"/>
      <c r="AI177" s="6811" t="s">
        <v>1582</v>
      </c>
      <c r="AJ177" s="6812"/>
      <c r="AK177" s="6688" t="s">
        <v>1583</v>
      </c>
      <c r="AL177" s="6694"/>
      <c r="AM177" s="6688" t="s">
        <v>1584</v>
      </c>
      <c r="AN177" s="6694"/>
      <c r="AO177" s="6688" t="s">
        <v>938</v>
      </c>
      <c r="AP177" s="6694"/>
      <c r="AQ177" s="5766"/>
      <c r="AR177" s="6777"/>
      <c r="AS177" s="6745"/>
      <c r="AT177" s="6745"/>
      <c r="AU177" s="6691"/>
      <c r="AV177" s="6691"/>
      <c r="AW177" s="6691"/>
      <c r="AX177" s="6087"/>
    </row>
    <row r="178" spans="1:100" ht="20.25" customHeight="1" x14ac:dyDescent="0.3">
      <c r="A178" s="6482"/>
      <c r="B178" s="6481"/>
      <c r="C178" s="6645"/>
      <c r="D178" s="3486" t="s">
        <v>79</v>
      </c>
      <c r="E178" s="3536" t="s">
        <v>58</v>
      </c>
      <c r="F178" s="605" t="s">
        <v>59</v>
      </c>
      <c r="G178" s="3507" t="s">
        <v>58</v>
      </c>
      <c r="H178" s="469" t="s">
        <v>59</v>
      </c>
      <c r="I178" s="3507" t="s">
        <v>58</v>
      </c>
      <c r="J178" s="469" t="s">
        <v>59</v>
      </c>
      <c r="K178" s="3507" t="s">
        <v>58</v>
      </c>
      <c r="L178" s="469" t="s">
        <v>59</v>
      </c>
      <c r="M178" s="3507" t="s">
        <v>58</v>
      </c>
      <c r="N178" s="469" t="s">
        <v>59</v>
      </c>
      <c r="O178" s="3507" t="s">
        <v>58</v>
      </c>
      <c r="P178" s="469" t="s">
        <v>59</v>
      </c>
      <c r="Q178" s="3507" t="s">
        <v>58</v>
      </c>
      <c r="R178" s="605" t="s">
        <v>59</v>
      </c>
      <c r="S178" s="3488" t="s">
        <v>58</v>
      </c>
      <c r="T178" s="605" t="s">
        <v>59</v>
      </c>
      <c r="U178" s="3488" t="s">
        <v>58</v>
      </c>
      <c r="V178" s="605" t="s">
        <v>59</v>
      </c>
      <c r="W178" s="3488" t="s">
        <v>58</v>
      </c>
      <c r="X178" s="605" t="s">
        <v>59</v>
      </c>
      <c r="Y178" s="3488" t="s">
        <v>58</v>
      </c>
      <c r="Z178" s="605" t="s">
        <v>59</v>
      </c>
      <c r="AA178" s="3488" t="s">
        <v>58</v>
      </c>
      <c r="AB178" s="605" t="s">
        <v>59</v>
      </c>
      <c r="AC178" s="3488" t="s">
        <v>58</v>
      </c>
      <c r="AD178" s="605" t="s">
        <v>59</v>
      </c>
      <c r="AE178" s="3488" t="s">
        <v>58</v>
      </c>
      <c r="AF178" s="605" t="s">
        <v>59</v>
      </c>
      <c r="AG178" s="3488" t="s">
        <v>58</v>
      </c>
      <c r="AH178" s="605" t="s">
        <v>59</v>
      </c>
      <c r="AI178" s="3488" t="s">
        <v>58</v>
      </c>
      <c r="AJ178" s="605" t="s">
        <v>59</v>
      </c>
      <c r="AK178" s="3488" t="s">
        <v>58</v>
      </c>
      <c r="AL178" s="605" t="s">
        <v>59</v>
      </c>
      <c r="AM178" s="3488" t="s">
        <v>58</v>
      </c>
      <c r="AN178" s="605" t="s">
        <v>59</v>
      </c>
      <c r="AO178" s="3488" t="s">
        <v>58</v>
      </c>
      <c r="AP178" s="605" t="s">
        <v>59</v>
      </c>
      <c r="AQ178" s="5767"/>
      <c r="AR178" s="5815"/>
      <c r="AS178" s="6745"/>
      <c r="AT178" s="6745"/>
      <c r="AU178" s="6692"/>
      <c r="AV178" s="6692"/>
      <c r="AW178" s="6692"/>
      <c r="AX178" s="6810"/>
    </row>
    <row r="179" spans="1:100" ht="15" customHeight="1" x14ac:dyDescent="0.3">
      <c r="A179" s="6185" t="s">
        <v>1743</v>
      </c>
      <c r="B179" s="6764" t="s">
        <v>1744</v>
      </c>
      <c r="C179" s="6765"/>
      <c r="D179" s="3722">
        <f t="shared" ref="D179:D189" si="171">SUM(F179)</f>
        <v>0</v>
      </c>
      <c r="E179" s="3723"/>
      <c r="F179" s="3724">
        <f t="shared" ref="F179:F191" si="172">SUM(AD179+AF179+AH179+AJ179+AL179+AN179+AP179)</f>
        <v>0</v>
      </c>
      <c r="G179" s="3725"/>
      <c r="H179" s="842"/>
      <c r="I179" s="3725"/>
      <c r="J179" s="842"/>
      <c r="K179" s="3725"/>
      <c r="L179" s="842"/>
      <c r="M179" s="3725"/>
      <c r="N179" s="842"/>
      <c r="O179" s="3725"/>
      <c r="P179" s="842"/>
      <c r="Q179" s="3725"/>
      <c r="R179" s="842"/>
      <c r="S179" s="3725"/>
      <c r="T179" s="842"/>
      <c r="U179" s="3725"/>
      <c r="V179" s="842"/>
      <c r="W179" s="3725"/>
      <c r="X179" s="842"/>
      <c r="Y179" s="3725"/>
      <c r="Z179" s="842"/>
      <c r="AA179" s="3725"/>
      <c r="AB179" s="842"/>
      <c r="AC179" s="3726"/>
      <c r="AD179" s="771"/>
      <c r="AE179" s="3727"/>
      <c r="AF179" s="771"/>
      <c r="AG179" s="3727"/>
      <c r="AH179" s="771"/>
      <c r="AI179" s="3727"/>
      <c r="AJ179" s="771"/>
      <c r="AK179" s="3727"/>
      <c r="AL179" s="771"/>
      <c r="AM179" s="3727"/>
      <c r="AN179" s="771"/>
      <c r="AO179" s="3727"/>
      <c r="AP179" s="771"/>
      <c r="AQ179" s="758"/>
      <c r="AR179" s="773"/>
      <c r="AS179" s="773"/>
      <c r="AT179" s="773"/>
      <c r="AU179" s="773"/>
      <c r="AV179" s="3728"/>
      <c r="AW179" s="535"/>
      <c r="AX179" s="107"/>
      <c r="AY179" t="str">
        <f>CA179&amp;CB179&amp;CC179&amp;CD179&amp;CE179&amp;CF179&amp;CG179&amp;CH179</f>
        <v/>
      </c>
      <c r="CA179" s="434"/>
      <c r="CB179" s="434" t="str">
        <f>IF(AND($D179&gt;0,AR179="")," * No olvide digitar la variable Usuario con Discapacidad. Digite Cero si no tiene.",IF(AR179&gt;$D179," * La variable Usuario con Discapacidad no pueden superar el Total Ambos Sexos.",""))</f>
        <v/>
      </c>
      <c r="CC179" s="434" t="str">
        <f>IF(AND($D179&gt;0,AS179=""),"  * No olvide digitar la variable Niños, niñas, adolescentes y jóvenes SENAME. Digite Cero si no tiene.",IF(AS179&gt;D179," * La variable Niños, niñas, adolescentes y jóvenes SENAME no pueden superar el Total Ambos Sexos.",""))</f>
        <v/>
      </c>
      <c r="CD179" s="434" t="str">
        <f>IF(AND($D179&gt;0,AT179="")," * No olvide digitar la variable Niños, niñas, adolescentes y jóvenes Mejor Niñez. Digite Cero si no tiene.",IF(AT179&gt;$D179," * La variable Niños, niñas, adolescentes y jóvenes Mejor Niñez no pueden superar el Total Ambos Sexos.",""))</f>
        <v/>
      </c>
      <c r="CE179" s="434" t="str">
        <f>IF(AND($D179&gt;0,AU179="")," * No olvide digitar la variable Migrantes. Digite Cero si no tiene.",IF(AU179&gt;$D179," * La variable Migrantes no pueden superar el Total Ambos Sexos.",""))</f>
        <v/>
      </c>
      <c r="CF179" s="436"/>
      <c r="CG179" s="434" t="str">
        <f>IF(AND($D179&gt;0,AW179=""),"  * No olvide digitar la variable Persona con ingreso integral y condición crónica. Digite Cero si no tiene.",IF(AW179&gt;$D179," * La variable Persona con ingreso integral y condición crónica no pueden superar el Total Ambos Sexos.",""))</f>
        <v/>
      </c>
      <c r="CH179" s="434" t="str">
        <f>IF(AND($D179&gt;0,AX179=""),"  * No olvide digitar la variable Pueblos Originarios. Digite Cero si no tiene.",IF(AX179&gt;$D179," * La variable Pueblos Originarios no pueden superar el Total Ambos Sexos.",""))</f>
        <v/>
      </c>
      <c r="CO179" s="435"/>
      <c r="CP179" s="435">
        <f t="shared" ref="CP179:CQ182" si="173">IF(AND($D179&gt;0,AR179=""),1,IF(AR179&gt;$D179,1,0))</f>
        <v>0</v>
      </c>
      <c r="CQ179" s="435">
        <f t="shared" si="173"/>
        <v>0</v>
      </c>
      <c r="CR179" s="435">
        <f>IF(AND(D179&gt;0,AT179=""),1,IF(AT179&gt;D179,1,0))</f>
        <v>0</v>
      </c>
      <c r="CS179" s="435">
        <f>IF(AND($D179&gt;0,AU179=""),1,IF(AU179&gt;$D179,1,0))</f>
        <v>0</v>
      </c>
      <c r="CT179" s="436"/>
      <c r="CU179" s="435">
        <f t="shared" ref="CU179:CV182" si="174">IF(AND($D179&gt;0,AW179=""),1,IF(AW179&gt;$D179,1,0))</f>
        <v>0</v>
      </c>
      <c r="CV179" s="435">
        <f t="shared" si="174"/>
        <v>0</v>
      </c>
    </row>
    <row r="180" spans="1:100" ht="15" customHeight="1" x14ac:dyDescent="0.3">
      <c r="A180" s="5790"/>
      <c r="B180" s="6717" t="s">
        <v>1643</v>
      </c>
      <c r="C180" s="6719"/>
      <c r="D180" s="3729">
        <f t="shared" si="171"/>
        <v>0</v>
      </c>
      <c r="E180" s="3730"/>
      <c r="F180" s="3731">
        <f t="shared" si="172"/>
        <v>0</v>
      </c>
      <c r="G180" s="3314"/>
      <c r="H180" s="847"/>
      <c r="I180" s="3314"/>
      <c r="J180" s="847"/>
      <c r="K180" s="3314"/>
      <c r="L180" s="847"/>
      <c r="M180" s="3314"/>
      <c r="N180" s="847"/>
      <c r="O180" s="3314"/>
      <c r="P180" s="847"/>
      <c r="Q180" s="3314"/>
      <c r="R180" s="847"/>
      <c r="S180" s="3314"/>
      <c r="T180" s="847"/>
      <c r="U180" s="3314"/>
      <c r="V180" s="847"/>
      <c r="W180" s="3314"/>
      <c r="X180" s="847"/>
      <c r="Y180" s="3314"/>
      <c r="Z180" s="847"/>
      <c r="AA180" s="3314"/>
      <c r="AB180" s="847"/>
      <c r="AC180" s="542"/>
      <c r="AD180" s="637"/>
      <c r="AE180" s="686"/>
      <c r="AF180" s="637"/>
      <c r="AG180" s="686"/>
      <c r="AH180" s="637"/>
      <c r="AI180" s="686"/>
      <c r="AJ180" s="637"/>
      <c r="AK180" s="686"/>
      <c r="AL180" s="637"/>
      <c r="AM180" s="686"/>
      <c r="AN180" s="637"/>
      <c r="AO180" s="686"/>
      <c r="AP180" s="637"/>
      <c r="AQ180" s="296"/>
      <c r="AR180" s="535"/>
      <c r="AS180" s="535"/>
      <c r="AT180" s="535"/>
      <c r="AU180" s="369"/>
      <c r="AV180" s="536"/>
      <c r="AW180" s="535"/>
      <c r="AX180" s="107"/>
      <c r="AY180" t="str">
        <f t="shared" ref="AY180:AY226" si="175">CA180&amp;CB180&amp;CC180&amp;CD180&amp;CE180&amp;CF180&amp;CG180&amp;CH180</f>
        <v/>
      </c>
      <c r="CA180" s="434"/>
      <c r="CB180" s="434" t="str">
        <f t="shared" ref="CB180:CB182" si="176">IF(AND($D180&gt;0,AR180="")," * No olvide digitar la variable Usuario con Discapacidad. Digite Cero si no tiene.",IF(AR180&gt;$D180," * La variable Usuario con Discapacidad no pueden superar el Total Ambos Sexos.",""))</f>
        <v/>
      </c>
      <c r="CC180" s="434" t="str">
        <f t="shared" ref="CC180:CC182" si="177">IF(AND($D180&gt;0,AS180=""),"  * No olvide digitar la variable Niños, niñas, adolescentes y jóvenes SENAME. Digite Cero si no tiene.",IF(AS180&gt;D180," * La variable Niños, niñas, adolescentes y jóvenes SENAME no pueden superar el Total Ambos Sexos.",""))</f>
        <v/>
      </c>
      <c r="CD180" s="434" t="str">
        <f t="shared" ref="CD180:CD182" si="178">IF(AND($D180&gt;0,AT180="")," * No olvide digitar la variable Niños, niñas, adolescentes y jóvenes Mejor Niñez. Digite Cero si no tiene.",IF(AT180&gt;$D180," * La variable Niños, niñas, adolescentes y jóvenes Mejor Niñez no pueden superar el Total Ambos Sexos.",""))</f>
        <v/>
      </c>
      <c r="CE180" s="434" t="str">
        <f t="shared" ref="CE180:CE182" si="179">IF(AND($D180&gt;0,AU180="")," * No olvide digitar la variable Migrantes. Digite Cero si no tiene.",IF(AU180&gt;$D180," * La variable Migrantes no pueden superar el Total Ambos Sexos.",""))</f>
        <v/>
      </c>
      <c r="CF180" s="436"/>
      <c r="CG180" s="434" t="str">
        <f t="shared" ref="CG180:CG182" si="180">IF(AND($D180&gt;0,AW180=""),"  * No olvide digitar la variable Persona con ingreso integral y condición crónica. Digite Cero si no tiene.",IF(AW180&gt;$D180," * La variable Persona con ingreso integral y condición crónica no pueden superar el Total Ambos Sexos.",""))</f>
        <v/>
      </c>
      <c r="CH180" s="434" t="str">
        <f t="shared" ref="CH180:CH182" si="181">IF(AND($D180&gt;0,AX180=""),"  * No olvide digitar la variable Pueblos Originarios. Digite Cero si no tiene.",IF(AX180&gt;$D180," * La variable Pueblos Originarios no pueden superar el Total Ambos Sexos.",""))</f>
        <v/>
      </c>
      <c r="CO180" s="435"/>
      <c r="CP180" s="435">
        <f t="shared" si="173"/>
        <v>0</v>
      </c>
      <c r="CQ180" s="435">
        <f t="shared" si="173"/>
        <v>0</v>
      </c>
      <c r="CR180" s="435">
        <f>IF(AND(D180&gt;0,AT180=""),1,IF(AT180&gt;D180,1,0))</f>
        <v>0</v>
      </c>
      <c r="CS180" s="435">
        <f>IF(AND($D180&gt;0,AU180=""),1,IF(AU180&gt;$D180,1,0))</f>
        <v>0</v>
      </c>
      <c r="CT180" s="436"/>
      <c r="CU180" s="435">
        <f t="shared" si="174"/>
        <v>0</v>
      </c>
      <c r="CV180" s="435">
        <f t="shared" si="174"/>
        <v>0</v>
      </c>
    </row>
    <row r="181" spans="1:100" ht="15" customHeight="1" x14ac:dyDescent="0.3">
      <c r="A181" s="5790"/>
      <c r="B181" s="6565" t="s">
        <v>1641</v>
      </c>
      <c r="C181" s="6566"/>
      <c r="D181" s="3729">
        <f t="shared" si="171"/>
        <v>0</v>
      </c>
      <c r="E181" s="3730"/>
      <c r="F181" s="3731">
        <f t="shared" si="172"/>
        <v>0</v>
      </c>
      <c r="G181" s="3314"/>
      <c r="H181" s="847"/>
      <c r="I181" s="3314"/>
      <c r="J181" s="847"/>
      <c r="K181" s="3314"/>
      <c r="L181" s="847"/>
      <c r="M181" s="3314"/>
      <c r="N181" s="847"/>
      <c r="O181" s="3314"/>
      <c r="P181" s="847"/>
      <c r="Q181" s="3314"/>
      <c r="R181" s="847"/>
      <c r="S181" s="3314"/>
      <c r="T181" s="847"/>
      <c r="U181" s="3314"/>
      <c r="V181" s="847"/>
      <c r="W181" s="3314"/>
      <c r="X181" s="847"/>
      <c r="Y181" s="3314"/>
      <c r="Z181" s="847"/>
      <c r="AA181" s="3314"/>
      <c r="AB181" s="847"/>
      <c r="AC181" s="542"/>
      <c r="AD181" s="95"/>
      <c r="AE181" s="686"/>
      <c r="AF181" s="95"/>
      <c r="AG181" s="686"/>
      <c r="AH181" s="95"/>
      <c r="AI181" s="686"/>
      <c r="AJ181" s="95"/>
      <c r="AK181" s="686"/>
      <c r="AL181" s="95"/>
      <c r="AM181" s="686"/>
      <c r="AN181" s="95"/>
      <c r="AO181" s="686"/>
      <c r="AP181" s="95"/>
      <c r="AQ181" s="430"/>
      <c r="AR181" s="369"/>
      <c r="AS181" s="369"/>
      <c r="AT181" s="369"/>
      <c r="AU181" s="369"/>
      <c r="AV181" s="244"/>
      <c r="AW181" s="242"/>
      <c r="AX181" s="42"/>
      <c r="AY181" t="str">
        <f t="shared" si="175"/>
        <v/>
      </c>
      <c r="CA181" s="434"/>
      <c r="CB181" s="434" t="str">
        <f t="shared" si="176"/>
        <v/>
      </c>
      <c r="CC181" s="434" t="str">
        <f t="shared" si="177"/>
        <v/>
      </c>
      <c r="CD181" s="434" t="str">
        <f t="shared" si="178"/>
        <v/>
      </c>
      <c r="CE181" s="434" t="str">
        <f t="shared" si="179"/>
        <v/>
      </c>
      <c r="CF181" s="436"/>
      <c r="CG181" s="434" t="str">
        <f t="shared" si="180"/>
        <v/>
      </c>
      <c r="CH181" s="434" t="str">
        <f t="shared" si="181"/>
        <v/>
      </c>
      <c r="CO181" s="435"/>
      <c r="CP181" s="435">
        <f t="shared" si="173"/>
        <v>0</v>
      </c>
      <c r="CQ181" s="435">
        <f t="shared" si="173"/>
        <v>0</v>
      </c>
      <c r="CR181" s="435">
        <f>IF(AND(D181&gt;0,AT181=""),1,IF(AT181&gt;D181,1,0))</f>
        <v>0</v>
      </c>
      <c r="CS181" s="435">
        <f>IF(AND($D181&gt;0,AU181=""),1,IF(AU181&gt;$D181,1,0))</f>
        <v>0</v>
      </c>
      <c r="CT181" s="436"/>
      <c r="CU181" s="435">
        <f t="shared" si="174"/>
        <v>0</v>
      </c>
      <c r="CV181" s="435">
        <f t="shared" si="174"/>
        <v>0</v>
      </c>
    </row>
    <row r="182" spans="1:100" ht="15" customHeight="1" x14ac:dyDescent="0.3">
      <c r="A182" s="5790"/>
      <c r="B182" s="6762" t="s">
        <v>1698</v>
      </c>
      <c r="C182" s="6763"/>
      <c r="D182" s="3732">
        <f t="shared" si="171"/>
        <v>0</v>
      </c>
      <c r="E182" s="3733"/>
      <c r="F182" s="2671">
        <f t="shared" si="172"/>
        <v>0</v>
      </c>
      <c r="G182" s="2692"/>
      <c r="H182" s="2672"/>
      <c r="I182" s="2692"/>
      <c r="J182" s="2672"/>
      <c r="K182" s="2692"/>
      <c r="L182" s="2672"/>
      <c r="M182" s="2692"/>
      <c r="N182" s="2672"/>
      <c r="O182" s="2692"/>
      <c r="P182" s="2672"/>
      <c r="Q182" s="2692"/>
      <c r="R182" s="2672"/>
      <c r="S182" s="2692"/>
      <c r="T182" s="2672"/>
      <c r="U182" s="2692"/>
      <c r="V182" s="2672"/>
      <c r="W182" s="2692"/>
      <c r="X182" s="2672"/>
      <c r="Y182" s="2692"/>
      <c r="Z182" s="2672"/>
      <c r="AA182" s="2692"/>
      <c r="AB182" s="2672"/>
      <c r="AC182" s="3734"/>
      <c r="AD182" s="383"/>
      <c r="AE182" s="288"/>
      <c r="AF182" s="383"/>
      <c r="AG182" s="288"/>
      <c r="AH182" s="383"/>
      <c r="AI182" s="288"/>
      <c r="AJ182" s="383"/>
      <c r="AK182" s="288"/>
      <c r="AL182" s="383"/>
      <c r="AM182" s="288"/>
      <c r="AN182" s="383"/>
      <c r="AO182" s="288"/>
      <c r="AP182" s="383"/>
      <c r="AQ182" s="377"/>
      <c r="AR182" s="594"/>
      <c r="AS182" s="594"/>
      <c r="AT182" s="594"/>
      <c r="AU182" s="594"/>
      <c r="AV182" s="244"/>
      <c r="AW182" s="535"/>
      <c r="AX182" s="107"/>
      <c r="AY182" t="str">
        <f t="shared" si="175"/>
        <v/>
      </c>
      <c r="CA182" s="434"/>
      <c r="CB182" s="434" t="str">
        <f t="shared" si="176"/>
        <v/>
      </c>
      <c r="CC182" s="434" t="str">
        <f t="shared" si="177"/>
        <v/>
      </c>
      <c r="CD182" s="434" t="str">
        <f t="shared" si="178"/>
        <v/>
      </c>
      <c r="CE182" s="434" t="str">
        <f t="shared" si="179"/>
        <v/>
      </c>
      <c r="CF182" s="436"/>
      <c r="CG182" s="434" t="str">
        <f t="shared" si="180"/>
        <v/>
      </c>
      <c r="CH182" s="434" t="str">
        <f t="shared" si="181"/>
        <v/>
      </c>
      <c r="CO182" s="435"/>
      <c r="CP182" s="435">
        <f t="shared" si="173"/>
        <v>0</v>
      </c>
      <c r="CQ182" s="435">
        <f t="shared" si="173"/>
        <v>0</v>
      </c>
      <c r="CR182" s="435">
        <f>IF(AND(D182&gt;0,AT182=""),1,IF(AT182&gt;D182,1,0))</f>
        <v>0</v>
      </c>
      <c r="CS182" s="435">
        <f>IF(AND($D182&gt;0,AU182=""),1,IF(AU182&gt;$D182,1,0))</f>
        <v>0</v>
      </c>
      <c r="CT182" s="436"/>
      <c r="CU182" s="435">
        <f t="shared" si="174"/>
        <v>0</v>
      </c>
      <c r="CV182" s="435">
        <f t="shared" si="174"/>
        <v>0</v>
      </c>
    </row>
    <row r="183" spans="1:100" ht="15" customHeight="1" x14ac:dyDescent="0.3">
      <c r="A183" s="5790"/>
      <c r="B183" s="6185" t="s">
        <v>1745</v>
      </c>
      <c r="C183" s="3486" t="s">
        <v>77</v>
      </c>
      <c r="D183" s="3735">
        <f t="shared" si="171"/>
        <v>0</v>
      </c>
      <c r="E183" s="3736"/>
      <c r="F183" s="3720">
        <f t="shared" si="172"/>
        <v>0</v>
      </c>
      <c r="G183" s="3737"/>
      <c r="H183" s="3738"/>
      <c r="I183" s="3737"/>
      <c r="J183" s="3738"/>
      <c r="K183" s="3737"/>
      <c r="L183" s="3738"/>
      <c r="M183" s="3737"/>
      <c r="N183" s="3738"/>
      <c r="O183" s="3737"/>
      <c r="P183" s="3738"/>
      <c r="Q183" s="3737"/>
      <c r="R183" s="3738"/>
      <c r="S183" s="3737"/>
      <c r="T183" s="3738"/>
      <c r="U183" s="3737"/>
      <c r="V183" s="3738"/>
      <c r="W183" s="3737"/>
      <c r="X183" s="3738"/>
      <c r="Y183" s="3737"/>
      <c r="Z183" s="3738"/>
      <c r="AA183" s="3737"/>
      <c r="AB183" s="3738"/>
      <c r="AC183" s="3739"/>
      <c r="AD183" s="586">
        <f>SUM(AD184:AD189)</f>
        <v>0</v>
      </c>
      <c r="AE183" s="3740"/>
      <c r="AF183" s="586">
        <f>SUM(AF184:AF189)</f>
        <v>0</v>
      </c>
      <c r="AG183" s="3740"/>
      <c r="AH183" s="586">
        <f>SUM(AH184:AH189)</f>
        <v>0</v>
      </c>
      <c r="AI183" s="3740"/>
      <c r="AJ183" s="586">
        <f>SUM(AJ184:AJ189)</f>
        <v>0</v>
      </c>
      <c r="AK183" s="3740"/>
      <c r="AL183" s="586">
        <f>SUM(AL184:AL189)</f>
        <v>0</v>
      </c>
      <c r="AM183" s="3740"/>
      <c r="AN183" s="586">
        <f>SUM(AN184:AN189)</f>
        <v>0</v>
      </c>
      <c r="AO183" s="3740"/>
      <c r="AP183" s="586">
        <f t="shared" ref="AP183:AX183" si="182">SUM(AP184:AP189)</f>
        <v>0</v>
      </c>
      <c r="AQ183" s="514">
        <f t="shared" si="182"/>
        <v>0</v>
      </c>
      <c r="AR183" s="512">
        <f t="shared" si="182"/>
        <v>0</v>
      </c>
      <c r="AS183" s="512">
        <f t="shared" si="182"/>
        <v>0</v>
      </c>
      <c r="AT183" s="512">
        <f t="shared" si="182"/>
        <v>0</v>
      </c>
      <c r="AU183" s="512">
        <f t="shared" si="182"/>
        <v>0</v>
      </c>
      <c r="AV183" s="512">
        <f t="shared" si="182"/>
        <v>0</v>
      </c>
      <c r="AW183" s="512">
        <f t="shared" si="182"/>
        <v>0</v>
      </c>
      <c r="AX183" s="615">
        <f t="shared" si="182"/>
        <v>0</v>
      </c>
    </row>
    <row r="184" spans="1:100" ht="15" customHeight="1" x14ac:dyDescent="0.3">
      <c r="A184" s="5790"/>
      <c r="B184" s="5790"/>
      <c r="C184" s="1818" t="s">
        <v>1746</v>
      </c>
      <c r="D184" s="3741">
        <f t="shared" si="171"/>
        <v>0</v>
      </c>
      <c r="E184" s="3742"/>
      <c r="F184" s="2666">
        <f t="shared" si="172"/>
        <v>0</v>
      </c>
      <c r="G184" s="3743"/>
      <c r="H184" s="3744"/>
      <c r="I184" s="3743"/>
      <c r="J184" s="3744"/>
      <c r="K184" s="3743"/>
      <c r="L184" s="3744"/>
      <c r="M184" s="3743"/>
      <c r="N184" s="3744"/>
      <c r="O184" s="3743"/>
      <c r="P184" s="3744"/>
      <c r="Q184" s="3743"/>
      <c r="R184" s="3744"/>
      <c r="S184" s="3743"/>
      <c r="T184" s="3744"/>
      <c r="U184" s="3743"/>
      <c r="V184" s="3744"/>
      <c r="W184" s="3743"/>
      <c r="X184" s="3744"/>
      <c r="Y184" s="3743"/>
      <c r="Z184" s="3744"/>
      <c r="AA184" s="3743"/>
      <c r="AB184" s="3744"/>
      <c r="AC184" s="63"/>
      <c r="AD184" s="637"/>
      <c r="AE184" s="314"/>
      <c r="AF184" s="637"/>
      <c r="AG184" s="314"/>
      <c r="AH184" s="637"/>
      <c r="AI184" s="314"/>
      <c r="AJ184" s="637"/>
      <c r="AK184" s="314"/>
      <c r="AL184" s="637"/>
      <c r="AM184" s="314"/>
      <c r="AN184" s="637"/>
      <c r="AO184" s="314"/>
      <c r="AP184" s="637"/>
      <c r="AQ184" s="296"/>
      <c r="AR184" s="535"/>
      <c r="AS184" s="535"/>
      <c r="AT184" s="535"/>
      <c r="AU184" s="535"/>
      <c r="AV184" s="535"/>
      <c r="AW184" s="535"/>
      <c r="AX184" s="107"/>
      <c r="AY184" t="str">
        <f t="shared" si="175"/>
        <v/>
      </c>
      <c r="CA184" s="434"/>
      <c r="CB184" s="434" t="str">
        <f t="shared" ref="CB184:CB200" si="183">IF(AND($D184&gt;0,AR184="")," * No olvide digitar la variable Usuario con Discapacidad. Digite Cero si no tiene.",IF(AR184&gt;$D184," * La variable Usuario con Discapacidad no pueden superar el Total Ambos Sexos.",""))</f>
        <v/>
      </c>
      <c r="CC184" s="434" t="str">
        <f t="shared" ref="CC184:CC200" si="184">IF(AND($D184&gt;0,AS184=""),"  * No olvide digitar la variable Niños, niñas, adolescentes y jóvenes SENAME. Digite Cero si no tiene.",IF(AS184&gt;D184," * La variable Niños, niñas, adolescentes y jóvenes SENAME no pueden superar el Total Ambos Sexos.",""))</f>
        <v/>
      </c>
      <c r="CD184" s="434" t="str">
        <f t="shared" ref="CD184:CD200" si="185">IF(AND($D184&gt;0,AT184="")," * No olvide digitar la variable Niños, niñas, adolescentes y jóvenes Mejor Niñez. Digite Cero si no tiene.",IF(AT184&gt;$D184," * La variable Niños, niñas, adolescentes y jóvenes Mejor Niñez no pueden superar el Total Ambos Sexos.",""))</f>
        <v/>
      </c>
      <c r="CE184" s="434" t="str">
        <f t="shared" ref="CE184:CE200" si="186">IF(AND($D184&gt;0,AU184="")," * No olvide digitar la variable Migrantes. Digite Cero si no tiene.",IF(AU184&gt;$D184," * La variable Migrantes no pueden superar el Total Ambos Sexos.",""))</f>
        <v/>
      </c>
      <c r="CF184" s="434" t="str">
        <f>IF(AND($D184&gt;0,AV184="")," * No olvide digitar la variable Egreso por Abandono. Digite Cero si no tiene.",IF(AV184&gt;$D184," * La variable Egreso por Abandono no pueden superar el Total Ambos Sexos.",""))</f>
        <v/>
      </c>
      <c r="CG184" s="434" t="str">
        <f t="shared" ref="CG184:CG200" si="187">IF(AND($D184&gt;0,AW184=""),"  * No olvide digitar la variable Persona con ingreso integral y condición crónica. Digite Cero si no tiene.",IF(AW184&gt;$D184," * La variable Persona con ingreso integral y condición crónica no pueden superar el Total Ambos Sexos.",""))</f>
        <v/>
      </c>
      <c r="CH184" s="434" t="str">
        <f t="shared" ref="CH184:CH200" si="188">IF(AND($D184&gt;0,AX184=""),"  * No olvide digitar la variable Pueblos Originarios. Digite Cero si no tiene.",IF(AX184&gt;$D184," * La variable Pueblos Originarios no pueden superar el Total Ambos Sexos.",""))</f>
        <v/>
      </c>
      <c r="CO184" s="435"/>
      <c r="CP184" s="435">
        <f t="shared" ref="CP184:CP200" si="189">IF(AND($D184&gt;0,AR184=""),1,IF(AR184&gt;$D184,1,0))</f>
        <v>0</v>
      </c>
      <c r="CQ184" s="435">
        <f t="shared" ref="CQ184:CQ200" si="190">IF(AND($D184&gt;0,AS184=""),1,IF(AS184&gt;$D184,1,0))</f>
        <v>0</v>
      </c>
      <c r="CR184" s="435">
        <f t="shared" ref="CR184:CR200" si="191">IF(AND(D184&gt;0,AT184=""),1,IF(AT184&gt;D184,1,0))</f>
        <v>0</v>
      </c>
      <c r="CS184" s="435">
        <f t="shared" ref="CS184:CV191" si="192">IF(AND($D184&gt;0,AU184=""),1,IF(AU184&gt;$D184,1,0))</f>
        <v>0</v>
      </c>
      <c r="CT184" s="435">
        <f t="shared" si="192"/>
        <v>0</v>
      </c>
      <c r="CU184" s="435">
        <f t="shared" si="192"/>
        <v>0</v>
      </c>
      <c r="CV184" s="435">
        <f t="shared" si="192"/>
        <v>0</v>
      </c>
    </row>
    <row r="185" spans="1:100" ht="15" customHeight="1" x14ac:dyDescent="0.3">
      <c r="A185" s="5790"/>
      <c r="B185" s="5790"/>
      <c r="C185" s="2665" t="s">
        <v>1747</v>
      </c>
      <c r="D185" s="3741">
        <f t="shared" si="171"/>
        <v>0</v>
      </c>
      <c r="E185" s="3730"/>
      <c r="F185" s="2663">
        <f t="shared" si="172"/>
        <v>0</v>
      </c>
      <c r="G185" s="3314"/>
      <c r="H185" s="847"/>
      <c r="I185" s="3314"/>
      <c r="J185" s="847"/>
      <c r="K185" s="3314"/>
      <c r="L185" s="847"/>
      <c r="M185" s="3314"/>
      <c r="N185" s="847"/>
      <c r="O185" s="3314"/>
      <c r="P185" s="847"/>
      <c r="Q185" s="3314"/>
      <c r="R185" s="847"/>
      <c r="S185" s="3314"/>
      <c r="T185" s="847"/>
      <c r="U185" s="3314"/>
      <c r="V185" s="847"/>
      <c r="W185" s="3314"/>
      <c r="X185" s="847"/>
      <c r="Y185" s="3314"/>
      <c r="Z185" s="847"/>
      <c r="AA185" s="3314"/>
      <c r="AB185" s="847"/>
      <c r="AC185" s="542"/>
      <c r="AD185" s="637"/>
      <c r="AE185" s="686"/>
      <c r="AF185" s="637"/>
      <c r="AG185" s="686"/>
      <c r="AH185" s="637"/>
      <c r="AI185" s="686"/>
      <c r="AJ185" s="637"/>
      <c r="AK185" s="686"/>
      <c r="AL185" s="637"/>
      <c r="AM185" s="686"/>
      <c r="AN185" s="637"/>
      <c r="AO185" s="686"/>
      <c r="AP185" s="637"/>
      <c r="AQ185" s="296"/>
      <c r="AR185" s="535"/>
      <c r="AS185" s="535"/>
      <c r="AT185" s="535"/>
      <c r="AU185" s="535"/>
      <c r="AV185" s="535"/>
      <c r="AW185" s="535"/>
      <c r="AX185" s="107"/>
      <c r="AY185" t="str">
        <f t="shared" si="175"/>
        <v/>
      </c>
      <c r="CA185" s="434"/>
      <c r="CB185" s="434" t="str">
        <f t="shared" si="183"/>
        <v/>
      </c>
      <c r="CC185" s="434" t="str">
        <f t="shared" si="184"/>
        <v/>
      </c>
      <c r="CD185" s="434" t="str">
        <f t="shared" si="185"/>
        <v/>
      </c>
      <c r="CE185" s="434" t="str">
        <f t="shared" si="186"/>
        <v/>
      </c>
      <c r="CF185" s="434" t="str">
        <f t="shared" ref="CF185:CF190" si="193">IF(AND($D185&gt;0,AV185="")," * No olvide digitar la variable Egreso por Abandono. Digite Cero si no tiene.",IF(AV185&gt;$D185," * La variable Egreso por Abandono no pueden superar el Total Ambos Sexos.",""))</f>
        <v/>
      </c>
      <c r="CG185" s="434" t="str">
        <f t="shared" si="187"/>
        <v/>
      </c>
      <c r="CH185" s="434" t="str">
        <f t="shared" si="188"/>
        <v/>
      </c>
      <c r="CO185" s="435"/>
      <c r="CP185" s="435">
        <f t="shared" si="189"/>
        <v>0</v>
      </c>
      <c r="CQ185" s="435">
        <f t="shared" si="190"/>
        <v>0</v>
      </c>
      <c r="CR185" s="435">
        <f t="shared" si="191"/>
        <v>0</v>
      </c>
      <c r="CS185" s="435">
        <f t="shared" si="192"/>
        <v>0</v>
      </c>
      <c r="CT185" s="435">
        <f t="shared" si="192"/>
        <v>0</v>
      </c>
      <c r="CU185" s="435">
        <f t="shared" si="192"/>
        <v>0</v>
      </c>
      <c r="CV185" s="435">
        <f t="shared" si="192"/>
        <v>0</v>
      </c>
    </row>
    <row r="186" spans="1:100" ht="15.75" customHeight="1" x14ac:dyDescent="0.3">
      <c r="A186" s="5790"/>
      <c r="B186" s="5790"/>
      <c r="C186" s="1818" t="s">
        <v>1748</v>
      </c>
      <c r="D186" s="3741">
        <f t="shared" si="171"/>
        <v>0</v>
      </c>
      <c r="E186" s="3730"/>
      <c r="F186" s="2663">
        <f t="shared" si="172"/>
        <v>0</v>
      </c>
      <c r="G186" s="3314"/>
      <c r="H186" s="847"/>
      <c r="I186" s="3314"/>
      <c r="J186" s="847"/>
      <c r="K186" s="3314"/>
      <c r="L186" s="847"/>
      <c r="M186" s="3314"/>
      <c r="N186" s="847"/>
      <c r="O186" s="3314"/>
      <c r="P186" s="847"/>
      <c r="Q186" s="3314"/>
      <c r="R186" s="847"/>
      <c r="S186" s="3314"/>
      <c r="T186" s="847"/>
      <c r="U186" s="3314"/>
      <c r="V186" s="847"/>
      <c r="W186" s="3314"/>
      <c r="X186" s="847"/>
      <c r="Y186" s="3314"/>
      <c r="Z186" s="847"/>
      <c r="AA186" s="3314"/>
      <c r="AB186" s="847"/>
      <c r="AC186" s="542"/>
      <c r="AD186" s="637"/>
      <c r="AE186" s="686"/>
      <c r="AF186" s="637"/>
      <c r="AG186" s="686"/>
      <c r="AH186" s="637"/>
      <c r="AI186" s="686"/>
      <c r="AJ186" s="637"/>
      <c r="AK186" s="686"/>
      <c r="AL186" s="637"/>
      <c r="AM186" s="686"/>
      <c r="AN186" s="637"/>
      <c r="AO186" s="686"/>
      <c r="AP186" s="637"/>
      <c r="AQ186" s="296"/>
      <c r="AR186" s="535"/>
      <c r="AS186" s="535"/>
      <c r="AT186" s="535"/>
      <c r="AU186" s="535"/>
      <c r="AV186" s="535"/>
      <c r="AW186" s="535"/>
      <c r="AX186" s="107"/>
      <c r="AY186" t="str">
        <f t="shared" si="175"/>
        <v/>
      </c>
      <c r="CA186" s="434"/>
      <c r="CB186" s="434" t="str">
        <f t="shared" si="183"/>
        <v/>
      </c>
      <c r="CC186" s="434" t="str">
        <f t="shared" si="184"/>
        <v/>
      </c>
      <c r="CD186" s="434" t="str">
        <f t="shared" si="185"/>
        <v/>
      </c>
      <c r="CE186" s="434" t="str">
        <f t="shared" si="186"/>
        <v/>
      </c>
      <c r="CF186" s="434" t="str">
        <f t="shared" si="193"/>
        <v/>
      </c>
      <c r="CG186" s="434" t="str">
        <f t="shared" si="187"/>
        <v/>
      </c>
      <c r="CH186" s="434" t="str">
        <f t="shared" si="188"/>
        <v/>
      </c>
      <c r="CO186" s="435"/>
      <c r="CP186" s="435">
        <f t="shared" si="189"/>
        <v>0</v>
      </c>
      <c r="CQ186" s="435">
        <f t="shared" si="190"/>
        <v>0</v>
      </c>
      <c r="CR186" s="435">
        <f t="shared" si="191"/>
        <v>0</v>
      </c>
      <c r="CS186" s="435">
        <f t="shared" si="192"/>
        <v>0</v>
      </c>
      <c r="CT186" s="435">
        <f t="shared" si="192"/>
        <v>0</v>
      </c>
      <c r="CU186" s="435">
        <f t="shared" si="192"/>
        <v>0</v>
      </c>
      <c r="CV186" s="435">
        <f t="shared" si="192"/>
        <v>0</v>
      </c>
    </row>
    <row r="187" spans="1:100" ht="29.25" customHeight="1" x14ac:dyDescent="0.3">
      <c r="A187" s="5790"/>
      <c r="B187" s="5790"/>
      <c r="C187" s="2240" t="s">
        <v>1749</v>
      </c>
      <c r="D187" s="3741">
        <f t="shared" si="171"/>
        <v>0</v>
      </c>
      <c r="E187" s="3730"/>
      <c r="F187" s="2663">
        <f t="shared" si="172"/>
        <v>0</v>
      </c>
      <c r="G187" s="3314"/>
      <c r="H187" s="847"/>
      <c r="I187" s="3314"/>
      <c r="J187" s="847"/>
      <c r="K187" s="3314"/>
      <c r="L187" s="847"/>
      <c r="M187" s="3314"/>
      <c r="N187" s="847"/>
      <c r="O187" s="3314"/>
      <c r="P187" s="847"/>
      <c r="Q187" s="3314"/>
      <c r="R187" s="847"/>
      <c r="S187" s="3314"/>
      <c r="T187" s="847"/>
      <c r="U187" s="3314"/>
      <c r="V187" s="847"/>
      <c r="W187" s="3314"/>
      <c r="X187" s="847"/>
      <c r="Y187" s="3314"/>
      <c r="Z187" s="847"/>
      <c r="AA187" s="3314"/>
      <c r="AB187" s="847"/>
      <c r="AC187" s="542"/>
      <c r="AD187" s="637"/>
      <c r="AE187" s="686"/>
      <c r="AF187" s="637"/>
      <c r="AG187" s="686"/>
      <c r="AH187" s="637"/>
      <c r="AI187" s="686"/>
      <c r="AJ187" s="637"/>
      <c r="AK187" s="686"/>
      <c r="AL187" s="637"/>
      <c r="AM187" s="686"/>
      <c r="AN187" s="637"/>
      <c r="AO187" s="686"/>
      <c r="AP187" s="637"/>
      <c r="AQ187" s="296"/>
      <c r="AR187" s="369"/>
      <c r="AS187" s="535"/>
      <c r="AT187" s="535"/>
      <c r="AU187" s="535"/>
      <c r="AV187" s="535"/>
      <c r="AW187" s="535"/>
      <c r="AX187" s="107"/>
      <c r="AY187" t="str">
        <f t="shared" si="175"/>
        <v/>
      </c>
      <c r="CA187" s="434"/>
      <c r="CB187" s="434" t="str">
        <f t="shared" si="183"/>
        <v/>
      </c>
      <c r="CC187" s="434" t="str">
        <f t="shared" si="184"/>
        <v/>
      </c>
      <c r="CD187" s="434" t="str">
        <f t="shared" si="185"/>
        <v/>
      </c>
      <c r="CE187" s="434" t="str">
        <f t="shared" si="186"/>
        <v/>
      </c>
      <c r="CF187" s="434" t="str">
        <f t="shared" si="193"/>
        <v/>
      </c>
      <c r="CG187" s="434" t="str">
        <f t="shared" si="187"/>
        <v/>
      </c>
      <c r="CH187" s="434" t="str">
        <f t="shared" si="188"/>
        <v/>
      </c>
      <c r="CO187" s="435"/>
      <c r="CP187" s="435">
        <f t="shared" si="189"/>
        <v>0</v>
      </c>
      <c r="CQ187" s="435">
        <f t="shared" si="190"/>
        <v>0</v>
      </c>
      <c r="CR187" s="435">
        <f t="shared" si="191"/>
        <v>0</v>
      </c>
      <c r="CS187" s="435">
        <f t="shared" si="192"/>
        <v>0</v>
      </c>
      <c r="CT187" s="435">
        <f t="shared" si="192"/>
        <v>0</v>
      </c>
      <c r="CU187" s="435">
        <f t="shared" si="192"/>
        <v>0</v>
      </c>
      <c r="CV187" s="435">
        <f t="shared" si="192"/>
        <v>0</v>
      </c>
    </row>
    <row r="188" spans="1:100" ht="15" customHeight="1" x14ac:dyDescent="0.3">
      <c r="A188" s="5790"/>
      <c r="B188" s="5790"/>
      <c r="C188" s="935" t="s">
        <v>1750</v>
      </c>
      <c r="D188" s="3741">
        <f t="shared" si="171"/>
        <v>0</v>
      </c>
      <c r="E188" s="3730"/>
      <c r="F188" s="2663">
        <f t="shared" si="172"/>
        <v>0</v>
      </c>
      <c r="G188" s="3314"/>
      <c r="H188" s="847"/>
      <c r="I188" s="3314"/>
      <c r="J188" s="847"/>
      <c r="K188" s="3314"/>
      <c r="L188" s="847"/>
      <c r="M188" s="3314"/>
      <c r="N188" s="847"/>
      <c r="O188" s="3314"/>
      <c r="P188" s="847"/>
      <c r="Q188" s="3314"/>
      <c r="R188" s="847"/>
      <c r="S188" s="3314"/>
      <c r="T188" s="847"/>
      <c r="U188" s="3314"/>
      <c r="V188" s="847"/>
      <c r="W188" s="3314"/>
      <c r="X188" s="847"/>
      <c r="Y188" s="3314"/>
      <c r="Z188" s="847"/>
      <c r="AA188" s="3314"/>
      <c r="AB188" s="847"/>
      <c r="AC188" s="542"/>
      <c r="AD188" s="637"/>
      <c r="AE188" s="524"/>
      <c r="AF188" s="637"/>
      <c r="AG188" s="686"/>
      <c r="AH188" s="637"/>
      <c r="AI188" s="524"/>
      <c r="AJ188" s="637"/>
      <c r="AK188" s="524"/>
      <c r="AL188" s="637"/>
      <c r="AM188" s="686"/>
      <c r="AN188" s="637"/>
      <c r="AO188" s="686"/>
      <c r="AP188" s="637"/>
      <c r="AQ188" s="430"/>
      <c r="AR188" s="535"/>
      <c r="AS188" s="369"/>
      <c r="AT188" s="369"/>
      <c r="AU188" s="535"/>
      <c r="AV188" s="535"/>
      <c r="AW188" s="535"/>
      <c r="AX188" s="107"/>
      <c r="AY188" t="str">
        <f t="shared" si="175"/>
        <v/>
      </c>
      <c r="CA188" s="434"/>
      <c r="CB188" s="434" t="str">
        <f t="shared" si="183"/>
        <v/>
      </c>
      <c r="CC188" s="434" t="str">
        <f t="shared" si="184"/>
        <v/>
      </c>
      <c r="CD188" s="434" t="str">
        <f t="shared" si="185"/>
        <v/>
      </c>
      <c r="CE188" s="434" t="str">
        <f t="shared" si="186"/>
        <v/>
      </c>
      <c r="CF188" s="434" t="str">
        <f t="shared" si="193"/>
        <v/>
      </c>
      <c r="CG188" s="434" t="str">
        <f t="shared" si="187"/>
        <v/>
      </c>
      <c r="CH188" s="434" t="str">
        <f t="shared" si="188"/>
        <v/>
      </c>
      <c r="CO188" s="435"/>
      <c r="CP188" s="435">
        <f t="shared" si="189"/>
        <v>0</v>
      </c>
      <c r="CQ188" s="435">
        <f t="shared" si="190"/>
        <v>0</v>
      </c>
      <c r="CR188" s="435">
        <f t="shared" si="191"/>
        <v>0</v>
      </c>
      <c r="CS188" s="435">
        <f t="shared" si="192"/>
        <v>0</v>
      </c>
      <c r="CT188" s="435">
        <f t="shared" si="192"/>
        <v>0</v>
      </c>
      <c r="CU188" s="435">
        <f t="shared" si="192"/>
        <v>0</v>
      </c>
      <c r="CV188" s="435">
        <f t="shared" si="192"/>
        <v>0</v>
      </c>
    </row>
    <row r="189" spans="1:100" ht="15" customHeight="1" x14ac:dyDescent="0.3">
      <c r="A189" s="5790"/>
      <c r="B189" s="5790"/>
      <c r="C189" s="1818" t="s">
        <v>1751</v>
      </c>
      <c r="D189" s="3741">
        <f t="shared" si="171"/>
        <v>0</v>
      </c>
      <c r="E189" s="3730"/>
      <c r="F189" s="2663">
        <f t="shared" si="172"/>
        <v>0</v>
      </c>
      <c r="G189" s="3314"/>
      <c r="H189" s="847"/>
      <c r="I189" s="3314"/>
      <c r="J189" s="847"/>
      <c r="K189" s="3314"/>
      <c r="L189" s="847"/>
      <c r="M189" s="3314"/>
      <c r="N189" s="847"/>
      <c r="O189" s="3314"/>
      <c r="P189" s="847"/>
      <c r="Q189" s="3314"/>
      <c r="R189" s="847"/>
      <c r="S189" s="3314"/>
      <c r="T189" s="847"/>
      <c r="U189" s="3314"/>
      <c r="V189" s="847"/>
      <c r="W189" s="3314"/>
      <c r="X189" s="847"/>
      <c r="Y189" s="3314"/>
      <c r="Z189" s="847"/>
      <c r="AA189" s="3314"/>
      <c r="AB189" s="847"/>
      <c r="AC189" s="542"/>
      <c r="AD189" s="637"/>
      <c r="AE189" s="524"/>
      <c r="AF189" s="637"/>
      <c r="AG189" s="524"/>
      <c r="AH189" s="637"/>
      <c r="AI189" s="524"/>
      <c r="AJ189" s="637"/>
      <c r="AK189" s="524"/>
      <c r="AL189" s="637"/>
      <c r="AM189" s="686"/>
      <c r="AN189" s="637"/>
      <c r="AO189" s="686"/>
      <c r="AP189" s="637"/>
      <c r="AQ189" s="430"/>
      <c r="AR189" s="535"/>
      <c r="AS189" s="535"/>
      <c r="AT189" s="535"/>
      <c r="AU189" s="535"/>
      <c r="AV189" s="535"/>
      <c r="AW189" s="535"/>
      <c r="AX189" s="107"/>
      <c r="AY189" t="str">
        <f t="shared" si="175"/>
        <v/>
      </c>
      <c r="CA189" s="434"/>
      <c r="CB189" s="434" t="str">
        <f t="shared" si="183"/>
        <v/>
      </c>
      <c r="CC189" s="434" t="str">
        <f t="shared" si="184"/>
        <v/>
      </c>
      <c r="CD189" s="434" t="str">
        <f t="shared" si="185"/>
        <v/>
      </c>
      <c r="CE189" s="434" t="str">
        <f t="shared" si="186"/>
        <v/>
      </c>
      <c r="CF189" s="434" t="str">
        <f t="shared" si="193"/>
        <v/>
      </c>
      <c r="CG189" s="434" t="str">
        <f t="shared" si="187"/>
        <v/>
      </c>
      <c r="CH189" s="434" t="str">
        <f t="shared" si="188"/>
        <v/>
      </c>
      <c r="CO189" s="435"/>
      <c r="CP189" s="435">
        <f t="shared" si="189"/>
        <v>0</v>
      </c>
      <c r="CQ189" s="435">
        <f t="shared" si="190"/>
        <v>0</v>
      </c>
      <c r="CR189" s="435">
        <f t="shared" si="191"/>
        <v>0</v>
      </c>
      <c r="CS189" s="435">
        <f t="shared" si="192"/>
        <v>0</v>
      </c>
      <c r="CT189" s="435">
        <f t="shared" si="192"/>
        <v>0</v>
      </c>
      <c r="CU189" s="435">
        <f t="shared" si="192"/>
        <v>0</v>
      </c>
      <c r="CV189" s="435">
        <f t="shared" si="192"/>
        <v>0</v>
      </c>
    </row>
    <row r="190" spans="1:100" ht="25.5" customHeight="1" x14ac:dyDescent="0.3">
      <c r="A190" s="5790"/>
      <c r="B190" s="5790"/>
      <c r="C190" s="361" t="s">
        <v>1752</v>
      </c>
      <c r="D190" s="3745">
        <f t="shared" ref="D190:D191" si="194">SUM(F190)</f>
        <v>0</v>
      </c>
      <c r="E190" s="3730"/>
      <c r="F190" s="2663">
        <f t="shared" si="172"/>
        <v>0</v>
      </c>
      <c r="G190" s="3743"/>
      <c r="H190" s="3744"/>
      <c r="I190" s="3743"/>
      <c r="J190" s="3744"/>
      <c r="K190" s="3743"/>
      <c r="L190" s="3744"/>
      <c r="M190" s="3743"/>
      <c r="N190" s="3744"/>
      <c r="O190" s="3743"/>
      <c r="P190" s="3744"/>
      <c r="Q190" s="3743"/>
      <c r="R190" s="3744"/>
      <c r="S190" s="3743"/>
      <c r="T190" s="3744"/>
      <c r="U190" s="3743"/>
      <c r="V190" s="3744"/>
      <c r="W190" s="3743"/>
      <c r="X190" s="3744"/>
      <c r="Y190" s="3743"/>
      <c r="Z190" s="3744"/>
      <c r="AA190" s="3743"/>
      <c r="AB190" s="3744"/>
      <c r="AC190" s="542"/>
      <c r="AD190" s="637"/>
      <c r="AE190" s="524"/>
      <c r="AF190" s="637"/>
      <c r="AG190" s="524"/>
      <c r="AH190" s="637"/>
      <c r="AI190" s="524"/>
      <c r="AJ190" s="637"/>
      <c r="AK190" s="524"/>
      <c r="AL190" s="637"/>
      <c r="AM190" s="524"/>
      <c r="AN190" s="637"/>
      <c r="AO190" s="524"/>
      <c r="AP190" s="637"/>
      <c r="AQ190" s="430"/>
      <c r="AR190" s="535"/>
      <c r="AS190" s="369"/>
      <c r="AT190" s="369"/>
      <c r="AU190" s="535"/>
      <c r="AV190" s="535"/>
      <c r="AW190" s="535"/>
      <c r="AX190" s="107"/>
      <c r="AY190" t="str">
        <f t="shared" si="175"/>
        <v/>
      </c>
      <c r="CA190" s="434"/>
      <c r="CB190" s="434" t="str">
        <f t="shared" si="183"/>
        <v/>
      </c>
      <c r="CC190" s="434" t="str">
        <f t="shared" si="184"/>
        <v/>
      </c>
      <c r="CD190" s="434" t="str">
        <f t="shared" si="185"/>
        <v/>
      </c>
      <c r="CE190" s="434" t="str">
        <f t="shared" si="186"/>
        <v/>
      </c>
      <c r="CF190" s="434" t="str">
        <f t="shared" si="193"/>
        <v/>
      </c>
      <c r="CG190" s="434" t="str">
        <f t="shared" si="187"/>
        <v/>
      </c>
      <c r="CH190" s="434" t="str">
        <f t="shared" si="188"/>
        <v/>
      </c>
      <c r="CO190" s="435"/>
      <c r="CP190" s="435">
        <f t="shared" si="189"/>
        <v>0</v>
      </c>
      <c r="CQ190" s="435">
        <f t="shared" si="190"/>
        <v>0</v>
      </c>
      <c r="CR190" s="435">
        <f t="shared" si="191"/>
        <v>0</v>
      </c>
      <c r="CS190" s="435">
        <f t="shared" si="192"/>
        <v>0</v>
      </c>
      <c r="CT190" s="435">
        <f t="shared" si="192"/>
        <v>0</v>
      </c>
      <c r="CU190" s="435">
        <f t="shared" si="192"/>
        <v>0</v>
      </c>
      <c r="CV190" s="435">
        <f t="shared" si="192"/>
        <v>0</v>
      </c>
    </row>
    <row r="191" spans="1:100" ht="25.5" customHeight="1" x14ac:dyDescent="0.3">
      <c r="A191" s="6574"/>
      <c r="B191" s="6574"/>
      <c r="C191" s="893" t="s">
        <v>1753</v>
      </c>
      <c r="D191" s="3746">
        <f t="shared" si="194"/>
        <v>0</v>
      </c>
      <c r="E191" s="3733"/>
      <c r="F191" s="3747">
        <f t="shared" si="172"/>
        <v>0</v>
      </c>
      <c r="G191" s="706"/>
      <c r="H191" s="3748"/>
      <c r="I191" s="706"/>
      <c r="J191" s="3748"/>
      <c r="K191" s="706"/>
      <c r="L191" s="3748"/>
      <c r="M191" s="706"/>
      <c r="N191" s="3748"/>
      <c r="O191" s="706"/>
      <c r="P191" s="3748"/>
      <c r="Q191" s="706"/>
      <c r="R191" s="3748"/>
      <c r="S191" s="706"/>
      <c r="T191" s="3748"/>
      <c r="U191" s="706"/>
      <c r="V191" s="3748"/>
      <c r="W191" s="706"/>
      <c r="X191" s="3748"/>
      <c r="Y191" s="706"/>
      <c r="Z191" s="3748"/>
      <c r="AA191" s="706"/>
      <c r="AB191" s="3749"/>
      <c r="AC191" s="543"/>
      <c r="AD191" s="95"/>
      <c r="AE191" s="288"/>
      <c r="AF191" s="95"/>
      <c r="AG191" s="288"/>
      <c r="AH191" s="95"/>
      <c r="AI191" s="288"/>
      <c r="AJ191" s="95"/>
      <c r="AK191" s="288"/>
      <c r="AL191" s="95"/>
      <c r="AM191" s="288"/>
      <c r="AN191" s="95"/>
      <c r="AO191" s="288"/>
      <c r="AP191" s="95"/>
      <c r="AQ191" s="377"/>
      <c r="AR191" s="242"/>
      <c r="AS191" s="594"/>
      <c r="AT191" s="594"/>
      <c r="AU191" s="242"/>
      <c r="AV191" s="242"/>
      <c r="AW191" s="242"/>
      <c r="AX191" s="42"/>
      <c r="AY191" t="str">
        <f t="shared" si="175"/>
        <v/>
      </c>
      <c r="CA191" s="434"/>
      <c r="CB191" s="434" t="str">
        <f t="shared" si="183"/>
        <v/>
      </c>
      <c r="CC191" s="434" t="str">
        <f t="shared" si="184"/>
        <v/>
      </c>
      <c r="CD191" s="434" t="str">
        <f t="shared" si="185"/>
        <v/>
      </c>
      <c r="CE191" s="434" t="str">
        <f t="shared" si="186"/>
        <v/>
      </c>
      <c r="CF191" s="434" t="str">
        <f>IF(AND($D191&gt;0,AV191="")," * No olvide digitar la variable Egreso por Abandono. Digite Cero si no tiene.",IF(AV191&gt;$D191," * La variable Egreso por Abandono no pueden superar el Total Ambos Sexos.",""))</f>
        <v/>
      </c>
      <c r="CG191" s="434" t="str">
        <f t="shared" si="187"/>
        <v/>
      </c>
      <c r="CH191" s="434" t="str">
        <f t="shared" si="188"/>
        <v/>
      </c>
      <c r="CO191" s="435"/>
      <c r="CP191" s="435">
        <f t="shared" si="189"/>
        <v>0</v>
      </c>
      <c r="CQ191" s="435">
        <f t="shared" si="190"/>
        <v>0</v>
      </c>
      <c r="CR191" s="435">
        <f t="shared" si="191"/>
        <v>0</v>
      </c>
      <c r="CS191" s="435">
        <f t="shared" si="192"/>
        <v>0</v>
      </c>
      <c r="CT191" s="435">
        <f>IF(AND($D191&gt;0,AV191=""),1,IF(AV191&gt;$D191,1,0))</f>
        <v>0</v>
      </c>
      <c r="CU191" s="435">
        <f t="shared" si="192"/>
        <v>0</v>
      </c>
      <c r="CV191" s="435">
        <f t="shared" si="192"/>
        <v>0</v>
      </c>
    </row>
    <row r="192" spans="1:100" ht="15" customHeight="1" x14ac:dyDescent="0.3">
      <c r="A192" s="6185" t="s">
        <v>1754</v>
      </c>
      <c r="B192" s="6565" t="s">
        <v>1643</v>
      </c>
      <c r="C192" s="6566"/>
      <c r="D192" s="3722">
        <f t="shared" ref="D192:D200" si="195">SUM(E192)</f>
        <v>0</v>
      </c>
      <c r="E192" s="3750">
        <f>SUM(AC192+AE192+AG192+AI192+AK192+AM192+AO192)</f>
        <v>0</v>
      </c>
      <c r="F192" s="3751"/>
      <c r="G192" s="3752"/>
      <c r="H192" s="842"/>
      <c r="I192" s="3725"/>
      <c r="J192" s="3753"/>
      <c r="K192" s="3725"/>
      <c r="L192" s="842"/>
      <c r="M192" s="3725"/>
      <c r="N192" s="3753"/>
      <c r="O192" s="3725"/>
      <c r="P192" s="842"/>
      <c r="Q192" s="3725"/>
      <c r="R192" s="3753"/>
      <c r="S192" s="3725"/>
      <c r="T192" s="842"/>
      <c r="U192" s="3725"/>
      <c r="V192" s="3753"/>
      <c r="W192" s="3725"/>
      <c r="X192" s="842"/>
      <c r="Y192" s="3725"/>
      <c r="Z192" s="3753"/>
      <c r="AA192" s="3725"/>
      <c r="AB192" s="3753"/>
      <c r="AC192" s="3310"/>
      <c r="AD192" s="661"/>
      <c r="AE192" s="3310"/>
      <c r="AF192" s="661"/>
      <c r="AG192" s="3310"/>
      <c r="AH192" s="661"/>
      <c r="AI192" s="3310"/>
      <c r="AJ192" s="661"/>
      <c r="AK192" s="3310"/>
      <c r="AL192" s="661"/>
      <c r="AM192" s="3338"/>
      <c r="AN192" s="3754"/>
      <c r="AO192" s="3444"/>
      <c r="AP192" s="661"/>
      <c r="AQ192" s="758"/>
      <c r="AR192" s="773"/>
      <c r="AS192" s="773"/>
      <c r="AT192" s="773"/>
      <c r="AU192" s="773"/>
      <c r="AV192" s="3728"/>
      <c r="AW192" s="773"/>
      <c r="AX192" s="576"/>
      <c r="AY192" t="str">
        <f t="shared" si="175"/>
        <v/>
      </c>
      <c r="CA192" s="434"/>
      <c r="CB192" s="434" t="str">
        <f t="shared" si="183"/>
        <v/>
      </c>
      <c r="CC192" s="434" t="str">
        <f t="shared" si="184"/>
        <v/>
      </c>
      <c r="CD192" s="434" t="str">
        <f t="shared" si="185"/>
        <v/>
      </c>
      <c r="CE192" s="434" t="str">
        <f t="shared" si="186"/>
        <v/>
      </c>
      <c r="CF192" s="436"/>
      <c r="CG192" s="434" t="str">
        <f t="shared" si="187"/>
        <v/>
      </c>
      <c r="CH192" s="434" t="str">
        <f t="shared" si="188"/>
        <v/>
      </c>
      <c r="CO192" s="435"/>
      <c r="CP192" s="435">
        <f t="shared" si="189"/>
        <v>0</v>
      </c>
      <c r="CQ192" s="435">
        <f t="shared" si="190"/>
        <v>0</v>
      </c>
      <c r="CR192" s="435">
        <f t="shared" si="191"/>
        <v>0</v>
      </c>
      <c r="CS192" s="435">
        <f t="shared" ref="CS192:CS200" si="196">IF(AND($D192&gt;0,AU192=""),1,IF(AU192&gt;$D192,1,0))</f>
        <v>0</v>
      </c>
      <c r="CT192" s="436"/>
      <c r="CU192" s="435">
        <f t="shared" ref="CU192:CU200" si="197">IF(AND($D192&gt;0,AW192=""),1,IF(AW192&gt;$D192,1,0))</f>
        <v>0</v>
      </c>
      <c r="CV192" s="435">
        <f t="shared" ref="CV192:CV200" si="198">IF(AND($D192&gt;0,AX192=""),1,IF(AX192&gt;$D192,1,0))</f>
        <v>0</v>
      </c>
    </row>
    <row r="193" spans="1:100" ht="15" customHeight="1" x14ac:dyDescent="0.3">
      <c r="A193" s="5790"/>
      <c r="B193" s="6717" t="s">
        <v>1755</v>
      </c>
      <c r="C193" s="6719"/>
      <c r="D193" s="3741">
        <f t="shared" si="195"/>
        <v>0</v>
      </c>
      <c r="E193" s="3755">
        <f t="shared" ref="E193:E200" si="199">SUM(AC193+AE193+AG193+AI193+AK193+AM193+AO193)</f>
        <v>0</v>
      </c>
      <c r="F193" s="2352"/>
      <c r="G193" s="634"/>
      <c r="H193" s="847"/>
      <c r="I193" s="3314"/>
      <c r="J193" s="2693"/>
      <c r="K193" s="3314"/>
      <c r="L193" s="847"/>
      <c r="M193" s="3314"/>
      <c r="N193" s="2693"/>
      <c r="O193" s="3314"/>
      <c r="P193" s="847"/>
      <c r="Q193" s="3314"/>
      <c r="R193" s="2693"/>
      <c r="S193" s="3314"/>
      <c r="T193" s="847"/>
      <c r="U193" s="3314"/>
      <c r="V193" s="2693"/>
      <c r="W193" s="3314"/>
      <c r="X193" s="847"/>
      <c r="Y193" s="3314"/>
      <c r="Z193" s="2693"/>
      <c r="AA193" s="3314"/>
      <c r="AB193" s="2693"/>
      <c r="AC193" s="346"/>
      <c r="AD193" s="130"/>
      <c r="AE193" s="346"/>
      <c r="AF193" s="130"/>
      <c r="AG193" s="346"/>
      <c r="AH193" s="130"/>
      <c r="AI193" s="346"/>
      <c r="AJ193" s="130"/>
      <c r="AK193" s="346"/>
      <c r="AL193" s="130"/>
      <c r="AM193" s="351"/>
      <c r="AN193" s="354"/>
      <c r="AO193" s="813"/>
      <c r="AP193" s="130"/>
      <c r="AQ193" s="430"/>
      <c r="AR193" s="369"/>
      <c r="AS193" s="369"/>
      <c r="AT193" s="369"/>
      <c r="AU193" s="535"/>
      <c r="AV193" s="536"/>
      <c r="AW193" s="535"/>
      <c r="AX193" s="107"/>
      <c r="AY193" t="str">
        <f t="shared" si="175"/>
        <v/>
      </c>
      <c r="CA193" s="434"/>
      <c r="CB193" s="434" t="str">
        <f t="shared" si="183"/>
        <v/>
      </c>
      <c r="CC193" s="434" t="str">
        <f t="shared" si="184"/>
        <v/>
      </c>
      <c r="CD193" s="434" t="str">
        <f t="shared" si="185"/>
        <v/>
      </c>
      <c r="CE193" s="434" t="str">
        <f t="shared" si="186"/>
        <v/>
      </c>
      <c r="CF193" s="436"/>
      <c r="CG193" s="434" t="str">
        <f t="shared" si="187"/>
        <v/>
      </c>
      <c r="CH193" s="434" t="str">
        <f t="shared" si="188"/>
        <v/>
      </c>
      <c r="CO193" s="435"/>
      <c r="CP193" s="435">
        <f t="shared" si="189"/>
        <v>0</v>
      </c>
      <c r="CQ193" s="435">
        <f t="shared" si="190"/>
        <v>0</v>
      </c>
      <c r="CR193" s="435">
        <f t="shared" si="191"/>
        <v>0</v>
      </c>
      <c r="CS193" s="435">
        <f t="shared" si="196"/>
        <v>0</v>
      </c>
      <c r="CT193" s="436"/>
      <c r="CU193" s="435">
        <f t="shared" si="197"/>
        <v>0</v>
      </c>
      <c r="CV193" s="435">
        <f t="shared" si="198"/>
        <v>0</v>
      </c>
    </row>
    <row r="194" spans="1:100" ht="15" customHeight="1" x14ac:dyDescent="0.3">
      <c r="A194" s="5790"/>
      <c r="B194" s="6717" t="s">
        <v>1641</v>
      </c>
      <c r="C194" s="6719"/>
      <c r="D194" s="3741">
        <f t="shared" si="195"/>
        <v>0</v>
      </c>
      <c r="E194" s="3755">
        <f t="shared" si="199"/>
        <v>0</v>
      </c>
      <c r="F194" s="2352"/>
      <c r="G194" s="634"/>
      <c r="H194" s="847"/>
      <c r="I194" s="3314"/>
      <c r="J194" s="847"/>
      <c r="K194" s="3314"/>
      <c r="L194" s="847"/>
      <c r="M194" s="3314"/>
      <c r="N194" s="847"/>
      <c r="O194" s="3314"/>
      <c r="P194" s="847"/>
      <c r="Q194" s="3314"/>
      <c r="R194" s="2693"/>
      <c r="S194" s="3314"/>
      <c r="T194" s="847"/>
      <c r="U194" s="3314"/>
      <c r="V194" s="2693"/>
      <c r="W194" s="3314"/>
      <c r="X194" s="847"/>
      <c r="Y194" s="3314"/>
      <c r="Z194" s="2693"/>
      <c r="AA194" s="3314"/>
      <c r="AB194" s="2693"/>
      <c r="AC194" s="192"/>
      <c r="AD194" s="286"/>
      <c r="AE194" s="192"/>
      <c r="AF194" s="286"/>
      <c r="AG194" s="192"/>
      <c r="AH194" s="286"/>
      <c r="AI194" s="192"/>
      <c r="AJ194" s="286"/>
      <c r="AK194" s="192"/>
      <c r="AL194" s="286"/>
      <c r="AM194" s="776"/>
      <c r="AN194" s="354"/>
      <c r="AO194" s="3446"/>
      <c r="AP194" s="286"/>
      <c r="AQ194" s="377"/>
      <c r="AR194" s="594"/>
      <c r="AS194" s="594"/>
      <c r="AT194" s="594"/>
      <c r="AU194" s="535"/>
      <c r="AV194" s="244"/>
      <c r="AW194" s="535"/>
      <c r="AX194" s="107"/>
      <c r="AY194" t="str">
        <f t="shared" si="175"/>
        <v/>
      </c>
      <c r="CA194" s="434"/>
      <c r="CB194" s="434" t="str">
        <f t="shared" si="183"/>
        <v/>
      </c>
      <c r="CC194" s="434" t="str">
        <f t="shared" si="184"/>
        <v/>
      </c>
      <c r="CD194" s="434" t="str">
        <f t="shared" si="185"/>
        <v/>
      </c>
      <c r="CE194" s="434" t="str">
        <f t="shared" si="186"/>
        <v/>
      </c>
      <c r="CF194" s="436"/>
      <c r="CG194" s="434" t="str">
        <f t="shared" si="187"/>
        <v/>
      </c>
      <c r="CH194" s="434" t="str">
        <f t="shared" si="188"/>
        <v/>
      </c>
      <c r="CO194" s="435"/>
      <c r="CP194" s="435">
        <f t="shared" si="189"/>
        <v>0</v>
      </c>
      <c r="CQ194" s="435">
        <f t="shared" si="190"/>
        <v>0</v>
      </c>
      <c r="CR194" s="435">
        <f t="shared" si="191"/>
        <v>0</v>
      </c>
      <c r="CS194" s="435">
        <f t="shared" si="196"/>
        <v>0</v>
      </c>
      <c r="CT194" s="436"/>
      <c r="CU194" s="435">
        <f t="shared" si="197"/>
        <v>0</v>
      </c>
      <c r="CV194" s="435">
        <f t="shared" si="198"/>
        <v>0</v>
      </c>
    </row>
    <row r="195" spans="1:100" ht="15" customHeight="1" x14ac:dyDescent="0.3">
      <c r="A195" s="5790"/>
      <c r="B195" s="6762" t="s">
        <v>1698</v>
      </c>
      <c r="C195" s="6763"/>
      <c r="D195" s="3756">
        <f t="shared" si="195"/>
        <v>0</v>
      </c>
      <c r="E195" s="3757">
        <f t="shared" si="199"/>
        <v>0</v>
      </c>
      <c r="F195" s="636"/>
      <c r="G195" s="635"/>
      <c r="H195" s="844"/>
      <c r="I195" s="3316"/>
      <c r="J195" s="844"/>
      <c r="K195" s="3316"/>
      <c r="L195" s="844"/>
      <c r="M195" s="3316"/>
      <c r="N195" s="844"/>
      <c r="O195" s="3316"/>
      <c r="P195" s="844"/>
      <c r="Q195" s="3316"/>
      <c r="R195" s="844"/>
      <c r="S195" s="3316"/>
      <c r="T195" s="844"/>
      <c r="U195" s="3316"/>
      <c r="V195" s="844"/>
      <c r="W195" s="3316"/>
      <c r="X195" s="844"/>
      <c r="Y195" s="3316"/>
      <c r="Z195" s="844"/>
      <c r="AA195" s="3316"/>
      <c r="AB195" s="3348"/>
      <c r="AC195" s="380"/>
      <c r="AD195" s="3672"/>
      <c r="AE195" s="380"/>
      <c r="AF195" s="3672"/>
      <c r="AG195" s="380"/>
      <c r="AH195" s="3672"/>
      <c r="AI195" s="380"/>
      <c r="AJ195" s="3672"/>
      <c r="AK195" s="380"/>
      <c r="AL195" s="3672"/>
      <c r="AM195" s="682"/>
      <c r="AN195" s="3758"/>
      <c r="AO195" s="799"/>
      <c r="AP195" s="3759"/>
      <c r="AQ195" s="482"/>
      <c r="AR195" s="594"/>
      <c r="AS195" s="594"/>
      <c r="AT195" s="594"/>
      <c r="AU195" s="242"/>
      <c r="AV195" s="524"/>
      <c r="AW195" s="242"/>
      <c r="AX195" s="42"/>
      <c r="AY195" t="str">
        <f t="shared" si="175"/>
        <v/>
      </c>
      <c r="CA195" s="434"/>
      <c r="CB195" s="434" t="str">
        <f t="shared" si="183"/>
        <v/>
      </c>
      <c r="CC195" s="434" t="str">
        <f t="shared" si="184"/>
        <v/>
      </c>
      <c r="CD195" s="434" t="str">
        <f t="shared" si="185"/>
        <v/>
      </c>
      <c r="CE195" s="434" t="str">
        <f t="shared" si="186"/>
        <v/>
      </c>
      <c r="CF195" s="436"/>
      <c r="CG195" s="434" t="str">
        <f t="shared" si="187"/>
        <v/>
      </c>
      <c r="CH195" s="434" t="str">
        <f t="shared" si="188"/>
        <v/>
      </c>
      <c r="CO195" s="435"/>
      <c r="CP195" s="435">
        <f t="shared" si="189"/>
        <v>0</v>
      </c>
      <c r="CQ195" s="435">
        <f t="shared" si="190"/>
        <v>0</v>
      </c>
      <c r="CR195" s="435">
        <f t="shared" si="191"/>
        <v>0</v>
      </c>
      <c r="CS195" s="435">
        <f t="shared" si="196"/>
        <v>0</v>
      </c>
      <c r="CT195" s="436"/>
      <c r="CU195" s="435">
        <f t="shared" si="197"/>
        <v>0</v>
      </c>
      <c r="CV195" s="435">
        <f t="shared" si="198"/>
        <v>0</v>
      </c>
    </row>
    <row r="196" spans="1:100" ht="15" customHeight="1" x14ac:dyDescent="0.3">
      <c r="A196" s="5790"/>
      <c r="B196" s="6637" t="s">
        <v>1756</v>
      </c>
      <c r="C196" s="3760" t="s">
        <v>77</v>
      </c>
      <c r="D196" s="3761">
        <f>SUM(E196)</f>
        <v>0</v>
      </c>
      <c r="E196" s="3762">
        <f t="shared" si="199"/>
        <v>0</v>
      </c>
      <c r="F196" s="3763"/>
      <c r="G196" s="3764"/>
      <c r="H196" s="3765"/>
      <c r="I196" s="3766"/>
      <c r="J196" s="3767"/>
      <c r="K196" s="3766"/>
      <c r="L196" s="3765"/>
      <c r="M196" s="3766"/>
      <c r="N196" s="3767"/>
      <c r="O196" s="3766"/>
      <c r="P196" s="3765"/>
      <c r="Q196" s="3766"/>
      <c r="R196" s="3767"/>
      <c r="S196" s="3766"/>
      <c r="T196" s="3765"/>
      <c r="U196" s="3766"/>
      <c r="V196" s="3767"/>
      <c r="W196" s="3766"/>
      <c r="X196" s="3765"/>
      <c r="Y196" s="3766"/>
      <c r="Z196" s="3767"/>
      <c r="AA196" s="3766"/>
      <c r="AB196" s="3767"/>
      <c r="AC196" s="3768">
        <f>SUM(AC199:AC200)</f>
        <v>0</v>
      </c>
      <c r="AD196" s="3769"/>
      <c r="AE196" s="3768">
        <f>SUM(AE199:AE200)</f>
        <v>0</v>
      </c>
      <c r="AF196" s="3769"/>
      <c r="AG196" s="3768">
        <f>SUM(AG199:AG200)</f>
        <v>0</v>
      </c>
      <c r="AH196" s="3769"/>
      <c r="AI196" s="3768">
        <f>SUM(AI199:AI200)</f>
        <v>0</v>
      </c>
      <c r="AJ196" s="3769"/>
      <c r="AK196" s="3768">
        <f>SUM(AK199:AK200)</f>
        <v>0</v>
      </c>
      <c r="AL196" s="3769"/>
      <c r="AM196" s="3770">
        <f>SUM(AM199:AM200)</f>
        <v>0</v>
      </c>
      <c r="AN196" s="3771"/>
      <c r="AO196" s="3770">
        <f>SUM(AO199:AO200)</f>
        <v>0</v>
      </c>
      <c r="AP196" s="3772"/>
      <c r="AQ196" s="3773">
        <f t="shared" ref="AQ196:AW196" si="200">SUM(AQ199:AQ200)</f>
        <v>0</v>
      </c>
      <c r="AR196" s="3774">
        <f t="shared" si="200"/>
        <v>0</v>
      </c>
      <c r="AS196" s="3774">
        <f t="shared" si="200"/>
        <v>0</v>
      </c>
      <c r="AT196" s="3774">
        <f t="shared" si="200"/>
        <v>0</v>
      </c>
      <c r="AU196" s="3774">
        <f t="shared" si="200"/>
        <v>0</v>
      </c>
      <c r="AV196" s="3774">
        <f t="shared" si="200"/>
        <v>0</v>
      </c>
      <c r="AW196" s="3774">
        <f t="shared" si="200"/>
        <v>0</v>
      </c>
      <c r="AX196" s="3775">
        <f>SUM(AX199:AX200)</f>
        <v>0</v>
      </c>
      <c r="AY196" t="str">
        <f t="shared" si="175"/>
        <v/>
      </c>
      <c r="CA196" s="434"/>
      <c r="CB196" s="434" t="str">
        <f t="shared" si="183"/>
        <v/>
      </c>
      <c r="CC196" s="434" t="str">
        <f t="shared" si="184"/>
        <v/>
      </c>
      <c r="CD196" s="434" t="str">
        <f t="shared" si="185"/>
        <v/>
      </c>
      <c r="CE196" s="434" t="str">
        <f t="shared" si="186"/>
        <v/>
      </c>
      <c r="CF196" s="434" t="str">
        <f t="shared" ref="CF196:CF199" si="201">IF(AND($D196&gt;0,AV196="")," * No olvide digitar la variable Egreso por Abandono. Digite Cero si no tiene.",IF(AV196&gt;$D196," * La variable Egreso por Abandono no pueden superar el Total Ambos Sexos.",""))</f>
        <v/>
      </c>
      <c r="CG196" s="434" t="str">
        <f t="shared" si="187"/>
        <v/>
      </c>
      <c r="CH196" s="434" t="str">
        <f t="shared" si="188"/>
        <v/>
      </c>
      <c r="CO196" s="435"/>
      <c r="CP196" s="435">
        <f t="shared" si="189"/>
        <v>0</v>
      </c>
      <c r="CQ196" s="435">
        <f t="shared" si="190"/>
        <v>0</v>
      </c>
      <c r="CR196" s="435">
        <f t="shared" si="191"/>
        <v>0</v>
      </c>
      <c r="CS196" s="435">
        <f t="shared" si="196"/>
        <v>0</v>
      </c>
      <c r="CT196" s="435">
        <f>IF(AND($D196&gt;0,AV196=""),1,IF(AV196&gt;$D196,1,0))</f>
        <v>0</v>
      </c>
      <c r="CU196" s="435">
        <f t="shared" si="197"/>
        <v>0</v>
      </c>
      <c r="CV196" s="435">
        <f t="shared" si="198"/>
        <v>0</v>
      </c>
    </row>
    <row r="197" spans="1:100" ht="21.75" customHeight="1" x14ac:dyDescent="0.3">
      <c r="A197" s="5790"/>
      <c r="B197" s="5790"/>
      <c r="C197" s="2240" t="s">
        <v>1749</v>
      </c>
      <c r="D197" s="3741">
        <f t="shared" si="195"/>
        <v>0</v>
      </c>
      <c r="E197" s="3776">
        <f t="shared" si="199"/>
        <v>0</v>
      </c>
      <c r="F197" s="3213"/>
      <c r="G197" s="2678"/>
      <c r="H197" s="3744"/>
      <c r="I197" s="3743"/>
      <c r="J197" s="3744"/>
      <c r="K197" s="3743"/>
      <c r="L197" s="3744"/>
      <c r="M197" s="3743"/>
      <c r="N197" s="3744"/>
      <c r="O197" s="3743"/>
      <c r="P197" s="3744"/>
      <c r="Q197" s="3743"/>
      <c r="R197" s="3744"/>
      <c r="S197" s="3743"/>
      <c r="T197" s="3744"/>
      <c r="U197" s="3743"/>
      <c r="V197" s="3744"/>
      <c r="W197" s="3743"/>
      <c r="X197" s="3744"/>
      <c r="Y197" s="3743"/>
      <c r="Z197" s="3744"/>
      <c r="AA197" s="3743"/>
      <c r="AB197" s="3777"/>
      <c r="AC197" s="290"/>
      <c r="AD197" s="130"/>
      <c r="AE197" s="290"/>
      <c r="AF197" s="130"/>
      <c r="AG197" s="290"/>
      <c r="AH197" s="130"/>
      <c r="AI197" s="47"/>
      <c r="AJ197" s="130"/>
      <c r="AK197" s="290"/>
      <c r="AL197" s="130"/>
      <c r="AM197" s="245"/>
      <c r="AN197" s="354"/>
      <c r="AO197" s="355"/>
      <c r="AP197" s="3778"/>
      <c r="AQ197" s="22"/>
      <c r="AR197" s="535"/>
      <c r="AS197" s="535"/>
      <c r="AT197" s="535"/>
      <c r="AU197" s="535"/>
      <c r="AV197" s="22"/>
      <c r="AW197" s="535"/>
      <c r="AX197" s="107"/>
      <c r="AY197" t="str">
        <f t="shared" si="175"/>
        <v/>
      </c>
      <c r="CA197" s="434"/>
      <c r="CB197" s="434" t="str">
        <f t="shared" si="183"/>
        <v/>
      </c>
      <c r="CC197" s="434" t="str">
        <f t="shared" si="184"/>
        <v/>
      </c>
      <c r="CD197" s="434" t="str">
        <f t="shared" si="185"/>
        <v/>
      </c>
      <c r="CE197" s="434" t="str">
        <f t="shared" si="186"/>
        <v/>
      </c>
      <c r="CF197" s="434" t="str">
        <f t="shared" si="201"/>
        <v/>
      </c>
      <c r="CG197" s="434" t="str">
        <f t="shared" si="187"/>
        <v/>
      </c>
      <c r="CH197" s="434" t="str">
        <f t="shared" si="188"/>
        <v/>
      </c>
      <c r="CO197" s="435"/>
      <c r="CP197" s="435">
        <f t="shared" si="189"/>
        <v>0</v>
      </c>
      <c r="CQ197" s="435">
        <f t="shared" si="190"/>
        <v>0</v>
      </c>
      <c r="CR197" s="435">
        <f t="shared" si="191"/>
        <v>0</v>
      </c>
      <c r="CS197" s="435">
        <f t="shared" si="196"/>
        <v>0</v>
      </c>
      <c r="CT197" s="435">
        <f>IF(AND($D197&gt;0,AV197=""),1,IF(AV197&gt;$D197,1,0))</f>
        <v>0</v>
      </c>
      <c r="CU197" s="435">
        <f t="shared" si="197"/>
        <v>0</v>
      </c>
      <c r="CV197" s="435">
        <f t="shared" si="198"/>
        <v>0</v>
      </c>
    </row>
    <row r="198" spans="1:100" ht="15" customHeight="1" x14ac:dyDescent="0.3">
      <c r="A198" s="5790"/>
      <c r="B198" s="5790"/>
      <c r="C198" s="2240" t="s">
        <v>1751</v>
      </c>
      <c r="D198" s="3741">
        <f t="shared" si="195"/>
        <v>0</v>
      </c>
      <c r="E198" s="3776">
        <f t="shared" si="199"/>
        <v>0</v>
      </c>
      <c r="F198" s="2352"/>
      <c r="G198" s="634"/>
      <c r="H198" s="847"/>
      <c r="I198" s="3314"/>
      <c r="J198" s="2693"/>
      <c r="K198" s="3314"/>
      <c r="L198" s="847"/>
      <c r="M198" s="3314"/>
      <c r="N198" s="2693"/>
      <c r="O198" s="3314"/>
      <c r="P198" s="847"/>
      <c r="Q198" s="3314"/>
      <c r="R198" s="2693"/>
      <c r="S198" s="3314"/>
      <c r="T198" s="847"/>
      <c r="U198" s="3314"/>
      <c r="V198" s="2693"/>
      <c r="W198" s="3314"/>
      <c r="X198" s="847"/>
      <c r="Y198" s="3314"/>
      <c r="Z198" s="2693"/>
      <c r="AA198" s="3314"/>
      <c r="AB198" s="2693"/>
      <c r="AC198" s="346"/>
      <c r="AD198" s="130"/>
      <c r="AE198" s="346"/>
      <c r="AF198" s="130"/>
      <c r="AG198" s="346"/>
      <c r="AH198" s="130"/>
      <c r="AI198" s="192"/>
      <c r="AJ198" s="130"/>
      <c r="AK198" s="346"/>
      <c r="AL198" s="130"/>
      <c r="AM198" s="351"/>
      <c r="AN198" s="354"/>
      <c r="AO198" s="3446"/>
      <c r="AP198" s="130"/>
      <c r="AQ198" s="430"/>
      <c r="AR198" s="535"/>
      <c r="AS198" s="369"/>
      <c r="AT198" s="369"/>
      <c r="AU198" s="535"/>
      <c r="AV198" s="535"/>
      <c r="AW198" s="535"/>
      <c r="AX198" s="107"/>
      <c r="AY198" t="str">
        <f t="shared" si="175"/>
        <v/>
      </c>
      <c r="CA198" s="434"/>
      <c r="CB198" s="434" t="str">
        <f t="shared" si="183"/>
        <v/>
      </c>
      <c r="CC198" s="434" t="str">
        <f t="shared" si="184"/>
        <v/>
      </c>
      <c r="CD198" s="434" t="str">
        <f t="shared" si="185"/>
        <v/>
      </c>
      <c r="CE198" s="434" t="str">
        <f t="shared" si="186"/>
        <v/>
      </c>
      <c r="CF198" s="434" t="str">
        <f t="shared" si="201"/>
        <v/>
      </c>
      <c r="CG198" s="434" t="str">
        <f t="shared" si="187"/>
        <v/>
      </c>
      <c r="CH198" s="434" t="str">
        <f t="shared" si="188"/>
        <v/>
      </c>
      <c r="CO198" s="435"/>
      <c r="CP198" s="435">
        <f t="shared" si="189"/>
        <v>0</v>
      </c>
      <c r="CQ198" s="435">
        <f t="shared" si="190"/>
        <v>0</v>
      </c>
      <c r="CR198" s="435">
        <f t="shared" si="191"/>
        <v>0</v>
      </c>
      <c r="CS198" s="435">
        <f t="shared" si="196"/>
        <v>0</v>
      </c>
      <c r="CT198" s="435">
        <f>IF(AND($D198&gt;0,AV198=""),1,IF(AV198&gt;$D198,1,0))</f>
        <v>0</v>
      </c>
      <c r="CU198" s="435">
        <f t="shared" si="197"/>
        <v>0</v>
      </c>
      <c r="CV198" s="435">
        <f t="shared" si="198"/>
        <v>0</v>
      </c>
    </row>
    <row r="199" spans="1:100" ht="23.25" customHeight="1" x14ac:dyDescent="0.3">
      <c r="A199" s="5790"/>
      <c r="B199" s="5790"/>
      <c r="C199" s="3779" t="s">
        <v>1752</v>
      </c>
      <c r="D199" s="3741">
        <f t="shared" si="195"/>
        <v>0</v>
      </c>
      <c r="E199" s="3776">
        <f t="shared" si="199"/>
        <v>0</v>
      </c>
      <c r="F199" s="3402"/>
      <c r="G199" s="634"/>
      <c r="H199" s="847"/>
      <c r="I199" s="3314"/>
      <c r="J199" s="2693"/>
      <c r="K199" s="3314"/>
      <c r="L199" s="847"/>
      <c r="M199" s="3314"/>
      <c r="N199" s="2693"/>
      <c r="O199" s="3314"/>
      <c r="P199" s="847"/>
      <c r="Q199" s="3314"/>
      <c r="R199" s="2693"/>
      <c r="S199" s="3314"/>
      <c r="T199" s="847"/>
      <c r="U199" s="3314"/>
      <c r="V199" s="2693"/>
      <c r="W199" s="3314"/>
      <c r="X199" s="847"/>
      <c r="Y199" s="3314"/>
      <c r="Z199" s="2693"/>
      <c r="AA199" s="3314"/>
      <c r="AB199" s="2693"/>
      <c r="AC199" s="346"/>
      <c r="AD199" s="130"/>
      <c r="AE199" s="346"/>
      <c r="AF199" s="130"/>
      <c r="AG199" s="346"/>
      <c r="AH199" s="130"/>
      <c r="AI199" s="192"/>
      <c r="AJ199" s="130"/>
      <c r="AK199" s="346"/>
      <c r="AL199" s="130"/>
      <c r="AM199" s="351"/>
      <c r="AN199" s="354"/>
      <c r="AO199" s="3446"/>
      <c r="AP199" s="130"/>
      <c r="AQ199" s="430"/>
      <c r="AR199" s="535"/>
      <c r="AS199" s="369"/>
      <c r="AT199" s="369"/>
      <c r="AU199" s="535"/>
      <c r="AV199" s="535"/>
      <c r="AW199" s="535"/>
      <c r="AX199" s="107"/>
      <c r="AY199" t="str">
        <f t="shared" si="175"/>
        <v/>
      </c>
      <c r="CA199" s="434"/>
      <c r="CB199" s="434" t="str">
        <f t="shared" si="183"/>
        <v/>
      </c>
      <c r="CC199" s="434" t="str">
        <f t="shared" si="184"/>
        <v/>
      </c>
      <c r="CD199" s="434" t="str">
        <f t="shared" si="185"/>
        <v/>
      </c>
      <c r="CE199" s="434" t="str">
        <f t="shared" si="186"/>
        <v/>
      </c>
      <c r="CF199" s="434" t="str">
        <f t="shared" si="201"/>
        <v/>
      </c>
      <c r="CG199" s="434" t="str">
        <f t="shared" si="187"/>
        <v/>
      </c>
      <c r="CH199" s="434" t="str">
        <f t="shared" si="188"/>
        <v/>
      </c>
      <c r="CO199" s="435"/>
      <c r="CP199" s="435">
        <f t="shared" si="189"/>
        <v>0</v>
      </c>
      <c r="CQ199" s="435">
        <f t="shared" si="190"/>
        <v>0</v>
      </c>
      <c r="CR199" s="435">
        <f t="shared" si="191"/>
        <v>0</v>
      </c>
      <c r="CS199" s="435">
        <f t="shared" si="196"/>
        <v>0</v>
      </c>
      <c r="CT199" s="435">
        <f>IF(AND($D199&gt;0,AV199=""),1,IF(AV199&gt;$D199,1,0))</f>
        <v>0</v>
      </c>
      <c r="CU199" s="435">
        <f t="shared" si="197"/>
        <v>0</v>
      </c>
      <c r="CV199" s="435">
        <f t="shared" si="198"/>
        <v>0</v>
      </c>
    </row>
    <row r="200" spans="1:100" ht="24" customHeight="1" x14ac:dyDescent="0.3">
      <c r="A200" s="6574"/>
      <c r="B200" s="6574"/>
      <c r="C200" s="3779" t="s">
        <v>1757</v>
      </c>
      <c r="D200" s="3780">
        <f t="shared" si="195"/>
        <v>0</v>
      </c>
      <c r="E200" s="3781">
        <f t="shared" si="199"/>
        <v>0</v>
      </c>
      <c r="F200" s="3782"/>
      <c r="G200" s="635"/>
      <c r="H200" s="844"/>
      <c r="I200" s="3316"/>
      <c r="J200" s="3783"/>
      <c r="K200" s="3316"/>
      <c r="L200" s="844"/>
      <c r="M200" s="3316"/>
      <c r="N200" s="3783"/>
      <c r="O200" s="3316"/>
      <c r="P200" s="844"/>
      <c r="Q200" s="3316"/>
      <c r="R200" s="3783"/>
      <c r="S200" s="3316"/>
      <c r="T200" s="844"/>
      <c r="U200" s="3316"/>
      <c r="V200" s="3783"/>
      <c r="W200" s="3316"/>
      <c r="X200" s="844"/>
      <c r="Y200" s="3316"/>
      <c r="Z200" s="3783"/>
      <c r="AA200" s="3316"/>
      <c r="AB200" s="3783"/>
      <c r="AC200" s="1289"/>
      <c r="AD200" s="3672"/>
      <c r="AE200" s="1289"/>
      <c r="AF200" s="3672"/>
      <c r="AG200" s="1289"/>
      <c r="AH200" s="3672"/>
      <c r="AI200" s="1289"/>
      <c r="AJ200" s="3672"/>
      <c r="AK200" s="1289"/>
      <c r="AL200" s="3672"/>
      <c r="AM200" s="3784"/>
      <c r="AN200" s="3758"/>
      <c r="AO200" s="799"/>
      <c r="AP200" s="3672"/>
      <c r="AQ200" s="379"/>
      <c r="AR200" s="262"/>
      <c r="AS200" s="2911"/>
      <c r="AT200" s="2911"/>
      <c r="AU200" s="262"/>
      <c r="AV200" s="262"/>
      <c r="AW200" s="262"/>
      <c r="AX200" s="1474"/>
      <c r="AY200" t="str">
        <f t="shared" si="175"/>
        <v/>
      </c>
      <c r="CA200" s="434"/>
      <c r="CB200" s="434" t="str">
        <f t="shared" si="183"/>
        <v/>
      </c>
      <c r="CC200" s="434" t="str">
        <f t="shared" si="184"/>
        <v/>
      </c>
      <c r="CD200" s="434" t="str">
        <f t="shared" si="185"/>
        <v/>
      </c>
      <c r="CE200" s="434" t="str">
        <f t="shared" si="186"/>
        <v/>
      </c>
      <c r="CF200" s="434" t="str">
        <f>IF(AND($D200&gt;0,AV200="")," * No olvide digitar la variable Egreso por Abandono. Digite Cero si no tiene.",IF(AV200&gt;$D200," * La variable Egreso por Abandono no pueden superar el Total Ambos Sexos.",""))</f>
        <v/>
      </c>
      <c r="CG200" s="434" t="str">
        <f t="shared" si="187"/>
        <v/>
      </c>
      <c r="CH200" s="434" t="str">
        <f t="shared" si="188"/>
        <v/>
      </c>
      <c r="CO200" s="435"/>
      <c r="CP200" s="435">
        <f t="shared" si="189"/>
        <v>0</v>
      </c>
      <c r="CQ200" s="435">
        <f t="shared" si="190"/>
        <v>0</v>
      </c>
      <c r="CR200" s="435">
        <f t="shared" si="191"/>
        <v>0</v>
      </c>
      <c r="CS200" s="435">
        <f t="shared" si="196"/>
        <v>0</v>
      </c>
      <c r="CT200" s="435">
        <f>IF(AND($D200&gt;0,AV200=""),1,IF(AV200&gt;$D200,1,0))</f>
        <v>0</v>
      </c>
      <c r="CU200" s="435">
        <f t="shared" si="197"/>
        <v>0</v>
      </c>
      <c r="CV200" s="435">
        <f t="shared" si="198"/>
        <v>0</v>
      </c>
    </row>
    <row r="201" spans="1:100" ht="15" customHeight="1" x14ac:dyDescent="0.3">
      <c r="A201" s="6766" t="s">
        <v>1758</v>
      </c>
      <c r="B201" s="6769" t="s">
        <v>1759</v>
      </c>
      <c r="C201" s="3785" t="s">
        <v>1760</v>
      </c>
      <c r="D201" s="3786">
        <f>SUM(E201:F201)</f>
        <v>0</v>
      </c>
      <c r="E201" s="3757">
        <f>+G201+I201+K201+M201+O201+Q201+S201+U201+W201+Y201+AA201+AC201+AE201+AG201+AI201+AK201+AM201+AO201</f>
        <v>0</v>
      </c>
      <c r="F201" s="3480">
        <f>+H201+J201+L201+N201+P201+R201+T201+V201+X201+Z201+AB201+AD201+AF201+AH201+AJ201+AL201+AN201+AP201</f>
        <v>0</v>
      </c>
      <c r="G201" s="3787">
        <f t="shared" ref="G201:AW201" si="202">SUM(G202:G203)</f>
        <v>0</v>
      </c>
      <c r="H201" s="3788">
        <f t="shared" si="202"/>
        <v>0</v>
      </c>
      <c r="I201" s="3787">
        <f t="shared" si="202"/>
        <v>0</v>
      </c>
      <c r="J201" s="3788">
        <f t="shared" si="202"/>
        <v>0</v>
      </c>
      <c r="K201" s="3787">
        <f t="shared" si="202"/>
        <v>0</v>
      </c>
      <c r="L201" s="3788">
        <f t="shared" si="202"/>
        <v>0</v>
      </c>
      <c r="M201" s="3787">
        <f t="shared" si="202"/>
        <v>0</v>
      </c>
      <c r="N201" s="3788">
        <f t="shared" si="202"/>
        <v>0</v>
      </c>
      <c r="O201" s="3787">
        <f t="shared" si="202"/>
        <v>0</v>
      </c>
      <c r="P201" s="3788">
        <f t="shared" si="202"/>
        <v>0</v>
      </c>
      <c r="Q201" s="3787">
        <f t="shared" si="202"/>
        <v>0</v>
      </c>
      <c r="R201" s="3788">
        <f t="shared" si="202"/>
        <v>0</v>
      </c>
      <c r="S201" s="3787">
        <f t="shared" si="202"/>
        <v>0</v>
      </c>
      <c r="T201" s="3788">
        <f t="shared" si="202"/>
        <v>0</v>
      </c>
      <c r="U201" s="3787">
        <f t="shared" si="202"/>
        <v>0</v>
      </c>
      <c r="V201" s="3788">
        <f t="shared" si="202"/>
        <v>0</v>
      </c>
      <c r="W201" s="3787">
        <f t="shared" si="202"/>
        <v>0</v>
      </c>
      <c r="X201" s="3788">
        <f t="shared" si="202"/>
        <v>0</v>
      </c>
      <c r="Y201" s="3787">
        <f t="shared" si="202"/>
        <v>0</v>
      </c>
      <c r="Z201" s="3788">
        <f t="shared" si="202"/>
        <v>0</v>
      </c>
      <c r="AA201" s="3787">
        <f t="shared" si="202"/>
        <v>0</v>
      </c>
      <c r="AB201" s="3789">
        <f t="shared" si="202"/>
        <v>0</v>
      </c>
      <c r="AC201" s="3790">
        <f t="shared" si="202"/>
        <v>0</v>
      </c>
      <c r="AD201" s="3789">
        <f t="shared" si="202"/>
        <v>0</v>
      </c>
      <c r="AE201" s="3790">
        <f t="shared" si="202"/>
        <v>0</v>
      </c>
      <c r="AF201" s="3789">
        <f t="shared" si="202"/>
        <v>0</v>
      </c>
      <c r="AG201" s="3790">
        <f t="shared" si="202"/>
        <v>0</v>
      </c>
      <c r="AH201" s="3789">
        <f t="shared" si="202"/>
        <v>0</v>
      </c>
      <c r="AI201" s="3790">
        <f t="shared" si="202"/>
        <v>0</v>
      </c>
      <c r="AJ201" s="3789">
        <f t="shared" si="202"/>
        <v>0</v>
      </c>
      <c r="AK201" s="3790">
        <f t="shared" si="202"/>
        <v>0</v>
      </c>
      <c r="AL201" s="3789">
        <f t="shared" si="202"/>
        <v>0</v>
      </c>
      <c r="AM201" s="3790">
        <f t="shared" si="202"/>
        <v>0</v>
      </c>
      <c r="AN201" s="3789">
        <f t="shared" si="202"/>
        <v>0</v>
      </c>
      <c r="AO201" s="3790">
        <f t="shared" si="202"/>
        <v>0</v>
      </c>
      <c r="AP201" s="3789">
        <f t="shared" si="202"/>
        <v>0</v>
      </c>
      <c r="AQ201" s="3791">
        <f t="shared" si="202"/>
        <v>0</v>
      </c>
      <c r="AR201" s="3792">
        <f t="shared" si="202"/>
        <v>0</v>
      </c>
      <c r="AS201" s="3792">
        <f t="shared" si="202"/>
        <v>0</v>
      </c>
      <c r="AT201" s="3792">
        <f t="shared" si="202"/>
        <v>0</v>
      </c>
      <c r="AU201" s="3792">
        <f t="shared" si="202"/>
        <v>0</v>
      </c>
      <c r="AV201" s="3792">
        <f t="shared" si="202"/>
        <v>0</v>
      </c>
      <c r="AW201" s="3792">
        <f t="shared" si="202"/>
        <v>0</v>
      </c>
      <c r="AX201" s="3789">
        <f t="shared" ref="AX201" si="203">SUM(AX202:AX203)</f>
        <v>0</v>
      </c>
    </row>
    <row r="202" spans="1:100" ht="15" customHeight="1" x14ac:dyDescent="0.3">
      <c r="A202" s="6767"/>
      <c r="B202" s="6770"/>
      <c r="C202" s="3793" t="s">
        <v>1761</v>
      </c>
      <c r="D202" s="3741">
        <f>SUM(E202:F202)</f>
        <v>0</v>
      </c>
      <c r="E202" s="3776">
        <f t="shared" ref="E202:F203" si="204">+G202+I202+K202+M202+O202+Q202+S202+U202+W202+Y202+AA202+AC202+AE202+AG202+AI202+AK202+AM202+AO202</f>
        <v>0</v>
      </c>
      <c r="F202" s="3794">
        <f t="shared" si="204"/>
        <v>0</v>
      </c>
      <c r="G202" s="3309"/>
      <c r="H202" s="771"/>
      <c r="I202" s="3310"/>
      <c r="J202" s="576"/>
      <c r="K202" s="3310"/>
      <c r="L202" s="559"/>
      <c r="M202" s="3310"/>
      <c r="N202" s="771"/>
      <c r="O202" s="3310"/>
      <c r="P202" s="107"/>
      <c r="Q202" s="3310"/>
      <c r="R202" s="107"/>
      <c r="S202" s="3310"/>
      <c r="T202" s="107"/>
      <c r="U202" s="3310"/>
      <c r="V202" s="107"/>
      <c r="W202" s="3310"/>
      <c r="X202" s="107"/>
      <c r="Y202" s="3310"/>
      <c r="Z202" s="107"/>
      <c r="AA202" s="290"/>
      <c r="AB202" s="107"/>
      <c r="AC202" s="290"/>
      <c r="AD202" s="107"/>
      <c r="AE202" s="290"/>
      <c r="AF202" s="107"/>
      <c r="AG202" s="290"/>
      <c r="AH202" s="107"/>
      <c r="AI202" s="290"/>
      <c r="AJ202" s="107"/>
      <c r="AK202" s="290"/>
      <c r="AL202" s="107"/>
      <c r="AM202" s="290"/>
      <c r="AN202" s="107"/>
      <c r="AO202" s="290"/>
      <c r="AP202" s="107"/>
      <c r="AQ202" s="296"/>
      <c r="AR202" s="535"/>
      <c r="AS202" s="535"/>
      <c r="AT202" s="535"/>
      <c r="AU202" s="535"/>
      <c r="AV202" s="535"/>
      <c r="AW202" s="535"/>
      <c r="AX202" s="107"/>
      <c r="AY202" t="str">
        <f t="shared" si="175"/>
        <v/>
      </c>
      <c r="CA202" s="434"/>
      <c r="CB202" s="434" t="str">
        <f t="shared" ref="CB202:CB226" si="205">IF(AND($D202&gt;0,AR202="")," * No olvide digitar la variable Usuario con Discapacidad. Digite Cero si no tiene.",IF(AR202&gt;$D202," * La variable Usuario con Discapacidad no pueden superar el Total Ambos Sexos.",""))</f>
        <v/>
      </c>
      <c r="CC202" s="434" t="str">
        <f t="shared" ref="CC202:CC226" si="206">IF(AND($D202&gt;0,AS202=""),"  * No olvide digitar la variable Niños, niñas, adolescentes y jóvenes SENAME. Digite Cero si no tiene.",IF(AS202&gt;D202," * La variable Niños, niñas, adolescentes y jóvenes SENAME no pueden superar el Total Ambos Sexos.",""))</f>
        <v/>
      </c>
      <c r="CD202" s="434" t="str">
        <f t="shared" ref="CD202:CD226" si="207">IF(AND($D202&gt;0,AT202="")," * No olvide digitar la variable Niños, niñas, adolescentes y jóvenes Mejor Niñez. Digite Cero si no tiene.",IF(AT202&gt;$D202," * La variable Niños, niñas, adolescentes y jóvenes Mejor Niñez no pueden superar el Total Ambos Sexos.",""))</f>
        <v/>
      </c>
      <c r="CE202" s="434" t="str">
        <f t="shared" ref="CE202:CE226" si="208">IF(AND($D202&gt;0,AU202="")," * No olvide digitar la variable Migrantes. Digite Cero si no tiene.",IF(AU202&gt;$D202," * La variable Migrantes no pueden superar el Total Ambos Sexos.",""))</f>
        <v/>
      </c>
      <c r="CF202" s="434" t="str">
        <f t="shared" ref="CF202:CF224" si="209">IF(AND($D202&gt;0,AV202="")," * No olvide digitar la variable Egreso por Abandono. Digite Cero si no tiene.",IF(AV202&gt;$D202," * La variable Egreso por Abandono no pueden superar el Total Ambos Sexos.",""))</f>
        <v/>
      </c>
      <c r="CG202" s="434" t="str">
        <f t="shared" ref="CG202:CG226" si="210">IF(AND($D202&gt;0,AW202=""),"  * No olvide digitar la variable Persona con ingreso integral y condición crónica. Digite Cero si no tiene.",IF(AW202&gt;$D202," * La variable Persona con ingreso integral y condición crónica no pueden superar el Total Ambos Sexos.",""))</f>
        <v/>
      </c>
      <c r="CH202" s="434" t="str">
        <f t="shared" ref="CH202:CH226" si="211">IF(AND($D202&gt;0,AX202=""),"  * No olvide digitar la variable Pueblos Originarios. Digite Cero si no tiene.",IF(AX202&gt;$D202," * La variable Pueblos Originarios no pueden superar el Total Ambos Sexos.",""))</f>
        <v/>
      </c>
      <c r="CO202" s="435"/>
      <c r="CP202" s="435">
        <f t="shared" ref="CP202:CP211" si="212">IF(AND($D202&gt;0,AR202=""),1,IF(AR202&gt;$D202,1,0))</f>
        <v>0</v>
      </c>
      <c r="CQ202" s="435">
        <f t="shared" ref="CQ202:CQ211" si="213">IF(AND($D202&gt;0,AS202=""),1,IF(AS202&gt;$D202,1,0))</f>
        <v>0</v>
      </c>
      <c r="CR202" s="435">
        <f t="shared" ref="CR202:CR211" si="214">IF(AND(D202&gt;0,AT202=""),1,IF(AT202&gt;D202,1,0))</f>
        <v>0</v>
      </c>
      <c r="CS202" s="435">
        <f t="shared" ref="CS202:CV204" si="215">IF(AND($D202&gt;0,AU202=""),1,IF(AU202&gt;$D202,1,0))</f>
        <v>0</v>
      </c>
      <c r="CT202" s="435">
        <f t="shared" si="215"/>
        <v>0</v>
      </c>
      <c r="CU202" s="435">
        <f t="shared" si="215"/>
        <v>0</v>
      </c>
      <c r="CV202" s="435">
        <f t="shared" si="215"/>
        <v>0</v>
      </c>
    </row>
    <row r="203" spans="1:100" ht="21" customHeight="1" x14ac:dyDescent="0.3">
      <c r="A203" s="6768"/>
      <c r="B203" s="6771"/>
      <c r="C203" s="3796" t="s">
        <v>1762</v>
      </c>
      <c r="D203" s="3780">
        <f>SUM(E203:F203)</f>
        <v>0</v>
      </c>
      <c r="E203" s="3781">
        <f t="shared" si="204"/>
        <v>0</v>
      </c>
      <c r="F203" s="3746">
        <f t="shared" si="204"/>
        <v>0</v>
      </c>
      <c r="G203" s="429"/>
      <c r="H203" s="389"/>
      <c r="I203" s="380"/>
      <c r="J203" s="388"/>
      <c r="K203" s="380"/>
      <c r="L203" s="564"/>
      <c r="M203" s="380"/>
      <c r="N203" s="389"/>
      <c r="O203" s="380"/>
      <c r="P203" s="388"/>
      <c r="Q203" s="380"/>
      <c r="R203" s="388"/>
      <c r="S203" s="380"/>
      <c r="T203" s="388"/>
      <c r="U203" s="380"/>
      <c r="V203" s="388"/>
      <c r="W203" s="380"/>
      <c r="X203" s="388"/>
      <c r="Y203" s="380"/>
      <c r="Z203" s="388"/>
      <c r="AA203" s="380"/>
      <c r="AB203" s="388"/>
      <c r="AC203" s="380"/>
      <c r="AD203" s="388"/>
      <c r="AE203" s="380"/>
      <c r="AF203" s="388"/>
      <c r="AG203" s="380"/>
      <c r="AH203" s="388"/>
      <c r="AI203" s="380"/>
      <c r="AJ203" s="388"/>
      <c r="AK203" s="380"/>
      <c r="AL203" s="388"/>
      <c r="AM203" s="380"/>
      <c r="AN203" s="388"/>
      <c r="AO203" s="380"/>
      <c r="AP203" s="388"/>
      <c r="AQ203" s="379"/>
      <c r="AR203" s="2911"/>
      <c r="AS203" s="2911"/>
      <c r="AT203" s="2911"/>
      <c r="AU203" s="2911"/>
      <c r="AV203" s="2911"/>
      <c r="AW203" s="2911"/>
      <c r="AX203" s="388"/>
      <c r="AY203" t="str">
        <f t="shared" si="175"/>
        <v/>
      </c>
      <c r="CA203" s="434"/>
      <c r="CB203" s="434" t="str">
        <f t="shared" si="205"/>
        <v/>
      </c>
      <c r="CC203" s="434" t="str">
        <f t="shared" si="206"/>
        <v/>
      </c>
      <c r="CD203" s="434" t="str">
        <f t="shared" si="207"/>
        <v/>
      </c>
      <c r="CE203" s="434" t="str">
        <f t="shared" si="208"/>
        <v/>
      </c>
      <c r="CF203" s="434" t="str">
        <f t="shared" si="209"/>
        <v/>
      </c>
      <c r="CG203" s="434" t="str">
        <f t="shared" si="210"/>
        <v/>
      </c>
      <c r="CH203" s="434" t="str">
        <f t="shared" si="211"/>
        <v/>
      </c>
      <c r="CO203" s="435"/>
      <c r="CP203" s="435">
        <f t="shared" si="212"/>
        <v>0</v>
      </c>
      <c r="CQ203" s="435">
        <f t="shared" si="213"/>
        <v>0</v>
      </c>
      <c r="CR203" s="435">
        <f t="shared" si="214"/>
        <v>0</v>
      </c>
      <c r="CS203" s="435">
        <f t="shared" si="215"/>
        <v>0</v>
      </c>
      <c r="CT203" s="435">
        <f t="shared" si="215"/>
        <v>0</v>
      </c>
      <c r="CU203" s="435">
        <f t="shared" si="215"/>
        <v>0</v>
      </c>
      <c r="CV203" s="435">
        <f t="shared" si="215"/>
        <v>0</v>
      </c>
    </row>
    <row r="204" spans="1:100" ht="15" customHeight="1" x14ac:dyDescent="0.3">
      <c r="A204" s="6766" t="s">
        <v>1763</v>
      </c>
      <c r="B204" s="6185" t="s">
        <v>1764</v>
      </c>
      <c r="C204" s="934" t="s">
        <v>1765</v>
      </c>
      <c r="D204" s="3741">
        <f t="shared" ref="D204:D223" si="216">SUM(E204+F204)</f>
        <v>0</v>
      </c>
      <c r="E204" s="3776">
        <f t="shared" ref="E204:F208" si="217">SUM(AA204+AC204+AE204+AG204+AI204+AK204+AM204+AO204)</f>
        <v>0</v>
      </c>
      <c r="F204" s="3797">
        <f t="shared" si="217"/>
        <v>0</v>
      </c>
      <c r="G204" s="3726"/>
      <c r="H204" s="3753"/>
      <c r="I204" s="3726"/>
      <c r="J204" s="3753"/>
      <c r="K204" s="3726"/>
      <c r="L204" s="3753"/>
      <c r="M204" s="3726"/>
      <c r="N204" s="3753"/>
      <c r="O204" s="3726"/>
      <c r="P204" s="3753"/>
      <c r="Q204" s="3726"/>
      <c r="R204" s="3753"/>
      <c r="S204" s="3726"/>
      <c r="T204" s="3753"/>
      <c r="U204" s="3726"/>
      <c r="V204" s="3753"/>
      <c r="W204" s="3726"/>
      <c r="X204" s="3753"/>
      <c r="Y204" s="3726"/>
      <c r="Z204" s="3753"/>
      <c r="AA204" s="22"/>
      <c r="AB204" s="107"/>
      <c r="AC204" s="290"/>
      <c r="AD204" s="107"/>
      <c r="AE204" s="290"/>
      <c r="AF204" s="107"/>
      <c r="AG204" s="290"/>
      <c r="AH204" s="107"/>
      <c r="AI204" s="290"/>
      <c r="AJ204" s="107"/>
      <c r="AK204" s="290"/>
      <c r="AL204" s="107"/>
      <c r="AM204" s="290"/>
      <c r="AN204" s="107"/>
      <c r="AO204" s="290"/>
      <c r="AP204" s="107"/>
      <c r="AQ204" s="296"/>
      <c r="AR204" s="535"/>
      <c r="AS204" s="535"/>
      <c r="AT204" s="535"/>
      <c r="AU204" s="535"/>
      <c r="AV204" s="535"/>
      <c r="AW204" s="535"/>
      <c r="AX204" s="107"/>
      <c r="AY204" t="str">
        <f t="shared" si="175"/>
        <v/>
      </c>
      <c r="CA204" s="434"/>
      <c r="CB204" s="434" t="str">
        <f t="shared" si="205"/>
        <v/>
      </c>
      <c r="CC204" s="434" t="str">
        <f t="shared" si="206"/>
        <v/>
      </c>
      <c r="CD204" s="434" t="str">
        <f t="shared" si="207"/>
        <v/>
      </c>
      <c r="CE204" s="434" t="str">
        <f t="shared" si="208"/>
        <v/>
      </c>
      <c r="CF204" s="434" t="str">
        <f t="shared" si="209"/>
        <v/>
      </c>
      <c r="CG204" s="434" t="str">
        <f t="shared" si="210"/>
        <v/>
      </c>
      <c r="CH204" s="434" t="str">
        <f t="shared" si="211"/>
        <v/>
      </c>
      <c r="CO204" s="435"/>
      <c r="CP204" s="435">
        <f t="shared" si="212"/>
        <v>0</v>
      </c>
      <c r="CQ204" s="435">
        <f t="shared" si="213"/>
        <v>0</v>
      </c>
      <c r="CR204" s="435">
        <f t="shared" si="214"/>
        <v>0</v>
      </c>
      <c r="CS204" s="435">
        <f t="shared" si="215"/>
        <v>0</v>
      </c>
      <c r="CT204" s="435">
        <f t="shared" si="215"/>
        <v>0</v>
      </c>
      <c r="CU204" s="435">
        <f t="shared" si="215"/>
        <v>0</v>
      </c>
      <c r="CV204" s="435">
        <f t="shared" si="215"/>
        <v>0</v>
      </c>
    </row>
    <row r="205" spans="1:100" ht="15" customHeight="1" x14ac:dyDescent="0.3">
      <c r="A205" s="6767"/>
      <c r="B205" s="5790"/>
      <c r="C205" s="935" t="s">
        <v>1766</v>
      </c>
      <c r="D205" s="3732">
        <f t="shared" si="216"/>
        <v>0</v>
      </c>
      <c r="E205" s="3776">
        <f t="shared" si="217"/>
        <v>0</v>
      </c>
      <c r="F205" s="3797">
        <f t="shared" si="217"/>
        <v>0</v>
      </c>
      <c r="G205" s="542"/>
      <c r="H205" s="2693"/>
      <c r="I205" s="542"/>
      <c r="J205" s="2693"/>
      <c r="K205" s="542"/>
      <c r="L205" s="2693"/>
      <c r="M205" s="542"/>
      <c r="N205" s="2693"/>
      <c r="O205" s="542"/>
      <c r="P205" s="2693"/>
      <c r="Q205" s="542"/>
      <c r="R205" s="2693"/>
      <c r="S205" s="542"/>
      <c r="T205" s="2693"/>
      <c r="U205" s="542"/>
      <c r="V205" s="2693"/>
      <c r="W205" s="542"/>
      <c r="X205" s="2693"/>
      <c r="Y205" s="542"/>
      <c r="Z205" s="2693"/>
      <c r="AA205" s="704"/>
      <c r="AB205" s="42"/>
      <c r="AC205" s="47"/>
      <c r="AD205" s="42"/>
      <c r="AE205" s="47"/>
      <c r="AF205" s="42"/>
      <c r="AG205" s="47"/>
      <c r="AH205" s="42"/>
      <c r="AI205" s="47"/>
      <c r="AJ205" s="42"/>
      <c r="AK205" s="47"/>
      <c r="AL205" s="42"/>
      <c r="AM205" s="47"/>
      <c r="AN205" s="42"/>
      <c r="AO205" s="47"/>
      <c r="AP205" s="42"/>
      <c r="AQ205" s="74"/>
      <c r="AR205" s="242"/>
      <c r="AS205" s="242"/>
      <c r="AT205" s="242"/>
      <c r="AU205" s="242"/>
      <c r="AV205" s="3798"/>
      <c r="AW205" s="242"/>
      <c r="AX205" s="42"/>
      <c r="AY205" t="str">
        <f t="shared" si="175"/>
        <v/>
      </c>
      <c r="CA205" s="434"/>
      <c r="CB205" s="434" t="str">
        <f t="shared" si="205"/>
        <v/>
      </c>
      <c r="CC205" s="434" t="str">
        <f t="shared" si="206"/>
        <v/>
      </c>
      <c r="CD205" s="434" t="str">
        <f t="shared" si="207"/>
        <v/>
      </c>
      <c r="CE205" s="434" t="str">
        <f t="shared" si="208"/>
        <v/>
      </c>
      <c r="CF205" s="439"/>
      <c r="CG205" s="434" t="str">
        <f t="shared" si="210"/>
        <v/>
      </c>
      <c r="CH205" s="434" t="str">
        <f t="shared" si="211"/>
        <v/>
      </c>
      <c r="CO205" s="435"/>
      <c r="CP205" s="435">
        <f t="shared" si="212"/>
        <v>0</v>
      </c>
      <c r="CQ205" s="435">
        <f t="shared" si="213"/>
        <v>0</v>
      </c>
      <c r="CR205" s="435">
        <f t="shared" si="214"/>
        <v>0</v>
      </c>
      <c r="CS205" s="435">
        <f t="shared" ref="CS205:CS226" si="218">IF(AND($D205&gt;0,AU205=""),1,IF(AU205&gt;$D205,1,0))</f>
        <v>0</v>
      </c>
      <c r="CT205" s="439"/>
      <c r="CU205" s="435">
        <f t="shared" ref="CU205:CU226" si="219">IF(AND($D205&gt;0,AW205=""),1,IF(AW205&gt;$D205,1,0))</f>
        <v>0</v>
      </c>
      <c r="CV205" s="435">
        <f t="shared" ref="CV205:CV226" si="220">IF(AND($D205&gt;0,AX205=""),1,IF(AX205&gt;$D205,1,0))</f>
        <v>0</v>
      </c>
    </row>
    <row r="206" spans="1:100" ht="15" customHeight="1" x14ac:dyDescent="0.3">
      <c r="A206" s="6767"/>
      <c r="B206" s="6574"/>
      <c r="C206" s="1810" t="s">
        <v>1767</v>
      </c>
      <c r="D206" s="3732">
        <f t="shared" si="216"/>
        <v>0</v>
      </c>
      <c r="E206" s="3781">
        <f t="shared" si="217"/>
        <v>0</v>
      </c>
      <c r="F206" s="3746">
        <f t="shared" si="217"/>
        <v>0</v>
      </c>
      <c r="G206" s="542"/>
      <c r="H206" s="2693"/>
      <c r="I206" s="542"/>
      <c r="J206" s="2693"/>
      <c r="K206" s="542"/>
      <c r="L206" s="2693"/>
      <c r="M206" s="542"/>
      <c r="N206" s="2693"/>
      <c r="O206" s="542"/>
      <c r="P206" s="2693"/>
      <c r="Q206" s="542"/>
      <c r="R206" s="2693"/>
      <c r="S206" s="542"/>
      <c r="T206" s="2693"/>
      <c r="U206" s="542"/>
      <c r="V206" s="2693"/>
      <c r="W206" s="542"/>
      <c r="X206" s="2693"/>
      <c r="Y206" s="542"/>
      <c r="Z206" s="2693"/>
      <c r="AA206" s="429"/>
      <c r="AB206" s="388"/>
      <c r="AC206" s="380"/>
      <c r="AD206" s="388"/>
      <c r="AE206" s="380"/>
      <c r="AF206" s="388"/>
      <c r="AG206" s="380"/>
      <c r="AH206" s="388"/>
      <c r="AI206" s="380"/>
      <c r="AJ206" s="388"/>
      <c r="AK206" s="380"/>
      <c r="AL206" s="388"/>
      <c r="AM206" s="380"/>
      <c r="AN206" s="388"/>
      <c r="AO206" s="380"/>
      <c r="AP206" s="388"/>
      <c r="AQ206" s="379"/>
      <c r="AR206" s="2911"/>
      <c r="AS206" s="2911"/>
      <c r="AT206" s="2911"/>
      <c r="AU206" s="2911"/>
      <c r="AV206" s="3799"/>
      <c r="AW206" s="2911"/>
      <c r="AX206" s="388"/>
      <c r="AY206" t="str">
        <f t="shared" si="175"/>
        <v/>
      </c>
      <c r="CA206" s="434"/>
      <c r="CB206" s="434" t="str">
        <f t="shared" si="205"/>
        <v/>
      </c>
      <c r="CC206" s="434" t="str">
        <f t="shared" si="206"/>
        <v/>
      </c>
      <c r="CD206" s="434" t="str">
        <f t="shared" si="207"/>
        <v/>
      </c>
      <c r="CE206" s="434" t="str">
        <f t="shared" si="208"/>
        <v/>
      </c>
      <c r="CF206" s="439"/>
      <c r="CG206" s="434" t="str">
        <f t="shared" si="210"/>
        <v/>
      </c>
      <c r="CH206" s="434" t="str">
        <f t="shared" si="211"/>
        <v/>
      </c>
      <c r="CO206" s="435"/>
      <c r="CP206" s="435">
        <f t="shared" si="212"/>
        <v>0</v>
      </c>
      <c r="CQ206" s="435">
        <f t="shared" si="213"/>
        <v>0</v>
      </c>
      <c r="CR206" s="435">
        <f t="shared" si="214"/>
        <v>0</v>
      </c>
      <c r="CS206" s="435">
        <f t="shared" si="218"/>
        <v>0</v>
      </c>
      <c r="CT206" s="439"/>
      <c r="CU206" s="435">
        <f t="shared" si="219"/>
        <v>0</v>
      </c>
      <c r="CV206" s="435">
        <f t="shared" si="220"/>
        <v>0</v>
      </c>
    </row>
    <row r="207" spans="1:100" ht="15" customHeight="1" x14ac:dyDescent="0.3">
      <c r="A207" s="6767"/>
      <c r="B207" s="6769" t="s">
        <v>1768</v>
      </c>
      <c r="C207" s="3793" t="s">
        <v>1765</v>
      </c>
      <c r="D207" s="3722">
        <f t="shared" si="216"/>
        <v>0</v>
      </c>
      <c r="E207" s="3776">
        <f t="shared" si="217"/>
        <v>0</v>
      </c>
      <c r="F207" s="3797">
        <f t="shared" si="217"/>
        <v>0</v>
      </c>
      <c r="G207" s="542"/>
      <c r="H207" s="2693"/>
      <c r="I207" s="542"/>
      <c r="J207" s="2693"/>
      <c r="K207" s="542"/>
      <c r="L207" s="2693"/>
      <c r="M207" s="542"/>
      <c r="N207" s="2693"/>
      <c r="O207" s="542"/>
      <c r="P207" s="2693"/>
      <c r="Q207" s="542"/>
      <c r="R207" s="2693"/>
      <c r="S207" s="542"/>
      <c r="T207" s="2693"/>
      <c r="U207" s="542"/>
      <c r="V207" s="2693"/>
      <c r="W207" s="542"/>
      <c r="X207" s="2693"/>
      <c r="Y207" s="542"/>
      <c r="Z207" s="2693"/>
      <c r="AA207" s="3309"/>
      <c r="AB207" s="576"/>
      <c r="AC207" s="3310"/>
      <c r="AD207" s="576"/>
      <c r="AE207" s="3310"/>
      <c r="AF207" s="576"/>
      <c r="AG207" s="3310"/>
      <c r="AH207" s="576"/>
      <c r="AI207" s="3310"/>
      <c r="AJ207" s="576"/>
      <c r="AK207" s="3310"/>
      <c r="AL207" s="576"/>
      <c r="AM207" s="3310"/>
      <c r="AN207" s="576"/>
      <c r="AO207" s="3310"/>
      <c r="AP207" s="576"/>
      <c r="AQ207" s="758"/>
      <c r="AR207" s="773"/>
      <c r="AS207" s="773"/>
      <c r="AT207" s="773"/>
      <c r="AU207" s="773"/>
      <c r="AV207" s="773"/>
      <c r="AW207" s="773"/>
      <c r="AX207" s="576"/>
      <c r="AY207" t="str">
        <f t="shared" si="175"/>
        <v/>
      </c>
      <c r="CA207" s="434"/>
      <c r="CB207" s="434" t="str">
        <f t="shared" si="205"/>
        <v/>
      </c>
      <c r="CC207" s="434" t="str">
        <f t="shared" si="206"/>
        <v/>
      </c>
      <c r="CD207" s="434" t="str">
        <f t="shared" si="207"/>
        <v/>
      </c>
      <c r="CE207" s="434" t="str">
        <f t="shared" si="208"/>
        <v/>
      </c>
      <c r="CF207" s="434" t="str">
        <f t="shared" si="209"/>
        <v/>
      </c>
      <c r="CG207" s="434" t="str">
        <f t="shared" si="210"/>
        <v/>
      </c>
      <c r="CH207" s="434" t="str">
        <f t="shared" si="211"/>
        <v/>
      </c>
      <c r="CO207" s="435"/>
      <c r="CP207" s="435">
        <f t="shared" si="212"/>
        <v>0</v>
      </c>
      <c r="CQ207" s="435">
        <f t="shared" si="213"/>
        <v>0</v>
      </c>
      <c r="CR207" s="435">
        <f t="shared" si="214"/>
        <v>0</v>
      </c>
      <c r="CS207" s="435">
        <f t="shared" si="218"/>
        <v>0</v>
      </c>
      <c r="CT207" s="435">
        <f>IF(AND($D207&gt;0,AV207=""),1,IF(AV207&gt;$D207,1,0))</f>
        <v>0</v>
      </c>
      <c r="CU207" s="435">
        <f t="shared" si="219"/>
        <v>0</v>
      </c>
      <c r="CV207" s="435">
        <f t="shared" si="220"/>
        <v>0</v>
      </c>
    </row>
    <row r="208" spans="1:100" ht="15" customHeight="1" x14ac:dyDescent="0.3">
      <c r="A208" s="6767"/>
      <c r="B208" s="6771"/>
      <c r="C208" s="3800" t="s">
        <v>1769</v>
      </c>
      <c r="D208" s="3756">
        <f t="shared" si="216"/>
        <v>0</v>
      </c>
      <c r="E208" s="3781">
        <f t="shared" si="217"/>
        <v>0</v>
      </c>
      <c r="F208" s="3746">
        <f t="shared" si="217"/>
        <v>0</v>
      </c>
      <c r="G208" s="542"/>
      <c r="H208" s="2693"/>
      <c r="I208" s="542"/>
      <c r="J208" s="2693"/>
      <c r="K208" s="542"/>
      <c r="L208" s="2693"/>
      <c r="M208" s="542"/>
      <c r="N208" s="2693"/>
      <c r="O208" s="542"/>
      <c r="P208" s="2693"/>
      <c r="Q208" s="542"/>
      <c r="R208" s="2693"/>
      <c r="S208" s="542"/>
      <c r="T208" s="2693"/>
      <c r="U208" s="542"/>
      <c r="V208" s="2693"/>
      <c r="W208" s="542"/>
      <c r="X208" s="2693"/>
      <c r="Y208" s="542"/>
      <c r="Z208" s="2693"/>
      <c r="AA208" s="429"/>
      <c r="AB208" s="389"/>
      <c r="AC208" s="429"/>
      <c r="AD208" s="388"/>
      <c r="AE208" s="380"/>
      <c r="AF208" s="388"/>
      <c r="AG208" s="380"/>
      <c r="AH208" s="388"/>
      <c r="AI208" s="380"/>
      <c r="AJ208" s="388"/>
      <c r="AK208" s="380"/>
      <c r="AL208" s="388"/>
      <c r="AM208" s="380"/>
      <c r="AN208" s="388"/>
      <c r="AO208" s="380"/>
      <c r="AP208" s="388"/>
      <c r="AQ208" s="379"/>
      <c r="AR208" s="2911"/>
      <c r="AS208" s="2911"/>
      <c r="AT208" s="2911"/>
      <c r="AU208" s="2911"/>
      <c r="AV208" s="3799"/>
      <c r="AW208" s="2911"/>
      <c r="AX208" s="388"/>
      <c r="AY208" t="str">
        <f t="shared" si="175"/>
        <v/>
      </c>
      <c r="CA208" s="434"/>
      <c r="CB208" s="434" t="str">
        <f t="shared" si="205"/>
        <v/>
      </c>
      <c r="CC208" s="434" t="str">
        <f t="shared" si="206"/>
        <v/>
      </c>
      <c r="CD208" s="434" t="str">
        <f t="shared" si="207"/>
        <v/>
      </c>
      <c r="CE208" s="434" t="str">
        <f t="shared" si="208"/>
        <v/>
      </c>
      <c r="CF208" s="439"/>
      <c r="CG208" s="434" t="str">
        <f t="shared" si="210"/>
        <v/>
      </c>
      <c r="CH208" s="434" t="str">
        <f t="shared" si="211"/>
        <v/>
      </c>
      <c r="CO208" s="435"/>
      <c r="CP208" s="435">
        <f t="shared" si="212"/>
        <v>0</v>
      </c>
      <c r="CQ208" s="435">
        <f t="shared" si="213"/>
        <v>0</v>
      </c>
      <c r="CR208" s="435">
        <f t="shared" si="214"/>
        <v>0</v>
      </c>
      <c r="CS208" s="435">
        <f t="shared" si="218"/>
        <v>0</v>
      </c>
      <c r="CT208" s="439"/>
      <c r="CU208" s="435">
        <f t="shared" si="219"/>
        <v>0</v>
      </c>
      <c r="CV208" s="435">
        <f t="shared" si="220"/>
        <v>0</v>
      </c>
    </row>
    <row r="209" spans="1:100" ht="15" customHeight="1" x14ac:dyDescent="0.3">
      <c r="A209" s="6767"/>
      <c r="B209" s="6636" t="s">
        <v>1643</v>
      </c>
      <c r="C209" s="934" t="s">
        <v>1765</v>
      </c>
      <c r="D209" s="3741">
        <f t="shared" si="216"/>
        <v>0</v>
      </c>
      <c r="E209" s="3776">
        <f t="shared" ref="E209:F211" si="221">SUM(AC209+AE209+AG209+AI209+AK209+AM209+AO209)</f>
        <v>0</v>
      </c>
      <c r="F209" s="3797">
        <f t="shared" si="221"/>
        <v>0</v>
      </c>
      <c r="G209" s="542"/>
      <c r="H209" s="2693"/>
      <c r="I209" s="542"/>
      <c r="J209" s="2693"/>
      <c r="K209" s="542"/>
      <c r="L209" s="2693"/>
      <c r="M209" s="542"/>
      <c r="N209" s="2693"/>
      <c r="O209" s="542"/>
      <c r="P209" s="2693"/>
      <c r="Q209" s="542"/>
      <c r="R209" s="2693"/>
      <c r="S209" s="542"/>
      <c r="T209" s="2693"/>
      <c r="U209" s="542"/>
      <c r="V209" s="2693"/>
      <c r="W209" s="542"/>
      <c r="X209" s="2693"/>
      <c r="Y209" s="542"/>
      <c r="Z209" s="2693"/>
      <c r="AA209" s="3726"/>
      <c r="AB209" s="3753"/>
      <c r="AC209" s="3309"/>
      <c r="AD209" s="576"/>
      <c r="AE209" s="3310"/>
      <c r="AF209" s="576"/>
      <c r="AG209" s="3310"/>
      <c r="AH209" s="576"/>
      <c r="AI209" s="3310"/>
      <c r="AJ209" s="576"/>
      <c r="AK209" s="3310"/>
      <c r="AL209" s="576"/>
      <c r="AM209" s="3310"/>
      <c r="AN209" s="576"/>
      <c r="AO209" s="3310"/>
      <c r="AP209" s="576"/>
      <c r="AQ209" s="758"/>
      <c r="AR209" s="773"/>
      <c r="AS209" s="773"/>
      <c r="AT209" s="773"/>
      <c r="AU209" s="773"/>
      <c r="AV209" s="773"/>
      <c r="AW209" s="773"/>
      <c r="AX209" s="576"/>
      <c r="AY209" t="str">
        <f t="shared" si="175"/>
        <v/>
      </c>
      <c r="CA209" s="434"/>
      <c r="CB209" s="434" t="str">
        <f t="shared" si="205"/>
        <v/>
      </c>
      <c r="CC209" s="434" t="str">
        <f t="shared" si="206"/>
        <v/>
      </c>
      <c r="CD209" s="434" t="str">
        <f t="shared" si="207"/>
        <v/>
      </c>
      <c r="CE209" s="434" t="str">
        <f t="shared" si="208"/>
        <v/>
      </c>
      <c r="CF209" s="434" t="str">
        <f t="shared" si="209"/>
        <v/>
      </c>
      <c r="CG209" s="434" t="str">
        <f t="shared" si="210"/>
        <v/>
      </c>
      <c r="CH209" s="434" t="str">
        <f t="shared" si="211"/>
        <v/>
      </c>
      <c r="CO209" s="435"/>
      <c r="CP209" s="435">
        <f t="shared" si="212"/>
        <v>0</v>
      </c>
      <c r="CQ209" s="435">
        <f t="shared" si="213"/>
        <v>0</v>
      </c>
      <c r="CR209" s="435">
        <f t="shared" si="214"/>
        <v>0</v>
      </c>
      <c r="CS209" s="435">
        <f t="shared" si="218"/>
        <v>0</v>
      </c>
      <c r="CT209" s="435">
        <f>IF(AND($D209&gt;0,AV209=""),1,IF(AV209&gt;$D209,1,0))</f>
        <v>0</v>
      </c>
      <c r="CU209" s="435">
        <f t="shared" si="219"/>
        <v>0</v>
      </c>
      <c r="CV209" s="435">
        <f t="shared" si="220"/>
        <v>0</v>
      </c>
    </row>
    <row r="210" spans="1:100" ht="20.399999999999999" x14ac:dyDescent="0.3">
      <c r="A210" s="6767"/>
      <c r="B210" s="6637"/>
      <c r="C210" s="361" t="s">
        <v>1770</v>
      </c>
      <c r="D210" s="3732">
        <f t="shared" si="216"/>
        <v>0</v>
      </c>
      <c r="E210" s="3776">
        <f t="shared" si="221"/>
        <v>0</v>
      </c>
      <c r="F210" s="3797">
        <f t="shared" si="221"/>
        <v>0</v>
      </c>
      <c r="G210" s="542"/>
      <c r="H210" s="2693"/>
      <c r="I210" s="542"/>
      <c r="J210" s="2693"/>
      <c r="K210" s="542"/>
      <c r="L210" s="2693"/>
      <c r="M210" s="542"/>
      <c r="N210" s="2693"/>
      <c r="O210" s="542"/>
      <c r="P210" s="2693"/>
      <c r="Q210" s="542"/>
      <c r="R210" s="2693"/>
      <c r="S210" s="542"/>
      <c r="T210" s="2693"/>
      <c r="U210" s="542"/>
      <c r="V210" s="2693"/>
      <c r="W210" s="542"/>
      <c r="X210" s="2693"/>
      <c r="Y210" s="542"/>
      <c r="Z210" s="2693"/>
      <c r="AA210" s="542"/>
      <c r="AB210" s="2693"/>
      <c r="AC210" s="704"/>
      <c r="AD210" s="42"/>
      <c r="AE210" s="47"/>
      <c r="AF210" s="42"/>
      <c r="AG210" s="47"/>
      <c r="AH210" s="42"/>
      <c r="AI210" s="47"/>
      <c r="AJ210" s="42"/>
      <c r="AK210" s="47"/>
      <c r="AL210" s="42"/>
      <c r="AM210" s="47"/>
      <c r="AN210" s="42"/>
      <c r="AO210" s="47"/>
      <c r="AP210" s="42"/>
      <c r="AQ210" s="74"/>
      <c r="AR210" s="242"/>
      <c r="AS210" s="242"/>
      <c r="AT210" s="242"/>
      <c r="AU210" s="242"/>
      <c r="AV210" s="244"/>
      <c r="AW210" s="242"/>
      <c r="AX210" s="42"/>
      <c r="AY210" t="str">
        <f t="shared" si="175"/>
        <v/>
      </c>
      <c r="CA210" s="434"/>
      <c r="CB210" s="434" t="str">
        <f t="shared" si="205"/>
        <v/>
      </c>
      <c r="CC210" s="434" t="str">
        <f t="shared" si="206"/>
        <v/>
      </c>
      <c r="CD210" s="434" t="str">
        <f t="shared" si="207"/>
        <v/>
      </c>
      <c r="CE210" s="434" t="str">
        <f t="shared" si="208"/>
        <v/>
      </c>
      <c r="CF210" s="439"/>
      <c r="CG210" s="434" t="str">
        <f t="shared" si="210"/>
        <v/>
      </c>
      <c r="CH210" s="434" t="str">
        <f t="shared" si="211"/>
        <v/>
      </c>
      <c r="CO210" s="435"/>
      <c r="CP210" s="435">
        <f t="shared" si="212"/>
        <v>0</v>
      </c>
      <c r="CQ210" s="435">
        <f t="shared" si="213"/>
        <v>0</v>
      </c>
      <c r="CR210" s="435">
        <f t="shared" si="214"/>
        <v>0</v>
      </c>
      <c r="CS210" s="435">
        <f t="shared" si="218"/>
        <v>0</v>
      </c>
      <c r="CT210" s="439"/>
      <c r="CU210" s="435">
        <f t="shared" si="219"/>
        <v>0</v>
      </c>
      <c r="CV210" s="435">
        <f t="shared" si="220"/>
        <v>0</v>
      </c>
    </row>
    <row r="211" spans="1:100" ht="20.399999999999999" x14ac:dyDescent="0.3">
      <c r="A211" s="6768"/>
      <c r="B211" s="6638"/>
      <c r="C211" s="893" t="s">
        <v>1771</v>
      </c>
      <c r="D211" s="3732">
        <f t="shared" si="216"/>
        <v>0</v>
      </c>
      <c r="E211" s="3781">
        <f t="shared" si="221"/>
        <v>0</v>
      </c>
      <c r="F211" s="3746">
        <f t="shared" si="221"/>
        <v>0</v>
      </c>
      <c r="G211" s="542"/>
      <c r="H211" s="2693"/>
      <c r="I211" s="542"/>
      <c r="J211" s="2693"/>
      <c r="K211" s="542"/>
      <c r="L211" s="2693"/>
      <c r="M211" s="542"/>
      <c r="N211" s="2693"/>
      <c r="O211" s="542"/>
      <c r="P211" s="2693"/>
      <c r="Q211" s="542"/>
      <c r="R211" s="2693"/>
      <c r="S211" s="542"/>
      <c r="T211" s="2693"/>
      <c r="U211" s="542"/>
      <c r="V211" s="2693"/>
      <c r="W211" s="542"/>
      <c r="X211" s="2693"/>
      <c r="Y211" s="542"/>
      <c r="Z211" s="2693"/>
      <c r="AA211" s="542"/>
      <c r="AB211" s="2693"/>
      <c r="AC211" s="429"/>
      <c r="AD211" s="388"/>
      <c r="AE211" s="380"/>
      <c r="AF211" s="388"/>
      <c r="AG211" s="380"/>
      <c r="AH211" s="388"/>
      <c r="AI211" s="380"/>
      <c r="AJ211" s="388"/>
      <c r="AK211" s="380"/>
      <c r="AL211" s="388"/>
      <c r="AM211" s="380"/>
      <c r="AN211" s="388"/>
      <c r="AO211" s="380"/>
      <c r="AP211" s="388"/>
      <c r="AQ211" s="379"/>
      <c r="AR211" s="2911"/>
      <c r="AS211" s="2911"/>
      <c r="AT211" s="2911"/>
      <c r="AU211" s="2911"/>
      <c r="AV211" s="3799"/>
      <c r="AW211" s="2911"/>
      <c r="AX211" s="388"/>
      <c r="AY211" t="str">
        <f t="shared" si="175"/>
        <v/>
      </c>
      <c r="CA211" s="434"/>
      <c r="CB211" s="434" t="str">
        <f t="shared" si="205"/>
        <v/>
      </c>
      <c r="CC211" s="434" t="str">
        <f t="shared" si="206"/>
        <v/>
      </c>
      <c r="CD211" s="434" t="str">
        <f t="shared" si="207"/>
        <v/>
      </c>
      <c r="CE211" s="434" t="str">
        <f t="shared" si="208"/>
        <v/>
      </c>
      <c r="CF211" s="439"/>
      <c r="CG211" s="434" t="str">
        <f t="shared" si="210"/>
        <v/>
      </c>
      <c r="CH211" s="434" t="str">
        <f t="shared" si="211"/>
        <v/>
      </c>
      <c r="CO211" s="435"/>
      <c r="CP211" s="435">
        <f t="shared" si="212"/>
        <v>0</v>
      </c>
      <c r="CQ211" s="435">
        <f t="shared" si="213"/>
        <v>0</v>
      </c>
      <c r="CR211" s="435">
        <f t="shared" si="214"/>
        <v>0</v>
      </c>
      <c r="CS211" s="435">
        <f t="shared" si="218"/>
        <v>0</v>
      </c>
      <c r="CT211" s="439"/>
      <c r="CU211" s="435">
        <f t="shared" si="219"/>
        <v>0</v>
      </c>
      <c r="CV211" s="435">
        <f t="shared" si="220"/>
        <v>0</v>
      </c>
    </row>
    <row r="212" spans="1:100" ht="15" customHeight="1" x14ac:dyDescent="0.3">
      <c r="A212" s="6185" t="s">
        <v>1772</v>
      </c>
      <c r="B212" s="6721" t="s">
        <v>1773</v>
      </c>
      <c r="C212" s="6694"/>
      <c r="D212" s="3735">
        <f t="shared" si="216"/>
        <v>0</v>
      </c>
      <c r="E212" s="3801">
        <f t="shared" ref="E212:F216" si="222">SUM(AK212)</f>
        <v>0</v>
      </c>
      <c r="F212" s="3802">
        <f t="shared" si="222"/>
        <v>0</v>
      </c>
      <c r="G212" s="3314"/>
      <c r="H212" s="847"/>
      <c r="I212" s="3314"/>
      <c r="J212" s="847"/>
      <c r="K212" s="3314"/>
      <c r="L212" s="847"/>
      <c r="M212" s="3314"/>
      <c r="N212" s="847"/>
      <c r="O212" s="3314"/>
      <c r="P212" s="847"/>
      <c r="Q212" s="3314"/>
      <c r="R212" s="847"/>
      <c r="S212" s="3314"/>
      <c r="T212" s="847"/>
      <c r="U212" s="3314"/>
      <c r="V212" s="847"/>
      <c r="W212" s="3314"/>
      <c r="X212" s="847"/>
      <c r="Y212" s="3314"/>
      <c r="Z212" s="847"/>
      <c r="AA212" s="3314"/>
      <c r="AB212" s="847"/>
      <c r="AC212" s="3725"/>
      <c r="AD212" s="3451"/>
      <c r="AE212" s="3451"/>
      <c r="AF212" s="3451"/>
      <c r="AG212" s="3451"/>
      <c r="AH212" s="3451"/>
      <c r="AI212" s="3451"/>
      <c r="AJ212" s="842"/>
      <c r="AK212" s="3310"/>
      <c r="AL212" s="576"/>
      <c r="AM212" s="3752"/>
      <c r="AN212" s="3451"/>
      <c r="AO212" s="3451"/>
      <c r="AP212" s="842"/>
      <c r="AQ212" s="758"/>
      <c r="AR212" s="773"/>
      <c r="AS212" s="703"/>
      <c r="AT212" s="703"/>
      <c r="AU212" s="773"/>
      <c r="AV212" s="773"/>
      <c r="AW212" s="773"/>
      <c r="AX212" s="576"/>
      <c r="AY212" t="str">
        <f t="shared" si="175"/>
        <v/>
      </c>
      <c r="CA212" s="434"/>
      <c r="CB212" s="434" t="str">
        <f t="shared" si="205"/>
        <v/>
      </c>
      <c r="CC212" s="439"/>
      <c r="CD212" s="439"/>
      <c r="CE212" s="434" t="str">
        <f t="shared" si="208"/>
        <v/>
      </c>
      <c r="CF212" s="434" t="str">
        <f t="shared" si="209"/>
        <v/>
      </c>
      <c r="CG212" s="434" t="str">
        <f t="shared" si="210"/>
        <v/>
      </c>
      <c r="CH212" s="434" t="str">
        <f t="shared" si="211"/>
        <v/>
      </c>
      <c r="CO212" s="435"/>
      <c r="CP212" s="435">
        <f t="shared" ref="CP212:CP226" si="223">IF(AND($D212&gt;0,AR212=""),1,IF(AR212&gt;$D212,1,0))</f>
        <v>0</v>
      </c>
      <c r="CQ212" s="439"/>
      <c r="CR212" s="439"/>
      <c r="CS212" s="435">
        <f t="shared" si="218"/>
        <v>0</v>
      </c>
      <c r="CT212" s="435">
        <f>IF(AND($D212&gt;0,AV212=""),1,IF(AV212&gt;$D212,1,0))</f>
        <v>0</v>
      </c>
      <c r="CU212" s="435">
        <f t="shared" si="219"/>
        <v>0</v>
      </c>
      <c r="CV212" s="435">
        <f t="shared" si="220"/>
        <v>0</v>
      </c>
    </row>
    <row r="213" spans="1:100" ht="15" customHeight="1" x14ac:dyDescent="0.3">
      <c r="A213" s="5790"/>
      <c r="B213" s="5790" t="s">
        <v>1764</v>
      </c>
      <c r="C213" s="1818" t="s">
        <v>1765</v>
      </c>
      <c r="D213" s="3722">
        <f t="shared" si="216"/>
        <v>0</v>
      </c>
      <c r="E213" s="3750">
        <f t="shared" si="222"/>
        <v>0</v>
      </c>
      <c r="F213" s="3797">
        <f t="shared" si="222"/>
        <v>0</v>
      </c>
      <c r="G213" s="3314"/>
      <c r="H213" s="847"/>
      <c r="I213" s="3314"/>
      <c r="J213" s="847"/>
      <c r="K213" s="3314"/>
      <c r="L213" s="847"/>
      <c r="M213" s="3314"/>
      <c r="N213" s="847"/>
      <c r="O213" s="3314"/>
      <c r="P213" s="847"/>
      <c r="Q213" s="3314"/>
      <c r="R213" s="847"/>
      <c r="S213" s="3314"/>
      <c r="T213" s="847"/>
      <c r="U213" s="3314"/>
      <c r="V213" s="847"/>
      <c r="W213" s="3314"/>
      <c r="X213" s="847"/>
      <c r="Y213" s="3314"/>
      <c r="Z213" s="847"/>
      <c r="AA213" s="3314"/>
      <c r="AB213" s="847"/>
      <c r="AC213" s="3314"/>
      <c r="AD213" s="703"/>
      <c r="AE213" s="703"/>
      <c r="AF213" s="703"/>
      <c r="AG213" s="703"/>
      <c r="AH213" s="703"/>
      <c r="AI213" s="703"/>
      <c r="AJ213" s="847"/>
      <c r="AK213" s="346"/>
      <c r="AL213" s="347"/>
      <c r="AM213" s="634"/>
      <c r="AN213" s="703"/>
      <c r="AO213" s="703"/>
      <c r="AP213" s="847"/>
      <c r="AQ213" s="430"/>
      <c r="AR213" s="369"/>
      <c r="AS213" s="703"/>
      <c r="AT213" s="703"/>
      <c r="AU213" s="369"/>
      <c r="AV213" s="369"/>
      <c r="AW213" s="369"/>
      <c r="AX213" s="347"/>
      <c r="AY213" t="str">
        <f t="shared" si="175"/>
        <v/>
      </c>
      <c r="CA213" s="434"/>
      <c r="CB213" s="434" t="str">
        <f t="shared" si="205"/>
        <v/>
      </c>
      <c r="CC213" s="439"/>
      <c r="CD213" s="439"/>
      <c r="CE213" s="434" t="str">
        <f t="shared" si="208"/>
        <v/>
      </c>
      <c r="CF213" s="434" t="str">
        <f t="shared" si="209"/>
        <v/>
      </c>
      <c r="CG213" s="434" t="str">
        <f t="shared" si="210"/>
        <v/>
      </c>
      <c r="CH213" s="434" t="str">
        <f t="shared" si="211"/>
        <v/>
      </c>
      <c r="CO213" s="435"/>
      <c r="CP213" s="435">
        <f t="shared" si="223"/>
        <v>0</v>
      </c>
      <c r="CQ213" s="439"/>
      <c r="CR213" s="439"/>
      <c r="CS213" s="435">
        <f t="shared" si="218"/>
        <v>0</v>
      </c>
      <c r="CT213" s="435">
        <f>IF(AND($D213&gt;0,AV213=""),1,IF(AV213&gt;$D213,1,0))</f>
        <v>0</v>
      </c>
      <c r="CU213" s="435">
        <f t="shared" si="219"/>
        <v>0</v>
      </c>
      <c r="CV213" s="435">
        <f t="shared" si="220"/>
        <v>0</v>
      </c>
    </row>
    <row r="214" spans="1:100" ht="15" customHeight="1" x14ac:dyDescent="0.3">
      <c r="A214" s="5790"/>
      <c r="B214" s="5790"/>
      <c r="C214" s="2175" t="s">
        <v>1774</v>
      </c>
      <c r="D214" s="3780">
        <f t="shared" si="216"/>
        <v>0</v>
      </c>
      <c r="E214" s="3781">
        <f t="shared" si="222"/>
        <v>0</v>
      </c>
      <c r="F214" s="3746">
        <f t="shared" si="222"/>
        <v>0</v>
      </c>
      <c r="G214" s="3314"/>
      <c r="H214" s="847"/>
      <c r="I214" s="3314"/>
      <c r="J214" s="847"/>
      <c r="K214" s="3314"/>
      <c r="L214" s="847"/>
      <c r="M214" s="3314"/>
      <c r="N214" s="847"/>
      <c r="O214" s="3314"/>
      <c r="P214" s="847"/>
      <c r="Q214" s="3314"/>
      <c r="R214" s="847"/>
      <c r="S214" s="3314"/>
      <c r="T214" s="847"/>
      <c r="U214" s="3314"/>
      <c r="V214" s="847"/>
      <c r="W214" s="3314"/>
      <c r="X214" s="847"/>
      <c r="Y214" s="3314"/>
      <c r="Z214" s="847"/>
      <c r="AA214" s="3314"/>
      <c r="AB214" s="847"/>
      <c r="AC214" s="3314"/>
      <c r="AD214" s="703"/>
      <c r="AE214" s="703"/>
      <c r="AF214" s="703"/>
      <c r="AG214" s="703"/>
      <c r="AH214" s="703"/>
      <c r="AI214" s="703"/>
      <c r="AJ214" s="847"/>
      <c r="AK214" s="346"/>
      <c r="AL214" s="347"/>
      <c r="AM214" s="634"/>
      <c r="AN214" s="703"/>
      <c r="AO214" s="703"/>
      <c r="AP214" s="847"/>
      <c r="AQ214" s="430"/>
      <c r="AR214" s="369"/>
      <c r="AS214" s="703"/>
      <c r="AT214" s="703"/>
      <c r="AU214" s="369"/>
      <c r="AV214" s="524"/>
      <c r="AW214" s="369"/>
      <c r="AX214" s="347"/>
      <c r="AY214" t="str">
        <f t="shared" si="175"/>
        <v/>
      </c>
      <c r="CA214" s="434"/>
      <c r="CB214" s="434" t="str">
        <f t="shared" si="205"/>
        <v/>
      </c>
      <c r="CC214" s="439"/>
      <c r="CD214" s="439"/>
      <c r="CE214" s="434" t="str">
        <f t="shared" si="208"/>
        <v/>
      </c>
      <c r="CF214" s="439"/>
      <c r="CG214" s="434" t="str">
        <f t="shared" si="210"/>
        <v/>
      </c>
      <c r="CH214" s="434" t="str">
        <f t="shared" si="211"/>
        <v/>
      </c>
      <c r="CO214" s="435"/>
      <c r="CP214" s="435">
        <f t="shared" si="223"/>
        <v>0</v>
      </c>
      <c r="CQ214" s="439"/>
      <c r="CR214" s="439"/>
      <c r="CS214" s="435">
        <f t="shared" si="218"/>
        <v>0</v>
      </c>
      <c r="CT214" s="439"/>
      <c r="CU214" s="435">
        <f t="shared" si="219"/>
        <v>0</v>
      </c>
      <c r="CV214" s="435">
        <f t="shared" si="220"/>
        <v>0</v>
      </c>
    </row>
    <row r="215" spans="1:100" ht="15" customHeight="1" x14ac:dyDescent="0.3">
      <c r="A215" s="5790"/>
      <c r="B215" s="6185" t="s">
        <v>1643</v>
      </c>
      <c r="C215" s="934" t="s">
        <v>1765</v>
      </c>
      <c r="D215" s="3722">
        <f t="shared" si="216"/>
        <v>0</v>
      </c>
      <c r="E215" s="3776">
        <f t="shared" si="222"/>
        <v>0</v>
      </c>
      <c r="F215" s="3797">
        <f t="shared" si="222"/>
        <v>0</v>
      </c>
      <c r="G215" s="3314"/>
      <c r="H215" s="847"/>
      <c r="I215" s="3314"/>
      <c r="J215" s="847"/>
      <c r="K215" s="3314"/>
      <c r="L215" s="847"/>
      <c r="M215" s="3314"/>
      <c r="N215" s="847"/>
      <c r="O215" s="3314"/>
      <c r="P215" s="847"/>
      <c r="Q215" s="3314"/>
      <c r="R215" s="847"/>
      <c r="S215" s="3314"/>
      <c r="T215" s="847"/>
      <c r="U215" s="3314"/>
      <c r="V215" s="847"/>
      <c r="W215" s="3314"/>
      <c r="X215" s="847"/>
      <c r="Y215" s="3314"/>
      <c r="Z215" s="847"/>
      <c r="AA215" s="3314"/>
      <c r="AB215" s="847"/>
      <c r="AC215" s="3314"/>
      <c r="AD215" s="703"/>
      <c r="AE215" s="703"/>
      <c r="AF215" s="703"/>
      <c r="AG215" s="703"/>
      <c r="AH215" s="703"/>
      <c r="AI215" s="703"/>
      <c r="AJ215" s="847"/>
      <c r="AK215" s="290"/>
      <c r="AL215" s="107"/>
      <c r="AM215" s="634"/>
      <c r="AN215" s="703"/>
      <c r="AO215" s="703"/>
      <c r="AP215" s="847"/>
      <c r="AQ215" s="296"/>
      <c r="AR215" s="535"/>
      <c r="AS215" s="703"/>
      <c r="AT215" s="703"/>
      <c r="AU215" s="535"/>
      <c r="AV215" s="535"/>
      <c r="AW215" s="535"/>
      <c r="AX215" s="107"/>
      <c r="AY215" t="str">
        <f t="shared" si="175"/>
        <v/>
      </c>
      <c r="CA215" s="434"/>
      <c r="CB215" s="434" t="str">
        <f t="shared" si="205"/>
        <v/>
      </c>
      <c r="CC215" s="439"/>
      <c r="CD215" s="439"/>
      <c r="CE215" s="434" t="str">
        <f t="shared" si="208"/>
        <v/>
      </c>
      <c r="CF215" s="434" t="str">
        <f t="shared" si="209"/>
        <v/>
      </c>
      <c r="CG215" s="434" t="str">
        <f t="shared" si="210"/>
        <v/>
      </c>
      <c r="CH215" s="434" t="str">
        <f t="shared" si="211"/>
        <v/>
      </c>
      <c r="CO215" s="435"/>
      <c r="CP215" s="435">
        <f t="shared" si="223"/>
        <v>0</v>
      </c>
      <c r="CQ215" s="439"/>
      <c r="CR215" s="439"/>
      <c r="CS215" s="435">
        <f t="shared" si="218"/>
        <v>0</v>
      </c>
      <c r="CT215" s="435">
        <f>IF(AND($D215&gt;0,AV215=""),1,IF(AV215&gt;$D215,1,0))</f>
        <v>0</v>
      </c>
      <c r="CU215" s="435">
        <f t="shared" si="219"/>
        <v>0</v>
      </c>
      <c r="CV215" s="435">
        <f t="shared" si="220"/>
        <v>0</v>
      </c>
    </row>
    <row r="216" spans="1:100" ht="15" customHeight="1" x14ac:dyDescent="0.3">
      <c r="A216" s="6574"/>
      <c r="B216" s="6574"/>
      <c r="C216" s="2177" t="s">
        <v>1775</v>
      </c>
      <c r="D216" s="3780">
        <f t="shared" si="216"/>
        <v>0</v>
      </c>
      <c r="E216" s="3776">
        <f t="shared" si="222"/>
        <v>0</v>
      </c>
      <c r="F216" s="3797">
        <f t="shared" si="222"/>
        <v>0</v>
      </c>
      <c r="G216" s="3314"/>
      <c r="H216" s="847"/>
      <c r="I216" s="3314"/>
      <c r="J216" s="847"/>
      <c r="K216" s="3314"/>
      <c r="L216" s="847"/>
      <c r="M216" s="3314"/>
      <c r="N216" s="847"/>
      <c r="O216" s="3314"/>
      <c r="P216" s="847"/>
      <c r="Q216" s="3314"/>
      <c r="R216" s="847"/>
      <c r="S216" s="3314"/>
      <c r="T216" s="847"/>
      <c r="U216" s="3314"/>
      <c r="V216" s="847"/>
      <c r="W216" s="3314"/>
      <c r="X216" s="847"/>
      <c r="Y216" s="3316"/>
      <c r="Z216" s="844"/>
      <c r="AA216" s="3316"/>
      <c r="AB216" s="844"/>
      <c r="AC216" s="3316"/>
      <c r="AD216" s="3348"/>
      <c r="AE216" s="3348"/>
      <c r="AF216" s="3348"/>
      <c r="AG216" s="3348"/>
      <c r="AH216" s="3348"/>
      <c r="AI216" s="3348"/>
      <c r="AJ216" s="844"/>
      <c r="AK216" s="1289"/>
      <c r="AL216" s="1474"/>
      <c r="AM216" s="635"/>
      <c r="AN216" s="3348"/>
      <c r="AO216" s="3348"/>
      <c r="AP216" s="844"/>
      <c r="AQ216" s="266"/>
      <c r="AR216" s="262"/>
      <c r="AS216" s="3348"/>
      <c r="AT216" s="3348"/>
      <c r="AU216" s="262"/>
      <c r="AV216" s="3799"/>
      <c r="AW216" s="2911"/>
      <c r="AX216" s="388"/>
      <c r="AY216" t="str">
        <f t="shared" si="175"/>
        <v/>
      </c>
      <c r="CA216" s="434"/>
      <c r="CB216" s="434" t="str">
        <f t="shared" si="205"/>
        <v/>
      </c>
      <c r="CC216" s="439"/>
      <c r="CD216" s="439"/>
      <c r="CE216" s="434" t="str">
        <f t="shared" si="208"/>
        <v/>
      </c>
      <c r="CF216" s="439"/>
      <c r="CG216" s="434" t="str">
        <f t="shared" si="210"/>
        <v/>
      </c>
      <c r="CH216" s="434" t="str">
        <f t="shared" si="211"/>
        <v/>
      </c>
      <c r="CO216" s="435"/>
      <c r="CP216" s="435">
        <f t="shared" si="223"/>
        <v>0</v>
      </c>
      <c r="CQ216" s="439"/>
      <c r="CR216" s="439"/>
      <c r="CS216" s="435">
        <f t="shared" si="218"/>
        <v>0</v>
      </c>
      <c r="CT216" s="439"/>
      <c r="CU216" s="435">
        <f t="shared" si="219"/>
        <v>0</v>
      </c>
      <c r="CV216" s="435">
        <f t="shared" si="220"/>
        <v>0</v>
      </c>
    </row>
    <row r="217" spans="1:100" ht="15" customHeight="1" x14ac:dyDescent="0.3">
      <c r="A217" s="6766" t="s">
        <v>1776</v>
      </c>
      <c r="B217" s="6185" t="s">
        <v>1777</v>
      </c>
      <c r="C217" s="3443" t="s">
        <v>1778</v>
      </c>
      <c r="D217" s="3722">
        <f t="shared" si="216"/>
        <v>0</v>
      </c>
      <c r="E217" s="3750">
        <f t="shared" ref="E217:F219" si="224">SUM(Y217+AA217+AC217+AE217+AG217+AI217+AK217+AM217+AO217)</f>
        <v>0</v>
      </c>
      <c r="F217" s="3461">
        <f t="shared" si="224"/>
        <v>0</v>
      </c>
      <c r="G217" s="542"/>
      <c r="H217" s="2693"/>
      <c r="I217" s="542"/>
      <c r="J217" s="2693"/>
      <c r="K217" s="542"/>
      <c r="L217" s="2693"/>
      <c r="M217" s="542"/>
      <c r="N217" s="2693"/>
      <c r="O217" s="542"/>
      <c r="P217" s="2693"/>
      <c r="Q217" s="542"/>
      <c r="R217" s="2693"/>
      <c r="S217" s="542"/>
      <c r="T217" s="2693"/>
      <c r="U217" s="542"/>
      <c r="V217" s="2693"/>
      <c r="W217" s="542"/>
      <c r="X217" s="2693"/>
      <c r="Y217" s="22"/>
      <c r="Z217" s="637"/>
      <c r="AA217" s="22"/>
      <c r="AB217" s="637"/>
      <c r="AC217" s="22"/>
      <c r="AD217" s="107"/>
      <c r="AE217" s="290"/>
      <c r="AF217" s="107"/>
      <c r="AG217" s="290"/>
      <c r="AH217" s="107"/>
      <c r="AI217" s="290"/>
      <c r="AJ217" s="107"/>
      <c r="AK217" s="290"/>
      <c r="AL217" s="107"/>
      <c r="AM217" s="290"/>
      <c r="AN217" s="107"/>
      <c r="AO217" s="290"/>
      <c r="AP217" s="107"/>
      <c r="AQ217" s="296"/>
      <c r="AR217" s="535"/>
      <c r="AS217" s="535"/>
      <c r="AT217" s="535"/>
      <c r="AU217" s="535"/>
      <c r="AV217" s="535"/>
      <c r="AW217" s="535"/>
      <c r="AX217" s="107"/>
      <c r="AY217" t="str">
        <f t="shared" si="175"/>
        <v/>
      </c>
      <c r="CA217" s="434"/>
      <c r="CB217" s="434" t="str">
        <f t="shared" si="205"/>
        <v/>
      </c>
      <c r="CC217" s="434" t="str">
        <f t="shared" si="206"/>
        <v/>
      </c>
      <c r="CD217" s="434" t="str">
        <f t="shared" si="207"/>
        <v/>
      </c>
      <c r="CE217" s="434" t="str">
        <f t="shared" si="208"/>
        <v/>
      </c>
      <c r="CF217" s="434" t="str">
        <f t="shared" si="209"/>
        <v/>
      </c>
      <c r="CG217" s="434" t="str">
        <f t="shared" si="210"/>
        <v/>
      </c>
      <c r="CH217" s="434" t="str">
        <f t="shared" si="211"/>
        <v/>
      </c>
      <c r="CO217" s="435"/>
      <c r="CP217" s="435">
        <f t="shared" si="223"/>
        <v>0</v>
      </c>
      <c r="CQ217" s="435">
        <f t="shared" ref="CQ217:CQ226" si="225">IF(AND($D217&gt;0,AS217=""),1,IF(AS217&gt;$D217,1,0))</f>
        <v>0</v>
      </c>
      <c r="CR217" s="435">
        <f t="shared" ref="CR217:CR226" si="226">IF(AND(D217&gt;0,AT217=""),1,IF(AT217&gt;D217,1,0))</f>
        <v>0</v>
      </c>
      <c r="CS217" s="435">
        <f t="shared" si="218"/>
        <v>0</v>
      </c>
      <c r="CT217" s="435">
        <f>IF(AND($D217&gt;0,AV217=""),1,IF(AV217&gt;$D217,1,0))</f>
        <v>0</v>
      </c>
      <c r="CU217" s="435">
        <f t="shared" si="219"/>
        <v>0</v>
      </c>
      <c r="CV217" s="435">
        <f t="shared" si="220"/>
        <v>0</v>
      </c>
    </row>
    <row r="218" spans="1:100" ht="21.6" x14ac:dyDescent="0.3">
      <c r="A218" s="6767"/>
      <c r="B218" s="5790"/>
      <c r="C218" s="196" t="s">
        <v>1779</v>
      </c>
      <c r="D218" s="3729">
        <f t="shared" si="216"/>
        <v>0</v>
      </c>
      <c r="E218" s="3755">
        <f t="shared" si="224"/>
        <v>0</v>
      </c>
      <c r="F218" s="2663">
        <f t="shared" si="224"/>
        <v>0</v>
      </c>
      <c r="G218" s="542"/>
      <c r="H218" s="2693"/>
      <c r="I218" s="542"/>
      <c r="J218" s="2693"/>
      <c r="K218" s="542"/>
      <c r="L218" s="2693"/>
      <c r="M218" s="542"/>
      <c r="N218" s="2693"/>
      <c r="O218" s="542"/>
      <c r="P218" s="2693"/>
      <c r="Q218" s="542"/>
      <c r="R218" s="2693"/>
      <c r="S218" s="542"/>
      <c r="T218" s="2693"/>
      <c r="U218" s="542"/>
      <c r="V218" s="2693"/>
      <c r="W218" s="542"/>
      <c r="X218" s="2693"/>
      <c r="Y218" s="704"/>
      <c r="Z218" s="95"/>
      <c r="AA218" s="704"/>
      <c r="AB218" s="95"/>
      <c r="AC218" s="704"/>
      <c r="AD218" s="42"/>
      <c r="AE218" s="47"/>
      <c r="AF218" s="42"/>
      <c r="AG218" s="47"/>
      <c r="AH218" s="42"/>
      <c r="AI218" s="47"/>
      <c r="AJ218" s="42"/>
      <c r="AK218" s="47"/>
      <c r="AL218" s="42"/>
      <c r="AM218" s="47"/>
      <c r="AN218" s="42"/>
      <c r="AO218" s="47"/>
      <c r="AP218" s="42"/>
      <c r="AQ218" s="74"/>
      <c r="AR218" s="242"/>
      <c r="AS218" s="242"/>
      <c r="AT218" s="242"/>
      <c r="AU218" s="242"/>
      <c r="AV218" s="242"/>
      <c r="AW218" s="242"/>
      <c r="AX218" s="42"/>
      <c r="AY218" t="str">
        <f t="shared" si="175"/>
        <v/>
      </c>
      <c r="CA218" s="434"/>
      <c r="CB218" s="434" t="str">
        <f t="shared" si="205"/>
        <v/>
      </c>
      <c r="CC218" s="434" t="str">
        <f t="shared" si="206"/>
        <v/>
      </c>
      <c r="CD218" s="434" t="str">
        <f t="shared" si="207"/>
        <v/>
      </c>
      <c r="CE218" s="434" t="str">
        <f t="shared" si="208"/>
        <v/>
      </c>
      <c r="CF218" s="434" t="str">
        <f t="shared" si="209"/>
        <v/>
      </c>
      <c r="CG218" s="434" t="str">
        <f t="shared" si="210"/>
        <v/>
      </c>
      <c r="CH218" s="434" t="str">
        <f t="shared" si="211"/>
        <v/>
      </c>
      <c r="CO218" s="435"/>
      <c r="CP218" s="435">
        <f t="shared" si="223"/>
        <v>0</v>
      </c>
      <c r="CQ218" s="435">
        <f t="shared" si="225"/>
        <v>0</v>
      </c>
      <c r="CR218" s="435">
        <f t="shared" si="226"/>
        <v>0</v>
      </c>
      <c r="CS218" s="435">
        <f t="shared" si="218"/>
        <v>0</v>
      </c>
      <c r="CT218" s="435">
        <f>IF(AND($D218&gt;0,AV218=""),1,IF(AV218&gt;$D218,1,0))</f>
        <v>0</v>
      </c>
      <c r="CU218" s="435">
        <f t="shared" si="219"/>
        <v>0</v>
      </c>
      <c r="CV218" s="435">
        <f t="shared" si="220"/>
        <v>0</v>
      </c>
    </row>
    <row r="219" spans="1:100" x14ac:dyDescent="0.3">
      <c r="A219" s="6768"/>
      <c r="B219" s="6574"/>
      <c r="C219" s="690" t="s">
        <v>1780</v>
      </c>
      <c r="D219" s="3780">
        <f t="shared" si="216"/>
        <v>0</v>
      </c>
      <c r="E219" s="3781">
        <f t="shared" si="224"/>
        <v>0</v>
      </c>
      <c r="F219" s="3803">
        <f t="shared" si="224"/>
        <v>0</v>
      </c>
      <c r="G219" s="542"/>
      <c r="H219" s="2693"/>
      <c r="I219" s="542"/>
      <c r="J219" s="2693"/>
      <c r="K219" s="542"/>
      <c r="L219" s="2693"/>
      <c r="M219" s="542"/>
      <c r="N219" s="2693"/>
      <c r="O219" s="542"/>
      <c r="P219" s="2693"/>
      <c r="Q219" s="542"/>
      <c r="R219" s="2693"/>
      <c r="S219" s="542"/>
      <c r="T219" s="2693"/>
      <c r="U219" s="542"/>
      <c r="V219" s="2693"/>
      <c r="W219" s="542"/>
      <c r="X219" s="2693"/>
      <c r="Y219" s="429"/>
      <c r="Z219" s="389"/>
      <c r="AA219" s="429"/>
      <c r="AB219" s="389"/>
      <c r="AC219" s="429"/>
      <c r="AD219" s="388"/>
      <c r="AE219" s="380"/>
      <c r="AF219" s="388"/>
      <c r="AG219" s="380"/>
      <c r="AH219" s="388"/>
      <c r="AI219" s="380"/>
      <c r="AJ219" s="388"/>
      <c r="AK219" s="380"/>
      <c r="AL219" s="388"/>
      <c r="AM219" s="380"/>
      <c r="AN219" s="388"/>
      <c r="AO219" s="380"/>
      <c r="AP219" s="388"/>
      <c r="AQ219" s="379"/>
      <c r="AR219" s="2911"/>
      <c r="AS219" s="2911"/>
      <c r="AT219" s="2911"/>
      <c r="AU219" s="2911"/>
      <c r="AV219" s="2911"/>
      <c r="AW219" s="2911"/>
      <c r="AX219" s="388"/>
      <c r="AY219" t="str">
        <f t="shared" si="175"/>
        <v/>
      </c>
      <c r="CA219" s="434"/>
      <c r="CB219" s="434" t="str">
        <f t="shared" si="205"/>
        <v/>
      </c>
      <c r="CC219" s="434" t="str">
        <f t="shared" si="206"/>
        <v/>
      </c>
      <c r="CD219" s="434" t="str">
        <f t="shared" si="207"/>
        <v/>
      </c>
      <c r="CE219" s="434" t="str">
        <f t="shared" si="208"/>
        <v/>
      </c>
      <c r="CF219" s="434" t="str">
        <f t="shared" si="209"/>
        <v/>
      </c>
      <c r="CG219" s="434" t="str">
        <f t="shared" si="210"/>
        <v/>
      </c>
      <c r="CH219" s="434" t="str">
        <f t="shared" si="211"/>
        <v/>
      </c>
      <c r="CO219" s="435"/>
      <c r="CP219" s="435">
        <f t="shared" si="223"/>
        <v>0</v>
      </c>
      <c r="CQ219" s="435">
        <f t="shared" si="225"/>
        <v>0</v>
      </c>
      <c r="CR219" s="435">
        <f t="shared" si="226"/>
        <v>0</v>
      </c>
      <c r="CS219" s="435">
        <f t="shared" si="218"/>
        <v>0</v>
      </c>
      <c r="CT219" s="435">
        <f>IF(AND($D219&gt;0,AV219=""),1,IF(AV219&gt;$D219,1,0))</f>
        <v>0</v>
      </c>
      <c r="CU219" s="435">
        <f t="shared" si="219"/>
        <v>0</v>
      </c>
      <c r="CV219" s="435">
        <f t="shared" si="220"/>
        <v>0</v>
      </c>
    </row>
    <row r="220" spans="1:100" ht="35.25" customHeight="1" x14ac:dyDescent="0.3">
      <c r="A220" s="6767" t="s">
        <v>1781</v>
      </c>
      <c r="B220" s="6185" t="s">
        <v>1782</v>
      </c>
      <c r="C220" s="3804" t="s">
        <v>1783</v>
      </c>
      <c r="D220" s="3741">
        <f t="shared" si="216"/>
        <v>0</v>
      </c>
      <c r="E220" s="3776">
        <f>SUM(AC220+AE220+AG220+AI220+AK220+AM220+AO220)</f>
        <v>0</v>
      </c>
      <c r="F220" s="2666">
        <f>SUM(AD220+AF220+AH220+AJ220+AL220+AN220+AP220)</f>
        <v>0</v>
      </c>
      <c r="G220" s="3314"/>
      <c r="H220" s="847"/>
      <c r="I220" s="3314"/>
      <c r="J220" s="847"/>
      <c r="K220" s="3314"/>
      <c r="L220" s="847"/>
      <c r="M220" s="3314"/>
      <c r="N220" s="847"/>
      <c r="O220" s="3314"/>
      <c r="P220" s="847"/>
      <c r="Q220" s="3314"/>
      <c r="R220" s="847"/>
      <c r="S220" s="3314"/>
      <c r="T220" s="847"/>
      <c r="U220" s="3314"/>
      <c r="V220" s="847"/>
      <c r="W220" s="3314"/>
      <c r="X220" s="847"/>
      <c r="Y220" s="3725"/>
      <c r="Z220" s="842"/>
      <c r="AA220" s="3725"/>
      <c r="AB220" s="842"/>
      <c r="AC220" s="3309"/>
      <c r="AD220" s="576"/>
      <c r="AE220" s="3310"/>
      <c r="AF220" s="576"/>
      <c r="AG220" s="3310"/>
      <c r="AH220" s="576"/>
      <c r="AI220" s="3310"/>
      <c r="AJ220" s="576"/>
      <c r="AK220" s="3310"/>
      <c r="AL220" s="576"/>
      <c r="AM220" s="3310"/>
      <c r="AN220" s="576"/>
      <c r="AO220" s="3310"/>
      <c r="AP220" s="559"/>
      <c r="AQ220" s="758"/>
      <c r="AR220" s="773"/>
      <c r="AS220" s="773"/>
      <c r="AT220" s="773"/>
      <c r="AU220" s="773"/>
      <c r="AV220" s="3451"/>
      <c r="AW220" s="773"/>
      <c r="AX220" s="576"/>
      <c r="AY220" t="str">
        <f t="shared" si="175"/>
        <v/>
      </c>
      <c r="CA220" s="434"/>
      <c r="CB220" s="434" t="str">
        <f t="shared" si="205"/>
        <v/>
      </c>
      <c r="CC220" s="434" t="str">
        <f t="shared" si="206"/>
        <v/>
      </c>
      <c r="CD220" s="434" t="str">
        <f t="shared" si="207"/>
        <v/>
      </c>
      <c r="CE220" s="434" t="str">
        <f t="shared" si="208"/>
        <v/>
      </c>
      <c r="CF220" s="439"/>
      <c r="CG220" s="434" t="str">
        <f t="shared" si="210"/>
        <v/>
      </c>
      <c r="CH220" s="434" t="str">
        <f t="shared" si="211"/>
        <v/>
      </c>
      <c r="CO220" s="435"/>
      <c r="CP220" s="435">
        <f t="shared" si="223"/>
        <v>0</v>
      </c>
      <c r="CQ220" s="435">
        <f t="shared" si="225"/>
        <v>0</v>
      </c>
      <c r="CR220" s="435">
        <f t="shared" si="226"/>
        <v>0</v>
      </c>
      <c r="CS220" s="435">
        <f t="shared" si="218"/>
        <v>0</v>
      </c>
      <c r="CT220" s="439"/>
      <c r="CU220" s="435">
        <f t="shared" si="219"/>
        <v>0</v>
      </c>
      <c r="CV220" s="435">
        <f t="shared" si="220"/>
        <v>0</v>
      </c>
    </row>
    <row r="221" spans="1:100" ht="28.5" customHeight="1" x14ac:dyDescent="0.3">
      <c r="A221" s="6768"/>
      <c r="B221" s="6574"/>
      <c r="C221" s="2318" t="s">
        <v>1784</v>
      </c>
      <c r="D221" s="3780">
        <f t="shared" si="216"/>
        <v>0</v>
      </c>
      <c r="E221" s="3781">
        <f>SUM(AC221+AE221+AG221+AI221+AK221+AM221+AO221)</f>
        <v>0</v>
      </c>
      <c r="F221" s="3803">
        <f>SUM(AD221+AF221+AH221+AJ221+AL221+AN221+AP221)</f>
        <v>0</v>
      </c>
      <c r="G221" s="3316"/>
      <c r="H221" s="844"/>
      <c r="I221" s="3316"/>
      <c r="J221" s="844"/>
      <c r="K221" s="3316"/>
      <c r="L221" s="844"/>
      <c r="M221" s="3316"/>
      <c r="N221" s="844"/>
      <c r="O221" s="3316"/>
      <c r="P221" s="844"/>
      <c r="Q221" s="3316"/>
      <c r="R221" s="844"/>
      <c r="S221" s="3316"/>
      <c r="T221" s="844"/>
      <c r="U221" s="3316"/>
      <c r="V221" s="844"/>
      <c r="W221" s="3316"/>
      <c r="X221" s="844"/>
      <c r="Y221" s="3316"/>
      <c r="Z221" s="844"/>
      <c r="AA221" s="3316"/>
      <c r="AB221" s="844"/>
      <c r="AC221" s="429"/>
      <c r="AD221" s="388"/>
      <c r="AE221" s="380"/>
      <c r="AF221" s="388"/>
      <c r="AG221" s="380"/>
      <c r="AH221" s="388"/>
      <c r="AI221" s="380"/>
      <c r="AJ221" s="388"/>
      <c r="AK221" s="380"/>
      <c r="AL221" s="388"/>
      <c r="AM221" s="380"/>
      <c r="AN221" s="388"/>
      <c r="AO221" s="380"/>
      <c r="AP221" s="564"/>
      <c r="AQ221" s="379"/>
      <c r="AR221" s="2911"/>
      <c r="AS221" s="2911"/>
      <c r="AT221" s="2911"/>
      <c r="AU221" s="2911"/>
      <c r="AV221" s="3348"/>
      <c r="AW221" s="2911"/>
      <c r="AX221" s="388"/>
      <c r="AY221" t="str">
        <f t="shared" si="175"/>
        <v/>
      </c>
      <c r="CA221" s="434"/>
      <c r="CB221" s="434" t="str">
        <f t="shared" si="205"/>
        <v/>
      </c>
      <c r="CC221" s="434" t="str">
        <f t="shared" si="206"/>
        <v/>
      </c>
      <c r="CD221" s="434" t="str">
        <f t="shared" si="207"/>
        <v/>
      </c>
      <c r="CE221" s="434" t="str">
        <f t="shared" si="208"/>
        <v/>
      </c>
      <c r="CF221" s="439"/>
      <c r="CG221" s="434" t="str">
        <f t="shared" si="210"/>
        <v/>
      </c>
      <c r="CH221" s="434" t="str">
        <f t="shared" si="211"/>
        <v/>
      </c>
      <c r="CO221" s="435"/>
      <c r="CP221" s="435">
        <f t="shared" si="223"/>
        <v>0</v>
      </c>
      <c r="CQ221" s="435">
        <f t="shared" si="225"/>
        <v>0</v>
      </c>
      <c r="CR221" s="435">
        <f t="shared" si="226"/>
        <v>0</v>
      </c>
      <c r="CS221" s="435">
        <f t="shared" si="218"/>
        <v>0</v>
      </c>
      <c r="CT221" s="439"/>
      <c r="CU221" s="435">
        <f t="shared" si="219"/>
        <v>0</v>
      </c>
      <c r="CV221" s="435">
        <f t="shared" si="220"/>
        <v>0</v>
      </c>
    </row>
    <row r="222" spans="1:100" ht="15" customHeight="1" x14ac:dyDescent="0.3">
      <c r="A222" s="6766" t="s">
        <v>1785</v>
      </c>
      <c r="B222" s="6772" t="s">
        <v>1786</v>
      </c>
      <c r="C222" s="3804" t="s">
        <v>1765</v>
      </c>
      <c r="D222" s="3722">
        <f t="shared" si="216"/>
        <v>0</v>
      </c>
      <c r="E222" s="3805">
        <f t="shared" ref="E222:F226" si="227">SUM(AA222+AC222+AE222+AG222+AI222+AK222+AM222+AO222)</f>
        <v>0</v>
      </c>
      <c r="F222" s="3461">
        <f t="shared" si="227"/>
        <v>0</v>
      </c>
      <c r="G222" s="3727"/>
      <c r="H222" s="847"/>
      <c r="I222" s="3314"/>
      <c r="J222" s="847"/>
      <c r="K222" s="3314"/>
      <c r="L222" s="847"/>
      <c r="M222" s="3314"/>
      <c r="N222" s="847"/>
      <c r="O222" s="3314"/>
      <c r="P222" s="847"/>
      <c r="Q222" s="3314"/>
      <c r="R222" s="847"/>
      <c r="S222" s="3314"/>
      <c r="T222" s="847"/>
      <c r="U222" s="3314"/>
      <c r="V222" s="847"/>
      <c r="W222" s="3314"/>
      <c r="X222" s="847"/>
      <c r="Y222" s="3314"/>
      <c r="Z222" s="842"/>
      <c r="AA222" s="3309"/>
      <c r="AB222" s="771"/>
      <c r="AC222" s="3309"/>
      <c r="AD222" s="576"/>
      <c r="AE222" s="3309"/>
      <c r="AF222" s="576"/>
      <c r="AG222" s="3309"/>
      <c r="AH222" s="576"/>
      <c r="AI222" s="3309"/>
      <c r="AJ222" s="576"/>
      <c r="AK222" s="3309"/>
      <c r="AL222" s="576"/>
      <c r="AM222" s="3309"/>
      <c r="AN222" s="576"/>
      <c r="AO222" s="3310"/>
      <c r="AP222" s="559"/>
      <c r="AQ222" s="758"/>
      <c r="AR222" s="773"/>
      <c r="AS222" s="773"/>
      <c r="AT222" s="773"/>
      <c r="AU222" s="773"/>
      <c r="AV222" s="773"/>
      <c r="AW222" s="773"/>
      <c r="AX222" s="576"/>
      <c r="AY222" t="str">
        <f t="shared" si="175"/>
        <v/>
      </c>
      <c r="CA222" s="434"/>
      <c r="CB222" s="434" t="str">
        <f t="shared" si="205"/>
        <v/>
      </c>
      <c r="CC222" s="434" t="str">
        <f t="shared" si="206"/>
        <v/>
      </c>
      <c r="CD222" s="434" t="str">
        <f t="shared" si="207"/>
        <v/>
      </c>
      <c r="CE222" s="434" t="str">
        <f t="shared" si="208"/>
        <v/>
      </c>
      <c r="CF222" s="434" t="str">
        <f t="shared" si="209"/>
        <v/>
      </c>
      <c r="CG222" s="434" t="str">
        <f t="shared" si="210"/>
        <v/>
      </c>
      <c r="CH222" s="434" t="str">
        <f t="shared" si="211"/>
        <v/>
      </c>
      <c r="CO222" s="435"/>
      <c r="CP222" s="435">
        <f t="shared" si="223"/>
        <v>0</v>
      </c>
      <c r="CQ222" s="435">
        <f t="shared" si="225"/>
        <v>0</v>
      </c>
      <c r="CR222" s="435">
        <f t="shared" si="226"/>
        <v>0</v>
      </c>
      <c r="CS222" s="435">
        <f t="shared" si="218"/>
        <v>0</v>
      </c>
      <c r="CT222" s="435">
        <f>IF(AND($D222&gt;0,AV222=""),1,IF(AV222&gt;$D222,1,0))</f>
        <v>0</v>
      </c>
      <c r="CU222" s="435">
        <f t="shared" si="219"/>
        <v>0</v>
      </c>
      <c r="CV222" s="435">
        <f t="shared" si="220"/>
        <v>0</v>
      </c>
    </row>
    <row r="223" spans="1:100" ht="15" customHeight="1" x14ac:dyDescent="0.3">
      <c r="A223" s="6767"/>
      <c r="B223" s="6773"/>
      <c r="C223" s="3806" t="s">
        <v>4415</v>
      </c>
      <c r="D223" s="3807">
        <f t="shared" si="216"/>
        <v>0</v>
      </c>
      <c r="E223" s="3808">
        <f t="shared" si="227"/>
        <v>0</v>
      </c>
      <c r="F223" s="3803">
        <f t="shared" si="227"/>
        <v>0</v>
      </c>
      <c r="G223" s="288"/>
      <c r="H223" s="3809"/>
      <c r="I223" s="3734"/>
      <c r="J223" s="3809"/>
      <c r="K223" s="3734"/>
      <c r="L223" s="3809"/>
      <c r="M223" s="3734"/>
      <c r="N223" s="3809"/>
      <c r="O223" s="3734"/>
      <c r="P223" s="3809"/>
      <c r="Q223" s="3734"/>
      <c r="R223" s="3809"/>
      <c r="S223" s="3734"/>
      <c r="T223" s="3809"/>
      <c r="U223" s="3734"/>
      <c r="V223" s="3809"/>
      <c r="W223" s="3734"/>
      <c r="X223" s="3809"/>
      <c r="Y223" s="3734"/>
      <c r="Z223" s="3809"/>
      <c r="AA223" s="429"/>
      <c r="AB223" s="389"/>
      <c r="AC223" s="429"/>
      <c r="AD223" s="388"/>
      <c r="AE223" s="429"/>
      <c r="AF223" s="388"/>
      <c r="AG223" s="429"/>
      <c r="AH223" s="388"/>
      <c r="AI223" s="429"/>
      <c r="AJ223" s="388"/>
      <c r="AK223" s="429"/>
      <c r="AL223" s="388"/>
      <c r="AM223" s="429"/>
      <c r="AN223" s="388"/>
      <c r="AO223" s="380"/>
      <c r="AP223" s="564"/>
      <c r="AQ223" s="379"/>
      <c r="AR223" s="2911"/>
      <c r="AS223" s="2911"/>
      <c r="AT223" s="2911"/>
      <c r="AU223" s="2911"/>
      <c r="AV223" s="3348"/>
      <c r="AW223" s="2911"/>
      <c r="AX223" s="388"/>
      <c r="AY223" t="str">
        <f t="shared" si="175"/>
        <v/>
      </c>
      <c r="CA223" s="434"/>
      <c r="CB223" s="434" t="str">
        <f t="shared" si="205"/>
        <v/>
      </c>
      <c r="CC223" s="434" t="str">
        <f t="shared" si="206"/>
        <v/>
      </c>
      <c r="CD223" s="434" t="str">
        <f t="shared" si="207"/>
        <v/>
      </c>
      <c r="CE223" s="434" t="str">
        <f t="shared" si="208"/>
        <v/>
      </c>
      <c r="CF223" s="439"/>
      <c r="CG223" s="434" t="str">
        <f t="shared" si="210"/>
        <v/>
      </c>
      <c r="CH223" s="434" t="str">
        <f t="shared" si="211"/>
        <v/>
      </c>
      <c r="CO223" s="435"/>
      <c r="CP223" s="435">
        <f t="shared" si="223"/>
        <v>0</v>
      </c>
      <c r="CQ223" s="435">
        <f t="shared" si="225"/>
        <v>0</v>
      </c>
      <c r="CR223" s="435">
        <f t="shared" si="226"/>
        <v>0</v>
      </c>
      <c r="CS223" s="435">
        <f t="shared" si="218"/>
        <v>0</v>
      </c>
      <c r="CT223" s="439"/>
      <c r="CU223" s="435">
        <f t="shared" si="219"/>
        <v>0</v>
      </c>
      <c r="CV223" s="435">
        <f t="shared" si="220"/>
        <v>0</v>
      </c>
    </row>
    <row r="224" spans="1:100" ht="15" customHeight="1" x14ac:dyDescent="0.3">
      <c r="A224" s="6767"/>
      <c r="B224" s="6185" t="s">
        <v>1787</v>
      </c>
      <c r="C224" s="3804" t="s">
        <v>1765</v>
      </c>
      <c r="D224" s="3722">
        <f t="shared" ref="D224:D225" si="228">SUM(E224+F224)</f>
        <v>0</v>
      </c>
      <c r="E224" s="3776">
        <f t="shared" si="227"/>
        <v>0</v>
      </c>
      <c r="F224" s="2666">
        <f t="shared" si="227"/>
        <v>0</v>
      </c>
      <c r="G224" s="3727"/>
      <c r="H224" s="842"/>
      <c r="I224" s="3725"/>
      <c r="J224" s="842"/>
      <c r="K224" s="3725"/>
      <c r="L224" s="842"/>
      <c r="M224" s="3725"/>
      <c r="N224" s="842"/>
      <c r="O224" s="3725"/>
      <c r="P224" s="842"/>
      <c r="Q224" s="3725"/>
      <c r="R224" s="842"/>
      <c r="S224" s="3725"/>
      <c r="T224" s="842"/>
      <c r="U224" s="3725"/>
      <c r="V224" s="842"/>
      <c r="W224" s="3725"/>
      <c r="X224" s="842"/>
      <c r="Y224" s="3725"/>
      <c r="Z224" s="842"/>
      <c r="AA224" s="22"/>
      <c r="AB224" s="637"/>
      <c r="AC224" s="3309"/>
      <c r="AD224" s="576"/>
      <c r="AE224" s="3309"/>
      <c r="AF224" s="576"/>
      <c r="AG224" s="3309"/>
      <c r="AH224" s="576"/>
      <c r="AI224" s="3309"/>
      <c r="AJ224" s="576"/>
      <c r="AK224" s="3309"/>
      <c r="AL224" s="576"/>
      <c r="AM224" s="3309"/>
      <c r="AN224" s="576"/>
      <c r="AO224" s="3310"/>
      <c r="AP224" s="576"/>
      <c r="AQ224" s="758"/>
      <c r="AR224" s="773"/>
      <c r="AS224" s="773"/>
      <c r="AT224" s="773"/>
      <c r="AU224" s="773"/>
      <c r="AV224" s="773"/>
      <c r="AW224" s="773"/>
      <c r="AX224" s="576"/>
      <c r="AY224" t="str">
        <f t="shared" si="175"/>
        <v/>
      </c>
      <c r="CA224" s="434"/>
      <c r="CB224" s="434" t="str">
        <f t="shared" si="205"/>
        <v/>
      </c>
      <c r="CC224" s="434" t="str">
        <f t="shared" si="206"/>
        <v/>
      </c>
      <c r="CD224" s="434" t="str">
        <f t="shared" si="207"/>
        <v/>
      </c>
      <c r="CE224" s="434" t="str">
        <f t="shared" si="208"/>
        <v/>
      </c>
      <c r="CF224" s="434" t="str">
        <f t="shared" si="209"/>
        <v/>
      </c>
      <c r="CG224" s="434" t="str">
        <f t="shared" si="210"/>
        <v/>
      </c>
      <c r="CH224" s="434" t="str">
        <f t="shared" si="211"/>
        <v/>
      </c>
      <c r="CO224" s="435"/>
      <c r="CP224" s="435">
        <f t="shared" si="223"/>
        <v>0</v>
      </c>
      <c r="CQ224" s="435">
        <f t="shared" si="225"/>
        <v>0</v>
      </c>
      <c r="CR224" s="435">
        <f t="shared" si="226"/>
        <v>0</v>
      </c>
      <c r="CS224" s="435">
        <f t="shared" si="218"/>
        <v>0</v>
      </c>
      <c r="CT224" s="435">
        <f>IF(AND($D224&gt;0,AV224=""),1,IF(AV224&gt;$D224,1,0))</f>
        <v>0</v>
      </c>
      <c r="CU224" s="435">
        <f t="shared" si="219"/>
        <v>0</v>
      </c>
      <c r="CV224" s="435">
        <f t="shared" si="220"/>
        <v>0</v>
      </c>
    </row>
    <row r="225" spans="1:100" ht="15" customHeight="1" x14ac:dyDescent="0.3">
      <c r="A225" s="6767"/>
      <c r="B225" s="5790"/>
      <c r="C225" s="3357" t="s">
        <v>1769</v>
      </c>
      <c r="D225" s="3741">
        <f t="shared" si="228"/>
        <v>0</v>
      </c>
      <c r="E225" s="3776">
        <f t="shared" si="227"/>
        <v>0</v>
      </c>
      <c r="F225" s="2663">
        <f t="shared" si="227"/>
        <v>0</v>
      </c>
      <c r="G225" s="686"/>
      <c r="H225" s="2693"/>
      <c r="I225" s="542"/>
      <c r="J225" s="2693"/>
      <c r="K225" s="542"/>
      <c r="L225" s="2693"/>
      <c r="M225" s="542"/>
      <c r="N225" s="2693"/>
      <c r="O225" s="542"/>
      <c r="P225" s="2693"/>
      <c r="Q225" s="542"/>
      <c r="R225" s="2693"/>
      <c r="S225" s="542"/>
      <c r="T225" s="2693"/>
      <c r="U225" s="542"/>
      <c r="V225" s="2693"/>
      <c r="W225" s="542"/>
      <c r="X225" s="2693"/>
      <c r="Y225" s="542"/>
      <c r="Z225" s="2693"/>
      <c r="AA225" s="704"/>
      <c r="AB225" s="95"/>
      <c r="AC225" s="704"/>
      <c r="AD225" s="42"/>
      <c r="AE225" s="704"/>
      <c r="AF225" s="42"/>
      <c r="AG225" s="704"/>
      <c r="AH225" s="42"/>
      <c r="AI225" s="704"/>
      <c r="AJ225" s="42"/>
      <c r="AK225" s="704"/>
      <c r="AL225" s="42"/>
      <c r="AM225" s="704"/>
      <c r="AN225" s="42"/>
      <c r="AO225" s="47"/>
      <c r="AP225" s="42"/>
      <c r="AQ225" s="74"/>
      <c r="AR225" s="242"/>
      <c r="AS225" s="242"/>
      <c r="AT225" s="242"/>
      <c r="AU225" s="242"/>
      <c r="AV225" s="703"/>
      <c r="AW225" s="242"/>
      <c r="AX225" s="42"/>
      <c r="AY225" t="str">
        <f t="shared" si="175"/>
        <v/>
      </c>
      <c r="CA225" s="434"/>
      <c r="CB225" s="434" t="str">
        <f t="shared" si="205"/>
        <v/>
      </c>
      <c r="CC225" s="434" t="str">
        <f t="shared" si="206"/>
        <v/>
      </c>
      <c r="CD225" s="434" t="str">
        <f t="shared" si="207"/>
        <v/>
      </c>
      <c r="CE225" s="434" t="str">
        <f t="shared" si="208"/>
        <v/>
      </c>
      <c r="CF225" s="439"/>
      <c r="CG225" s="434" t="str">
        <f t="shared" si="210"/>
        <v/>
      </c>
      <c r="CH225" s="434" t="str">
        <f t="shared" si="211"/>
        <v/>
      </c>
      <c r="CO225" s="435"/>
      <c r="CP225" s="435">
        <f t="shared" si="223"/>
        <v>0</v>
      </c>
      <c r="CQ225" s="435">
        <f t="shared" si="225"/>
        <v>0</v>
      </c>
      <c r="CR225" s="435">
        <f t="shared" si="226"/>
        <v>0</v>
      </c>
      <c r="CS225" s="435">
        <f t="shared" si="218"/>
        <v>0</v>
      </c>
      <c r="CT225" s="439"/>
      <c r="CU225" s="435">
        <f t="shared" si="219"/>
        <v>0</v>
      </c>
      <c r="CV225" s="435">
        <f t="shared" si="220"/>
        <v>0</v>
      </c>
    </row>
    <row r="226" spans="1:100" ht="15" customHeight="1" x14ac:dyDescent="0.3">
      <c r="A226" s="6768"/>
      <c r="B226" s="6574"/>
      <c r="C226" s="2318" t="s">
        <v>1788</v>
      </c>
      <c r="D226" s="3756">
        <f t="shared" ref="D226" si="229">SUM(E226+F226)</f>
        <v>0</v>
      </c>
      <c r="E226" s="3478">
        <f t="shared" si="227"/>
        <v>0</v>
      </c>
      <c r="F226" s="3803">
        <f t="shared" si="227"/>
        <v>0</v>
      </c>
      <c r="G226" s="385"/>
      <c r="H226" s="844"/>
      <c r="I226" s="3316"/>
      <c r="J226" s="844"/>
      <c r="K226" s="3316"/>
      <c r="L226" s="844"/>
      <c r="M226" s="3316"/>
      <c r="N226" s="844"/>
      <c r="O226" s="3316"/>
      <c r="P226" s="844"/>
      <c r="Q226" s="3316"/>
      <c r="R226" s="844"/>
      <c r="S226" s="3316"/>
      <c r="T226" s="844"/>
      <c r="U226" s="3316"/>
      <c r="V226" s="844"/>
      <c r="W226" s="3316"/>
      <c r="X226" s="844"/>
      <c r="Y226" s="3316"/>
      <c r="Z226" s="844"/>
      <c r="AA226" s="429"/>
      <c r="AB226" s="389"/>
      <c r="AC226" s="429"/>
      <c r="AD226" s="388"/>
      <c r="AE226" s="429"/>
      <c r="AF226" s="388"/>
      <c r="AG226" s="429"/>
      <c r="AH226" s="388"/>
      <c r="AI226" s="429"/>
      <c r="AJ226" s="388"/>
      <c r="AK226" s="429"/>
      <c r="AL226" s="388"/>
      <c r="AM226" s="429"/>
      <c r="AN226" s="388"/>
      <c r="AO226" s="380"/>
      <c r="AP226" s="388"/>
      <c r="AQ226" s="379"/>
      <c r="AR226" s="2911"/>
      <c r="AS226" s="2911"/>
      <c r="AT226" s="2911"/>
      <c r="AU226" s="2911"/>
      <c r="AV226" s="3348"/>
      <c r="AW226" s="2911"/>
      <c r="AX226" s="388"/>
      <c r="AY226" t="str">
        <f t="shared" si="175"/>
        <v/>
      </c>
      <c r="CA226" s="434"/>
      <c r="CB226" s="434" t="str">
        <f t="shared" si="205"/>
        <v/>
      </c>
      <c r="CC226" s="434" t="str">
        <f t="shared" si="206"/>
        <v/>
      </c>
      <c r="CD226" s="434" t="str">
        <f t="shared" si="207"/>
        <v/>
      </c>
      <c r="CE226" s="434" t="str">
        <f t="shared" si="208"/>
        <v/>
      </c>
      <c r="CF226" s="439"/>
      <c r="CG226" s="434" t="str">
        <f t="shared" si="210"/>
        <v/>
      </c>
      <c r="CH226" s="434" t="str">
        <f t="shared" si="211"/>
        <v/>
      </c>
      <c r="CO226" s="435"/>
      <c r="CP226" s="435">
        <f t="shared" si="223"/>
        <v>0</v>
      </c>
      <c r="CQ226" s="435">
        <f t="shared" si="225"/>
        <v>0</v>
      </c>
      <c r="CR226" s="435">
        <f t="shared" si="226"/>
        <v>0</v>
      </c>
      <c r="CS226" s="435">
        <f t="shared" si="218"/>
        <v>0</v>
      </c>
      <c r="CT226" s="439"/>
      <c r="CU226" s="435">
        <f t="shared" si="219"/>
        <v>0</v>
      </c>
      <c r="CV226" s="435">
        <f t="shared" si="220"/>
        <v>0</v>
      </c>
    </row>
    <row r="227" spans="1:100" ht="18" customHeight="1" x14ac:dyDescent="0.3">
      <c r="A227" s="3" t="s">
        <v>1789</v>
      </c>
      <c r="B227" s="3721"/>
      <c r="C227" s="3721"/>
      <c r="D227" s="3721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1873"/>
      <c r="Z227" s="1873"/>
      <c r="AA227" s="1873"/>
      <c r="AB227" s="1873"/>
      <c r="AC227" s="1873"/>
      <c r="AD227" s="1873"/>
      <c r="AE227" s="1873"/>
      <c r="AF227" s="1873"/>
      <c r="AG227" s="1873"/>
      <c r="AY227" t="str">
        <f t="shared" ref="AY227:AY246" si="230">CA227&amp;CB227&amp;CC227&amp;CD227&amp;CE227&amp;CF227&amp;CH227</f>
        <v/>
      </c>
    </row>
    <row r="228" spans="1:100" ht="15" customHeight="1" x14ac:dyDescent="0.3">
      <c r="A228" s="6307" t="s">
        <v>219</v>
      </c>
      <c r="B228" s="6223"/>
      <c r="C228" s="6308"/>
      <c r="D228" s="5944" t="s">
        <v>77</v>
      </c>
      <c r="E228" s="6242"/>
      <c r="F228" s="6243"/>
      <c r="G228" s="6688" t="s">
        <v>101</v>
      </c>
      <c r="H228" s="6247"/>
      <c r="I228" s="6247"/>
      <c r="J228" s="6247"/>
      <c r="K228" s="6247"/>
      <c r="L228" s="6247"/>
      <c r="M228" s="6247"/>
      <c r="N228" s="6247"/>
      <c r="O228" s="6247"/>
      <c r="P228" s="6247"/>
      <c r="Q228" s="6247"/>
      <c r="R228" s="6247"/>
      <c r="S228" s="6247"/>
      <c r="T228" s="6247"/>
      <c r="U228" s="6247"/>
      <c r="V228" s="6247"/>
      <c r="W228" s="6247"/>
      <c r="X228" s="6247"/>
      <c r="Y228" s="6247"/>
      <c r="Z228" s="6247"/>
      <c r="AA228" s="6247"/>
      <c r="AB228" s="6689"/>
      <c r="AC228" s="6774" t="s">
        <v>1573</v>
      </c>
      <c r="AD228" s="6695" t="s">
        <v>919</v>
      </c>
      <c r="AE228" s="6695" t="s">
        <v>1790</v>
      </c>
      <c r="AF228" s="6695" t="s">
        <v>1791</v>
      </c>
      <c r="AG228" s="6784" t="s">
        <v>1792</v>
      </c>
      <c r="AH228" s="6774" t="s">
        <v>1793</v>
      </c>
      <c r="AI228" s="6628" t="s">
        <v>1794</v>
      </c>
    </row>
    <row r="229" spans="1:100" ht="15" customHeight="1" x14ac:dyDescent="0.3">
      <c r="A229" s="6559"/>
      <c r="B229" s="6686"/>
      <c r="C229" s="6063"/>
      <c r="D229" s="5776"/>
      <c r="E229" s="5777"/>
      <c r="F229" s="5759"/>
      <c r="G229" s="6679" t="s">
        <v>474</v>
      </c>
      <c r="H229" s="6693"/>
      <c r="I229" s="6688" t="s">
        <v>380</v>
      </c>
      <c r="J229" s="6277"/>
      <c r="K229" s="6247" t="s">
        <v>381</v>
      </c>
      <c r="L229" s="6277"/>
      <c r="M229" s="6688" t="s">
        <v>1577</v>
      </c>
      <c r="N229" s="6277"/>
      <c r="O229" s="6688" t="s">
        <v>383</v>
      </c>
      <c r="P229" s="6277"/>
      <c r="Q229" s="6688" t="s">
        <v>384</v>
      </c>
      <c r="R229" s="6277"/>
      <c r="S229" s="6688" t="s">
        <v>385</v>
      </c>
      <c r="T229" s="6277"/>
      <c r="U229" s="6688" t="s">
        <v>386</v>
      </c>
      <c r="V229" s="6277"/>
      <c r="W229" s="6688" t="s">
        <v>1578</v>
      </c>
      <c r="X229" s="6277"/>
      <c r="Y229" s="6688" t="s">
        <v>303</v>
      </c>
      <c r="Z229" s="6694"/>
      <c r="AA229" s="6688" t="s">
        <v>304</v>
      </c>
      <c r="AB229" s="6694"/>
      <c r="AC229" s="6775"/>
      <c r="AD229" s="6777"/>
      <c r="AE229" s="6777"/>
      <c r="AF229" s="6777"/>
      <c r="AG229" s="6785"/>
      <c r="AH229" s="6775"/>
      <c r="AI229" s="6757"/>
    </row>
    <row r="230" spans="1:100" ht="15" customHeight="1" x14ac:dyDescent="0.3">
      <c r="A230" s="6482"/>
      <c r="B230" s="6481"/>
      <c r="C230" s="6645"/>
      <c r="D230" s="3486" t="s">
        <v>79</v>
      </c>
      <c r="E230" s="3536" t="s">
        <v>58</v>
      </c>
      <c r="F230" s="605" t="s">
        <v>59</v>
      </c>
      <c r="G230" s="3533" t="s">
        <v>58</v>
      </c>
      <c r="H230" s="605" t="s">
        <v>59</v>
      </c>
      <c r="I230" s="3533" t="s">
        <v>58</v>
      </c>
      <c r="J230" s="605" t="s">
        <v>59</v>
      </c>
      <c r="K230" s="3488" t="s">
        <v>58</v>
      </c>
      <c r="L230" s="605" t="s">
        <v>59</v>
      </c>
      <c r="M230" s="3488" t="s">
        <v>58</v>
      </c>
      <c r="N230" s="605" t="s">
        <v>59</v>
      </c>
      <c r="O230" s="3488" t="s">
        <v>58</v>
      </c>
      <c r="P230" s="605" t="s">
        <v>59</v>
      </c>
      <c r="Q230" s="3488" t="s">
        <v>58</v>
      </c>
      <c r="R230" s="605" t="s">
        <v>59</v>
      </c>
      <c r="S230" s="3488" t="s">
        <v>58</v>
      </c>
      <c r="T230" s="605" t="s">
        <v>59</v>
      </c>
      <c r="U230" s="3488" t="s">
        <v>58</v>
      </c>
      <c r="V230" s="605" t="s">
        <v>59</v>
      </c>
      <c r="W230" s="3488" t="s">
        <v>58</v>
      </c>
      <c r="X230" s="605" t="s">
        <v>59</v>
      </c>
      <c r="Y230" s="3488" t="s">
        <v>58</v>
      </c>
      <c r="Z230" s="605" t="s">
        <v>59</v>
      </c>
      <c r="AA230" s="3488" t="s">
        <v>58</v>
      </c>
      <c r="AB230" s="605" t="s">
        <v>59</v>
      </c>
      <c r="AC230" s="6776"/>
      <c r="AD230" s="5815"/>
      <c r="AE230" s="5815"/>
      <c r="AF230" s="5815"/>
      <c r="AG230" s="6786"/>
      <c r="AH230" s="6776"/>
      <c r="AI230" s="6696"/>
    </row>
    <row r="231" spans="1:100" ht="15" customHeight="1" x14ac:dyDescent="0.3">
      <c r="A231" s="6722" t="s">
        <v>1795</v>
      </c>
      <c r="B231" s="6723"/>
      <c r="C231" s="6724"/>
      <c r="D231" s="3722">
        <f>SUM(E231+F231)</f>
        <v>0</v>
      </c>
      <c r="E231" s="3543">
        <f>+K231+M231+O231+Q231+S231</f>
        <v>0</v>
      </c>
      <c r="F231" s="598">
        <f>+L231+N231+P231+R231+T231</f>
        <v>0</v>
      </c>
      <c r="G231" s="3752"/>
      <c r="H231" s="840"/>
      <c r="I231" s="3752"/>
      <c r="J231" s="840"/>
      <c r="K231" s="3310"/>
      <c r="L231" s="576"/>
      <c r="M231" s="3310"/>
      <c r="N231" s="576"/>
      <c r="O231" s="3310"/>
      <c r="P231" s="576"/>
      <c r="Q231" s="3310"/>
      <c r="R231" s="576"/>
      <c r="S231" s="3310"/>
      <c r="T231" s="576"/>
      <c r="U231" s="3727"/>
      <c r="V231" s="661"/>
      <c r="W231" s="3727"/>
      <c r="X231" s="661"/>
      <c r="Y231" s="3727"/>
      <c r="Z231" s="661"/>
      <c r="AA231" s="3727"/>
      <c r="AB231" s="741"/>
      <c r="AC231" s="758"/>
      <c r="AD231" s="597">
        <f>SUM(AE231:AG231)</f>
        <v>0</v>
      </c>
      <c r="AE231" s="773"/>
      <c r="AF231" s="773"/>
      <c r="AG231" s="3299"/>
      <c r="AH231" s="758"/>
      <c r="AI231" s="576"/>
      <c r="AJ231" t="str">
        <f>CA231&amp;CB231&amp;CC231&amp;CD231</f>
        <v/>
      </c>
      <c r="CA231" s="434" t="str">
        <f>IF(AND($D231&gt;0,AC231="")," * No olvide digitar la variable Usuarios con Discapacidad. Digite Cero si no tiene.",IF(AC231&gt;D231," * La variable Usuarios con Discapacidad no puede superar el Total Ambos Sexos.",""))</f>
        <v/>
      </c>
      <c r="CB231" s="434" t="str">
        <f>IF((AD231)&gt;D231," * El Total de actividades de JUNJI + INTEGRA + MINEDUC no puede ser mayor al Total Ambos Sexos.","")</f>
        <v/>
      </c>
      <c r="CC231" s="434" t="str">
        <f>IF(AND($D231&gt;0,AH231="")," * No olvide ingresar la variable Pueblos Originarios. Digite cero si no tiene.",IF(AH231&gt;$D231," * La variable Pueblos Originarios No puede ser mayor al Total Ambos Sexos.",""))</f>
        <v/>
      </c>
      <c r="CD231" s="434" t="str">
        <f>IF(AND($D231&gt;0,AI231="")," * No olvide ingresar la variable Migrantes. Digite cero si no tiene.",IF(AI231&gt;$D231," * La variable Migrantes No puede ser mayor al Total Ambos Sexos.",""))</f>
        <v/>
      </c>
      <c r="CO231" s="437">
        <f>IF(AND($D231&gt;0,AC231=""),1,IF(AC231&gt;D231,1,0))</f>
        <v>0</v>
      </c>
      <c r="CP231" s="437">
        <f>IF((AD231)&gt;D231,1,0)</f>
        <v>0</v>
      </c>
      <c r="CQ231" s="437">
        <f t="shared" ref="CQ231:CR234" si="231">IF(AND($D231&gt;0,AH231=""),1,IF(AH231&gt;$D231,1,0))</f>
        <v>0</v>
      </c>
      <c r="CR231" s="437">
        <f t="shared" si="231"/>
        <v>0</v>
      </c>
    </row>
    <row r="232" spans="1:100" ht="15" customHeight="1" x14ac:dyDescent="0.3">
      <c r="A232" s="6717" t="s">
        <v>1796</v>
      </c>
      <c r="B232" s="6718"/>
      <c r="C232" s="6719"/>
      <c r="D232" s="3741">
        <f>SUM(E232+F232)</f>
        <v>0</v>
      </c>
      <c r="E232" s="479">
        <f>+K232+M232+O232+Q232+S232</f>
        <v>0</v>
      </c>
      <c r="F232" s="480">
        <f>+L232+N232+P232+R232+T232</f>
        <v>0</v>
      </c>
      <c r="G232" s="2678"/>
      <c r="H232" s="3213"/>
      <c r="I232" s="2678"/>
      <c r="J232" s="3213"/>
      <c r="K232" s="290"/>
      <c r="L232" s="107"/>
      <c r="M232" s="290"/>
      <c r="N232" s="107"/>
      <c r="O232" s="290"/>
      <c r="P232" s="107"/>
      <c r="Q232" s="290"/>
      <c r="R232" s="107"/>
      <c r="S232" s="290"/>
      <c r="T232" s="107"/>
      <c r="U232" s="314"/>
      <c r="V232" s="130"/>
      <c r="W232" s="314"/>
      <c r="X232" s="130"/>
      <c r="Y232" s="314"/>
      <c r="Z232" s="130"/>
      <c r="AA232" s="314"/>
      <c r="AB232" s="3810"/>
      <c r="AC232" s="296"/>
      <c r="AD232" s="589">
        <f t="shared" ref="AD232:AD236" si="232">SUM(AE232:AG232)</f>
        <v>0</v>
      </c>
      <c r="AE232" s="535"/>
      <c r="AF232" s="535"/>
      <c r="AG232" s="61"/>
      <c r="AH232" s="296"/>
      <c r="AI232" s="107"/>
      <c r="AJ232" t="str">
        <f t="shared" ref="AJ232:AJ236" si="233">CA232&amp;CB232&amp;CC232&amp;CD232</f>
        <v/>
      </c>
      <c r="CA232" s="434" t="str">
        <f t="shared" ref="CA232:CA234" si="234">IF(AND($D232&gt;0,AC232="")," * No olvide digitar la variable Usuarios con Discapacidad. Digite Cero si no tiene.",IF(AC232&gt;D232," * La variable Usuarios con Discapacidad no puede superar el Total Ambos Sexos.",""))</f>
        <v/>
      </c>
      <c r="CB232" s="434" t="str">
        <f t="shared" ref="CB232:CB233" si="235">IF((AD232)&gt;D232," * El Total de actividades de JUNJI + INTEGRA + MINEDUC no puede ser mayor al Total Ambos Sexos.","")</f>
        <v/>
      </c>
      <c r="CC232" s="434" t="str">
        <f t="shared" ref="CC232:CC234" si="236">IF(AND($D232&gt;0,AH232="")," * No olvide ingresar la variable Pueblos Originarios. Digite cero si no tiene.",IF(AH232&gt;$D232," * La variable Pueblos Originarios No puede ser mayor al Total Ambos Sexos.",""))</f>
        <v/>
      </c>
      <c r="CD232" s="434" t="str">
        <f t="shared" ref="CD232:CD234" si="237">IF(AND($D232&gt;0,AI232="")," * No olvide ingresar la variable Migrantes. Digite cero si no tiene.",IF(AI232&gt;$D232," * La variable Migrantes No puede ser mayor al Total Ambos Sexos.",""))</f>
        <v/>
      </c>
      <c r="CO232" s="437">
        <f>IF(AND($D232&gt;0,AC232=""),1,IF(AC232&gt;D232,1,0))</f>
        <v>0</v>
      </c>
      <c r="CP232" s="437">
        <f>IF((AD232)&gt;D232,1,0)</f>
        <v>0</v>
      </c>
      <c r="CQ232" s="437">
        <f t="shared" si="231"/>
        <v>0</v>
      </c>
      <c r="CR232" s="437">
        <f t="shared" si="231"/>
        <v>0</v>
      </c>
    </row>
    <row r="233" spans="1:100" ht="15" customHeight="1" x14ac:dyDescent="0.3">
      <c r="A233" s="6717" t="s">
        <v>1797</v>
      </c>
      <c r="B233" s="6718"/>
      <c r="C233" s="6719"/>
      <c r="D233" s="3729">
        <f>SUM(E233+F233)</f>
        <v>0</v>
      </c>
      <c r="E233" s="2339">
        <f>+K233+M233+O233+Q233+S233</f>
        <v>0</v>
      </c>
      <c r="F233" s="141">
        <f t="shared" ref="E233:F234" si="238">+L233+N233+P233+R233+T233</f>
        <v>0</v>
      </c>
      <c r="G233" s="2678"/>
      <c r="H233" s="3213"/>
      <c r="I233" s="2678"/>
      <c r="J233" s="3213"/>
      <c r="K233" s="290"/>
      <c r="L233" s="107"/>
      <c r="M233" s="290"/>
      <c r="N233" s="107"/>
      <c r="O233" s="290"/>
      <c r="P233" s="107"/>
      <c r="Q233" s="290"/>
      <c r="R233" s="107"/>
      <c r="S233" s="290"/>
      <c r="T233" s="107"/>
      <c r="U233" s="314"/>
      <c r="V233" s="130"/>
      <c r="W233" s="314"/>
      <c r="X233" s="130"/>
      <c r="Y233" s="314"/>
      <c r="Z233" s="130"/>
      <c r="AA233" s="314"/>
      <c r="AB233" s="3810"/>
      <c r="AC233" s="296"/>
      <c r="AD233" s="589">
        <f t="shared" si="232"/>
        <v>0</v>
      </c>
      <c r="AE233" s="3811"/>
      <c r="AF233" s="535"/>
      <c r="AG233" s="61"/>
      <c r="AH233" s="296"/>
      <c r="AI233" s="107"/>
      <c r="AJ233" t="str">
        <f t="shared" si="233"/>
        <v/>
      </c>
      <c r="CA233" s="434" t="str">
        <f t="shared" si="234"/>
        <v/>
      </c>
      <c r="CB233" s="434" t="str">
        <f t="shared" si="235"/>
        <v/>
      </c>
      <c r="CC233" s="434" t="str">
        <f t="shared" si="236"/>
        <v/>
      </c>
      <c r="CD233" s="434" t="str">
        <f t="shared" si="237"/>
        <v/>
      </c>
      <c r="CO233" s="437">
        <f>IF(AND($D233&gt;0,AC233=""),1,IF(AC233&gt;D233,1,0))</f>
        <v>0</v>
      </c>
      <c r="CP233" s="437">
        <f>IF((AD233)&gt;D233,1,0)</f>
        <v>0</v>
      </c>
      <c r="CQ233" s="437">
        <f t="shared" si="231"/>
        <v>0</v>
      </c>
      <c r="CR233" s="437">
        <f t="shared" si="231"/>
        <v>0</v>
      </c>
    </row>
    <row r="234" spans="1:100" ht="15" customHeight="1" x14ac:dyDescent="0.3">
      <c r="A234" s="6717" t="s">
        <v>1798</v>
      </c>
      <c r="B234" s="6718"/>
      <c r="C234" s="6719"/>
      <c r="D234" s="3729">
        <f>SUM(E234+F234)</f>
        <v>0</v>
      </c>
      <c r="E234" s="2339">
        <f t="shared" si="238"/>
        <v>0</v>
      </c>
      <c r="F234" s="345">
        <f>+L234+N234+P234+R234+T234</f>
        <v>0</v>
      </c>
      <c r="G234" s="634"/>
      <c r="H234" s="368"/>
      <c r="I234" s="634"/>
      <c r="J234" s="368"/>
      <c r="K234" s="346"/>
      <c r="L234" s="347"/>
      <c r="M234" s="346"/>
      <c r="N234" s="347"/>
      <c r="O234" s="346"/>
      <c r="P234" s="347"/>
      <c r="Q234" s="346"/>
      <c r="R234" s="347"/>
      <c r="S234" s="346"/>
      <c r="T234" s="347"/>
      <c r="U234" s="686"/>
      <c r="V234" s="687"/>
      <c r="W234" s="686"/>
      <c r="X234" s="687"/>
      <c r="Y234" s="686"/>
      <c r="Z234" s="687"/>
      <c r="AA234" s="686"/>
      <c r="AB234" s="3812"/>
      <c r="AC234" s="430"/>
      <c r="AD234" s="589">
        <f>SUM(AE234:AG234)</f>
        <v>0</v>
      </c>
      <c r="AE234" s="369"/>
      <c r="AF234" s="369"/>
      <c r="AG234" s="481"/>
      <c r="AH234" s="430"/>
      <c r="AI234" s="347"/>
      <c r="AJ234" t="str">
        <f t="shared" si="233"/>
        <v/>
      </c>
      <c r="CA234" s="434" t="str">
        <f t="shared" si="234"/>
        <v/>
      </c>
      <c r="CB234" s="434" t="str">
        <f>IF((AD234)&gt;D234," * El Total de actividades de JUNJI + INTEGRA + MINEDUC no puede ser mayor al Total Ambos Sexos.","")</f>
        <v/>
      </c>
      <c r="CC234" s="434" t="str">
        <f t="shared" si="236"/>
        <v/>
      </c>
      <c r="CD234" s="434" t="str">
        <f t="shared" si="237"/>
        <v/>
      </c>
      <c r="CO234" s="437">
        <f>IF(AND($D234&gt;0,AC234=""),1,IF(AC234&gt;D234,1,0))</f>
        <v>0</v>
      </c>
      <c r="CP234" s="437">
        <f>IF((AD234)&gt;D234,1,0)</f>
        <v>0</v>
      </c>
      <c r="CQ234" s="437">
        <f t="shared" si="231"/>
        <v>0</v>
      </c>
      <c r="CR234" s="437">
        <f t="shared" si="231"/>
        <v>0</v>
      </c>
    </row>
    <row r="235" spans="1:100" ht="15" customHeight="1" x14ac:dyDescent="0.3">
      <c r="A235" s="6717" t="s">
        <v>1799</v>
      </c>
      <c r="B235" s="6718"/>
      <c r="C235" s="6719"/>
      <c r="D235" s="3813"/>
      <c r="E235" s="3814"/>
      <c r="F235" s="3815"/>
      <c r="G235" s="2692"/>
      <c r="H235" s="2668"/>
      <c r="I235" s="2667"/>
      <c r="J235" s="2668"/>
      <c r="K235" s="2667"/>
      <c r="L235" s="2668"/>
      <c r="M235" s="2667"/>
      <c r="N235" s="2668"/>
      <c r="O235" s="2667"/>
      <c r="P235" s="2668"/>
      <c r="Q235" s="2667"/>
      <c r="R235" s="2668"/>
      <c r="S235" s="2667"/>
      <c r="T235" s="2668"/>
      <c r="U235" s="2667"/>
      <c r="V235" s="2668"/>
      <c r="W235" s="2667"/>
      <c r="X235" s="2668"/>
      <c r="Y235" s="2667"/>
      <c r="Z235" s="2668"/>
      <c r="AA235" s="2667"/>
      <c r="AB235" s="3816"/>
      <c r="AC235" s="3817"/>
      <c r="AD235" s="590">
        <f t="shared" si="232"/>
        <v>0</v>
      </c>
      <c r="AE235" s="3811"/>
      <c r="AF235" s="3811"/>
      <c r="AG235" s="3818"/>
      <c r="AH235" s="3819"/>
      <c r="AI235" s="2668"/>
      <c r="AJ235" t="str">
        <f t="shared" si="233"/>
        <v/>
      </c>
      <c r="CA235" s="436"/>
      <c r="CB235" s="436"/>
      <c r="CC235" s="436"/>
      <c r="CD235" s="436"/>
      <c r="CO235" s="436"/>
      <c r="CP235" s="436"/>
      <c r="CQ235" s="436"/>
      <c r="CR235" s="436"/>
    </row>
    <row r="236" spans="1:100" ht="15" customHeight="1" x14ac:dyDescent="0.3">
      <c r="A236" s="6778" t="s">
        <v>1800</v>
      </c>
      <c r="B236" s="6778"/>
      <c r="C236" s="6763"/>
      <c r="D236" s="3820"/>
      <c r="E236" s="3821"/>
      <c r="F236" s="1943"/>
      <c r="G236" s="635"/>
      <c r="H236" s="636"/>
      <c r="I236" s="635"/>
      <c r="J236" s="636"/>
      <c r="K236" s="635"/>
      <c r="L236" s="636"/>
      <c r="M236" s="635"/>
      <c r="N236" s="636"/>
      <c r="O236" s="635"/>
      <c r="P236" s="636"/>
      <c r="Q236" s="635"/>
      <c r="R236" s="636"/>
      <c r="S236" s="635"/>
      <c r="T236" s="636"/>
      <c r="U236" s="635"/>
      <c r="V236" s="636"/>
      <c r="W236" s="635"/>
      <c r="X236" s="636"/>
      <c r="Y236" s="635"/>
      <c r="Z236" s="636"/>
      <c r="AA236" s="635"/>
      <c r="AB236" s="3822"/>
      <c r="AC236" s="3823"/>
      <c r="AD236" s="3673">
        <f t="shared" si="232"/>
        <v>0</v>
      </c>
      <c r="AE236" s="3710"/>
      <c r="AF236" s="3710"/>
      <c r="AG236" s="3824"/>
      <c r="AH236" s="3825"/>
      <c r="AI236" s="636"/>
      <c r="AJ236" t="str">
        <f t="shared" si="233"/>
        <v/>
      </c>
      <c r="CA236" s="436"/>
      <c r="CB236" s="436"/>
      <c r="CC236" s="436"/>
      <c r="CD236" s="436"/>
      <c r="CO236" s="436"/>
      <c r="CP236" s="436"/>
      <c r="CQ236" s="436"/>
      <c r="CR236" s="436"/>
    </row>
    <row r="237" spans="1:100" ht="18" customHeight="1" x14ac:dyDescent="0.3">
      <c r="A237" s="3" t="s">
        <v>1801</v>
      </c>
      <c r="B237" s="1270"/>
      <c r="C237" s="3551"/>
      <c r="D237" s="4"/>
      <c r="E237" s="4"/>
      <c r="F237" s="3"/>
      <c r="G237" s="3"/>
      <c r="H237" s="3"/>
      <c r="I237" s="4"/>
      <c r="K237" s="3826"/>
      <c r="L237" s="4"/>
      <c r="M237" s="3827"/>
      <c r="N237" s="3827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  <c r="AG237" s="88"/>
      <c r="AH237" s="88"/>
      <c r="AI237" s="88"/>
      <c r="AJ237" s="88"/>
      <c r="AK237" s="88"/>
      <c r="AL237" s="3552"/>
      <c r="AM237" s="3552"/>
      <c r="AN237" s="3552"/>
      <c r="AO237" s="3552"/>
      <c r="AP237" s="3552"/>
    </row>
    <row r="238" spans="1:100" ht="15" customHeight="1" x14ac:dyDescent="0.3">
      <c r="A238" s="6307" t="s">
        <v>219</v>
      </c>
      <c r="B238" s="6223"/>
      <c r="C238" s="6308"/>
      <c r="D238" s="5944" t="s">
        <v>77</v>
      </c>
      <c r="E238" s="6242"/>
      <c r="F238" s="6250"/>
      <c r="G238" s="6779" t="s">
        <v>1802</v>
      </c>
      <c r="H238" s="6509" t="s">
        <v>1803</v>
      </c>
      <c r="I238" s="6509" t="s">
        <v>1804</v>
      </c>
      <c r="J238" s="6509" t="s">
        <v>1805</v>
      </c>
      <c r="K238" s="6781" t="s">
        <v>1573</v>
      </c>
    </row>
    <row r="239" spans="1:100" ht="15" customHeight="1" x14ac:dyDescent="0.3">
      <c r="A239" s="6559"/>
      <c r="B239" s="6686"/>
      <c r="C239" s="6063"/>
      <c r="D239" s="6466"/>
      <c r="E239" s="6467"/>
      <c r="F239" s="6491"/>
      <c r="G239" s="6780"/>
      <c r="H239" s="6118"/>
      <c r="I239" s="6118"/>
      <c r="J239" s="6118"/>
      <c r="K239" s="6782"/>
    </row>
    <row r="240" spans="1:100" ht="15" customHeight="1" x14ac:dyDescent="0.3">
      <c r="A240" s="6482"/>
      <c r="B240" s="6481"/>
      <c r="C240" s="6645"/>
      <c r="D240" s="5437" t="s">
        <v>79</v>
      </c>
      <c r="E240" s="3138" t="s">
        <v>58</v>
      </c>
      <c r="F240" s="593" t="s">
        <v>59</v>
      </c>
      <c r="G240" s="5904"/>
      <c r="H240" s="5818"/>
      <c r="I240" s="5818"/>
      <c r="J240" s="5818"/>
      <c r="K240" s="6783"/>
    </row>
    <row r="241" spans="1:104" ht="15" customHeight="1" x14ac:dyDescent="0.3">
      <c r="A241" s="6646" t="s">
        <v>1806</v>
      </c>
      <c r="B241" s="6789"/>
      <c r="C241" s="6647"/>
      <c r="D241" s="5633">
        <f>SUM(E241:F241)</f>
        <v>0</v>
      </c>
      <c r="E241" s="3082"/>
      <c r="F241" s="3828"/>
      <c r="G241" s="3829"/>
      <c r="H241" s="773"/>
      <c r="I241" s="773"/>
      <c r="J241" s="773"/>
      <c r="K241" s="637"/>
      <c r="L241" t="str">
        <f>CA241&amp;CB241&amp;CC241&amp;CD241&amp;CE241</f>
        <v/>
      </c>
      <c r="CA241" s="434" t="str">
        <f>IF(AND($D241&gt;0,G241="")," * No olvide digitar la variable Procedimiento. Digite Cero si no tiene.",IF(G241&gt;$D241," * La variable Procedimiento no puede superar el Total Ambos Sexos.",""))</f>
        <v/>
      </c>
      <c r="CB241" s="434" t="str">
        <f>IF(AND($D241&gt;0,H241="")," * No olvide digitar la variable Cirugía menor. Digite Cero si no tiene.",IF(H241&gt;$D241," * La variable Cirugía menor no puede superar el Total Ambos Sexos.",""))</f>
        <v/>
      </c>
      <c r="CC241" s="434" t="str">
        <f>IF(AND($D241&gt;0,I241="")," * No olvide digitar la variable Cirugía mayor no ambulatoria urgencia/electiva. Digite Cero si no tiene.",IF(I241&gt;$D241," * La variable Cirugía mayor no ambulatoria urgencia/electiva no puede superar el Total Ambos Sexos.",""))</f>
        <v/>
      </c>
      <c r="CD241" s="434" t="str">
        <f>IF(AND($D241&gt;0,J241="")," * No olvide digitar la variable Cirugía mayor ambulatoria urgencia/electiva. Digite Cero si no tiene.",IF(J241&gt;$D241," * La variable Cirugía mayor  ambulatoria urgencia/electiva no puede superar el Total Ambos Sexos.",""))</f>
        <v/>
      </c>
      <c r="CE241" s="434" t="str">
        <f>IF(AND($D241&gt;0,K241="")," * No olvide digitar la variable Usuarios con Discapacidad. Digite Cero si no tiene.",IF(K241&gt;$D241," * La variable Usuarios con Discapacidad no puede superar el Total Ambos Sexos.",""))</f>
        <v/>
      </c>
      <c r="CO241" s="437">
        <f t="shared" ref="CO241:CS245" si="239">IF(AND($D241&gt;0,G241=""),1,IF(G241&gt;$D241,1,0))</f>
        <v>0</v>
      </c>
      <c r="CP241" s="437">
        <f t="shared" si="239"/>
        <v>0</v>
      </c>
      <c r="CQ241" s="437">
        <f t="shared" si="239"/>
        <v>0</v>
      </c>
      <c r="CR241" s="437">
        <f t="shared" si="239"/>
        <v>0</v>
      </c>
      <c r="CS241" s="437">
        <f t="shared" si="239"/>
        <v>0</v>
      </c>
    </row>
    <row r="242" spans="1:104" ht="15" customHeight="1" x14ac:dyDescent="0.3">
      <c r="A242" s="6349" t="s">
        <v>1807</v>
      </c>
      <c r="B242" s="6706"/>
      <c r="C242" s="6350"/>
      <c r="D242" s="5634">
        <f>SUM(E242:F242)</f>
        <v>0</v>
      </c>
      <c r="E242" s="3145"/>
      <c r="F242" s="3830"/>
      <c r="G242" s="3831"/>
      <c r="H242" s="1278"/>
      <c r="I242" s="1278"/>
      <c r="J242" s="1278"/>
      <c r="K242" s="1118"/>
      <c r="L242" t="str">
        <f t="shared" ref="L242:L245" si="240">CA242&amp;CB242&amp;CC242&amp;CD242&amp;CE242</f>
        <v/>
      </c>
      <c r="CA242" s="434" t="str">
        <f t="shared" ref="CA242:CA243" si="241">IF(AND($D242&gt;0,G242="")," * No olvide digitar la variable Procedimiento. Digite Cero si no tiene.",IF(G242&gt;$D242," * La variable Procedimiento no puede superar el Total Ambos Sexos.",""))</f>
        <v/>
      </c>
      <c r="CB242" s="434" t="str">
        <f t="shared" ref="CB242:CB245" si="242">IF(AND($D242&gt;0,H242="")," * No olvide digitar la variable Cirugía menor. Digite Cero si no tiene.",IF(H242&gt;$D242," * La variable Cirugía menor no puede superar el Total Ambos Sexos.",""))</f>
        <v/>
      </c>
      <c r="CC242" s="434" t="str">
        <f t="shared" ref="CC242:CC245" si="243">IF(AND($D242&gt;0,I242="")," * No olvide digitar la variable Cirugía mayor no ambulatoria urgencia/electiva. Digite Cero si no tiene.",IF(I242&gt;$D242," * La variable Cirugía mayor no ambulatoria urgencia/electiva no puede superar el Total Ambos Sexos.",""))</f>
        <v/>
      </c>
      <c r="CD242" s="434" t="str">
        <f t="shared" ref="CD242:CD245" si="244">IF(AND($D242&gt;0,J242="")," * No olvide digitar la variable Cirugía mayor ambulatoria urgencia/electiva. Digite Cero si no tiene.",IF(J242&gt;$D242," * La variable Cirugía mayor  ambulatoria urgencia/electiva no puede superar el Total Ambos Sexos.",""))</f>
        <v/>
      </c>
      <c r="CE242" s="434" t="str">
        <f t="shared" ref="CE242:CE245" si="245">IF(AND($D242&gt;0,K242="")," * No olvide digitar la variable Usuarios con Discapacidad. Digite Cero si no tiene.",IF(K242&gt;$D242," * La variable Usuarios con Discapacidad no puede superar el Total Ambos Sexos.",""))</f>
        <v/>
      </c>
      <c r="CO242" s="437">
        <f t="shared" si="239"/>
        <v>0</v>
      </c>
      <c r="CP242" s="437">
        <f t="shared" si="239"/>
        <v>0</v>
      </c>
      <c r="CQ242" s="437">
        <f t="shared" si="239"/>
        <v>0</v>
      </c>
      <c r="CR242" s="437">
        <f t="shared" si="239"/>
        <v>0</v>
      </c>
      <c r="CS242" s="437">
        <f t="shared" si="239"/>
        <v>0</v>
      </c>
    </row>
    <row r="243" spans="1:104" ht="15" customHeight="1" x14ac:dyDescent="0.3">
      <c r="A243" s="6349" t="s">
        <v>1808</v>
      </c>
      <c r="B243" s="6706"/>
      <c r="C243" s="6350"/>
      <c r="D243" s="5634">
        <f>SUM(E243:F243)</f>
        <v>0</v>
      </c>
      <c r="E243" s="3145"/>
      <c r="F243" s="3830"/>
      <c r="G243" s="3831"/>
      <c r="H243" s="1278"/>
      <c r="I243" s="1278"/>
      <c r="J243" s="1278"/>
      <c r="K243" s="1118"/>
      <c r="L243" t="str">
        <f t="shared" si="240"/>
        <v/>
      </c>
      <c r="CA243" s="434" t="str">
        <f t="shared" si="241"/>
        <v/>
      </c>
      <c r="CB243" s="434" t="str">
        <f t="shared" si="242"/>
        <v/>
      </c>
      <c r="CC243" s="434" t="str">
        <f t="shared" si="243"/>
        <v/>
      </c>
      <c r="CD243" s="434" t="str">
        <f t="shared" si="244"/>
        <v/>
      </c>
      <c r="CE243" s="434" t="str">
        <f t="shared" si="245"/>
        <v/>
      </c>
      <c r="CO243" s="437">
        <f t="shared" si="239"/>
        <v>0</v>
      </c>
      <c r="CP243" s="437">
        <f t="shared" si="239"/>
        <v>0</v>
      </c>
      <c r="CQ243" s="437">
        <f t="shared" si="239"/>
        <v>0</v>
      </c>
      <c r="CR243" s="437">
        <f t="shared" si="239"/>
        <v>0</v>
      </c>
      <c r="CS243" s="437">
        <f t="shared" si="239"/>
        <v>0</v>
      </c>
    </row>
    <row r="244" spans="1:104" ht="15" customHeight="1" x14ac:dyDescent="0.3">
      <c r="A244" s="6349" t="s">
        <v>1809</v>
      </c>
      <c r="B244" s="6706"/>
      <c r="C244" s="6350"/>
      <c r="D244" s="5634">
        <f>SUM(E244:F244)</f>
        <v>0</v>
      </c>
      <c r="E244" s="3145"/>
      <c r="F244" s="481"/>
      <c r="G244" s="1326"/>
      <c r="H244" s="1278"/>
      <c r="I244" s="1278"/>
      <c r="J244" s="1278"/>
      <c r="K244" s="1118"/>
      <c r="L244" t="str">
        <f t="shared" si="240"/>
        <v/>
      </c>
      <c r="CA244" s="434" t="str">
        <f>IF(AND($D244&gt;0,G244="")," * No olvide digitar la variable Procedimiento. Digite Cero si no tiene.",IF(G244&gt;$D244," * La variable Procedimiento no puede superar el Total Ambos Sexos.",""))</f>
        <v/>
      </c>
      <c r="CB244" s="434" t="str">
        <f>IF(AND($D244&gt;0,H244="")," * No olvide digitar la variable Cirugía menor. Digite Cero si no tiene.",IF(H244&gt;$D244," * La variable Cirugía menor no puede superar el Total Ambos Sexos.",""))</f>
        <v/>
      </c>
      <c r="CC244" s="434" t="str">
        <f>IF(AND($D244&gt;0,I244="")," * No olvide digitar la variable Cirugía mayor no ambulatoria urgencia/electiva. Digite Cero si no tiene.",IF(I244&gt;$D244," * La variable Cirugía mayor no ambulatoria urgencia/electiva no puede superar el Total Ambos Sexos.",""))</f>
        <v/>
      </c>
      <c r="CD244" s="434" t="str">
        <f>IF(AND($D244&gt;0,J244="")," * No olvide digitar la variable Cirugía mayor ambulatoria urgencia/electiva. Digite Cero si no tiene.",IF(J244&gt;$D244," * La variable Cirugía mayor  ambulatoria urgencia/electiva no puede superar el Total Ambos Sexos.",""))</f>
        <v/>
      </c>
      <c r="CE244" s="434" t="str">
        <f>IF(AND($D244&gt;0,K244="")," * No olvide digitar la variable Usuarios con Discapacidad. Digite Cero si no tiene.",IF(K244&gt;$D244," * La variable Usuarios con Discapacidad no puede superar el Total Ambos Sexos.",""))</f>
        <v/>
      </c>
      <c r="CO244" s="437">
        <f t="shared" si="239"/>
        <v>0</v>
      </c>
      <c r="CP244" s="437">
        <f t="shared" si="239"/>
        <v>0</v>
      </c>
      <c r="CQ244" s="437">
        <f t="shared" si="239"/>
        <v>0</v>
      </c>
      <c r="CR244" s="437">
        <f t="shared" si="239"/>
        <v>0</v>
      </c>
      <c r="CS244" s="437">
        <f t="shared" si="239"/>
        <v>0</v>
      </c>
    </row>
    <row r="245" spans="1:104" ht="15" customHeight="1" x14ac:dyDescent="0.3">
      <c r="A245" s="6648" t="s">
        <v>1810</v>
      </c>
      <c r="B245" s="6738"/>
      <c r="C245" s="6649"/>
      <c r="D245" s="5635">
        <f>SUM(E245:F245)</f>
        <v>0</v>
      </c>
      <c r="E245" s="5632"/>
      <c r="F245" s="3824"/>
      <c r="G245" s="3832"/>
      <c r="H245" s="1283"/>
      <c r="I245" s="1283"/>
      <c r="J245" s="1283"/>
      <c r="K245" s="3216"/>
      <c r="L245" t="str">
        <f t="shared" si="240"/>
        <v/>
      </c>
      <c r="CA245" s="434" t="str">
        <f>IF(AND($D245&gt;0,G245="")," * No olvide digitar la variable Procedimiento. Digite Cero si no tiene.",IF(G245&gt;$D245," * La variable Procedimiento no puede superar el Total Ambos Sexos.",""))</f>
        <v/>
      </c>
      <c r="CB245" s="434" t="str">
        <f t="shared" si="242"/>
        <v/>
      </c>
      <c r="CC245" s="434" t="str">
        <f t="shared" si="243"/>
        <v/>
      </c>
      <c r="CD245" s="434" t="str">
        <f t="shared" si="244"/>
        <v/>
      </c>
      <c r="CE245" s="434" t="str">
        <f t="shared" si="245"/>
        <v/>
      </c>
      <c r="CO245" s="437">
        <f t="shared" si="239"/>
        <v>0</v>
      </c>
      <c r="CP245" s="437">
        <f t="shared" si="239"/>
        <v>0</v>
      </c>
      <c r="CQ245" s="437">
        <f t="shared" si="239"/>
        <v>0</v>
      </c>
      <c r="CR245" s="437">
        <f t="shared" si="239"/>
        <v>0</v>
      </c>
      <c r="CS245" s="437">
        <f t="shared" si="239"/>
        <v>0</v>
      </c>
    </row>
    <row r="246" spans="1:104" ht="15" customHeight="1" x14ac:dyDescent="0.3">
      <c r="A246" s="3" t="s">
        <v>1811</v>
      </c>
      <c r="B246" s="3833"/>
      <c r="C246" s="3833"/>
      <c r="D246" s="2182"/>
      <c r="E246" s="2182"/>
      <c r="F246" s="2182"/>
      <c r="G246" s="3834"/>
      <c r="H246" s="3834"/>
      <c r="I246" s="3834"/>
      <c r="J246" s="3835"/>
      <c r="K246" s="3836"/>
      <c r="L246" s="3834"/>
      <c r="M246" s="3836"/>
      <c r="N246" s="3837"/>
      <c r="O246" s="1873"/>
      <c r="P246" s="1873"/>
      <c r="Q246" s="1873"/>
      <c r="R246" s="1873"/>
      <c r="S246" s="1873"/>
      <c r="T246" s="1873"/>
      <c r="U246" s="1873"/>
      <c r="V246" s="1873"/>
      <c r="W246" s="1873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t="str">
        <f t="shared" si="230"/>
        <v/>
      </c>
    </row>
    <row r="247" spans="1:104" ht="15" customHeight="1" x14ac:dyDescent="0.3">
      <c r="A247" s="6754" t="s">
        <v>1812</v>
      </c>
      <c r="B247" s="6627"/>
      <c r="C247" s="6628"/>
      <c r="D247" s="5944" t="s">
        <v>1813</v>
      </c>
      <c r="E247" s="6242"/>
      <c r="F247" s="6243"/>
      <c r="G247" s="6688" t="s">
        <v>101</v>
      </c>
      <c r="H247" s="6247"/>
      <c r="I247" s="6247"/>
      <c r="J247" s="6247"/>
      <c r="K247" s="6247"/>
      <c r="L247" s="6247"/>
      <c r="M247" s="6247"/>
      <c r="N247" s="6247"/>
      <c r="O247" s="6247"/>
      <c r="P247" s="6247"/>
      <c r="Q247" s="6247"/>
      <c r="R247" s="6247"/>
      <c r="S247" s="6247"/>
      <c r="T247" s="6247"/>
      <c r="U247" s="6247"/>
      <c r="V247" s="6247"/>
      <c r="W247" s="6247"/>
      <c r="X247" s="6247"/>
      <c r="Y247" s="6247"/>
      <c r="Z247" s="6247"/>
      <c r="AA247" s="6247"/>
      <c r="AB247" s="6247"/>
      <c r="AC247" s="6247"/>
      <c r="AD247" s="6247"/>
      <c r="AE247" s="6247"/>
      <c r="AF247" s="6247"/>
      <c r="AG247" s="6247"/>
      <c r="AH247" s="6247"/>
      <c r="AI247" s="6247"/>
      <c r="AJ247" s="6247"/>
      <c r="AK247" s="6247"/>
      <c r="AL247" s="6689"/>
      <c r="AM247" s="6249" t="s">
        <v>453</v>
      </c>
      <c r="AN247" s="6265" t="s">
        <v>1814</v>
      </c>
      <c r="AO247" s="6793" t="s">
        <v>1815</v>
      </c>
      <c r="AP247" s="6795"/>
      <c r="AQ247" s="6186" t="s">
        <v>776</v>
      </c>
      <c r="AR247" s="6690" t="s">
        <v>1594</v>
      </c>
      <c r="AS247" s="6690" t="s">
        <v>1816</v>
      </c>
      <c r="AT247" s="6813" t="s">
        <v>1573</v>
      </c>
      <c r="AU247" s="6816" t="s">
        <v>1817</v>
      </c>
      <c r="AV247" s="6662" t="s">
        <v>1250</v>
      </c>
      <c r="AW247" s="6818" t="s">
        <v>37</v>
      </c>
      <c r="AX247" s="6628" t="s">
        <v>322</v>
      </c>
    </row>
    <row r="248" spans="1:104" ht="15" customHeight="1" x14ac:dyDescent="0.3">
      <c r="A248" s="6755"/>
      <c r="B248" s="6756"/>
      <c r="C248" s="6757"/>
      <c r="D248" s="6466"/>
      <c r="E248" s="6467"/>
      <c r="F248" s="6687"/>
      <c r="G248" s="6679" t="s">
        <v>4404</v>
      </c>
      <c r="H248" s="6693"/>
      <c r="I248" s="6688" t="s">
        <v>1577</v>
      </c>
      <c r="J248" s="6277"/>
      <c r="K248" s="6688" t="s">
        <v>383</v>
      </c>
      <c r="L248" s="6277"/>
      <c r="M248" s="6688" t="s">
        <v>384</v>
      </c>
      <c r="N248" s="6277"/>
      <c r="O248" s="6688" t="s">
        <v>385</v>
      </c>
      <c r="P248" s="6277"/>
      <c r="Q248" s="6688" t="s">
        <v>386</v>
      </c>
      <c r="R248" s="6277"/>
      <c r="S248" s="6688" t="s">
        <v>1578</v>
      </c>
      <c r="T248" s="6277"/>
      <c r="U248" s="6688" t="s">
        <v>303</v>
      </c>
      <c r="V248" s="6694"/>
      <c r="W248" s="6688" t="s">
        <v>304</v>
      </c>
      <c r="X248" s="6694"/>
      <c r="Y248" s="6688" t="s">
        <v>1818</v>
      </c>
      <c r="Z248" s="6694"/>
      <c r="AA248" s="6688" t="s">
        <v>1819</v>
      </c>
      <c r="AB248" s="6694"/>
      <c r="AC248" s="6688" t="s">
        <v>1820</v>
      </c>
      <c r="AD248" s="6694"/>
      <c r="AE248" s="6688" t="s">
        <v>1821</v>
      </c>
      <c r="AF248" s="6694"/>
      <c r="AG248" s="6688" t="s">
        <v>1583</v>
      </c>
      <c r="AH248" s="6694"/>
      <c r="AI248" s="6688" t="s">
        <v>1584</v>
      </c>
      <c r="AJ248" s="6694"/>
      <c r="AK248" s="6688" t="s">
        <v>938</v>
      </c>
      <c r="AL248" s="6694"/>
      <c r="AM248" s="5766"/>
      <c r="AN248" s="5798"/>
      <c r="AO248" s="6186" t="s">
        <v>1822</v>
      </c>
      <c r="AP248" s="6819" t="s">
        <v>1823</v>
      </c>
      <c r="AQ248" s="5834"/>
      <c r="AR248" s="6691"/>
      <c r="AS248" s="6691"/>
      <c r="AT248" s="6814"/>
      <c r="AU248" s="6816"/>
      <c r="AV248" s="6817"/>
      <c r="AW248" s="6818" t="s">
        <v>37</v>
      </c>
      <c r="AX248" s="6757"/>
    </row>
    <row r="249" spans="1:104" ht="20.25" customHeight="1" x14ac:dyDescent="0.3">
      <c r="A249" s="6758"/>
      <c r="B249" s="6629"/>
      <c r="C249" s="6696"/>
      <c r="D249" s="3838" t="s">
        <v>79</v>
      </c>
      <c r="E249" s="3424" t="s">
        <v>58</v>
      </c>
      <c r="F249" s="90" t="s">
        <v>59</v>
      </c>
      <c r="G249" s="3488" t="s">
        <v>58</v>
      </c>
      <c r="H249" s="605" t="s">
        <v>59</v>
      </c>
      <c r="I249" s="3488" t="s">
        <v>58</v>
      </c>
      <c r="J249" s="605" t="s">
        <v>59</v>
      </c>
      <c r="K249" s="3488" t="s">
        <v>58</v>
      </c>
      <c r="L249" s="605" t="s">
        <v>59</v>
      </c>
      <c r="M249" s="3488" t="s">
        <v>58</v>
      </c>
      <c r="N249" s="605" t="s">
        <v>59</v>
      </c>
      <c r="O249" s="3488" t="s">
        <v>58</v>
      </c>
      <c r="P249" s="605" t="s">
        <v>59</v>
      </c>
      <c r="Q249" s="3488" t="s">
        <v>58</v>
      </c>
      <c r="R249" s="605" t="s">
        <v>59</v>
      </c>
      <c r="S249" s="3488" t="s">
        <v>58</v>
      </c>
      <c r="T249" s="605" t="s">
        <v>59</v>
      </c>
      <c r="U249" s="3488" t="s">
        <v>58</v>
      </c>
      <c r="V249" s="605" t="s">
        <v>59</v>
      </c>
      <c r="W249" s="3488" t="s">
        <v>58</v>
      </c>
      <c r="X249" s="605" t="s">
        <v>59</v>
      </c>
      <c r="Y249" s="3488" t="s">
        <v>58</v>
      </c>
      <c r="Z249" s="605" t="s">
        <v>59</v>
      </c>
      <c r="AA249" s="3488" t="s">
        <v>58</v>
      </c>
      <c r="AB249" s="605" t="s">
        <v>59</v>
      </c>
      <c r="AC249" s="3488" t="s">
        <v>58</v>
      </c>
      <c r="AD249" s="605" t="s">
        <v>59</v>
      </c>
      <c r="AE249" s="3488" t="s">
        <v>58</v>
      </c>
      <c r="AF249" s="605" t="s">
        <v>59</v>
      </c>
      <c r="AG249" s="3488" t="s">
        <v>58</v>
      </c>
      <c r="AH249" s="605" t="s">
        <v>59</v>
      </c>
      <c r="AI249" s="3488" t="s">
        <v>58</v>
      </c>
      <c r="AJ249" s="605" t="s">
        <v>59</v>
      </c>
      <c r="AK249" s="3488" t="s">
        <v>58</v>
      </c>
      <c r="AL249" s="605" t="s">
        <v>59</v>
      </c>
      <c r="AM249" s="5767"/>
      <c r="AN249" s="5799"/>
      <c r="AO249" s="6483"/>
      <c r="AP249" s="6820"/>
      <c r="AQ249" s="6483"/>
      <c r="AR249" s="6692"/>
      <c r="AS249" s="6692"/>
      <c r="AT249" s="6815"/>
      <c r="AU249" s="6816"/>
      <c r="AV249" s="6664"/>
      <c r="AW249" s="6818"/>
      <c r="AX249" s="6696"/>
    </row>
    <row r="250" spans="1:104" ht="15" customHeight="1" x14ac:dyDescent="0.3">
      <c r="A250" s="6659" t="s">
        <v>1824</v>
      </c>
      <c r="B250" s="6792" t="s">
        <v>1825</v>
      </c>
      <c r="C250" s="6335"/>
      <c r="D250" s="3840">
        <f>SUM(E250+F250)</f>
        <v>0</v>
      </c>
      <c r="E250" s="3639">
        <f>SUM(G250++I250+K250+M250+O250+Q250+S250+U250+W250+Y250+AA250+AC250+AE250+AG250+AI250+AK250)</f>
        <v>0</v>
      </c>
      <c r="F250" s="3553">
        <f>SUM(H250++J250+L250+N250+P250+R250+T250+V250+X250+Z250+AB250+AD250+AF250+AH250+AJ250+AL250)</f>
        <v>0</v>
      </c>
      <c r="G250" s="3841"/>
      <c r="H250" s="859"/>
      <c r="I250" s="3842"/>
      <c r="J250" s="859"/>
      <c r="K250" s="3842"/>
      <c r="L250" s="859"/>
      <c r="M250" s="3842"/>
      <c r="N250" s="859"/>
      <c r="O250" s="3842"/>
      <c r="P250" s="859"/>
      <c r="Q250" s="3842"/>
      <c r="R250" s="859"/>
      <c r="S250" s="3842"/>
      <c r="T250" s="826"/>
      <c r="U250" s="3842"/>
      <c r="V250" s="826"/>
      <c r="W250" s="3842"/>
      <c r="X250" s="826"/>
      <c r="Y250" s="3842"/>
      <c r="Z250" s="826"/>
      <c r="AA250" s="3842"/>
      <c r="AB250" s="826"/>
      <c r="AC250" s="3842"/>
      <c r="AD250" s="826"/>
      <c r="AE250" s="3842"/>
      <c r="AF250" s="826"/>
      <c r="AG250" s="3842"/>
      <c r="AH250" s="826"/>
      <c r="AI250" s="3842"/>
      <c r="AJ250" s="826"/>
      <c r="AK250" s="3842"/>
      <c r="AL250" s="826"/>
      <c r="AM250" s="824"/>
      <c r="AN250" s="3843"/>
      <c r="AO250" s="3844"/>
      <c r="AP250" s="3845"/>
      <c r="AQ250" s="3846"/>
      <c r="AR250" s="3842"/>
      <c r="AS250" s="3847"/>
      <c r="AT250" s="3841"/>
      <c r="AU250" s="826"/>
      <c r="AV250" s="3847"/>
      <c r="AW250" s="3841"/>
      <c r="AX250" s="826"/>
      <c r="AY250" t="str">
        <f>CA250&amp;CB250&amp;CC250&amp;CD250&amp;CE250&amp;CF250&amp;CG250&amp;CH250&amp;CI250&amp;CJ250&amp;CK250&amp;CL250</f>
        <v/>
      </c>
      <c r="CA250" s="434" t="str">
        <f>IF(AND($F250&gt;0,AM250="")," * No olvide digitar la variable Gestante. Digite cero si no tiene.",IF(AM250&gt;$F250," * La variable Gestante no puede superar el Total Mujeres.",""))</f>
        <v/>
      </c>
      <c r="CB250" s="434" t="str">
        <f>IF(AND(AG250+AH250&gt;0,AN250="")," * No olvide digitar la variable 60 años (incluido en grupos de 60-64 años). Digite Cero si no tiene.",IF(AN250&gt;AG250+AH250," * La variable 60 años (incluido en grupos de 60-64 años) no puede superar la suma del Grupo 60-64 años.",""))</f>
        <v/>
      </c>
      <c r="CC250" s="436"/>
      <c r="CD250" s="436"/>
      <c r="CE250" s="436"/>
      <c r="CF250" s="434" t="str">
        <f>IF(AND($D250&gt;0,AR250="")," * No olvide digitar la variable Compra de Servicio. Digite Cero si no tiene.",IF(AR250&gt;$D250," * La variable Compra de Servicio no puede superar el Total Ambos Sexos.",""))</f>
        <v/>
      </c>
      <c r="CG250" s="436"/>
      <c r="CH250" s="434" t="str">
        <f>IF(AND($D250&gt;0,AT250="")," * No olvide digitar la variable Usuarios con Dicapacidad. Digite Cero si no tiene.",IF(AT250&gt;$D250," * La variable Usuarios con Dicapacidad no puede superar el Total Ambos Sexos.",""))</f>
        <v/>
      </c>
      <c r="CI250" s="434" t="str">
        <f>IF(AND($D250&gt;0,AU250="")," * No olvide digitar la variable Usuarios Oncológicos. Digite Cero si no tiene.",IF(AU250&gt;$D250," * La variable Usuarios Oncológicos no puede superar el Total Ambos Sexos.",""))</f>
        <v/>
      </c>
      <c r="CJ250" s="436"/>
      <c r="CK250" s="434" t="str">
        <f>IF(AND($D250&gt;0,AW250="")," * No olvide digitar la variable Migrantes. Digite Cero si no tiene.",IF(AW250&gt;$D250," * La variable Migrantes no puede superar el Total Ambos Sexos.",""))</f>
        <v/>
      </c>
      <c r="CL250" s="434" t="str">
        <f>IF(AND($D250&gt;0,AX250=""),"  * No olvide digitar la variable Pueblo Originario. Digite Cero si no tiene.",IF(AX250&gt;$D250," * La variable Pueblo Originario no puede superar el Total Ambos Sexos.",""))</f>
        <v/>
      </c>
      <c r="CO250" s="435">
        <f>IF(AND($F250&gt;0,AM250=""),1,IF(AM250&gt;$F250,1,0))</f>
        <v>0</v>
      </c>
      <c r="CP250" s="435">
        <f>IF(AND(AG250+AH250&gt;0,AN250=""),1,IF(AN250&gt;AG250+AH250,1,0))</f>
        <v>0</v>
      </c>
      <c r="CQ250" s="436"/>
      <c r="CR250" s="436"/>
      <c r="CS250" s="436"/>
      <c r="CT250" s="435">
        <f>IF(AND($D250&gt;0,AR250=""),1,IF(AR250&gt;$D250,1,0))</f>
        <v>0</v>
      </c>
      <c r="CU250" s="436"/>
      <c r="CV250" s="435">
        <f>IF(AND($D250&gt;0,AT250=""),1,IF(AT250&gt;$D250,1,0))</f>
        <v>0</v>
      </c>
      <c r="CW250" s="435">
        <f>IF(AND($D250&gt;0,AU250=""),1,IF(AU250&gt;$D250,1,0))</f>
        <v>0</v>
      </c>
      <c r="CX250" s="436"/>
      <c r="CY250" s="435">
        <f>IF(AND($D250&gt;0,AW250=""),1,IF(AW250&gt;$D250,1,0))</f>
        <v>0</v>
      </c>
      <c r="CZ250" s="435">
        <f>IF(AND($D250&gt;0,AX250=""),1,IF(AX250&gt;$D250,1,0))</f>
        <v>0</v>
      </c>
    </row>
    <row r="251" spans="1:104" ht="15" customHeight="1" x14ac:dyDescent="0.3">
      <c r="A251" s="6044"/>
      <c r="B251" s="6295" t="s">
        <v>1826</v>
      </c>
      <c r="C251" s="6296"/>
      <c r="D251" s="3848">
        <f t="shared" ref="D251:D275" si="246">SUM(E251+F251)</f>
        <v>0</v>
      </c>
      <c r="E251" s="3610">
        <f t="shared" ref="E251:E287" si="247">SUM(G251++I251+K251+M251+O251+Q251+S251+U251+W251+Y251+AA251+AC251+AE251+AG251+AI251+AK251)</f>
        <v>0</v>
      </c>
      <c r="F251" s="3563">
        <f t="shared" ref="F251:F287" si="248">SUM(H251++J251+L251+N251+P251+R251+T251+V251+X251+Z251+AB251+AD251+AF251+AH251+AJ251+AL251)</f>
        <v>0</v>
      </c>
      <c r="G251" s="3849"/>
      <c r="H251" s="3850"/>
      <c r="I251" s="3851"/>
      <c r="J251" s="3850"/>
      <c r="K251" s="3851"/>
      <c r="L251" s="3850"/>
      <c r="M251" s="3851"/>
      <c r="N251" s="3850"/>
      <c r="O251" s="3851"/>
      <c r="P251" s="3850"/>
      <c r="Q251" s="3851"/>
      <c r="R251" s="3850"/>
      <c r="S251" s="3851"/>
      <c r="T251" s="838"/>
      <c r="U251" s="3851"/>
      <c r="V251" s="838"/>
      <c r="W251" s="3851"/>
      <c r="X251" s="838"/>
      <c r="Y251" s="3851"/>
      <c r="Z251" s="838"/>
      <c r="AA251" s="3851"/>
      <c r="AB251" s="838"/>
      <c r="AC251" s="3851"/>
      <c r="AD251" s="838"/>
      <c r="AE251" s="3851"/>
      <c r="AF251" s="838"/>
      <c r="AG251" s="3851"/>
      <c r="AH251" s="838"/>
      <c r="AI251" s="3851"/>
      <c r="AJ251" s="838"/>
      <c r="AK251" s="3851"/>
      <c r="AL251" s="838"/>
      <c r="AM251" s="837"/>
      <c r="AN251" s="3852"/>
      <c r="AO251" s="3844"/>
      <c r="AP251" s="3853"/>
      <c r="AQ251" s="3846"/>
      <c r="AR251" s="3851"/>
      <c r="AS251" s="3853"/>
      <c r="AT251" s="3849"/>
      <c r="AU251" s="838"/>
      <c r="AV251" s="3853"/>
      <c r="AW251" s="3849"/>
      <c r="AX251" s="838"/>
      <c r="AY251" t="str">
        <f t="shared" ref="AY251:AY314" si="249">CA251&amp;CB251&amp;CC251&amp;CD251&amp;CE251&amp;CF251&amp;CG251&amp;CH251&amp;CI251&amp;CJ251&amp;CK251&amp;CL251</f>
        <v/>
      </c>
      <c r="CA251" s="434" t="str">
        <f t="shared" ref="CA251:CA314" si="250">IF(AND($F251&gt;0,AM251="")," * No olvide digitar la variable Gestante. Digite cero si no tiene.",IF(AM251&gt;$F251," * La variable Gestante no puede superar el Total Mujeres.",""))</f>
        <v/>
      </c>
      <c r="CB251" s="434" t="str">
        <f t="shared" ref="CB251:CB314" si="251">IF(AND(AG251+AH251&gt;0,AN251="")," * No olvide digitar la variable 60 años (incluido en grupos de 60-64 años). Digite Cero si no tiene.",IF(AN251&gt;AG251+AH251," * La variable 60 años (incluido en grupos de 60-64 años) no puede superar la suma del Grupo 60-64 años.",""))</f>
        <v/>
      </c>
      <c r="CC251" s="436"/>
      <c r="CD251" s="436"/>
      <c r="CE251" s="436"/>
      <c r="CF251" s="434" t="str">
        <f t="shared" ref="CF251:CF314" si="252">IF(AND($D251&gt;0,AR251="")," * No olvide digitar la variable Compra de Servicio. Digite Cero si no tiene.",IF(AR251&gt;$D251," * La variable Compra de Servicio no puede superar el Total Ambos Sexos.",""))</f>
        <v/>
      </c>
      <c r="CG251" s="436"/>
      <c r="CH251" s="434" t="str">
        <f t="shared" ref="CH251:CH314" si="253">IF(AND($D251&gt;0,AT251="")," * No olvide digitar la variable Usuarios con Dicapacidad. Digite Cero si no tiene.",IF(AT251&gt;$D251," * La variable Usuarios con Dicapacidad no puede superar el Total Ambos Sexos.",""))</f>
        <v/>
      </c>
      <c r="CI251" s="434" t="str">
        <f t="shared" ref="CI251:CI314" si="254">IF(AND($D251&gt;0,AU251="")," * No olvide digitar la variable Usuarios Oncológicos. Digite Cero si no tiene.",IF(AU251&gt;$D251," * La variable Usuarios Oncológicos no puede superar el Total Ambos Sexos.",""))</f>
        <v/>
      </c>
      <c r="CJ251" s="436"/>
      <c r="CK251" s="434" t="str">
        <f t="shared" ref="CK251:CK314" si="255">IF(AND($D251&gt;0,AW251="")," * No olvide digitar la variable Migrantes. Digite Cero si no tiene.",IF(AW251&gt;$D251," * La variable Migrantes no puede superar el Total Ambos Sexos.",""))</f>
        <v/>
      </c>
      <c r="CL251" s="434" t="str">
        <f t="shared" ref="CL251:CL314" si="256">IF(AND($D251&gt;0,AX251=""),"  * No olvide digitar la variable Pueblo Originario. Digite Cero si no tiene.",IF(AX251&gt;$D251," * La variable Pueblo Originario no puede superar el Total Ambos Sexos.",""))</f>
        <v/>
      </c>
      <c r="CO251" s="435">
        <f t="shared" ref="CO251:CO314" si="257">IF(AND($F251&gt;0,AM251=""),1,IF(AM251&gt;$F251,1,0))</f>
        <v>0</v>
      </c>
      <c r="CP251" s="435">
        <f t="shared" ref="CP251:CP314" si="258">IF(AND(AG251+AH251&gt;0,AN251=""),1,IF(AN251&gt;AG251+AH251,1,0))</f>
        <v>0</v>
      </c>
      <c r="CQ251" s="436"/>
      <c r="CR251" s="436"/>
      <c r="CS251" s="436"/>
      <c r="CT251" s="435">
        <f t="shared" ref="CT251:CT314" si="259">IF(AND($D251&gt;0,AR251=""),1,IF(AR251&gt;$D251,1,0))</f>
        <v>0</v>
      </c>
      <c r="CU251" s="436"/>
      <c r="CV251" s="435">
        <f t="shared" ref="CV251:CV314" si="260">IF(AND($D251&gt;0,AT251=""),1,IF(AT251&gt;$D251,1,0))</f>
        <v>0</v>
      </c>
      <c r="CW251" s="435">
        <f t="shared" ref="CW251:CX314" si="261">IF(AND($D251&gt;0,AU251=""),1,IF(AU251&gt;$D251,1,0))</f>
        <v>0</v>
      </c>
      <c r="CX251" s="436"/>
      <c r="CY251" s="435">
        <f t="shared" ref="CY251:CY314" si="262">IF(AND($D251&gt;0,AW251=""),1,IF(AW251&gt;$D251,1,0))</f>
        <v>0</v>
      </c>
      <c r="CZ251" s="435">
        <f t="shared" ref="CZ251:CZ314" si="263">IF(AND($D251&gt;0,AX251=""),1,IF(AX251&gt;$D251,1,0))</f>
        <v>0</v>
      </c>
    </row>
    <row r="252" spans="1:104" ht="15" customHeight="1" x14ac:dyDescent="0.3">
      <c r="A252" s="6185" t="s">
        <v>1827</v>
      </c>
      <c r="B252" s="6790" t="s">
        <v>1828</v>
      </c>
      <c r="C252" s="6790"/>
      <c r="D252" s="3805">
        <f t="shared" si="246"/>
        <v>0</v>
      </c>
      <c r="E252" s="3639">
        <f t="shared" si="247"/>
        <v>0</v>
      </c>
      <c r="F252" s="3553">
        <f t="shared" si="248"/>
        <v>0</v>
      </c>
      <c r="G252" s="3841"/>
      <c r="H252" s="859"/>
      <c r="I252" s="3842"/>
      <c r="J252" s="859"/>
      <c r="K252" s="3842"/>
      <c r="L252" s="859"/>
      <c r="M252" s="3842"/>
      <c r="N252" s="859"/>
      <c r="O252" s="3842"/>
      <c r="P252" s="859"/>
      <c r="Q252" s="3842"/>
      <c r="R252" s="859"/>
      <c r="S252" s="3842"/>
      <c r="T252" s="826"/>
      <c r="U252" s="3842"/>
      <c r="V252" s="826"/>
      <c r="W252" s="3842"/>
      <c r="X252" s="826"/>
      <c r="Y252" s="3842"/>
      <c r="Z252" s="826"/>
      <c r="AA252" s="3842"/>
      <c r="AB252" s="826"/>
      <c r="AC252" s="3842"/>
      <c r="AD252" s="826"/>
      <c r="AE252" s="3842"/>
      <c r="AF252" s="826"/>
      <c r="AG252" s="3842"/>
      <c r="AH252" s="826"/>
      <c r="AI252" s="3842"/>
      <c r="AJ252" s="826"/>
      <c r="AK252" s="3842"/>
      <c r="AL252" s="826"/>
      <c r="AM252" s="2689"/>
      <c r="AN252" s="3854"/>
      <c r="AO252" s="3841"/>
      <c r="AP252" s="3855"/>
      <c r="AQ252" s="3842"/>
      <c r="AR252" s="3856"/>
      <c r="AS252" s="3845"/>
      <c r="AT252" s="3857"/>
      <c r="AU252" s="2691"/>
      <c r="AV252" s="3845"/>
      <c r="AW252" s="3857"/>
      <c r="AX252" s="2691"/>
      <c r="AY252" t="str">
        <f t="shared" si="249"/>
        <v/>
      </c>
      <c r="CA252" s="434" t="str">
        <f t="shared" si="250"/>
        <v/>
      </c>
      <c r="CB252" s="434" t="str">
        <f t="shared" si="251"/>
        <v/>
      </c>
      <c r="CC252" s="434" t="str">
        <f>IF(AND($D252&gt;0,AO252="")," * No olvide digitar la variable Consultas Pertinentes: Según Procolo de Referencia. Digite cero si no tiene.",IF(AO252&gt;$D252," * La variable Consultas Pertinentes: Según Procolo de Referencia no puede superar el Total Ambos Sexos.",""))</f>
        <v/>
      </c>
      <c r="CD252" s="434" t="str">
        <f>IF(AND($D252&gt;0,AP252="")," * No olvide digitar la variable Consultas Pertinentes: Según condición clínica. Digite cero si no tiene.",IF(AP252&gt;$D252," * La variable Consultas Pertinentes: Según condición clínica no puede superar el Total Ambos Sexos.",""))</f>
        <v/>
      </c>
      <c r="CE252" s="434" t="str">
        <f>IF(AND($D252&gt;0,AQ252="")," * No olvide digitar la variable Inasistente. Digite cero si no tiene.",IF(AQ252&gt;$D252," * La variable Insasistente no puede superar el Total Ambos Sexos.",""))</f>
        <v/>
      </c>
      <c r="CF252" s="434" t="str">
        <f t="shared" si="252"/>
        <v/>
      </c>
      <c r="CG252" s="436"/>
      <c r="CH252" s="434" t="str">
        <f t="shared" si="253"/>
        <v/>
      </c>
      <c r="CI252" s="434" t="str">
        <f t="shared" si="254"/>
        <v/>
      </c>
      <c r="CJ252" s="436"/>
      <c r="CK252" s="434" t="str">
        <f t="shared" si="255"/>
        <v/>
      </c>
      <c r="CL252" s="434" t="str">
        <f t="shared" si="256"/>
        <v/>
      </c>
      <c r="CO252" s="435">
        <f t="shared" si="257"/>
        <v>0</v>
      </c>
      <c r="CP252" s="435">
        <f t="shared" si="258"/>
        <v>0</v>
      </c>
      <c r="CQ252" s="435">
        <f>IF(AND($D252&gt;0,AO252=""),1,IF(AO252&gt;$D252,1,0))</f>
        <v>0</v>
      </c>
      <c r="CR252" s="435">
        <f t="shared" ref="CR252:CS253" si="264">IF(AND($D252&gt;0,AP252=""),1,IF(AP252&gt;$D252,1,0))</f>
        <v>0</v>
      </c>
      <c r="CS252" s="435">
        <f t="shared" si="264"/>
        <v>0</v>
      </c>
      <c r="CT252" s="435">
        <f t="shared" si="259"/>
        <v>0</v>
      </c>
      <c r="CU252" s="436"/>
      <c r="CV252" s="435">
        <f t="shared" si="260"/>
        <v>0</v>
      </c>
      <c r="CW252" s="435">
        <f t="shared" si="261"/>
        <v>0</v>
      </c>
      <c r="CX252" s="436"/>
      <c r="CY252" s="435">
        <f t="shared" si="262"/>
        <v>0</v>
      </c>
      <c r="CZ252" s="435">
        <f t="shared" si="263"/>
        <v>0</v>
      </c>
    </row>
    <row r="253" spans="1:104" ht="15" customHeight="1" x14ac:dyDescent="0.3">
      <c r="A253" s="5790"/>
      <c r="B253" s="6791" t="s">
        <v>1829</v>
      </c>
      <c r="C253" s="6791"/>
      <c r="D253" s="3858">
        <f t="shared" si="246"/>
        <v>0</v>
      </c>
      <c r="E253" s="3859">
        <f t="shared" si="247"/>
        <v>0</v>
      </c>
      <c r="F253" s="3645">
        <f t="shared" si="248"/>
        <v>0</v>
      </c>
      <c r="G253" s="3860"/>
      <c r="H253" s="3861"/>
      <c r="I253" s="3862"/>
      <c r="J253" s="3861"/>
      <c r="K253" s="3862"/>
      <c r="L253" s="3861"/>
      <c r="M253" s="3862"/>
      <c r="N253" s="3861"/>
      <c r="O253" s="3862"/>
      <c r="P253" s="3861"/>
      <c r="Q253" s="3862"/>
      <c r="R253" s="3861"/>
      <c r="S253" s="3862"/>
      <c r="T253" s="835"/>
      <c r="U253" s="3862"/>
      <c r="V253" s="835"/>
      <c r="W253" s="3862"/>
      <c r="X253" s="835"/>
      <c r="Y253" s="3862"/>
      <c r="Z253" s="835"/>
      <c r="AA253" s="3862"/>
      <c r="AB253" s="835"/>
      <c r="AC253" s="3862"/>
      <c r="AD253" s="835"/>
      <c r="AE253" s="3862"/>
      <c r="AF253" s="835"/>
      <c r="AG253" s="3862"/>
      <c r="AH253" s="835"/>
      <c r="AI253" s="3862"/>
      <c r="AJ253" s="835"/>
      <c r="AK253" s="3862"/>
      <c r="AL253" s="835"/>
      <c r="AM253" s="3863"/>
      <c r="AN253" s="3864"/>
      <c r="AO253" s="3844"/>
      <c r="AP253" s="3845"/>
      <c r="AQ253" s="3856"/>
      <c r="AR253" s="3862"/>
      <c r="AS253" s="3845"/>
      <c r="AT253" s="3860"/>
      <c r="AU253" s="835"/>
      <c r="AV253" s="3845"/>
      <c r="AW253" s="3860"/>
      <c r="AX253" s="835"/>
      <c r="AY253" t="str">
        <f t="shared" si="249"/>
        <v/>
      </c>
      <c r="CA253" s="434" t="str">
        <f t="shared" si="250"/>
        <v/>
      </c>
      <c r="CB253" s="434" t="str">
        <f t="shared" si="251"/>
        <v/>
      </c>
      <c r="CC253" s="436"/>
      <c r="CD253" s="436"/>
      <c r="CE253" s="434" t="str">
        <f>IF(AND($D253&gt;0,AQ253="")," * No olvide digitar la variable Inasistente. Digite cero si no tiene.",IF(AQ253&gt;$D253," * La variable Insasistente no puede superar el Total Ambos Sexos.",""))</f>
        <v/>
      </c>
      <c r="CF253" s="434" t="str">
        <f t="shared" si="252"/>
        <v/>
      </c>
      <c r="CG253" s="436"/>
      <c r="CH253" s="434" t="str">
        <f t="shared" si="253"/>
        <v/>
      </c>
      <c r="CI253" s="434" t="str">
        <f t="shared" si="254"/>
        <v/>
      </c>
      <c r="CJ253" s="436"/>
      <c r="CK253" s="434" t="str">
        <f t="shared" si="255"/>
        <v/>
      </c>
      <c r="CL253" s="434" t="str">
        <f t="shared" si="256"/>
        <v/>
      </c>
      <c r="CO253" s="435">
        <f t="shared" si="257"/>
        <v>0</v>
      </c>
      <c r="CP253" s="435">
        <f t="shared" si="258"/>
        <v>0</v>
      </c>
      <c r="CQ253" s="436"/>
      <c r="CR253" s="436"/>
      <c r="CS253" s="435">
        <f t="shared" si="264"/>
        <v>0</v>
      </c>
      <c r="CT253" s="435">
        <f t="shared" si="259"/>
        <v>0</v>
      </c>
      <c r="CU253" s="436"/>
      <c r="CV253" s="435">
        <f t="shared" si="260"/>
        <v>0</v>
      </c>
      <c r="CW253" s="435">
        <f t="shared" si="261"/>
        <v>0</v>
      </c>
      <c r="CX253" s="436"/>
      <c r="CY253" s="435">
        <f t="shared" si="262"/>
        <v>0</v>
      </c>
      <c r="CZ253" s="435">
        <f t="shared" si="263"/>
        <v>0</v>
      </c>
    </row>
    <row r="254" spans="1:104" ht="15" customHeight="1" x14ac:dyDescent="0.3">
      <c r="A254" s="5790"/>
      <c r="B254" s="6791" t="s">
        <v>1830</v>
      </c>
      <c r="C254" s="6791"/>
      <c r="D254" s="3858">
        <f t="shared" si="246"/>
        <v>0</v>
      </c>
      <c r="E254" s="3859">
        <f t="shared" si="247"/>
        <v>0</v>
      </c>
      <c r="F254" s="3645">
        <f t="shared" si="248"/>
        <v>0</v>
      </c>
      <c r="G254" s="3860"/>
      <c r="H254" s="3861"/>
      <c r="I254" s="3862"/>
      <c r="J254" s="3861"/>
      <c r="K254" s="3862"/>
      <c r="L254" s="3861"/>
      <c r="M254" s="3862"/>
      <c r="N254" s="3861"/>
      <c r="O254" s="3862"/>
      <c r="P254" s="3861"/>
      <c r="Q254" s="3862"/>
      <c r="R254" s="3861"/>
      <c r="S254" s="3862"/>
      <c r="T254" s="835"/>
      <c r="U254" s="3862"/>
      <c r="V254" s="835"/>
      <c r="W254" s="3862"/>
      <c r="X254" s="835"/>
      <c r="Y254" s="3862"/>
      <c r="Z254" s="835"/>
      <c r="AA254" s="3862"/>
      <c r="AB254" s="835"/>
      <c r="AC254" s="3862"/>
      <c r="AD254" s="835"/>
      <c r="AE254" s="3862"/>
      <c r="AF254" s="835"/>
      <c r="AG254" s="3862"/>
      <c r="AH254" s="835"/>
      <c r="AI254" s="3862"/>
      <c r="AJ254" s="835"/>
      <c r="AK254" s="3862"/>
      <c r="AL254" s="835"/>
      <c r="AM254" s="3863"/>
      <c r="AN254" s="3864"/>
      <c r="AO254" s="3844"/>
      <c r="AP254" s="3845"/>
      <c r="AQ254" s="3865"/>
      <c r="AR254" s="3862"/>
      <c r="AS254" s="3845"/>
      <c r="AT254" s="3860"/>
      <c r="AU254" s="835"/>
      <c r="AV254" s="3845"/>
      <c r="AW254" s="3860"/>
      <c r="AX254" s="835"/>
      <c r="AY254" t="str">
        <f t="shared" si="249"/>
        <v/>
      </c>
      <c r="CA254" s="434" t="str">
        <f t="shared" si="250"/>
        <v/>
      </c>
      <c r="CB254" s="434" t="str">
        <f t="shared" si="251"/>
        <v/>
      </c>
      <c r="CC254" s="436"/>
      <c r="CD254" s="436"/>
      <c r="CE254" s="436"/>
      <c r="CF254" s="434" t="str">
        <f t="shared" si="252"/>
        <v/>
      </c>
      <c r="CG254" s="436"/>
      <c r="CH254" s="434" t="str">
        <f t="shared" si="253"/>
        <v/>
      </c>
      <c r="CI254" s="434" t="str">
        <f t="shared" si="254"/>
        <v/>
      </c>
      <c r="CJ254" s="436"/>
      <c r="CK254" s="434" t="str">
        <f t="shared" si="255"/>
        <v/>
      </c>
      <c r="CL254" s="434" t="str">
        <f t="shared" si="256"/>
        <v/>
      </c>
      <c r="CO254" s="435">
        <f t="shared" si="257"/>
        <v>0</v>
      </c>
      <c r="CP254" s="435">
        <f t="shared" si="258"/>
        <v>0</v>
      </c>
      <c r="CQ254" s="436"/>
      <c r="CR254" s="436"/>
      <c r="CS254" s="436"/>
      <c r="CT254" s="435">
        <f t="shared" si="259"/>
        <v>0</v>
      </c>
      <c r="CU254" s="436"/>
      <c r="CV254" s="435">
        <f t="shared" si="260"/>
        <v>0</v>
      </c>
      <c r="CW254" s="435">
        <f t="shared" si="261"/>
        <v>0</v>
      </c>
      <c r="CX254" s="436"/>
      <c r="CY254" s="435">
        <f t="shared" si="262"/>
        <v>0</v>
      </c>
      <c r="CZ254" s="435">
        <f t="shared" si="263"/>
        <v>0</v>
      </c>
    </row>
    <row r="255" spans="1:104" ht="15" customHeight="1" x14ac:dyDescent="0.3">
      <c r="A255" s="5790"/>
      <c r="B255" s="6787" t="s">
        <v>1831</v>
      </c>
      <c r="C255" s="6719"/>
      <c r="D255" s="3858">
        <f t="shared" si="246"/>
        <v>0</v>
      </c>
      <c r="E255" s="3859">
        <f t="shared" si="247"/>
        <v>0</v>
      </c>
      <c r="F255" s="3645">
        <f t="shared" si="248"/>
        <v>0</v>
      </c>
      <c r="G255" s="3866"/>
      <c r="H255" s="3867"/>
      <c r="I255" s="3868"/>
      <c r="J255" s="3867"/>
      <c r="K255" s="3868"/>
      <c r="L255" s="3867"/>
      <c r="M255" s="3868"/>
      <c r="N255" s="3867"/>
      <c r="O255" s="3868"/>
      <c r="P255" s="3867"/>
      <c r="Q255" s="3868"/>
      <c r="R255" s="3867"/>
      <c r="S255" s="3868"/>
      <c r="T255" s="2677"/>
      <c r="U255" s="3868"/>
      <c r="V255" s="2677"/>
      <c r="W255" s="3868"/>
      <c r="X255" s="2677"/>
      <c r="Y255" s="3868"/>
      <c r="Z255" s="2677"/>
      <c r="AA255" s="3868"/>
      <c r="AB255" s="2677"/>
      <c r="AC255" s="3868"/>
      <c r="AD255" s="2677"/>
      <c r="AE255" s="3868"/>
      <c r="AF255" s="2677"/>
      <c r="AG255" s="3868"/>
      <c r="AH255" s="2677"/>
      <c r="AI255" s="3868"/>
      <c r="AJ255" s="2677"/>
      <c r="AK255" s="3868"/>
      <c r="AL255" s="2677"/>
      <c r="AM255" s="2675"/>
      <c r="AN255" s="3869"/>
      <c r="AO255" s="3844"/>
      <c r="AP255" s="3845"/>
      <c r="AQ255" s="3865"/>
      <c r="AR255" s="3868"/>
      <c r="AS255" s="3845"/>
      <c r="AT255" s="3866"/>
      <c r="AU255" s="2677"/>
      <c r="AV255" s="835"/>
      <c r="AW255" s="3866"/>
      <c r="AX255" s="2677"/>
      <c r="AY255" t="str">
        <f t="shared" si="249"/>
        <v/>
      </c>
      <c r="CA255" s="434" t="str">
        <f t="shared" si="250"/>
        <v/>
      </c>
      <c r="CB255" s="434" t="str">
        <f t="shared" si="251"/>
        <v/>
      </c>
      <c r="CC255" s="436"/>
      <c r="CD255" s="436"/>
      <c r="CE255" s="436"/>
      <c r="CF255" s="434" t="str">
        <f t="shared" si="252"/>
        <v/>
      </c>
      <c r="CG255" s="436"/>
      <c r="CH255" s="434" t="str">
        <f t="shared" si="253"/>
        <v/>
      </c>
      <c r="CI255" s="434" t="str">
        <f t="shared" si="254"/>
        <v/>
      </c>
      <c r="CJ255" s="434" t="str">
        <f>IF(AND($D255&gt;0,AV255="")," * No olvide digitar la variable Contrarreferencia al alta. Digite Cero si no tiene.",IF(AV255&gt;$D255," * La variable Contrarreferencia al alta no puede superar el Total Ambos Sexos.",""))</f>
        <v/>
      </c>
      <c r="CK255" s="434" t="str">
        <f t="shared" si="255"/>
        <v/>
      </c>
      <c r="CL255" s="434" t="str">
        <f t="shared" si="256"/>
        <v/>
      </c>
      <c r="CO255" s="435">
        <f t="shared" si="257"/>
        <v>0</v>
      </c>
      <c r="CP255" s="435">
        <f t="shared" si="258"/>
        <v>0</v>
      </c>
      <c r="CQ255" s="436"/>
      <c r="CR255" s="436"/>
      <c r="CS255" s="436"/>
      <c r="CT255" s="435">
        <f t="shared" si="259"/>
        <v>0</v>
      </c>
      <c r="CU255" s="436"/>
      <c r="CV255" s="435">
        <f t="shared" si="260"/>
        <v>0</v>
      </c>
      <c r="CW255" s="435">
        <f t="shared" si="261"/>
        <v>0</v>
      </c>
      <c r="CX255" s="435">
        <f>IF(AND($D255&gt;0,AV255=""),1,IF(AV255&gt;$D255,1,0))</f>
        <v>0</v>
      </c>
      <c r="CY255" s="435">
        <f t="shared" si="262"/>
        <v>0</v>
      </c>
      <c r="CZ255" s="435">
        <f t="shared" si="263"/>
        <v>0</v>
      </c>
    </row>
    <row r="256" spans="1:104" ht="15" customHeight="1" x14ac:dyDescent="0.3">
      <c r="A256" s="5790"/>
      <c r="B256" s="6787" t="s">
        <v>1832</v>
      </c>
      <c r="C256" s="6719"/>
      <c r="D256" s="3858">
        <f t="shared" si="246"/>
        <v>0</v>
      </c>
      <c r="E256" s="3859">
        <f t="shared" si="247"/>
        <v>0</v>
      </c>
      <c r="F256" s="3645">
        <f t="shared" si="248"/>
        <v>0</v>
      </c>
      <c r="G256" s="3866"/>
      <c r="H256" s="3867"/>
      <c r="I256" s="3868"/>
      <c r="J256" s="3867"/>
      <c r="K256" s="3868"/>
      <c r="L256" s="3867"/>
      <c r="M256" s="3868"/>
      <c r="N256" s="3867"/>
      <c r="O256" s="3868"/>
      <c r="P256" s="3867"/>
      <c r="Q256" s="3868"/>
      <c r="R256" s="3867"/>
      <c r="S256" s="3868"/>
      <c r="T256" s="2677"/>
      <c r="U256" s="3868"/>
      <c r="V256" s="2677"/>
      <c r="W256" s="3868"/>
      <c r="X256" s="2677"/>
      <c r="Y256" s="3868"/>
      <c r="Z256" s="2677"/>
      <c r="AA256" s="3868"/>
      <c r="AB256" s="2677"/>
      <c r="AC256" s="3868"/>
      <c r="AD256" s="2677"/>
      <c r="AE256" s="3868"/>
      <c r="AF256" s="2677"/>
      <c r="AG256" s="3868"/>
      <c r="AH256" s="2677"/>
      <c r="AI256" s="3868"/>
      <c r="AJ256" s="2677"/>
      <c r="AK256" s="3868"/>
      <c r="AL256" s="2677"/>
      <c r="AM256" s="2675"/>
      <c r="AN256" s="3869"/>
      <c r="AO256" s="3870"/>
      <c r="AP256" s="3871"/>
      <c r="AQ256" s="3872"/>
      <c r="AR256" s="3868"/>
      <c r="AS256" s="3871"/>
      <c r="AT256" s="3866"/>
      <c r="AU256" s="2677"/>
      <c r="AV256" s="3871"/>
      <c r="AW256" s="3866"/>
      <c r="AX256" s="2677"/>
      <c r="AY256" t="str">
        <f t="shared" si="249"/>
        <v/>
      </c>
      <c r="CA256" s="434" t="str">
        <f t="shared" si="250"/>
        <v/>
      </c>
      <c r="CB256" s="434" t="str">
        <f t="shared" si="251"/>
        <v/>
      </c>
      <c r="CC256" s="436"/>
      <c r="CD256" s="436"/>
      <c r="CE256" s="436"/>
      <c r="CF256" s="434" t="str">
        <f t="shared" si="252"/>
        <v/>
      </c>
      <c r="CG256" s="436"/>
      <c r="CH256" s="434" t="str">
        <f t="shared" si="253"/>
        <v/>
      </c>
      <c r="CI256" s="434" t="str">
        <f t="shared" si="254"/>
        <v/>
      </c>
      <c r="CJ256" s="436"/>
      <c r="CK256" s="434" t="str">
        <f t="shared" si="255"/>
        <v/>
      </c>
      <c r="CL256" s="434" t="str">
        <f t="shared" si="256"/>
        <v/>
      </c>
      <c r="CO256" s="435">
        <f t="shared" si="257"/>
        <v>0</v>
      </c>
      <c r="CP256" s="435">
        <f t="shared" si="258"/>
        <v>0</v>
      </c>
      <c r="CQ256" s="436"/>
      <c r="CR256" s="436"/>
      <c r="CS256" s="436"/>
      <c r="CT256" s="435">
        <f t="shared" si="259"/>
        <v>0</v>
      </c>
      <c r="CU256" s="436"/>
      <c r="CV256" s="435">
        <f t="shared" si="260"/>
        <v>0</v>
      </c>
      <c r="CW256" s="435">
        <f t="shared" si="261"/>
        <v>0</v>
      </c>
      <c r="CX256" s="436"/>
      <c r="CY256" s="435">
        <f t="shared" si="262"/>
        <v>0</v>
      </c>
      <c r="CZ256" s="435">
        <f t="shared" si="263"/>
        <v>0</v>
      </c>
    </row>
    <row r="257" spans="1:104" ht="15" customHeight="1" x14ac:dyDescent="0.3">
      <c r="A257" s="6574"/>
      <c r="B257" s="6788" t="s">
        <v>1833</v>
      </c>
      <c r="C257" s="6788"/>
      <c r="D257" s="3478">
        <f t="shared" si="246"/>
        <v>0</v>
      </c>
      <c r="E257" s="3610">
        <f>SUM(+I257+K257+M257+O257+Q257+S257+U257+W257+Y257+AA257+AC257+AE257+AG257+AI257+AK257)</f>
        <v>0</v>
      </c>
      <c r="F257" s="3563">
        <f>SUM(+J257+L257+N257+P257+R257+T257+V257+X257+Z257+AB257+AD257+AF257+AH257+AJ257+AL257)</f>
        <v>0</v>
      </c>
      <c r="G257" s="3851"/>
      <c r="H257" s="3850"/>
      <c r="I257" s="3851"/>
      <c r="J257" s="3850"/>
      <c r="K257" s="3851"/>
      <c r="L257" s="3850"/>
      <c r="M257" s="3851"/>
      <c r="N257" s="3850"/>
      <c r="O257" s="3851"/>
      <c r="P257" s="3850"/>
      <c r="Q257" s="3851"/>
      <c r="R257" s="3850"/>
      <c r="S257" s="3851"/>
      <c r="T257" s="838"/>
      <c r="U257" s="3851"/>
      <c r="V257" s="838"/>
      <c r="W257" s="3851"/>
      <c r="X257" s="838"/>
      <c r="Y257" s="3851"/>
      <c r="Z257" s="838"/>
      <c r="AA257" s="3851"/>
      <c r="AB257" s="838"/>
      <c r="AC257" s="3851"/>
      <c r="AD257" s="838"/>
      <c r="AE257" s="3851"/>
      <c r="AF257" s="838"/>
      <c r="AG257" s="3851"/>
      <c r="AH257" s="838"/>
      <c r="AI257" s="3851"/>
      <c r="AJ257" s="838"/>
      <c r="AK257" s="3851"/>
      <c r="AL257" s="838"/>
      <c r="AM257" s="837"/>
      <c r="AN257" s="3852"/>
      <c r="AO257" s="3873"/>
      <c r="AP257" s="3853"/>
      <c r="AQ257" s="3874"/>
      <c r="AR257" s="3851"/>
      <c r="AS257" s="3853"/>
      <c r="AT257" s="3849"/>
      <c r="AU257" s="838"/>
      <c r="AV257" s="3853"/>
      <c r="AW257" s="3849"/>
      <c r="AX257" s="838"/>
      <c r="AY257" t="str">
        <f t="shared" si="249"/>
        <v/>
      </c>
      <c r="CA257" s="434" t="str">
        <f t="shared" si="250"/>
        <v/>
      </c>
      <c r="CB257" s="434" t="str">
        <f t="shared" si="251"/>
        <v/>
      </c>
      <c r="CC257" s="436"/>
      <c r="CD257" s="436"/>
      <c r="CE257" s="436"/>
      <c r="CF257" s="434" t="str">
        <f t="shared" si="252"/>
        <v/>
      </c>
      <c r="CG257" s="436"/>
      <c r="CH257" s="434" t="str">
        <f t="shared" si="253"/>
        <v/>
      </c>
      <c r="CI257" s="434" t="str">
        <f t="shared" si="254"/>
        <v/>
      </c>
      <c r="CJ257" s="436"/>
      <c r="CK257" s="434" t="str">
        <f t="shared" si="255"/>
        <v/>
      </c>
      <c r="CL257" s="434" t="str">
        <f t="shared" si="256"/>
        <v/>
      </c>
      <c r="CO257" s="435">
        <f t="shared" si="257"/>
        <v>0</v>
      </c>
      <c r="CP257" s="435">
        <f t="shared" si="258"/>
        <v>0</v>
      </c>
      <c r="CQ257" s="436"/>
      <c r="CR257" s="436"/>
      <c r="CS257" s="436"/>
      <c r="CT257" s="435">
        <f t="shared" si="259"/>
        <v>0</v>
      </c>
      <c r="CU257" s="436"/>
      <c r="CV257" s="435">
        <f t="shared" si="260"/>
        <v>0</v>
      </c>
      <c r="CW257" s="435">
        <f t="shared" si="261"/>
        <v>0</v>
      </c>
      <c r="CX257" s="436"/>
      <c r="CY257" s="435">
        <f t="shared" si="262"/>
        <v>0</v>
      </c>
      <c r="CZ257" s="435">
        <f t="shared" si="263"/>
        <v>0</v>
      </c>
    </row>
    <row r="258" spans="1:104" ht="15" customHeight="1" x14ac:dyDescent="0.3">
      <c r="A258" s="6185" t="s">
        <v>1641</v>
      </c>
      <c r="B258" s="6790" t="s">
        <v>1828</v>
      </c>
      <c r="C258" s="6790"/>
      <c r="D258" s="3805">
        <f t="shared" si="246"/>
        <v>0</v>
      </c>
      <c r="E258" s="3639">
        <f>SUM(O258+Q258+S258+U258+W258+Y258+AA258+AC258+AE258+AG258+AI258+AK258)</f>
        <v>0</v>
      </c>
      <c r="F258" s="3553">
        <f>SUM(P258+R258+T258+V258+X258+Z258+AB258+AD258+AF258+AH258+AJ258+AL258)</f>
        <v>0</v>
      </c>
      <c r="G258" s="3752"/>
      <c r="H258" s="840"/>
      <c r="I258" s="3752"/>
      <c r="J258" s="840"/>
      <c r="K258" s="3752"/>
      <c r="L258" s="840"/>
      <c r="M258" s="3752"/>
      <c r="N258" s="840"/>
      <c r="O258" s="3842"/>
      <c r="P258" s="859"/>
      <c r="Q258" s="3842"/>
      <c r="R258" s="859"/>
      <c r="S258" s="3842"/>
      <c r="T258" s="826"/>
      <c r="U258" s="3842"/>
      <c r="V258" s="826"/>
      <c r="W258" s="3842"/>
      <c r="X258" s="826"/>
      <c r="Y258" s="3842"/>
      <c r="Z258" s="826"/>
      <c r="AA258" s="3842"/>
      <c r="AB258" s="826"/>
      <c r="AC258" s="3842"/>
      <c r="AD258" s="826"/>
      <c r="AE258" s="3842"/>
      <c r="AF258" s="826"/>
      <c r="AG258" s="3842"/>
      <c r="AH258" s="826"/>
      <c r="AI258" s="3842"/>
      <c r="AJ258" s="826"/>
      <c r="AK258" s="3842"/>
      <c r="AL258" s="826"/>
      <c r="AM258" s="2689"/>
      <c r="AN258" s="3854"/>
      <c r="AO258" s="3841"/>
      <c r="AP258" s="3855"/>
      <c r="AQ258" s="3842"/>
      <c r="AR258" s="3856"/>
      <c r="AS258" s="3845"/>
      <c r="AT258" s="3857"/>
      <c r="AU258" s="2691"/>
      <c r="AV258" s="3845"/>
      <c r="AW258" s="3857"/>
      <c r="AX258" s="2691"/>
      <c r="AY258" t="str">
        <f t="shared" si="249"/>
        <v/>
      </c>
      <c r="CA258" s="434" t="str">
        <f t="shared" si="250"/>
        <v/>
      </c>
      <c r="CB258" s="434" t="str">
        <f t="shared" si="251"/>
        <v/>
      </c>
      <c r="CC258" s="434" t="str">
        <f>IF(AND($D258&gt;0,AO258="")," * No olvide digitar la variable Consultas Pertinentes: Según Procolo de Referencia. Digite cero si no tiene.",IF(AO258&gt;$D258," * La variable Consultas Pertinentes: Según Procolo de Referencia no puede superar el Total Ambos Sexos.",""))</f>
        <v/>
      </c>
      <c r="CD258" s="434" t="str">
        <f>IF(AND($D258&gt;0,AP258="")," * No olvide digitar la variable Consultas Pertinentes: Según condición clínica. Digite cero si no tiene.",IF(AP258&gt;$D258," * La variable Consultas Pertinentes: Según condición clínica no puede superar el Total Ambos Sexos.",""))</f>
        <v/>
      </c>
      <c r="CE258" s="434" t="str">
        <f>IF(AND($D258&gt;0,AQ258="")," * No olvide digitar la variable Inasistente. Digite cero si no tiene.",IF(AQ258&gt;$D258," * La variable Insasistente no puede superar el Total Ambos Sexos.",""))</f>
        <v/>
      </c>
      <c r="CF258" s="434" t="str">
        <f t="shared" si="252"/>
        <v/>
      </c>
      <c r="CG258" s="436"/>
      <c r="CH258" s="434" t="str">
        <f t="shared" si="253"/>
        <v/>
      </c>
      <c r="CI258" s="434" t="str">
        <f t="shared" si="254"/>
        <v/>
      </c>
      <c r="CJ258" s="436"/>
      <c r="CK258" s="434" t="str">
        <f t="shared" si="255"/>
        <v/>
      </c>
      <c r="CL258" s="434" t="str">
        <f t="shared" si="256"/>
        <v/>
      </c>
      <c r="CO258" s="435">
        <f t="shared" si="257"/>
        <v>0</v>
      </c>
      <c r="CP258" s="435">
        <f t="shared" si="258"/>
        <v>0</v>
      </c>
      <c r="CQ258" s="435">
        <f>IF(AND($D258&gt;0,AO258=""),1,IF(AO258&gt;$D258,1,0))</f>
        <v>0</v>
      </c>
      <c r="CR258" s="435">
        <f t="shared" ref="CR258" si="265">IF(AND($D258&gt;0,AP258=""),1,IF(AP258&gt;$D258,1,0))</f>
        <v>0</v>
      </c>
      <c r="CS258" s="435">
        <f t="shared" ref="CS258:CS259" si="266">IF(AND($D258&gt;0,AQ258=""),1,IF(AQ258&gt;$D258,1,0))</f>
        <v>0</v>
      </c>
      <c r="CT258" s="435">
        <f t="shared" si="259"/>
        <v>0</v>
      </c>
      <c r="CU258" s="436"/>
      <c r="CV258" s="435">
        <f t="shared" si="260"/>
        <v>0</v>
      </c>
      <c r="CW258" s="435">
        <f t="shared" si="261"/>
        <v>0</v>
      </c>
      <c r="CX258" s="436"/>
      <c r="CY258" s="435">
        <f t="shared" si="262"/>
        <v>0</v>
      </c>
      <c r="CZ258" s="435">
        <f t="shared" si="263"/>
        <v>0</v>
      </c>
    </row>
    <row r="259" spans="1:104" ht="15" customHeight="1" x14ac:dyDescent="0.3">
      <c r="A259" s="5790"/>
      <c r="B259" s="6791" t="s">
        <v>1829</v>
      </c>
      <c r="C259" s="6791"/>
      <c r="D259" s="3858">
        <f t="shared" si="246"/>
        <v>0</v>
      </c>
      <c r="E259" s="3859">
        <f>SUM(O259+Q259+S259+U259+W259+Y259+AA259+AC259+AE259+AG259+AI259+AK259)</f>
        <v>0</v>
      </c>
      <c r="F259" s="3645">
        <f>SUM(N259+P259+R259+T259+V259+X259+Z259+AB259+AD259+AF259+AH259+AJ259+AL259)</f>
        <v>0</v>
      </c>
      <c r="G259" s="2678"/>
      <c r="H259" s="3213"/>
      <c r="I259" s="2678"/>
      <c r="J259" s="3213"/>
      <c r="K259" s="2678"/>
      <c r="L259" s="3213"/>
      <c r="M259" s="2678"/>
      <c r="N259" s="3213"/>
      <c r="O259" s="3862"/>
      <c r="P259" s="3861"/>
      <c r="Q259" s="3862"/>
      <c r="R259" s="3861"/>
      <c r="S259" s="3862"/>
      <c r="T259" s="835"/>
      <c r="U259" s="3862"/>
      <c r="V259" s="835"/>
      <c r="W259" s="3862"/>
      <c r="X259" s="835"/>
      <c r="Y259" s="3862"/>
      <c r="Z259" s="835"/>
      <c r="AA259" s="3862"/>
      <c r="AB259" s="835"/>
      <c r="AC259" s="3862"/>
      <c r="AD259" s="835"/>
      <c r="AE259" s="3862"/>
      <c r="AF259" s="835"/>
      <c r="AG259" s="3862"/>
      <c r="AH259" s="835"/>
      <c r="AI259" s="3862"/>
      <c r="AJ259" s="835"/>
      <c r="AK259" s="3862"/>
      <c r="AL259" s="835"/>
      <c r="AM259" s="3863"/>
      <c r="AN259" s="3864"/>
      <c r="AO259" s="3844"/>
      <c r="AP259" s="3845"/>
      <c r="AQ259" s="3856"/>
      <c r="AR259" s="3862"/>
      <c r="AS259" s="3845"/>
      <c r="AT259" s="3860"/>
      <c r="AU259" s="835"/>
      <c r="AV259" s="3845"/>
      <c r="AW259" s="3860"/>
      <c r="AX259" s="835"/>
      <c r="AY259" t="str">
        <f t="shared" si="249"/>
        <v/>
      </c>
      <c r="CA259" s="434" t="str">
        <f t="shared" si="250"/>
        <v/>
      </c>
      <c r="CB259" s="434" t="str">
        <f t="shared" si="251"/>
        <v/>
      </c>
      <c r="CC259" s="436"/>
      <c r="CD259" s="436"/>
      <c r="CE259" s="434" t="str">
        <f>IF(AND($D259&gt;0,AQ259="")," * No olvide digitar la variable Inasistente. Digite cero si no tiene.",IF(AQ259&gt;$D259," * La variable Insasistente no puede superar el Total Ambos Sexos.",""))</f>
        <v/>
      </c>
      <c r="CF259" s="434" t="str">
        <f t="shared" si="252"/>
        <v/>
      </c>
      <c r="CG259" s="436"/>
      <c r="CH259" s="434" t="str">
        <f t="shared" si="253"/>
        <v/>
      </c>
      <c r="CI259" s="434" t="str">
        <f t="shared" si="254"/>
        <v/>
      </c>
      <c r="CJ259" s="436"/>
      <c r="CK259" s="434" t="str">
        <f t="shared" si="255"/>
        <v/>
      </c>
      <c r="CL259" s="434" t="str">
        <f t="shared" si="256"/>
        <v/>
      </c>
      <c r="CO259" s="435">
        <f t="shared" si="257"/>
        <v>0</v>
      </c>
      <c r="CP259" s="435">
        <f t="shared" si="258"/>
        <v>0</v>
      </c>
      <c r="CQ259" s="436"/>
      <c r="CR259" s="436"/>
      <c r="CS259" s="435">
        <f t="shared" si="266"/>
        <v>0</v>
      </c>
      <c r="CT259" s="435">
        <f t="shared" si="259"/>
        <v>0</v>
      </c>
      <c r="CU259" s="436"/>
      <c r="CV259" s="435">
        <f t="shared" si="260"/>
        <v>0</v>
      </c>
      <c r="CW259" s="435">
        <f t="shared" si="261"/>
        <v>0</v>
      </c>
      <c r="CX259" s="436"/>
      <c r="CY259" s="435">
        <f t="shared" si="262"/>
        <v>0</v>
      </c>
      <c r="CZ259" s="435">
        <f t="shared" si="263"/>
        <v>0</v>
      </c>
    </row>
    <row r="260" spans="1:104" ht="15" customHeight="1" x14ac:dyDescent="0.3">
      <c r="A260" s="5790"/>
      <c r="B260" s="6791" t="s">
        <v>1830</v>
      </c>
      <c r="C260" s="6791"/>
      <c r="D260" s="3858">
        <f t="shared" si="246"/>
        <v>0</v>
      </c>
      <c r="E260" s="3859">
        <f>SUM(M260+O260+Q260+S260+U260+W260+Y260+AA260+AC260+AE260+AG260+AI260+AK260)</f>
        <v>0</v>
      </c>
      <c r="F260" s="3645">
        <f>SUM(N260+P260+R260+T260+V260+X260+Z260+AB260+AD260+AF260+AH260+AJ260+AL260)</f>
        <v>0</v>
      </c>
      <c r="G260" s="2678"/>
      <c r="H260" s="3213"/>
      <c r="I260" s="2678"/>
      <c r="J260" s="3213"/>
      <c r="K260" s="2678"/>
      <c r="L260" s="3213"/>
      <c r="M260" s="2678"/>
      <c r="N260" s="3213"/>
      <c r="O260" s="3862"/>
      <c r="P260" s="3861"/>
      <c r="Q260" s="3862"/>
      <c r="R260" s="3861"/>
      <c r="S260" s="3862"/>
      <c r="T260" s="835"/>
      <c r="U260" s="3862"/>
      <c r="V260" s="835"/>
      <c r="W260" s="3862"/>
      <c r="X260" s="835"/>
      <c r="Y260" s="3862"/>
      <c r="Z260" s="835"/>
      <c r="AA260" s="3862"/>
      <c r="AB260" s="835"/>
      <c r="AC260" s="3862"/>
      <c r="AD260" s="835"/>
      <c r="AE260" s="3862"/>
      <c r="AF260" s="835"/>
      <c r="AG260" s="3862"/>
      <c r="AH260" s="835"/>
      <c r="AI260" s="3862"/>
      <c r="AJ260" s="835"/>
      <c r="AK260" s="3862"/>
      <c r="AL260" s="835"/>
      <c r="AM260" s="3863"/>
      <c r="AN260" s="3864"/>
      <c r="AO260" s="3844"/>
      <c r="AP260" s="3845"/>
      <c r="AQ260" s="3865"/>
      <c r="AR260" s="3862"/>
      <c r="AS260" s="3845"/>
      <c r="AT260" s="3860"/>
      <c r="AU260" s="835"/>
      <c r="AV260" s="3845"/>
      <c r="AW260" s="3860"/>
      <c r="AX260" s="835"/>
      <c r="AY260" t="str">
        <f t="shared" si="249"/>
        <v/>
      </c>
      <c r="CA260" s="434" t="str">
        <f t="shared" si="250"/>
        <v/>
      </c>
      <c r="CB260" s="434" t="str">
        <f t="shared" si="251"/>
        <v/>
      </c>
      <c r="CC260" s="436"/>
      <c r="CD260" s="436"/>
      <c r="CE260" s="436"/>
      <c r="CF260" s="434" t="str">
        <f t="shared" si="252"/>
        <v/>
      </c>
      <c r="CG260" s="436"/>
      <c r="CH260" s="434" t="str">
        <f t="shared" si="253"/>
        <v/>
      </c>
      <c r="CI260" s="434" t="str">
        <f t="shared" si="254"/>
        <v/>
      </c>
      <c r="CJ260" s="436"/>
      <c r="CK260" s="434" t="str">
        <f t="shared" si="255"/>
        <v/>
      </c>
      <c r="CL260" s="434" t="str">
        <f t="shared" si="256"/>
        <v/>
      </c>
      <c r="CO260" s="435">
        <f t="shared" si="257"/>
        <v>0</v>
      </c>
      <c r="CP260" s="435">
        <f t="shared" si="258"/>
        <v>0</v>
      </c>
      <c r="CQ260" s="436"/>
      <c r="CR260" s="436"/>
      <c r="CS260" s="436"/>
      <c r="CT260" s="435">
        <f t="shared" si="259"/>
        <v>0</v>
      </c>
      <c r="CU260" s="436"/>
      <c r="CV260" s="435">
        <f t="shared" si="260"/>
        <v>0</v>
      </c>
      <c r="CW260" s="435">
        <f t="shared" si="261"/>
        <v>0</v>
      </c>
      <c r="CX260" s="436"/>
      <c r="CY260" s="435">
        <f t="shared" si="262"/>
        <v>0</v>
      </c>
      <c r="CZ260" s="435">
        <f t="shared" si="263"/>
        <v>0</v>
      </c>
    </row>
    <row r="261" spans="1:104" ht="15" customHeight="1" x14ac:dyDescent="0.3">
      <c r="A261" s="5790"/>
      <c r="B261" s="6787" t="s">
        <v>1831</v>
      </c>
      <c r="C261" s="6719"/>
      <c r="D261" s="3858">
        <f t="shared" si="246"/>
        <v>0</v>
      </c>
      <c r="E261" s="3859">
        <f>SUM(M261+O261+Q261+S261+U261+W261+Y261+AA261+AC261+AE261+AG261+AI261+AK261)</f>
        <v>0</v>
      </c>
      <c r="F261" s="3645">
        <f>SUM(N261+P261+R261+T261+V261+X261+Z261+AB261+AD261+AF261+AH261+AJ261+AL261)</f>
        <v>0</v>
      </c>
      <c r="G261" s="2678"/>
      <c r="H261" s="3213"/>
      <c r="I261" s="2678"/>
      <c r="J261" s="3213"/>
      <c r="K261" s="2678"/>
      <c r="L261" s="3213"/>
      <c r="M261" s="2678"/>
      <c r="N261" s="3213"/>
      <c r="O261" s="3868"/>
      <c r="P261" s="3867"/>
      <c r="Q261" s="3868"/>
      <c r="R261" s="3867"/>
      <c r="S261" s="3868"/>
      <c r="T261" s="2677"/>
      <c r="U261" s="3868"/>
      <c r="V261" s="2677"/>
      <c r="W261" s="3868"/>
      <c r="X261" s="2677"/>
      <c r="Y261" s="3868"/>
      <c r="Z261" s="2677"/>
      <c r="AA261" s="3868"/>
      <c r="AB261" s="2677"/>
      <c r="AC261" s="3868"/>
      <c r="AD261" s="2677"/>
      <c r="AE261" s="3868"/>
      <c r="AF261" s="2677"/>
      <c r="AG261" s="3868"/>
      <c r="AH261" s="2677"/>
      <c r="AI261" s="3868"/>
      <c r="AJ261" s="2677"/>
      <c r="AK261" s="3868"/>
      <c r="AL261" s="2677"/>
      <c r="AM261" s="2675"/>
      <c r="AN261" s="3869"/>
      <c r="AO261" s="3844"/>
      <c r="AP261" s="3845"/>
      <c r="AQ261" s="3865"/>
      <c r="AR261" s="3868"/>
      <c r="AS261" s="3845"/>
      <c r="AT261" s="3866"/>
      <c r="AU261" s="2677"/>
      <c r="AV261" s="835"/>
      <c r="AW261" s="3866"/>
      <c r="AX261" s="2677"/>
      <c r="AY261" t="str">
        <f t="shared" si="249"/>
        <v/>
      </c>
      <c r="CA261" s="434" t="str">
        <f t="shared" si="250"/>
        <v/>
      </c>
      <c r="CB261" s="434" t="str">
        <f t="shared" si="251"/>
        <v/>
      </c>
      <c r="CC261" s="436"/>
      <c r="CD261" s="436"/>
      <c r="CE261" s="436"/>
      <c r="CF261" s="434" t="str">
        <f t="shared" si="252"/>
        <v/>
      </c>
      <c r="CG261" s="436"/>
      <c r="CH261" s="434" t="str">
        <f t="shared" si="253"/>
        <v/>
      </c>
      <c r="CI261" s="434" t="str">
        <f t="shared" si="254"/>
        <v/>
      </c>
      <c r="CJ261" s="434" t="str">
        <f>IF(AND($D261&gt;0,AV261="")," * No olvide digitar la variable Contrarreferencia al alta. Digite Cero si no tiene.",IF(AV261&gt;$D261," * La variable Contrarreferencia al alta no puede superar el Total Ambos Sexos.",""))</f>
        <v/>
      </c>
      <c r="CK261" s="434" t="str">
        <f t="shared" si="255"/>
        <v/>
      </c>
      <c r="CL261" s="434" t="str">
        <f t="shared" si="256"/>
        <v/>
      </c>
      <c r="CO261" s="435">
        <f t="shared" si="257"/>
        <v>0</v>
      </c>
      <c r="CP261" s="435">
        <f t="shared" si="258"/>
        <v>0</v>
      </c>
      <c r="CQ261" s="436"/>
      <c r="CR261" s="436"/>
      <c r="CS261" s="436"/>
      <c r="CT261" s="435">
        <f t="shared" si="259"/>
        <v>0</v>
      </c>
      <c r="CU261" s="436"/>
      <c r="CV261" s="435">
        <f t="shared" si="260"/>
        <v>0</v>
      </c>
      <c r="CW261" s="435">
        <f t="shared" si="261"/>
        <v>0</v>
      </c>
      <c r="CX261" s="435">
        <f>IF(AND($D261&gt;0,AV261=""),1,IF(AV261&gt;$D261,1,0))</f>
        <v>0</v>
      </c>
      <c r="CY261" s="435">
        <f t="shared" si="262"/>
        <v>0</v>
      </c>
      <c r="CZ261" s="435">
        <f t="shared" si="263"/>
        <v>0</v>
      </c>
    </row>
    <row r="262" spans="1:104" ht="15" customHeight="1" x14ac:dyDescent="0.3">
      <c r="A262" s="5790"/>
      <c r="B262" s="6787" t="s">
        <v>1832</v>
      </c>
      <c r="C262" s="6719"/>
      <c r="D262" s="3858">
        <f t="shared" si="246"/>
        <v>0</v>
      </c>
      <c r="E262" s="3859">
        <f>SUM(M262+O262+Q262+S262+U262+W262+Y262+AA262+AC262+AE262+AG262+AI262+AK262)</f>
        <v>0</v>
      </c>
      <c r="F262" s="3645">
        <f>SUM(N262+P262+R262+T262+V262+X262+Z262+AB262+AD262+AF262+AH262+AJ262+AL262)</f>
        <v>0</v>
      </c>
      <c r="G262" s="2678"/>
      <c r="H262" s="3213"/>
      <c r="I262" s="2678"/>
      <c r="J262" s="3213"/>
      <c r="K262" s="2678"/>
      <c r="L262" s="3213"/>
      <c r="M262" s="2678"/>
      <c r="N262" s="3213"/>
      <c r="O262" s="3868"/>
      <c r="P262" s="3867"/>
      <c r="Q262" s="3868"/>
      <c r="R262" s="3867"/>
      <c r="S262" s="3868"/>
      <c r="T262" s="2677"/>
      <c r="U262" s="3868"/>
      <c r="V262" s="2677"/>
      <c r="W262" s="3868"/>
      <c r="X262" s="2677"/>
      <c r="Y262" s="3868"/>
      <c r="Z262" s="2677"/>
      <c r="AA262" s="3868"/>
      <c r="AB262" s="2677"/>
      <c r="AC262" s="3868"/>
      <c r="AD262" s="2677"/>
      <c r="AE262" s="3868"/>
      <c r="AF262" s="2677"/>
      <c r="AG262" s="3868"/>
      <c r="AH262" s="2677"/>
      <c r="AI262" s="3868"/>
      <c r="AJ262" s="2677"/>
      <c r="AK262" s="3868"/>
      <c r="AL262" s="2677"/>
      <c r="AM262" s="2675"/>
      <c r="AN262" s="3869"/>
      <c r="AO262" s="3870"/>
      <c r="AP262" s="3871"/>
      <c r="AQ262" s="3872"/>
      <c r="AR262" s="3868"/>
      <c r="AS262" s="3871"/>
      <c r="AT262" s="3866"/>
      <c r="AU262" s="2677"/>
      <c r="AV262" s="3871"/>
      <c r="AW262" s="3866"/>
      <c r="AX262" s="2677"/>
      <c r="AY262" t="str">
        <f t="shared" si="249"/>
        <v/>
      </c>
      <c r="CA262" s="434" t="str">
        <f t="shared" si="250"/>
        <v/>
      </c>
      <c r="CB262" s="434" t="str">
        <f t="shared" si="251"/>
        <v/>
      </c>
      <c r="CC262" s="436"/>
      <c r="CD262" s="436"/>
      <c r="CE262" s="436"/>
      <c r="CF262" s="434" t="str">
        <f t="shared" si="252"/>
        <v/>
      </c>
      <c r="CG262" s="436"/>
      <c r="CH262" s="434" t="str">
        <f t="shared" si="253"/>
        <v/>
      </c>
      <c r="CI262" s="434" t="str">
        <f t="shared" si="254"/>
        <v/>
      </c>
      <c r="CJ262" s="436"/>
      <c r="CK262" s="434" t="str">
        <f t="shared" si="255"/>
        <v/>
      </c>
      <c r="CL262" s="434" t="str">
        <f t="shared" si="256"/>
        <v/>
      </c>
      <c r="CO262" s="435">
        <f t="shared" si="257"/>
        <v>0</v>
      </c>
      <c r="CP262" s="435">
        <f t="shared" si="258"/>
        <v>0</v>
      </c>
      <c r="CQ262" s="436"/>
      <c r="CR262" s="436"/>
      <c r="CS262" s="436"/>
      <c r="CT262" s="435">
        <f t="shared" si="259"/>
        <v>0</v>
      </c>
      <c r="CU262" s="436"/>
      <c r="CV262" s="435">
        <f t="shared" si="260"/>
        <v>0</v>
      </c>
      <c r="CW262" s="435">
        <f t="shared" si="261"/>
        <v>0</v>
      </c>
      <c r="CX262" s="436"/>
      <c r="CY262" s="435">
        <f t="shared" si="262"/>
        <v>0</v>
      </c>
      <c r="CZ262" s="435">
        <f t="shared" si="263"/>
        <v>0</v>
      </c>
    </row>
    <row r="263" spans="1:104" ht="15" customHeight="1" x14ac:dyDescent="0.3">
      <c r="A263" s="6574"/>
      <c r="B263" s="6788" t="s">
        <v>1833</v>
      </c>
      <c r="C263" s="6788"/>
      <c r="D263" s="3478">
        <f t="shared" si="246"/>
        <v>0</v>
      </c>
      <c r="E263" s="3610">
        <f>SUM(M263+O263+Q263+S263+U263+W263+Y263+AA263+AC263+AE263+AG263+AI263+AK263)</f>
        <v>0</v>
      </c>
      <c r="F263" s="3563">
        <f>SUM(N263+P263+R263+T263+V263+X263+Z263+AB263+AD263+AF263+AH263+AJ263+AL263)</f>
        <v>0</v>
      </c>
      <c r="G263" s="635"/>
      <c r="H263" s="636"/>
      <c r="I263" s="635"/>
      <c r="J263" s="636"/>
      <c r="K263" s="635"/>
      <c r="L263" s="636"/>
      <c r="M263" s="635"/>
      <c r="N263" s="636"/>
      <c r="O263" s="3851"/>
      <c r="P263" s="3850"/>
      <c r="Q263" s="3851"/>
      <c r="R263" s="3850"/>
      <c r="S263" s="3851"/>
      <c r="T263" s="838"/>
      <c r="U263" s="3851"/>
      <c r="V263" s="838"/>
      <c r="W263" s="3851"/>
      <c r="X263" s="838"/>
      <c r="Y263" s="3851"/>
      <c r="Z263" s="838"/>
      <c r="AA263" s="3851"/>
      <c r="AB263" s="838"/>
      <c r="AC263" s="3851"/>
      <c r="AD263" s="838"/>
      <c r="AE263" s="3851"/>
      <c r="AF263" s="838"/>
      <c r="AG263" s="3851"/>
      <c r="AH263" s="838"/>
      <c r="AI263" s="3851"/>
      <c r="AJ263" s="838"/>
      <c r="AK263" s="3851"/>
      <c r="AL263" s="838"/>
      <c r="AM263" s="837"/>
      <c r="AN263" s="3852"/>
      <c r="AO263" s="3873"/>
      <c r="AP263" s="3853"/>
      <c r="AQ263" s="3874"/>
      <c r="AR263" s="3851"/>
      <c r="AS263" s="3853"/>
      <c r="AT263" s="3849"/>
      <c r="AU263" s="838"/>
      <c r="AV263" s="3853"/>
      <c r="AW263" s="3849"/>
      <c r="AX263" s="838"/>
      <c r="AY263" t="str">
        <f t="shared" si="249"/>
        <v/>
      </c>
      <c r="CA263" s="434" t="str">
        <f t="shared" si="250"/>
        <v/>
      </c>
      <c r="CB263" s="434" t="str">
        <f t="shared" si="251"/>
        <v/>
      </c>
      <c r="CC263" s="436"/>
      <c r="CD263" s="436"/>
      <c r="CE263" s="436"/>
      <c r="CF263" s="434" t="str">
        <f t="shared" si="252"/>
        <v/>
      </c>
      <c r="CG263" s="436"/>
      <c r="CH263" s="434" t="str">
        <f t="shared" si="253"/>
        <v/>
      </c>
      <c r="CI263" s="434" t="str">
        <f t="shared" si="254"/>
        <v/>
      </c>
      <c r="CJ263" s="436"/>
      <c r="CK263" s="434" t="str">
        <f t="shared" si="255"/>
        <v/>
      </c>
      <c r="CL263" s="434" t="str">
        <f t="shared" si="256"/>
        <v/>
      </c>
      <c r="CO263" s="435">
        <f t="shared" si="257"/>
        <v>0</v>
      </c>
      <c r="CP263" s="435">
        <f t="shared" si="258"/>
        <v>0</v>
      </c>
      <c r="CQ263" s="436"/>
      <c r="CR263" s="436"/>
      <c r="CS263" s="436"/>
      <c r="CT263" s="435">
        <f t="shared" si="259"/>
        <v>0</v>
      </c>
      <c r="CU263" s="436"/>
      <c r="CV263" s="435">
        <f t="shared" si="260"/>
        <v>0</v>
      </c>
      <c r="CW263" s="435">
        <f t="shared" si="261"/>
        <v>0</v>
      </c>
      <c r="CX263" s="436"/>
      <c r="CY263" s="435">
        <f t="shared" si="262"/>
        <v>0</v>
      </c>
      <c r="CZ263" s="435">
        <f t="shared" si="263"/>
        <v>0</v>
      </c>
    </row>
    <row r="264" spans="1:104" ht="15" customHeight="1" x14ac:dyDescent="0.3">
      <c r="A264" s="6185" t="s">
        <v>1646</v>
      </c>
      <c r="B264" s="6790" t="s">
        <v>1828</v>
      </c>
      <c r="C264" s="6790"/>
      <c r="D264" s="3805">
        <f t="shared" si="246"/>
        <v>0</v>
      </c>
      <c r="E264" s="3875">
        <f t="shared" si="247"/>
        <v>0</v>
      </c>
      <c r="F264" s="3876">
        <f t="shared" si="248"/>
        <v>0</v>
      </c>
      <c r="G264" s="3842"/>
      <c r="H264" s="859"/>
      <c r="I264" s="3842"/>
      <c r="J264" s="859"/>
      <c r="K264" s="3842"/>
      <c r="L264" s="859"/>
      <c r="M264" s="3842"/>
      <c r="N264" s="859"/>
      <c r="O264" s="3842"/>
      <c r="P264" s="859"/>
      <c r="Q264" s="3842"/>
      <c r="R264" s="859"/>
      <c r="S264" s="3842"/>
      <c r="T264" s="859"/>
      <c r="U264" s="3842"/>
      <c r="V264" s="859"/>
      <c r="W264" s="3842"/>
      <c r="X264" s="859"/>
      <c r="Y264" s="3842"/>
      <c r="Z264" s="859"/>
      <c r="AA264" s="3842"/>
      <c r="AB264" s="859"/>
      <c r="AC264" s="3842"/>
      <c r="AD264" s="859"/>
      <c r="AE264" s="3842"/>
      <c r="AF264" s="859"/>
      <c r="AG264" s="3842"/>
      <c r="AH264" s="859"/>
      <c r="AI264" s="3842"/>
      <c r="AJ264" s="859"/>
      <c r="AK264" s="3842"/>
      <c r="AL264" s="859"/>
      <c r="AM264" s="5580"/>
      <c r="AN264" s="5577"/>
      <c r="AO264" s="3841"/>
      <c r="AP264" s="3855"/>
      <c r="AQ264" s="3842"/>
      <c r="AR264" s="3856"/>
      <c r="AS264" s="3856"/>
      <c r="AT264" s="3857"/>
      <c r="AU264" s="2691"/>
      <c r="AV264" s="3845"/>
      <c r="AW264" s="3857"/>
      <c r="AX264" s="2691"/>
      <c r="AY264" t="str">
        <f t="shared" si="249"/>
        <v/>
      </c>
      <c r="CA264" s="434" t="str">
        <f t="shared" si="250"/>
        <v/>
      </c>
      <c r="CB264" s="436"/>
      <c r="CC264" s="434" t="str">
        <f>IF(AND($D264&gt;0,AO264="")," * No olvide digitar la variable Consultas Pertinentes: Según Procolo de Referencia. Digite cero si no tiene.",IF(AO264&gt;$D264," * La variable Consultas Pertinentes: Según Procolo de Referencia no puede superar el Total Ambos Sexos.",""))</f>
        <v/>
      </c>
      <c r="CD264" s="434" t="str">
        <f>IF(AND($D264&gt;0,AP264="")," * No olvide digitar la variable Consultas Pertinentes: Según condición clínica. Digite cero si no tiene.",IF(AP264&gt;$D264," * La variable Consultas Pertinentes: Según condición clínica no puede superar el Total Ambos Sexos.",""))</f>
        <v/>
      </c>
      <c r="CE264" s="434" t="str">
        <f>IF(AND($D264&gt;0,AQ264="")," * No olvide digitar la variable Inasistente. Digite cero si no tiene.",IF(AQ264&gt;$D264," * La variable Insasistente no puede superar el Total Ambos Sexos.",""))</f>
        <v/>
      </c>
      <c r="CF264" s="434" t="str">
        <f>IF(AND($D264&gt;0,AR264="")," * No olvide digitar la variable Compra de Servicio. Digite Cero si no tiene.",IF(AR264&gt;$D264," * La variable Compra de Servicio no puede superar el Total Ambos Sexos.",""))</f>
        <v/>
      </c>
      <c r="CG264" s="434" t="str">
        <f>IF(AND($D264&gt;0,AS264="")," * No olvide digitar la variable Ortodoncia interceptiva. Digite Cero si no tiene.",IF(AS264&gt;$D264," * La variable Ortodoncia interceptiva no puede superar el Total Ambos Sexos.",""))</f>
        <v/>
      </c>
      <c r="CH264" s="434" t="str">
        <f t="shared" si="253"/>
        <v/>
      </c>
      <c r="CI264" s="434" t="str">
        <f>IF(AND($D264&gt;0,AU264="")," * No olvide digitar la variable Usuarios Oncológicos. Digite Cero si no tiene.",IF(AU264&gt;$D264," * La variable Usuarios Oncológicos no puede superar el Total Ambos Sexos.",""))</f>
        <v/>
      </c>
      <c r="CJ264" s="436"/>
      <c r="CK264" s="434" t="str">
        <f t="shared" si="255"/>
        <v/>
      </c>
      <c r="CL264" s="434" t="str">
        <f t="shared" si="256"/>
        <v/>
      </c>
      <c r="CO264" s="435">
        <f t="shared" si="257"/>
        <v>0</v>
      </c>
      <c r="CP264" s="436"/>
      <c r="CQ264" s="435">
        <f>IF(AND($D264&gt;0,AO264=""),1,IF(AO264&gt;$D264,1,0))</f>
        <v>0</v>
      </c>
      <c r="CR264" s="435">
        <f t="shared" ref="CR264" si="267">IF(AND($D264&gt;0,AP264=""),1,IF(AP264&gt;$D264,1,0))</f>
        <v>0</v>
      </c>
      <c r="CS264" s="435">
        <f t="shared" ref="CS264:CS265" si="268">IF(AND($D264&gt;0,AQ264=""),1,IF(AQ264&gt;$D264,1,0))</f>
        <v>0</v>
      </c>
      <c r="CT264" s="435">
        <f>IF(AND($D264&gt;0,AR264=""),1,IF(AR264&gt;$D264,1,0))</f>
        <v>0</v>
      </c>
      <c r="CU264" s="435">
        <f>IF(AND($D264&gt;0,AS264=""),1,IF(AS264&gt;$D264,1,0))</f>
        <v>0</v>
      </c>
      <c r="CV264" s="435">
        <f t="shared" si="260"/>
        <v>0</v>
      </c>
      <c r="CW264" s="435">
        <f t="shared" si="261"/>
        <v>0</v>
      </c>
      <c r="CX264" s="436"/>
      <c r="CY264" s="435">
        <f t="shared" si="262"/>
        <v>0</v>
      </c>
      <c r="CZ264" s="435">
        <f t="shared" si="263"/>
        <v>0</v>
      </c>
    </row>
    <row r="265" spans="1:104" ht="15" customHeight="1" x14ac:dyDescent="0.3">
      <c r="A265" s="5790"/>
      <c r="B265" s="6791" t="s">
        <v>1829</v>
      </c>
      <c r="C265" s="6791"/>
      <c r="D265" s="3858">
        <f t="shared" si="246"/>
        <v>0</v>
      </c>
      <c r="E265" s="3859">
        <f t="shared" si="247"/>
        <v>0</v>
      </c>
      <c r="F265" s="3877">
        <f t="shared" si="248"/>
        <v>0</v>
      </c>
      <c r="G265" s="3862"/>
      <c r="H265" s="3861"/>
      <c r="I265" s="3862"/>
      <c r="J265" s="3861"/>
      <c r="K265" s="3862"/>
      <c r="L265" s="3861"/>
      <c r="M265" s="3862"/>
      <c r="N265" s="3861"/>
      <c r="O265" s="3862"/>
      <c r="P265" s="3861"/>
      <c r="Q265" s="3862"/>
      <c r="R265" s="3861"/>
      <c r="S265" s="3862"/>
      <c r="T265" s="3861"/>
      <c r="U265" s="3862"/>
      <c r="V265" s="3861"/>
      <c r="W265" s="3862"/>
      <c r="X265" s="3861"/>
      <c r="Y265" s="3862"/>
      <c r="Z265" s="3861"/>
      <c r="AA265" s="3862"/>
      <c r="AB265" s="3861"/>
      <c r="AC265" s="3862"/>
      <c r="AD265" s="3861"/>
      <c r="AE265" s="3862"/>
      <c r="AF265" s="3861"/>
      <c r="AG265" s="3862"/>
      <c r="AH265" s="3861"/>
      <c r="AI265" s="3862"/>
      <c r="AJ265" s="3861"/>
      <c r="AK265" s="3862"/>
      <c r="AL265" s="3861"/>
      <c r="AM265" s="5021"/>
      <c r="AN265" s="5578"/>
      <c r="AO265" s="3844"/>
      <c r="AP265" s="3845"/>
      <c r="AQ265" s="3856"/>
      <c r="AR265" s="3862"/>
      <c r="AS265" s="3862"/>
      <c r="AT265" s="3860"/>
      <c r="AU265" s="835"/>
      <c r="AV265" s="3845"/>
      <c r="AW265" s="3860"/>
      <c r="AX265" s="835"/>
      <c r="AY265" t="str">
        <f t="shared" si="249"/>
        <v/>
      </c>
      <c r="CA265" s="434" t="str">
        <f t="shared" si="250"/>
        <v/>
      </c>
      <c r="CB265" s="436"/>
      <c r="CC265" s="436"/>
      <c r="CD265" s="436"/>
      <c r="CE265" s="434" t="str">
        <f>IF(AND($D265&gt;0,AQ265="")," * No olvide digitar la variable Inasistente. Digite cero si no tiene.",IF(AQ265&gt;$D265," * La variable Insasistente no puede superar el Total Ambos Sexos.",""))</f>
        <v/>
      </c>
      <c r="CF265" s="434" t="str">
        <f t="shared" si="252"/>
        <v/>
      </c>
      <c r="CG265" s="434" t="str">
        <f t="shared" ref="CG265:CG268" si="269">IF(AND($D265&gt;0,AS265="")," * No olvide digitar la variable Ortodoncia interceptiva. Digite Cero si no tiene.",IF(AS265&gt;$D265," * La variable Ortodoncia interceptiva no puede superar el Total Ambos Sexos.",""))</f>
        <v/>
      </c>
      <c r="CH265" s="434" t="str">
        <f t="shared" si="253"/>
        <v/>
      </c>
      <c r="CI265" s="434" t="str">
        <f t="shared" si="254"/>
        <v/>
      </c>
      <c r="CJ265" s="436"/>
      <c r="CK265" s="434" t="str">
        <f t="shared" si="255"/>
        <v/>
      </c>
      <c r="CL265" s="434" t="str">
        <f t="shared" si="256"/>
        <v/>
      </c>
      <c r="CO265" s="435">
        <f t="shared" si="257"/>
        <v>0</v>
      </c>
      <c r="CP265" s="436"/>
      <c r="CQ265" s="436"/>
      <c r="CR265" s="436"/>
      <c r="CS265" s="435">
        <f t="shared" si="268"/>
        <v>0</v>
      </c>
      <c r="CT265" s="435">
        <f t="shared" si="259"/>
        <v>0</v>
      </c>
      <c r="CU265" s="435">
        <f t="shared" ref="CU265:CU268" si="270">IF(AND($D265&gt;0,AS265=""),1,IF(AS265&gt;$D265,1,0))</f>
        <v>0</v>
      </c>
      <c r="CV265" s="435">
        <f t="shared" si="260"/>
        <v>0</v>
      </c>
      <c r="CW265" s="435">
        <f t="shared" si="261"/>
        <v>0</v>
      </c>
      <c r="CX265" s="436"/>
      <c r="CY265" s="435">
        <f t="shared" si="262"/>
        <v>0</v>
      </c>
      <c r="CZ265" s="435">
        <f t="shared" si="263"/>
        <v>0</v>
      </c>
    </row>
    <row r="266" spans="1:104" ht="15" customHeight="1" x14ac:dyDescent="0.3">
      <c r="A266" s="5790"/>
      <c r="B266" s="6791" t="s">
        <v>1830</v>
      </c>
      <c r="C266" s="6791"/>
      <c r="D266" s="3858">
        <f t="shared" si="246"/>
        <v>0</v>
      </c>
      <c r="E266" s="3859">
        <f t="shared" si="247"/>
        <v>0</v>
      </c>
      <c r="F266" s="3877">
        <f t="shared" si="248"/>
        <v>0</v>
      </c>
      <c r="G266" s="3862"/>
      <c r="H266" s="3861"/>
      <c r="I266" s="3862"/>
      <c r="J266" s="3861"/>
      <c r="K266" s="3862"/>
      <c r="L266" s="3861"/>
      <c r="M266" s="3862"/>
      <c r="N266" s="3861"/>
      <c r="O266" s="3862"/>
      <c r="P266" s="3861"/>
      <c r="Q266" s="3862"/>
      <c r="R266" s="3861"/>
      <c r="S266" s="3862"/>
      <c r="T266" s="3861"/>
      <c r="U266" s="3862"/>
      <c r="V266" s="3861"/>
      <c r="W266" s="3862"/>
      <c r="X266" s="3861"/>
      <c r="Y266" s="3862"/>
      <c r="Z266" s="3861"/>
      <c r="AA266" s="3862"/>
      <c r="AB266" s="3861"/>
      <c r="AC266" s="3862"/>
      <c r="AD266" s="3861"/>
      <c r="AE266" s="3862"/>
      <c r="AF266" s="3861"/>
      <c r="AG266" s="3862"/>
      <c r="AH266" s="3861"/>
      <c r="AI266" s="3862"/>
      <c r="AJ266" s="3861"/>
      <c r="AK266" s="3862"/>
      <c r="AL266" s="3861"/>
      <c r="AM266" s="5021"/>
      <c r="AN266" s="5578"/>
      <c r="AO266" s="3844"/>
      <c r="AP266" s="3845"/>
      <c r="AQ266" s="3865"/>
      <c r="AR266" s="3862"/>
      <c r="AS266" s="3862"/>
      <c r="AT266" s="3860"/>
      <c r="AU266" s="835"/>
      <c r="AV266" s="3845"/>
      <c r="AW266" s="3860"/>
      <c r="AX266" s="835"/>
      <c r="AY266" t="str">
        <f t="shared" si="249"/>
        <v/>
      </c>
      <c r="CA266" s="434" t="str">
        <f t="shared" si="250"/>
        <v/>
      </c>
      <c r="CB266" s="436"/>
      <c r="CC266" s="436"/>
      <c r="CD266" s="436"/>
      <c r="CE266" s="436"/>
      <c r="CF266" s="434" t="str">
        <f t="shared" si="252"/>
        <v/>
      </c>
      <c r="CG266" s="434" t="str">
        <f t="shared" si="269"/>
        <v/>
      </c>
      <c r="CH266" s="434" t="str">
        <f t="shared" si="253"/>
        <v/>
      </c>
      <c r="CI266" s="434" t="str">
        <f t="shared" si="254"/>
        <v/>
      </c>
      <c r="CJ266" s="436"/>
      <c r="CK266" s="434" t="str">
        <f t="shared" si="255"/>
        <v/>
      </c>
      <c r="CL266" s="434" t="str">
        <f t="shared" si="256"/>
        <v/>
      </c>
      <c r="CO266" s="435">
        <f t="shared" si="257"/>
        <v>0</v>
      </c>
      <c r="CP266" s="436"/>
      <c r="CQ266" s="436"/>
      <c r="CR266" s="436"/>
      <c r="CS266" s="436"/>
      <c r="CT266" s="435">
        <f t="shared" si="259"/>
        <v>0</v>
      </c>
      <c r="CU266" s="435">
        <f t="shared" si="270"/>
        <v>0</v>
      </c>
      <c r="CV266" s="435">
        <f t="shared" si="260"/>
        <v>0</v>
      </c>
      <c r="CW266" s="435">
        <f t="shared" si="261"/>
        <v>0</v>
      </c>
      <c r="CX266" s="436"/>
      <c r="CY266" s="435">
        <f t="shared" si="262"/>
        <v>0</v>
      </c>
      <c r="CZ266" s="435">
        <f t="shared" si="263"/>
        <v>0</v>
      </c>
    </row>
    <row r="267" spans="1:104" ht="15" customHeight="1" x14ac:dyDescent="0.3">
      <c r="A267" s="5790"/>
      <c r="B267" s="6787" t="s">
        <v>1831</v>
      </c>
      <c r="C267" s="6719"/>
      <c r="D267" s="3858">
        <f t="shared" si="246"/>
        <v>0</v>
      </c>
      <c r="E267" s="3859">
        <f t="shared" si="247"/>
        <v>0</v>
      </c>
      <c r="F267" s="3877">
        <f t="shared" si="248"/>
        <v>0</v>
      </c>
      <c r="G267" s="3868"/>
      <c r="H267" s="3867"/>
      <c r="I267" s="3868"/>
      <c r="J267" s="3867"/>
      <c r="K267" s="3868"/>
      <c r="L267" s="3867"/>
      <c r="M267" s="3868"/>
      <c r="N267" s="3867"/>
      <c r="O267" s="3868"/>
      <c r="P267" s="3867"/>
      <c r="Q267" s="3868"/>
      <c r="R267" s="3867"/>
      <c r="S267" s="3868"/>
      <c r="T267" s="3867"/>
      <c r="U267" s="3868"/>
      <c r="V267" s="3867"/>
      <c r="W267" s="3868"/>
      <c r="X267" s="3867"/>
      <c r="Y267" s="3868"/>
      <c r="Z267" s="3867"/>
      <c r="AA267" s="3868"/>
      <c r="AB267" s="3867"/>
      <c r="AC267" s="3868"/>
      <c r="AD267" s="3867"/>
      <c r="AE267" s="3868"/>
      <c r="AF267" s="3867"/>
      <c r="AG267" s="3868"/>
      <c r="AH267" s="3867"/>
      <c r="AI267" s="3868"/>
      <c r="AJ267" s="3867"/>
      <c r="AK267" s="3868"/>
      <c r="AL267" s="3867"/>
      <c r="AM267" s="5021"/>
      <c r="AN267" s="5578"/>
      <c r="AO267" s="3844"/>
      <c r="AP267" s="3845"/>
      <c r="AQ267" s="3865"/>
      <c r="AR267" s="3868"/>
      <c r="AS267" s="3868"/>
      <c r="AT267" s="3866"/>
      <c r="AU267" s="2677"/>
      <c r="AV267" s="835"/>
      <c r="AW267" s="3866"/>
      <c r="AX267" s="2677"/>
      <c r="AY267" t="str">
        <f t="shared" si="249"/>
        <v/>
      </c>
      <c r="CA267" s="434" t="str">
        <f t="shared" si="250"/>
        <v/>
      </c>
      <c r="CB267" s="436"/>
      <c r="CC267" s="436"/>
      <c r="CD267" s="436"/>
      <c r="CE267" s="436"/>
      <c r="CF267" s="434" t="str">
        <f t="shared" si="252"/>
        <v/>
      </c>
      <c r="CG267" s="434" t="str">
        <f t="shared" si="269"/>
        <v/>
      </c>
      <c r="CH267" s="434" t="str">
        <f t="shared" si="253"/>
        <v/>
      </c>
      <c r="CI267" s="434" t="str">
        <f t="shared" si="254"/>
        <v/>
      </c>
      <c r="CJ267" s="434" t="str">
        <f>IF(AND($D267&gt;0,AV267="")," * No olvide digitar la variable Contrarreferencia al alta. Digite Cero si no tiene.",IF(AV267&gt;$D267," * La variable Contrarreferencia al alta no puede superar el Total Ambos Sexos.",""))</f>
        <v/>
      </c>
      <c r="CK267" s="434" t="str">
        <f t="shared" si="255"/>
        <v/>
      </c>
      <c r="CL267" s="434" t="str">
        <f t="shared" si="256"/>
        <v/>
      </c>
      <c r="CO267" s="435">
        <f t="shared" si="257"/>
        <v>0</v>
      </c>
      <c r="CP267" s="436"/>
      <c r="CQ267" s="436"/>
      <c r="CR267" s="436"/>
      <c r="CS267" s="436"/>
      <c r="CT267" s="435">
        <f t="shared" si="259"/>
        <v>0</v>
      </c>
      <c r="CU267" s="435">
        <f t="shared" si="270"/>
        <v>0</v>
      </c>
      <c r="CV267" s="435">
        <f t="shared" si="260"/>
        <v>0</v>
      </c>
      <c r="CW267" s="435">
        <f t="shared" si="261"/>
        <v>0</v>
      </c>
      <c r="CX267" s="435">
        <f>IF(AND($D267&gt;0,AV267=""),1,IF(AV267&gt;$D267,1,0))</f>
        <v>0</v>
      </c>
      <c r="CY267" s="435">
        <f t="shared" si="262"/>
        <v>0</v>
      </c>
      <c r="CZ267" s="435">
        <f t="shared" si="263"/>
        <v>0</v>
      </c>
    </row>
    <row r="268" spans="1:104" ht="15" customHeight="1" x14ac:dyDescent="0.3">
      <c r="A268" s="5790"/>
      <c r="B268" s="6787" t="s">
        <v>1832</v>
      </c>
      <c r="C268" s="6719"/>
      <c r="D268" s="3858">
        <f t="shared" si="246"/>
        <v>0</v>
      </c>
      <c r="E268" s="3859">
        <f t="shared" si="247"/>
        <v>0</v>
      </c>
      <c r="F268" s="3645">
        <f t="shared" si="248"/>
        <v>0</v>
      </c>
      <c r="G268" s="3866"/>
      <c r="H268" s="3867"/>
      <c r="I268" s="3868"/>
      <c r="J268" s="3867"/>
      <c r="K268" s="3868"/>
      <c r="L268" s="3867"/>
      <c r="M268" s="3868"/>
      <c r="N268" s="3867"/>
      <c r="O268" s="3868"/>
      <c r="P268" s="3867"/>
      <c r="Q268" s="3868"/>
      <c r="R268" s="3867"/>
      <c r="S268" s="3868"/>
      <c r="T268" s="3867"/>
      <c r="U268" s="3868"/>
      <c r="V268" s="3867"/>
      <c r="W268" s="3868"/>
      <c r="X268" s="3867"/>
      <c r="Y268" s="3868"/>
      <c r="Z268" s="3867"/>
      <c r="AA268" s="3868"/>
      <c r="AB268" s="3867"/>
      <c r="AC268" s="3868"/>
      <c r="AD268" s="3867"/>
      <c r="AE268" s="3868"/>
      <c r="AF268" s="3867"/>
      <c r="AG268" s="3868"/>
      <c r="AH268" s="3867"/>
      <c r="AI268" s="3868"/>
      <c r="AJ268" s="3867"/>
      <c r="AK268" s="3868"/>
      <c r="AL268" s="3867"/>
      <c r="AM268" s="2675"/>
      <c r="AN268" s="3868"/>
      <c r="AO268" s="3844"/>
      <c r="AP268" s="3845"/>
      <c r="AQ268" s="3872"/>
      <c r="AR268" s="3868"/>
      <c r="AS268" s="3868"/>
      <c r="AT268" s="3866"/>
      <c r="AU268" s="2677"/>
      <c r="AV268" s="3871"/>
      <c r="AW268" s="3866"/>
      <c r="AX268" s="2677"/>
      <c r="AY268" t="str">
        <f t="shared" si="249"/>
        <v/>
      </c>
      <c r="CA268" s="434" t="str">
        <f t="shared" si="250"/>
        <v/>
      </c>
      <c r="CB268" s="436"/>
      <c r="CC268" s="436"/>
      <c r="CD268" s="436"/>
      <c r="CE268" s="436"/>
      <c r="CF268" s="434" t="str">
        <f t="shared" si="252"/>
        <v/>
      </c>
      <c r="CG268" s="434" t="str">
        <f t="shared" si="269"/>
        <v/>
      </c>
      <c r="CH268" s="434" t="str">
        <f t="shared" si="253"/>
        <v/>
      </c>
      <c r="CI268" s="434" t="str">
        <f t="shared" si="254"/>
        <v/>
      </c>
      <c r="CJ268" s="436"/>
      <c r="CK268" s="434" t="str">
        <f t="shared" si="255"/>
        <v/>
      </c>
      <c r="CL268" s="434" t="str">
        <f t="shared" si="256"/>
        <v/>
      </c>
      <c r="CO268" s="435">
        <f t="shared" si="257"/>
        <v>0</v>
      </c>
      <c r="CP268" s="436"/>
      <c r="CQ268" s="436"/>
      <c r="CR268" s="436"/>
      <c r="CS268" s="436"/>
      <c r="CT268" s="435">
        <f t="shared" si="259"/>
        <v>0</v>
      </c>
      <c r="CU268" s="435">
        <f t="shared" si="270"/>
        <v>0</v>
      </c>
      <c r="CV268" s="435">
        <f t="shared" si="260"/>
        <v>0</v>
      </c>
      <c r="CW268" s="435">
        <f t="shared" si="261"/>
        <v>0</v>
      </c>
      <c r="CX268" s="436"/>
      <c r="CY268" s="435">
        <f t="shared" si="262"/>
        <v>0</v>
      </c>
      <c r="CZ268" s="435">
        <f t="shared" si="263"/>
        <v>0</v>
      </c>
    </row>
    <row r="269" spans="1:104" ht="15" customHeight="1" x14ac:dyDescent="0.3">
      <c r="A269" s="6574"/>
      <c r="B269" s="6788" t="s">
        <v>1833</v>
      </c>
      <c r="C269" s="6788"/>
      <c r="D269" s="3478">
        <f t="shared" si="246"/>
        <v>0</v>
      </c>
      <c r="E269" s="3610">
        <f>SUM(+I269+K269+M269+O269+Q269+S269+U269+W269+Y269+AA269+AC269+AE269+AG269+AI269+AK269)</f>
        <v>0</v>
      </c>
      <c r="F269" s="3563">
        <f>SUM(J269+L269+N269+P269+R269+T269+V269+X269+Z269+AB269+AD269+AF269+AH269+AJ269+AL269)</f>
        <v>0</v>
      </c>
      <c r="G269" s="3851"/>
      <c r="H269" s="3850"/>
      <c r="I269" s="3851"/>
      <c r="J269" s="3850"/>
      <c r="K269" s="3851"/>
      <c r="L269" s="3850"/>
      <c r="M269" s="3851"/>
      <c r="N269" s="3850"/>
      <c r="O269" s="3851"/>
      <c r="P269" s="3850"/>
      <c r="Q269" s="3851"/>
      <c r="R269" s="3850"/>
      <c r="S269" s="3851"/>
      <c r="T269" s="3850"/>
      <c r="U269" s="3851"/>
      <c r="V269" s="3850"/>
      <c r="W269" s="3851"/>
      <c r="X269" s="3850"/>
      <c r="Y269" s="3851"/>
      <c r="Z269" s="3850"/>
      <c r="AA269" s="3851"/>
      <c r="AB269" s="3850"/>
      <c r="AC269" s="3851"/>
      <c r="AD269" s="3850"/>
      <c r="AE269" s="3851"/>
      <c r="AF269" s="3850"/>
      <c r="AG269" s="3851"/>
      <c r="AH269" s="3850"/>
      <c r="AI269" s="3851"/>
      <c r="AJ269" s="3850"/>
      <c r="AK269" s="3851"/>
      <c r="AL269" s="3850"/>
      <c r="AM269" s="5024"/>
      <c r="AN269" s="5579"/>
      <c r="AO269" s="3873"/>
      <c r="AP269" s="3853"/>
      <c r="AQ269" s="3874"/>
      <c r="AR269" s="3851"/>
      <c r="AS269" s="3851"/>
      <c r="AT269" s="3849"/>
      <c r="AU269" s="838"/>
      <c r="AV269" s="3853"/>
      <c r="AW269" s="3849"/>
      <c r="AX269" s="838"/>
      <c r="AY269" t="str">
        <f t="shared" si="249"/>
        <v/>
      </c>
      <c r="CA269" s="434" t="str">
        <f t="shared" si="250"/>
        <v/>
      </c>
      <c r="CB269" s="436"/>
      <c r="CC269" s="436"/>
      <c r="CD269" s="436"/>
      <c r="CE269" s="436"/>
      <c r="CF269" s="434" t="str">
        <f t="shared" si="252"/>
        <v/>
      </c>
      <c r="CG269" s="434" t="str">
        <f>IF(AND($D269&gt;0,AS269="")," * No olvide digitar la variable Ortodoncia interceptiva. Digite Cero si no tiene.",IF(AS269&gt;$D269," * La variable Ortodoncia interceptiva no puede superar el Total Ambos Sexos.",""))</f>
        <v/>
      </c>
      <c r="CH269" s="434" t="str">
        <f t="shared" si="253"/>
        <v/>
      </c>
      <c r="CI269" s="434" t="str">
        <f t="shared" si="254"/>
        <v/>
      </c>
      <c r="CJ269" s="436"/>
      <c r="CK269" s="434" t="str">
        <f t="shared" si="255"/>
        <v/>
      </c>
      <c r="CL269" s="434" t="str">
        <f t="shared" si="256"/>
        <v/>
      </c>
      <c r="CO269" s="435">
        <f t="shared" si="257"/>
        <v>0</v>
      </c>
      <c r="CP269" s="436"/>
      <c r="CQ269" s="436"/>
      <c r="CR269" s="436"/>
      <c r="CS269" s="436"/>
      <c r="CT269" s="435">
        <f t="shared" si="259"/>
        <v>0</v>
      </c>
      <c r="CU269" s="435">
        <f>IF(AND($D269&gt;0,AS269=""),1,IF(AS269&gt;$D269,1,0))</f>
        <v>0</v>
      </c>
      <c r="CV269" s="435">
        <f t="shared" si="260"/>
        <v>0</v>
      </c>
      <c r="CW269" s="435">
        <f t="shared" si="261"/>
        <v>0</v>
      </c>
      <c r="CX269" s="436"/>
      <c r="CY269" s="435">
        <f t="shared" si="262"/>
        <v>0</v>
      </c>
      <c r="CZ269" s="435">
        <f t="shared" si="263"/>
        <v>0</v>
      </c>
    </row>
    <row r="270" spans="1:104" ht="15" customHeight="1" x14ac:dyDescent="0.3">
      <c r="A270" s="6185" t="s">
        <v>1834</v>
      </c>
      <c r="B270" s="6790" t="s">
        <v>1828</v>
      </c>
      <c r="C270" s="6790"/>
      <c r="D270" s="3805">
        <f t="shared" si="246"/>
        <v>0</v>
      </c>
      <c r="E270" s="3639">
        <f>SUM(G270++I270+K270+M270+O270+Q270+S270+U270+W270+Y270+AA270+AC270+AE270+AG270+AI270+AK270)</f>
        <v>0</v>
      </c>
      <c r="F270" s="3553">
        <f t="shared" si="248"/>
        <v>0</v>
      </c>
      <c r="G270" s="3857"/>
      <c r="H270" s="3855"/>
      <c r="I270" s="3856"/>
      <c r="J270" s="3855"/>
      <c r="K270" s="3856"/>
      <c r="L270" s="3855"/>
      <c r="M270" s="3856"/>
      <c r="N270" s="3855"/>
      <c r="O270" s="3856"/>
      <c r="P270" s="3855"/>
      <c r="Q270" s="3856"/>
      <c r="R270" s="3855"/>
      <c r="S270" s="3856"/>
      <c r="T270" s="2691"/>
      <c r="U270" s="3856"/>
      <c r="V270" s="2691"/>
      <c r="W270" s="3842"/>
      <c r="X270" s="826"/>
      <c r="Y270" s="3842"/>
      <c r="Z270" s="826"/>
      <c r="AA270" s="3842"/>
      <c r="AB270" s="826"/>
      <c r="AC270" s="3842"/>
      <c r="AD270" s="826"/>
      <c r="AE270" s="3842"/>
      <c r="AF270" s="826"/>
      <c r="AG270" s="3842"/>
      <c r="AH270" s="826"/>
      <c r="AI270" s="3842"/>
      <c r="AJ270" s="826"/>
      <c r="AK270" s="3842"/>
      <c r="AL270" s="5574"/>
      <c r="AM270" s="3842"/>
      <c r="AN270" s="826"/>
      <c r="AO270" s="3841"/>
      <c r="AP270" s="3855"/>
      <c r="AQ270" s="3842"/>
      <c r="AR270" s="3856"/>
      <c r="AS270" s="3845"/>
      <c r="AT270" s="3857"/>
      <c r="AU270" s="2691"/>
      <c r="AV270" s="3845"/>
      <c r="AW270" s="3857"/>
      <c r="AX270" s="2691"/>
      <c r="AY270" t="str">
        <f t="shared" si="249"/>
        <v/>
      </c>
      <c r="CA270" s="436"/>
      <c r="CB270" s="436"/>
      <c r="CC270" s="434" t="str">
        <f>IF(AND($D270&gt;0,AO270="")," * No olvide digitar la variable Consultas Pertinentes: Según Procolo de Referencia. Digite cero si no tiene.",IF(AO270&gt;$D270," * La variable Consultas Pertinentes: Según Procolo de Referencia no puede superar el Total Ambos Sexos.",""))</f>
        <v/>
      </c>
      <c r="CD270" s="434" t="str">
        <f>IF(AND($D270&gt;0,AP270="")," * No olvide digitar la variable Consultas Pertinentes: Según condición clínica. Digite cero si no tiene.",IF(AP270&gt;$D270," * La variable Consultas Pertinentes: Según condición clínica no puede superar el Total Ambos Sexos.",""))</f>
        <v/>
      </c>
      <c r="CE270" s="434" t="str">
        <f>IF(AND($D270&gt;0,AQ270="")," * No olvide digitar la variable Inasistente. Digite cero si no tiene.",IF(AQ270&gt;$D270," * La variable Insasistente no puede superar el Total Ambos Sexos.",""))</f>
        <v/>
      </c>
      <c r="CF270" s="434" t="str">
        <f t="shared" si="252"/>
        <v/>
      </c>
      <c r="CG270" s="436"/>
      <c r="CH270" s="434" t="str">
        <f t="shared" si="253"/>
        <v/>
      </c>
      <c r="CI270" s="434" t="str">
        <f t="shared" si="254"/>
        <v/>
      </c>
      <c r="CJ270" s="436"/>
      <c r="CK270" s="434" t="str">
        <f t="shared" si="255"/>
        <v/>
      </c>
      <c r="CL270" s="434" t="str">
        <f t="shared" si="256"/>
        <v/>
      </c>
      <c r="CO270" s="436"/>
      <c r="CP270" s="436"/>
      <c r="CQ270" s="435">
        <f>IF(AND($D270&gt;0,AO270=""),1,IF(AO270&gt;$D270,1,0))</f>
        <v>0</v>
      </c>
      <c r="CR270" s="435">
        <f t="shared" ref="CR270" si="271">IF(AND($D270&gt;0,AP270=""),1,IF(AP270&gt;$D270,1,0))</f>
        <v>0</v>
      </c>
      <c r="CS270" s="435">
        <f t="shared" ref="CS270:CS271" si="272">IF(AND($D270&gt;0,AQ270=""),1,IF(AQ270&gt;$D270,1,0))</f>
        <v>0</v>
      </c>
      <c r="CT270" s="435">
        <f t="shared" si="259"/>
        <v>0</v>
      </c>
      <c r="CU270" s="436"/>
      <c r="CV270" s="435">
        <f t="shared" si="260"/>
        <v>0</v>
      </c>
      <c r="CW270" s="435">
        <f t="shared" si="261"/>
        <v>0</v>
      </c>
      <c r="CX270" s="436"/>
      <c r="CY270" s="435">
        <f t="shared" si="262"/>
        <v>0</v>
      </c>
      <c r="CZ270" s="435">
        <f t="shared" si="263"/>
        <v>0</v>
      </c>
    </row>
    <row r="271" spans="1:104" ht="15" customHeight="1" x14ac:dyDescent="0.3">
      <c r="A271" s="5790"/>
      <c r="B271" s="6791" t="s">
        <v>1829</v>
      </c>
      <c r="C271" s="6791"/>
      <c r="D271" s="3858">
        <f t="shared" si="246"/>
        <v>0</v>
      </c>
      <c r="E271" s="3859">
        <f t="shared" si="247"/>
        <v>0</v>
      </c>
      <c r="F271" s="3645">
        <f t="shared" si="248"/>
        <v>0</v>
      </c>
      <c r="G271" s="3860"/>
      <c r="H271" s="3861"/>
      <c r="I271" s="3862"/>
      <c r="J271" s="3861"/>
      <c r="K271" s="3862"/>
      <c r="L271" s="3861"/>
      <c r="M271" s="3862"/>
      <c r="N271" s="3861"/>
      <c r="O271" s="3862"/>
      <c r="P271" s="3861"/>
      <c r="Q271" s="3862"/>
      <c r="R271" s="3861"/>
      <c r="S271" s="3862"/>
      <c r="T271" s="835"/>
      <c r="U271" s="3862"/>
      <c r="V271" s="835"/>
      <c r="W271" s="3862"/>
      <c r="X271" s="835"/>
      <c r="Y271" s="3862"/>
      <c r="Z271" s="835"/>
      <c r="AA271" s="3862"/>
      <c r="AB271" s="835"/>
      <c r="AC271" s="3862"/>
      <c r="AD271" s="835"/>
      <c r="AE271" s="3862"/>
      <c r="AF271" s="835"/>
      <c r="AG271" s="3862"/>
      <c r="AH271" s="835"/>
      <c r="AI271" s="3862"/>
      <c r="AJ271" s="835"/>
      <c r="AK271" s="3862"/>
      <c r="AL271" s="5020"/>
      <c r="AM271" s="3862"/>
      <c r="AN271" s="835"/>
      <c r="AO271" s="3844"/>
      <c r="AP271" s="3845"/>
      <c r="AQ271" s="3856"/>
      <c r="AR271" s="3862"/>
      <c r="AS271" s="3845"/>
      <c r="AT271" s="3860"/>
      <c r="AU271" s="835"/>
      <c r="AV271" s="3845"/>
      <c r="AW271" s="3860"/>
      <c r="AX271" s="835"/>
      <c r="AY271" t="str">
        <f t="shared" si="249"/>
        <v/>
      </c>
      <c r="CA271" s="436"/>
      <c r="CB271" s="436"/>
      <c r="CC271" s="436"/>
      <c r="CD271" s="436"/>
      <c r="CE271" s="434" t="str">
        <f>IF(AND($D271&gt;0,AQ271="")," * No olvide digitar la variable Inasistente. Digite cero si no tiene.",IF(AQ271&gt;$D271," * La variable Insasistente no puede superar el Total Ambos Sexos.",""))</f>
        <v/>
      </c>
      <c r="CF271" s="434" t="str">
        <f t="shared" si="252"/>
        <v/>
      </c>
      <c r="CG271" s="436"/>
      <c r="CH271" s="434" t="str">
        <f t="shared" si="253"/>
        <v/>
      </c>
      <c r="CI271" s="434" t="str">
        <f t="shared" si="254"/>
        <v/>
      </c>
      <c r="CJ271" s="436"/>
      <c r="CK271" s="434" t="str">
        <f t="shared" si="255"/>
        <v/>
      </c>
      <c r="CL271" s="434" t="str">
        <f t="shared" si="256"/>
        <v/>
      </c>
      <c r="CO271" s="436"/>
      <c r="CP271" s="436"/>
      <c r="CQ271" s="436"/>
      <c r="CR271" s="436"/>
      <c r="CS271" s="435">
        <f t="shared" si="272"/>
        <v>0</v>
      </c>
      <c r="CT271" s="435">
        <f t="shared" si="259"/>
        <v>0</v>
      </c>
      <c r="CU271" s="436"/>
      <c r="CV271" s="435">
        <f t="shared" si="260"/>
        <v>0</v>
      </c>
      <c r="CW271" s="435">
        <f t="shared" si="261"/>
        <v>0</v>
      </c>
      <c r="CX271" s="436"/>
      <c r="CY271" s="435">
        <f t="shared" si="262"/>
        <v>0</v>
      </c>
      <c r="CZ271" s="435">
        <f t="shared" si="263"/>
        <v>0</v>
      </c>
    </row>
    <row r="272" spans="1:104" ht="15" customHeight="1" x14ac:dyDescent="0.3">
      <c r="A272" s="5790"/>
      <c r="B272" s="6791" t="s">
        <v>1830</v>
      </c>
      <c r="C272" s="6791"/>
      <c r="D272" s="3858">
        <f t="shared" si="246"/>
        <v>0</v>
      </c>
      <c r="E272" s="3859">
        <f t="shared" si="247"/>
        <v>0</v>
      </c>
      <c r="F272" s="3645">
        <f t="shared" si="248"/>
        <v>0</v>
      </c>
      <c r="G272" s="3860"/>
      <c r="H272" s="3861"/>
      <c r="I272" s="3862"/>
      <c r="J272" s="3861"/>
      <c r="K272" s="3862"/>
      <c r="L272" s="3861"/>
      <c r="M272" s="3862"/>
      <c r="N272" s="3861"/>
      <c r="O272" s="3862"/>
      <c r="P272" s="3861"/>
      <c r="Q272" s="3862"/>
      <c r="R272" s="3861"/>
      <c r="S272" s="3862"/>
      <c r="T272" s="835"/>
      <c r="U272" s="3862"/>
      <c r="V272" s="835"/>
      <c r="W272" s="3862"/>
      <c r="X272" s="835"/>
      <c r="Y272" s="3862"/>
      <c r="Z272" s="835"/>
      <c r="AA272" s="3862"/>
      <c r="AB272" s="835"/>
      <c r="AC272" s="3862"/>
      <c r="AD272" s="835"/>
      <c r="AE272" s="3862"/>
      <c r="AF272" s="835"/>
      <c r="AG272" s="3862"/>
      <c r="AH272" s="835"/>
      <c r="AI272" s="3862"/>
      <c r="AJ272" s="835"/>
      <c r="AK272" s="3862"/>
      <c r="AL272" s="5020"/>
      <c r="AM272" s="3862"/>
      <c r="AN272" s="835"/>
      <c r="AO272" s="3844"/>
      <c r="AP272" s="3845"/>
      <c r="AQ272" s="3865"/>
      <c r="AR272" s="3862"/>
      <c r="AS272" s="3845"/>
      <c r="AT272" s="3860"/>
      <c r="AU272" s="835"/>
      <c r="AV272" s="3845"/>
      <c r="AW272" s="3860"/>
      <c r="AX272" s="835"/>
      <c r="AY272" t="str">
        <f t="shared" si="249"/>
        <v/>
      </c>
      <c r="CA272" s="436"/>
      <c r="CB272" s="436"/>
      <c r="CC272" s="436"/>
      <c r="CD272" s="436"/>
      <c r="CE272" s="436"/>
      <c r="CF272" s="434" t="str">
        <f t="shared" si="252"/>
        <v/>
      </c>
      <c r="CG272" s="436"/>
      <c r="CH272" s="434" t="str">
        <f t="shared" si="253"/>
        <v/>
      </c>
      <c r="CI272" s="434" t="str">
        <f t="shared" si="254"/>
        <v/>
      </c>
      <c r="CJ272" s="436"/>
      <c r="CK272" s="434" t="str">
        <f t="shared" si="255"/>
        <v/>
      </c>
      <c r="CL272" s="434" t="str">
        <f t="shared" si="256"/>
        <v/>
      </c>
      <c r="CO272" s="436"/>
      <c r="CP272" s="436"/>
      <c r="CQ272" s="436"/>
      <c r="CR272" s="436"/>
      <c r="CS272" s="436"/>
      <c r="CT272" s="435">
        <f t="shared" si="259"/>
        <v>0</v>
      </c>
      <c r="CU272" s="436"/>
      <c r="CV272" s="435">
        <f t="shared" si="260"/>
        <v>0</v>
      </c>
      <c r="CW272" s="435">
        <f t="shared" si="261"/>
        <v>0</v>
      </c>
      <c r="CX272" s="436"/>
      <c r="CY272" s="435">
        <f t="shared" si="262"/>
        <v>0</v>
      </c>
      <c r="CZ272" s="435">
        <f t="shared" si="263"/>
        <v>0</v>
      </c>
    </row>
    <row r="273" spans="1:104" ht="15" customHeight="1" x14ac:dyDescent="0.3">
      <c r="A273" s="5790"/>
      <c r="B273" s="6787" t="s">
        <v>1831</v>
      </c>
      <c r="C273" s="6719"/>
      <c r="D273" s="3858">
        <f t="shared" si="246"/>
        <v>0</v>
      </c>
      <c r="E273" s="3878">
        <f t="shared" si="247"/>
        <v>0</v>
      </c>
      <c r="F273" s="3879">
        <f t="shared" si="248"/>
        <v>0</v>
      </c>
      <c r="G273" s="3866"/>
      <c r="H273" s="3867"/>
      <c r="I273" s="3868"/>
      <c r="J273" s="3867"/>
      <c r="K273" s="3868"/>
      <c r="L273" s="3867"/>
      <c r="M273" s="3868"/>
      <c r="N273" s="3867"/>
      <c r="O273" s="3868"/>
      <c r="P273" s="3867"/>
      <c r="Q273" s="3868"/>
      <c r="R273" s="3867"/>
      <c r="S273" s="3868"/>
      <c r="T273" s="2677"/>
      <c r="U273" s="3868"/>
      <c r="V273" s="2677"/>
      <c r="W273" s="3868"/>
      <c r="X273" s="2677"/>
      <c r="Y273" s="3868"/>
      <c r="Z273" s="2677"/>
      <c r="AA273" s="3868"/>
      <c r="AB273" s="2677"/>
      <c r="AC273" s="3868"/>
      <c r="AD273" s="2677"/>
      <c r="AE273" s="3868"/>
      <c r="AF273" s="2677"/>
      <c r="AG273" s="3868"/>
      <c r="AH273" s="2677"/>
      <c r="AI273" s="3868"/>
      <c r="AJ273" s="2677"/>
      <c r="AK273" s="3868"/>
      <c r="AL273" s="5575"/>
      <c r="AM273" s="3868"/>
      <c r="AN273" s="2677"/>
      <c r="AO273" s="3844"/>
      <c r="AP273" s="3845"/>
      <c r="AQ273" s="3865"/>
      <c r="AR273" s="3868"/>
      <c r="AS273" s="3845"/>
      <c r="AT273" s="3866"/>
      <c r="AU273" s="2677"/>
      <c r="AV273" s="835"/>
      <c r="AW273" s="3866"/>
      <c r="AX273" s="2677"/>
      <c r="AY273" t="str">
        <f t="shared" si="249"/>
        <v/>
      </c>
      <c r="CA273" s="436"/>
      <c r="CB273" s="436"/>
      <c r="CC273" s="436"/>
      <c r="CD273" s="436"/>
      <c r="CE273" s="436"/>
      <c r="CF273" s="434" t="str">
        <f t="shared" si="252"/>
        <v/>
      </c>
      <c r="CG273" s="436"/>
      <c r="CH273" s="434" t="str">
        <f t="shared" si="253"/>
        <v/>
      </c>
      <c r="CI273" s="434" t="str">
        <f t="shared" si="254"/>
        <v/>
      </c>
      <c r="CJ273" s="434" t="str">
        <f>IF(AND($D273&gt;0,AV273="")," * No olvide digitar la variable Contrarreferencia al alta. Digite Cero si no tiene.",IF(AV273&gt;$D273," * La variable Contrarreferencia al alta no puede superar el Total Ambos Sexos.",""))</f>
        <v/>
      </c>
      <c r="CK273" s="434" t="str">
        <f t="shared" si="255"/>
        <v/>
      </c>
      <c r="CL273" s="434" t="str">
        <f t="shared" si="256"/>
        <v/>
      </c>
      <c r="CO273" s="436"/>
      <c r="CP273" s="436"/>
      <c r="CQ273" s="436"/>
      <c r="CR273" s="436"/>
      <c r="CS273" s="436"/>
      <c r="CT273" s="435">
        <f t="shared" si="259"/>
        <v>0</v>
      </c>
      <c r="CU273" s="436"/>
      <c r="CV273" s="435">
        <f t="shared" si="260"/>
        <v>0</v>
      </c>
      <c r="CW273" s="435">
        <f t="shared" si="261"/>
        <v>0</v>
      </c>
      <c r="CX273" s="435">
        <f>IF(AND($D273&gt;0,AV273=""),1,IF(AV273&gt;$D273,1,0))</f>
        <v>0</v>
      </c>
      <c r="CY273" s="435">
        <f t="shared" si="262"/>
        <v>0</v>
      </c>
      <c r="CZ273" s="435">
        <f t="shared" si="263"/>
        <v>0</v>
      </c>
    </row>
    <row r="274" spans="1:104" ht="15" customHeight="1" x14ac:dyDescent="0.3">
      <c r="A274" s="5790"/>
      <c r="B274" s="6787" t="s">
        <v>1832</v>
      </c>
      <c r="C274" s="6719"/>
      <c r="D274" s="3858">
        <f t="shared" si="246"/>
        <v>0</v>
      </c>
      <c r="E274" s="3859">
        <f t="shared" si="247"/>
        <v>0</v>
      </c>
      <c r="F274" s="3877">
        <f t="shared" si="248"/>
        <v>0</v>
      </c>
      <c r="G274" s="3868"/>
      <c r="H274" s="3867"/>
      <c r="I274" s="3868"/>
      <c r="J274" s="3867"/>
      <c r="K274" s="3868"/>
      <c r="L274" s="3867"/>
      <c r="M274" s="3868"/>
      <c r="N274" s="3867"/>
      <c r="O274" s="3868"/>
      <c r="P274" s="3867"/>
      <c r="Q274" s="3868"/>
      <c r="R274" s="3867"/>
      <c r="S274" s="3868"/>
      <c r="T274" s="2677"/>
      <c r="U274" s="3868"/>
      <c r="V274" s="2677"/>
      <c r="W274" s="3868"/>
      <c r="X274" s="2677"/>
      <c r="Y274" s="3868"/>
      <c r="Z274" s="2677"/>
      <c r="AA274" s="3868"/>
      <c r="AB274" s="2677"/>
      <c r="AC274" s="3868"/>
      <c r="AD274" s="2677"/>
      <c r="AE274" s="3868"/>
      <c r="AF274" s="2677"/>
      <c r="AG274" s="3868"/>
      <c r="AH274" s="2677"/>
      <c r="AI274" s="3868"/>
      <c r="AJ274" s="2677"/>
      <c r="AK274" s="3868"/>
      <c r="AL274" s="5575"/>
      <c r="AM274" s="3868"/>
      <c r="AN274" s="2677"/>
      <c r="AO274" s="3844"/>
      <c r="AP274" s="3845"/>
      <c r="AQ274" s="3872"/>
      <c r="AR274" s="3868"/>
      <c r="AS274" s="3871"/>
      <c r="AT274" s="3866"/>
      <c r="AU274" s="2677"/>
      <c r="AV274" s="3871"/>
      <c r="AW274" s="3866"/>
      <c r="AX274" s="2677"/>
      <c r="AY274" t="str">
        <f t="shared" si="249"/>
        <v/>
      </c>
      <c r="CA274" s="436"/>
      <c r="CB274" s="436"/>
      <c r="CC274" s="436"/>
      <c r="CD274" s="436"/>
      <c r="CE274" s="436"/>
      <c r="CF274" s="434" t="str">
        <f t="shared" si="252"/>
        <v/>
      </c>
      <c r="CG274" s="436"/>
      <c r="CH274" s="434" t="str">
        <f t="shared" si="253"/>
        <v/>
      </c>
      <c r="CI274" s="434" t="str">
        <f t="shared" si="254"/>
        <v/>
      </c>
      <c r="CJ274" s="436"/>
      <c r="CK274" s="434" t="str">
        <f t="shared" si="255"/>
        <v/>
      </c>
      <c r="CL274" s="434" t="str">
        <f t="shared" si="256"/>
        <v/>
      </c>
      <c r="CO274" s="436"/>
      <c r="CP274" s="436"/>
      <c r="CQ274" s="436"/>
      <c r="CR274" s="436"/>
      <c r="CS274" s="436"/>
      <c r="CT274" s="435">
        <f t="shared" si="259"/>
        <v>0</v>
      </c>
      <c r="CU274" s="436"/>
      <c r="CV274" s="435">
        <f t="shared" si="260"/>
        <v>0</v>
      </c>
      <c r="CW274" s="435">
        <f t="shared" si="261"/>
        <v>0</v>
      </c>
      <c r="CX274" s="436"/>
      <c r="CY274" s="435">
        <f t="shared" si="262"/>
        <v>0</v>
      </c>
      <c r="CZ274" s="435">
        <f t="shared" si="263"/>
        <v>0</v>
      </c>
    </row>
    <row r="275" spans="1:104" ht="14.25" customHeight="1" x14ac:dyDescent="0.3">
      <c r="A275" s="6574"/>
      <c r="B275" s="6788" t="s">
        <v>1833</v>
      </c>
      <c r="C275" s="6788"/>
      <c r="D275" s="3478">
        <f t="shared" si="246"/>
        <v>0</v>
      </c>
      <c r="E275" s="3610">
        <f t="shared" si="247"/>
        <v>0</v>
      </c>
      <c r="F275" s="3880">
        <f t="shared" si="248"/>
        <v>0</v>
      </c>
      <c r="G275" s="3851"/>
      <c r="H275" s="3850"/>
      <c r="I275" s="3851"/>
      <c r="J275" s="3850"/>
      <c r="K275" s="3851"/>
      <c r="L275" s="3850"/>
      <c r="M275" s="3851"/>
      <c r="N275" s="3850"/>
      <c r="O275" s="3851"/>
      <c r="P275" s="3850"/>
      <c r="Q275" s="3851"/>
      <c r="R275" s="3850"/>
      <c r="S275" s="3851"/>
      <c r="T275" s="838"/>
      <c r="U275" s="3851"/>
      <c r="V275" s="838"/>
      <c r="W275" s="3851"/>
      <c r="X275" s="838"/>
      <c r="Y275" s="3851"/>
      <c r="Z275" s="838"/>
      <c r="AA275" s="3851"/>
      <c r="AB275" s="838"/>
      <c r="AC275" s="3851"/>
      <c r="AD275" s="838"/>
      <c r="AE275" s="3851"/>
      <c r="AF275" s="838"/>
      <c r="AG275" s="3851"/>
      <c r="AH275" s="838"/>
      <c r="AI275" s="3851"/>
      <c r="AJ275" s="838"/>
      <c r="AK275" s="3851"/>
      <c r="AL275" s="5023"/>
      <c r="AM275" s="3851"/>
      <c r="AN275" s="838"/>
      <c r="AO275" s="3873"/>
      <c r="AP275" s="3853"/>
      <c r="AQ275" s="3874"/>
      <c r="AR275" s="3851"/>
      <c r="AS275" s="3853"/>
      <c r="AT275" s="3849"/>
      <c r="AU275" s="838"/>
      <c r="AV275" s="3853"/>
      <c r="AW275" s="3849"/>
      <c r="AX275" s="838"/>
      <c r="AY275" t="str">
        <f t="shared" si="249"/>
        <v/>
      </c>
      <c r="CA275" s="436"/>
      <c r="CB275" s="436"/>
      <c r="CC275" s="436"/>
      <c r="CD275" s="436"/>
      <c r="CE275" s="436"/>
      <c r="CF275" s="434" t="str">
        <f t="shared" si="252"/>
        <v/>
      </c>
      <c r="CG275" s="436"/>
      <c r="CH275" s="434" t="str">
        <f t="shared" si="253"/>
        <v/>
      </c>
      <c r="CI275" s="434" t="str">
        <f t="shared" si="254"/>
        <v/>
      </c>
      <c r="CJ275" s="436"/>
      <c r="CK275" s="434" t="str">
        <f t="shared" si="255"/>
        <v/>
      </c>
      <c r="CL275" s="434" t="str">
        <f t="shared" si="256"/>
        <v/>
      </c>
      <c r="CO275" s="436"/>
      <c r="CP275" s="436"/>
      <c r="CQ275" s="436"/>
      <c r="CR275" s="436"/>
      <c r="CS275" s="436"/>
      <c r="CT275" s="435">
        <f t="shared" si="259"/>
        <v>0</v>
      </c>
      <c r="CU275" s="436"/>
      <c r="CV275" s="435">
        <f t="shared" si="260"/>
        <v>0</v>
      </c>
      <c r="CW275" s="435">
        <f t="shared" si="261"/>
        <v>0</v>
      </c>
      <c r="CX275" s="436"/>
      <c r="CY275" s="435">
        <f t="shared" si="262"/>
        <v>0</v>
      </c>
      <c r="CZ275" s="435">
        <f t="shared" si="263"/>
        <v>0</v>
      </c>
    </row>
    <row r="276" spans="1:104" ht="15" customHeight="1" x14ac:dyDescent="0.3">
      <c r="A276" s="6769" t="s">
        <v>1835</v>
      </c>
      <c r="B276" s="6790" t="s">
        <v>1828</v>
      </c>
      <c r="C276" s="6790"/>
      <c r="D276" s="3805">
        <f t="shared" ref="D276:D329" si="273">SUM(E276+F276)</f>
        <v>0</v>
      </c>
      <c r="E276" s="3639">
        <f t="shared" si="247"/>
        <v>0</v>
      </c>
      <c r="F276" s="3640">
        <f t="shared" si="248"/>
        <v>0</v>
      </c>
      <c r="G276" s="3856"/>
      <c r="H276" s="3855"/>
      <c r="I276" s="3856"/>
      <c r="J276" s="3855"/>
      <c r="K276" s="3856"/>
      <c r="L276" s="3855"/>
      <c r="M276" s="3856"/>
      <c r="N276" s="3855"/>
      <c r="O276" s="3856"/>
      <c r="P276" s="3855"/>
      <c r="Q276" s="3856"/>
      <c r="R276" s="3855"/>
      <c r="S276" s="3856"/>
      <c r="T276" s="2691"/>
      <c r="U276" s="3856"/>
      <c r="V276" s="2691"/>
      <c r="W276" s="3856"/>
      <c r="X276" s="2691"/>
      <c r="Y276" s="3856"/>
      <c r="Z276" s="2691"/>
      <c r="AA276" s="3856"/>
      <c r="AB276" s="2691"/>
      <c r="AC276" s="3856"/>
      <c r="AD276" s="2691"/>
      <c r="AE276" s="3856"/>
      <c r="AF276" s="826"/>
      <c r="AG276" s="3842"/>
      <c r="AH276" s="826"/>
      <c r="AI276" s="3842"/>
      <c r="AJ276" s="826"/>
      <c r="AK276" s="3842"/>
      <c r="AL276" s="5574"/>
      <c r="AM276" s="3842"/>
      <c r="AN276" s="826"/>
      <c r="AO276" s="3841"/>
      <c r="AP276" s="3855"/>
      <c r="AQ276" s="3842"/>
      <c r="AR276" s="3856"/>
      <c r="AS276" s="3856"/>
      <c r="AT276" s="3857"/>
      <c r="AU276" s="2691"/>
      <c r="AV276" s="3845"/>
      <c r="AW276" s="3857"/>
      <c r="AX276" s="2691"/>
      <c r="AY276" t="str">
        <f t="shared" si="249"/>
        <v/>
      </c>
      <c r="CA276" s="436"/>
      <c r="CB276" s="436"/>
      <c r="CC276" s="434" t="str">
        <f>IF(AND($D276&gt;0,AO276="")," * No olvide digitar la variable Consultas Pertinentes: Según Procolo de Referencia. Digite cero si no tiene.",IF(AO276&gt;$D276," * La variable Consultas Pertinentes: Según Procolo de Referencia no puede superar el Total Ambos Sexos.",""))</f>
        <v/>
      </c>
      <c r="CD276" s="434" t="str">
        <f>IF(AND($D276&gt;0,AP276="")," * No olvide digitar la variable Consultas Pertinentes: Según condición clínica. Digite cero si no tiene.",IF(AP276&gt;$D276," * La variable Consultas Pertinentes: Según condición clínica no puede superar el Total Ambos Sexos.",""))</f>
        <v/>
      </c>
      <c r="CE276" s="434" t="str">
        <f>IF(AND($D276&gt;0,AQ276="")," * No olvide digitar la variable Inasistente. Digite cero si no tiene.",IF(AQ276&gt;$D276," * La variable Insasistente no puede superar el Total Ambos Sexos.",""))</f>
        <v/>
      </c>
      <c r="CF276" s="434" t="str">
        <f>IF(AND($D276&gt;0,AR276="")," * No olvide digitar la variable Compra de Servicio. Digite Cero si no tiene.",IF(AR276&gt;$D276," * La variable Compra de Servicio no puede superar el Total Ambos Sexos.",""))</f>
        <v/>
      </c>
      <c r="CG276" s="434" t="str">
        <f>IF(AND($D276&gt;0,AS276="")," * No olvide digitar la variable Ortodoncia interceptiva. Digite Cero si no tiene.",IF(AS276&gt;$D276," * La variable Ortodoncia interceptiva no puede superar el Total Ambos Sexos.",""))</f>
        <v/>
      </c>
      <c r="CH276" s="434" t="str">
        <f t="shared" si="253"/>
        <v/>
      </c>
      <c r="CI276" s="434" t="str">
        <f t="shared" si="254"/>
        <v/>
      </c>
      <c r="CJ276" s="436"/>
      <c r="CK276" s="434" t="str">
        <f t="shared" si="255"/>
        <v/>
      </c>
      <c r="CL276" s="434" t="str">
        <f t="shared" si="256"/>
        <v/>
      </c>
      <c r="CO276" s="436"/>
      <c r="CP276" s="436"/>
      <c r="CQ276" s="435">
        <f>IF(AND($D276&gt;0,AO276=""),1,IF(AO276&gt;$D276,1,0))</f>
        <v>0</v>
      </c>
      <c r="CR276" s="435">
        <f t="shared" ref="CR276" si="274">IF(AND($D276&gt;0,AP276=""),1,IF(AP276&gt;$D276,1,0))</f>
        <v>0</v>
      </c>
      <c r="CS276" s="435">
        <f t="shared" ref="CS276:CS277" si="275">IF(AND($D276&gt;0,AQ276=""),1,IF(AQ276&gt;$D276,1,0))</f>
        <v>0</v>
      </c>
      <c r="CT276" s="435">
        <f t="shared" si="259"/>
        <v>0</v>
      </c>
      <c r="CU276" s="435">
        <f>IF(AND($D276&gt;0,AS276=""),1,IF(AS276&gt;$D276,1,0))</f>
        <v>0</v>
      </c>
      <c r="CV276" s="435">
        <f t="shared" si="260"/>
        <v>0</v>
      </c>
      <c r="CW276" s="435">
        <f t="shared" si="261"/>
        <v>0</v>
      </c>
      <c r="CX276" s="436"/>
      <c r="CY276" s="435">
        <f t="shared" si="262"/>
        <v>0</v>
      </c>
      <c r="CZ276" s="435">
        <f t="shared" si="263"/>
        <v>0</v>
      </c>
    </row>
    <row r="277" spans="1:104" ht="15" customHeight="1" x14ac:dyDescent="0.3">
      <c r="A277" s="6770"/>
      <c r="B277" s="6791" t="s">
        <v>1829</v>
      </c>
      <c r="C277" s="6791"/>
      <c r="D277" s="3858">
        <f t="shared" si="273"/>
        <v>0</v>
      </c>
      <c r="E277" s="3878">
        <f t="shared" si="247"/>
        <v>0</v>
      </c>
      <c r="F277" s="3881">
        <f t="shared" si="248"/>
        <v>0</v>
      </c>
      <c r="G277" s="3862"/>
      <c r="H277" s="3861"/>
      <c r="I277" s="3862"/>
      <c r="J277" s="3861"/>
      <c r="K277" s="3862"/>
      <c r="L277" s="3861"/>
      <c r="M277" s="3862"/>
      <c r="N277" s="3861"/>
      <c r="O277" s="3862"/>
      <c r="P277" s="3861"/>
      <c r="Q277" s="3862"/>
      <c r="R277" s="3861"/>
      <c r="S277" s="3862"/>
      <c r="T277" s="835"/>
      <c r="U277" s="3862"/>
      <c r="V277" s="835"/>
      <c r="W277" s="3862"/>
      <c r="X277" s="835"/>
      <c r="Y277" s="3862"/>
      <c r="Z277" s="835"/>
      <c r="AA277" s="3862"/>
      <c r="AB277" s="835"/>
      <c r="AC277" s="3862"/>
      <c r="AD277" s="835"/>
      <c r="AE277" s="3862"/>
      <c r="AF277" s="835"/>
      <c r="AG277" s="3862"/>
      <c r="AH277" s="835"/>
      <c r="AI277" s="3862"/>
      <c r="AJ277" s="835"/>
      <c r="AK277" s="3862"/>
      <c r="AL277" s="5020"/>
      <c r="AM277" s="3862"/>
      <c r="AN277" s="835"/>
      <c r="AO277" s="3844"/>
      <c r="AP277" s="3845"/>
      <c r="AQ277" s="3856"/>
      <c r="AR277" s="3862"/>
      <c r="AS277" s="3862"/>
      <c r="AT277" s="3860"/>
      <c r="AU277" s="835"/>
      <c r="AV277" s="3845"/>
      <c r="AW277" s="3860"/>
      <c r="AX277" s="835"/>
      <c r="AY277" t="str">
        <f t="shared" si="249"/>
        <v/>
      </c>
      <c r="CA277" s="436"/>
      <c r="CB277" s="436"/>
      <c r="CC277" s="436"/>
      <c r="CD277" s="436"/>
      <c r="CE277" s="434" t="str">
        <f>IF(AND($D277&gt;0,AQ277="")," * No olvide digitar la variable Inasistente. Digite cero si no tiene.",IF(AQ277&gt;$D277," * La variable Insasistente no puede superar el Total Ambos Sexos.",""))</f>
        <v/>
      </c>
      <c r="CF277" s="434" t="str">
        <f t="shared" si="252"/>
        <v/>
      </c>
      <c r="CG277" s="434" t="str">
        <f t="shared" ref="CG277:CG280" si="276">IF(AND($D277&gt;0,AS277="")," * No olvide digitar la variable Ortodoncia interceptiva. Digite Cero si no tiene.",IF(AS277&gt;$D277," * La variable Ortodoncia interceptiva no puede superar el Total Ambos Sexos.",""))</f>
        <v/>
      </c>
      <c r="CH277" s="434" t="str">
        <f t="shared" si="253"/>
        <v/>
      </c>
      <c r="CI277" s="434" t="str">
        <f t="shared" si="254"/>
        <v/>
      </c>
      <c r="CJ277" s="436"/>
      <c r="CK277" s="434" t="str">
        <f t="shared" si="255"/>
        <v/>
      </c>
      <c r="CL277" s="434" t="str">
        <f t="shared" si="256"/>
        <v/>
      </c>
      <c r="CO277" s="436"/>
      <c r="CP277" s="436"/>
      <c r="CQ277" s="436"/>
      <c r="CR277" s="436"/>
      <c r="CS277" s="435">
        <f t="shared" si="275"/>
        <v>0</v>
      </c>
      <c r="CT277" s="435">
        <f t="shared" si="259"/>
        <v>0</v>
      </c>
      <c r="CU277" s="435">
        <f t="shared" ref="CU277:CU280" si="277">IF(AND($D277&gt;0,AS277=""),1,IF(AS277&gt;$D277,1,0))</f>
        <v>0</v>
      </c>
      <c r="CV277" s="435">
        <f t="shared" si="260"/>
        <v>0</v>
      </c>
      <c r="CW277" s="435">
        <f t="shared" si="261"/>
        <v>0</v>
      </c>
      <c r="CX277" s="436"/>
      <c r="CY277" s="435">
        <f t="shared" si="262"/>
        <v>0</v>
      </c>
      <c r="CZ277" s="435">
        <f t="shared" si="263"/>
        <v>0</v>
      </c>
    </row>
    <row r="278" spans="1:104" ht="15" customHeight="1" x14ac:dyDescent="0.3">
      <c r="A278" s="6770"/>
      <c r="B278" s="6791" t="s">
        <v>1830</v>
      </c>
      <c r="C278" s="6791"/>
      <c r="D278" s="3858">
        <f t="shared" si="273"/>
        <v>0</v>
      </c>
      <c r="E278" s="3859">
        <f t="shared" si="247"/>
        <v>0</v>
      </c>
      <c r="F278" s="3877">
        <f t="shared" si="248"/>
        <v>0</v>
      </c>
      <c r="G278" s="3862"/>
      <c r="H278" s="3861"/>
      <c r="I278" s="3862"/>
      <c r="J278" s="3861"/>
      <c r="K278" s="3862"/>
      <c r="L278" s="3861"/>
      <c r="M278" s="3862"/>
      <c r="N278" s="3861"/>
      <c r="O278" s="3862"/>
      <c r="P278" s="3861"/>
      <c r="Q278" s="3862"/>
      <c r="R278" s="3861"/>
      <c r="S278" s="3862"/>
      <c r="T278" s="835"/>
      <c r="U278" s="3862"/>
      <c r="V278" s="835"/>
      <c r="W278" s="3862"/>
      <c r="X278" s="835"/>
      <c r="Y278" s="3862"/>
      <c r="Z278" s="835"/>
      <c r="AA278" s="3862"/>
      <c r="AB278" s="835"/>
      <c r="AC278" s="3862"/>
      <c r="AD278" s="835"/>
      <c r="AE278" s="3862"/>
      <c r="AF278" s="835"/>
      <c r="AG278" s="3862"/>
      <c r="AH278" s="835"/>
      <c r="AI278" s="3862"/>
      <c r="AJ278" s="835"/>
      <c r="AK278" s="3862"/>
      <c r="AL278" s="5020"/>
      <c r="AM278" s="3862"/>
      <c r="AN278" s="835"/>
      <c r="AO278" s="3844"/>
      <c r="AP278" s="3845"/>
      <c r="AQ278" s="3865"/>
      <c r="AR278" s="3862"/>
      <c r="AS278" s="3862"/>
      <c r="AT278" s="3860"/>
      <c r="AU278" s="835"/>
      <c r="AV278" s="3845"/>
      <c r="AW278" s="3860"/>
      <c r="AX278" s="835"/>
      <c r="AY278" t="str">
        <f t="shared" si="249"/>
        <v/>
      </c>
      <c r="CA278" s="436"/>
      <c r="CB278" s="436"/>
      <c r="CC278" s="436"/>
      <c r="CD278" s="436"/>
      <c r="CE278" s="436"/>
      <c r="CF278" s="434" t="str">
        <f t="shared" si="252"/>
        <v/>
      </c>
      <c r="CG278" s="434" t="str">
        <f t="shared" si="276"/>
        <v/>
      </c>
      <c r="CH278" s="434" t="str">
        <f t="shared" si="253"/>
        <v/>
      </c>
      <c r="CI278" s="434" t="str">
        <f t="shared" si="254"/>
        <v/>
      </c>
      <c r="CJ278" s="436"/>
      <c r="CK278" s="434" t="str">
        <f t="shared" si="255"/>
        <v/>
      </c>
      <c r="CL278" s="434" t="str">
        <f t="shared" si="256"/>
        <v/>
      </c>
      <c r="CO278" s="436"/>
      <c r="CP278" s="436"/>
      <c r="CQ278" s="436"/>
      <c r="CR278" s="436"/>
      <c r="CS278" s="436"/>
      <c r="CT278" s="435">
        <f t="shared" si="259"/>
        <v>0</v>
      </c>
      <c r="CU278" s="435">
        <f t="shared" si="277"/>
        <v>0</v>
      </c>
      <c r="CV278" s="435">
        <f t="shared" si="260"/>
        <v>0</v>
      </c>
      <c r="CW278" s="435">
        <f t="shared" si="261"/>
        <v>0</v>
      </c>
      <c r="CX278" s="436"/>
      <c r="CY278" s="435">
        <f t="shared" si="262"/>
        <v>0</v>
      </c>
      <c r="CZ278" s="435">
        <f t="shared" si="263"/>
        <v>0</v>
      </c>
    </row>
    <row r="279" spans="1:104" ht="15" customHeight="1" x14ac:dyDescent="0.3">
      <c r="A279" s="6770"/>
      <c r="B279" s="6787" t="s">
        <v>1831</v>
      </c>
      <c r="C279" s="6719"/>
      <c r="D279" s="3858">
        <f t="shared" si="273"/>
        <v>0</v>
      </c>
      <c r="E279" s="3859">
        <f t="shared" si="247"/>
        <v>0</v>
      </c>
      <c r="F279" s="3877">
        <f t="shared" si="248"/>
        <v>0</v>
      </c>
      <c r="G279" s="3868"/>
      <c r="H279" s="3867"/>
      <c r="I279" s="3868"/>
      <c r="J279" s="3867"/>
      <c r="K279" s="3868"/>
      <c r="L279" s="3867"/>
      <c r="M279" s="3868"/>
      <c r="N279" s="3867"/>
      <c r="O279" s="3868"/>
      <c r="P279" s="3867"/>
      <c r="Q279" s="3868"/>
      <c r="R279" s="3867"/>
      <c r="S279" s="3868"/>
      <c r="T279" s="2677"/>
      <c r="U279" s="3868"/>
      <c r="V279" s="2677"/>
      <c r="W279" s="3862"/>
      <c r="X279" s="835"/>
      <c r="Y279" s="3862"/>
      <c r="Z279" s="835"/>
      <c r="AA279" s="3862"/>
      <c r="AB279" s="835"/>
      <c r="AC279" s="3862"/>
      <c r="AD279" s="835"/>
      <c r="AE279" s="3862"/>
      <c r="AF279" s="835"/>
      <c r="AG279" s="3862"/>
      <c r="AH279" s="835"/>
      <c r="AI279" s="3862"/>
      <c r="AJ279" s="835"/>
      <c r="AK279" s="3862"/>
      <c r="AL279" s="5020"/>
      <c r="AM279" s="3862"/>
      <c r="AN279" s="835"/>
      <c r="AO279" s="3844"/>
      <c r="AP279" s="3845"/>
      <c r="AQ279" s="3865"/>
      <c r="AR279" s="3862"/>
      <c r="AS279" s="3862"/>
      <c r="AT279" s="3860"/>
      <c r="AU279" s="835"/>
      <c r="AV279" s="835"/>
      <c r="AW279" s="3860"/>
      <c r="AX279" s="835"/>
      <c r="AY279" t="str">
        <f t="shared" si="249"/>
        <v/>
      </c>
      <c r="CA279" s="436"/>
      <c r="CB279" s="436"/>
      <c r="CC279" s="436"/>
      <c r="CD279" s="436"/>
      <c r="CE279" s="436"/>
      <c r="CF279" s="434" t="str">
        <f t="shared" si="252"/>
        <v/>
      </c>
      <c r="CG279" s="434" t="str">
        <f t="shared" si="276"/>
        <v/>
      </c>
      <c r="CH279" s="434" t="str">
        <f t="shared" si="253"/>
        <v/>
      </c>
      <c r="CI279" s="434" t="str">
        <f t="shared" si="254"/>
        <v/>
      </c>
      <c r="CJ279" s="434" t="str">
        <f>IF(AND($D279&gt;0,AV279="")," * No olvide digitar la variable Contrarreferencia al alta. Digite Cero si no tiene.",IF(AV279&gt;$D279," * La variable Contrarreferencia al alta no puede superar el Total Ambos Sexos.",""))</f>
        <v/>
      </c>
      <c r="CK279" s="434" t="str">
        <f t="shared" si="255"/>
        <v/>
      </c>
      <c r="CL279" s="434" t="str">
        <f t="shared" si="256"/>
        <v/>
      </c>
      <c r="CO279" s="436"/>
      <c r="CP279" s="436"/>
      <c r="CQ279" s="436"/>
      <c r="CR279" s="436"/>
      <c r="CS279" s="436"/>
      <c r="CT279" s="435">
        <f t="shared" si="259"/>
        <v>0</v>
      </c>
      <c r="CU279" s="435">
        <f t="shared" si="277"/>
        <v>0</v>
      </c>
      <c r="CV279" s="435">
        <f t="shared" si="260"/>
        <v>0</v>
      </c>
      <c r="CW279" s="435">
        <f t="shared" si="261"/>
        <v>0</v>
      </c>
      <c r="CX279" s="435">
        <f>IF(AND($D279&gt;0,AV279=""),1,IF(AV279&gt;$D279,1,0))</f>
        <v>0</v>
      </c>
      <c r="CY279" s="435">
        <f t="shared" si="262"/>
        <v>0</v>
      </c>
      <c r="CZ279" s="435">
        <f t="shared" si="263"/>
        <v>0</v>
      </c>
    </row>
    <row r="280" spans="1:104" ht="15" customHeight="1" x14ac:dyDescent="0.3">
      <c r="A280" s="6770"/>
      <c r="B280" s="6787" t="s">
        <v>1832</v>
      </c>
      <c r="C280" s="6719"/>
      <c r="D280" s="3858">
        <f t="shared" si="273"/>
        <v>0</v>
      </c>
      <c r="E280" s="3859">
        <f t="shared" si="247"/>
        <v>0</v>
      </c>
      <c r="F280" s="3645">
        <f t="shared" si="248"/>
        <v>0</v>
      </c>
      <c r="G280" s="3866"/>
      <c r="H280" s="3867"/>
      <c r="I280" s="3868"/>
      <c r="J280" s="3867"/>
      <c r="K280" s="3868"/>
      <c r="L280" s="3867"/>
      <c r="M280" s="3868"/>
      <c r="N280" s="3867"/>
      <c r="O280" s="3868"/>
      <c r="P280" s="3867"/>
      <c r="Q280" s="3868"/>
      <c r="R280" s="3867"/>
      <c r="S280" s="3868"/>
      <c r="T280" s="2677"/>
      <c r="U280" s="3868"/>
      <c r="V280" s="2677"/>
      <c r="W280" s="3862"/>
      <c r="X280" s="835"/>
      <c r="Y280" s="3862"/>
      <c r="Z280" s="835"/>
      <c r="AA280" s="3862"/>
      <c r="AB280" s="835"/>
      <c r="AC280" s="3862"/>
      <c r="AD280" s="835"/>
      <c r="AE280" s="3862"/>
      <c r="AF280" s="835"/>
      <c r="AG280" s="3862"/>
      <c r="AH280" s="835"/>
      <c r="AI280" s="3862"/>
      <c r="AJ280" s="835"/>
      <c r="AK280" s="3862"/>
      <c r="AL280" s="5020"/>
      <c r="AM280" s="3862"/>
      <c r="AN280" s="835"/>
      <c r="AO280" s="3844"/>
      <c r="AP280" s="3845"/>
      <c r="AQ280" s="3872"/>
      <c r="AR280" s="3862"/>
      <c r="AS280" s="3862"/>
      <c r="AT280" s="3860"/>
      <c r="AU280" s="835"/>
      <c r="AV280" s="3871"/>
      <c r="AW280" s="3860"/>
      <c r="AX280" s="835"/>
      <c r="AY280" t="str">
        <f t="shared" si="249"/>
        <v/>
      </c>
      <c r="CA280" s="436"/>
      <c r="CB280" s="436"/>
      <c r="CC280" s="436"/>
      <c r="CD280" s="436"/>
      <c r="CE280" s="436"/>
      <c r="CF280" s="434" t="str">
        <f t="shared" si="252"/>
        <v/>
      </c>
      <c r="CG280" s="434" t="str">
        <f t="shared" si="276"/>
        <v/>
      </c>
      <c r="CH280" s="434" t="str">
        <f t="shared" si="253"/>
        <v/>
      </c>
      <c r="CI280" s="434" t="str">
        <f t="shared" si="254"/>
        <v/>
      </c>
      <c r="CJ280" s="436"/>
      <c r="CK280" s="434" t="str">
        <f t="shared" si="255"/>
        <v/>
      </c>
      <c r="CL280" s="434" t="str">
        <f t="shared" si="256"/>
        <v/>
      </c>
      <c r="CO280" s="436"/>
      <c r="CP280" s="436"/>
      <c r="CQ280" s="436"/>
      <c r="CR280" s="436"/>
      <c r="CS280" s="436"/>
      <c r="CT280" s="435">
        <f t="shared" si="259"/>
        <v>0</v>
      </c>
      <c r="CU280" s="435">
        <f t="shared" si="277"/>
        <v>0</v>
      </c>
      <c r="CV280" s="435">
        <f t="shared" si="260"/>
        <v>0</v>
      </c>
      <c r="CW280" s="435">
        <f t="shared" si="261"/>
        <v>0</v>
      </c>
      <c r="CX280" s="436"/>
      <c r="CY280" s="435">
        <f t="shared" si="262"/>
        <v>0</v>
      </c>
      <c r="CZ280" s="435">
        <f t="shared" si="263"/>
        <v>0</v>
      </c>
    </row>
    <row r="281" spans="1:104" ht="15" customHeight="1" x14ac:dyDescent="0.3">
      <c r="A281" s="6771"/>
      <c r="B281" s="6788" t="s">
        <v>1833</v>
      </c>
      <c r="C281" s="6788"/>
      <c r="D281" s="3808">
        <f t="shared" si="273"/>
        <v>0</v>
      </c>
      <c r="E281" s="3610">
        <f t="shared" si="247"/>
        <v>0</v>
      </c>
      <c r="F281" s="3563">
        <f t="shared" si="248"/>
        <v>0</v>
      </c>
      <c r="G281" s="3849"/>
      <c r="H281" s="3850"/>
      <c r="I281" s="3851"/>
      <c r="J281" s="3850"/>
      <c r="K281" s="3851"/>
      <c r="L281" s="3850"/>
      <c r="M281" s="3851"/>
      <c r="N281" s="3850"/>
      <c r="O281" s="3851"/>
      <c r="P281" s="3850"/>
      <c r="Q281" s="3851"/>
      <c r="R281" s="3850"/>
      <c r="S281" s="3851"/>
      <c r="T281" s="838"/>
      <c r="U281" s="3851"/>
      <c r="V281" s="838"/>
      <c r="W281" s="3851"/>
      <c r="X281" s="838"/>
      <c r="Y281" s="3851"/>
      <c r="Z281" s="838"/>
      <c r="AA281" s="3882"/>
      <c r="AB281" s="3883"/>
      <c r="AC281" s="3882"/>
      <c r="AD281" s="3883"/>
      <c r="AE281" s="3882"/>
      <c r="AF281" s="3883"/>
      <c r="AG281" s="3882"/>
      <c r="AH281" s="3883"/>
      <c r="AI281" s="3882"/>
      <c r="AJ281" s="3883"/>
      <c r="AK281" s="3882"/>
      <c r="AL281" s="5576"/>
      <c r="AM281" s="3882"/>
      <c r="AN281" s="3883"/>
      <c r="AO281" s="3884"/>
      <c r="AP281" s="3885"/>
      <c r="AQ281" s="3874"/>
      <c r="AR281" s="3882"/>
      <c r="AS281" s="3882"/>
      <c r="AT281" s="3886"/>
      <c r="AU281" s="3883"/>
      <c r="AV281" s="3853"/>
      <c r="AW281" s="3886"/>
      <c r="AX281" s="3883"/>
      <c r="AY281" t="str">
        <f t="shared" si="249"/>
        <v/>
      </c>
      <c r="CA281" s="436"/>
      <c r="CB281" s="436"/>
      <c r="CC281" s="436"/>
      <c r="CD281" s="436"/>
      <c r="CE281" s="436"/>
      <c r="CF281" s="434" t="str">
        <f t="shared" si="252"/>
        <v/>
      </c>
      <c r="CG281" s="434" t="str">
        <f>IF(AND($D281&gt;0,AS281="")," * No olvide digitar la variable Ortodoncia interceptiva. Digite Cero si no tiene.",IF(AS281&gt;$D281," * La variable Ortodoncia interceptiva no puede superar el Total Ambos Sexos.",""))</f>
        <v/>
      </c>
      <c r="CH281" s="434" t="str">
        <f t="shared" si="253"/>
        <v/>
      </c>
      <c r="CI281" s="434" t="str">
        <f t="shared" si="254"/>
        <v/>
      </c>
      <c r="CJ281" s="436"/>
      <c r="CK281" s="434" t="str">
        <f t="shared" si="255"/>
        <v/>
      </c>
      <c r="CL281" s="434" t="str">
        <f t="shared" si="256"/>
        <v/>
      </c>
      <c r="CO281" s="436"/>
      <c r="CP281" s="436"/>
      <c r="CQ281" s="436"/>
      <c r="CR281" s="436"/>
      <c r="CS281" s="436"/>
      <c r="CT281" s="435">
        <f t="shared" si="259"/>
        <v>0</v>
      </c>
      <c r="CU281" s="435">
        <f>IF(AND($D281&gt;0,AS281=""),1,IF(AS281&gt;$D281,1,0))</f>
        <v>0</v>
      </c>
      <c r="CV281" s="435">
        <f t="shared" si="260"/>
        <v>0</v>
      </c>
      <c r="CW281" s="435">
        <f t="shared" si="261"/>
        <v>0</v>
      </c>
      <c r="CX281" s="436"/>
      <c r="CY281" s="435">
        <f t="shared" si="262"/>
        <v>0</v>
      </c>
      <c r="CZ281" s="435">
        <f t="shared" si="263"/>
        <v>0</v>
      </c>
    </row>
    <row r="282" spans="1:104" ht="15" customHeight="1" x14ac:dyDescent="0.3">
      <c r="A282" s="6185" t="s">
        <v>1648</v>
      </c>
      <c r="B282" s="6790" t="s">
        <v>1828</v>
      </c>
      <c r="C282" s="6790"/>
      <c r="D282" s="359">
        <f t="shared" si="273"/>
        <v>0</v>
      </c>
      <c r="E282" s="3875">
        <f t="shared" si="247"/>
        <v>0</v>
      </c>
      <c r="F282" s="3887">
        <f t="shared" si="248"/>
        <v>0</v>
      </c>
      <c r="G282" s="3857"/>
      <c r="H282" s="3855"/>
      <c r="I282" s="3856"/>
      <c r="J282" s="3855"/>
      <c r="K282" s="3856"/>
      <c r="L282" s="3855"/>
      <c r="M282" s="3856"/>
      <c r="N282" s="3855"/>
      <c r="O282" s="3856"/>
      <c r="P282" s="3855"/>
      <c r="Q282" s="3856"/>
      <c r="R282" s="3855"/>
      <c r="S282" s="3856"/>
      <c r="T282" s="2691"/>
      <c r="U282" s="3856"/>
      <c r="V282" s="2691"/>
      <c r="W282" s="3856"/>
      <c r="X282" s="2691"/>
      <c r="Y282" s="3856"/>
      <c r="Z282" s="2691"/>
      <c r="AA282" s="3856"/>
      <c r="AB282" s="2691"/>
      <c r="AC282" s="3856"/>
      <c r="AD282" s="2691"/>
      <c r="AE282" s="3856"/>
      <c r="AF282" s="2691"/>
      <c r="AG282" s="3856"/>
      <c r="AH282" s="2691"/>
      <c r="AI282" s="3856"/>
      <c r="AJ282" s="2691"/>
      <c r="AK282" s="3856"/>
      <c r="AL282" s="2691"/>
      <c r="AM282" s="2689"/>
      <c r="AN282" s="3854"/>
      <c r="AO282" s="3857"/>
      <c r="AP282" s="3855"/>
      <c r="AQ282" s="3842"/>
      <c r="AR282" s="3856"/>
      <c r="AS282" s="3845"/>
      <c r="AT282" s="3857"/>
      <c r="AU282" s="2691"/>
      <c r="AV282" s="3845"/>
      <c r="AW282" s="3857"/>
      <c r="AX282" s="2691"/>
      <c r="AY282" t="str">
        <f t="shared" si="249"/>
        <v/>
      </c>
      <c r="CA282" s="434" t="str">
        <f t="shared" si="250"/>
        <v/>
      </c>
      <c r="CB282" s="434" t="str">
        <f t="shared" si="251"/>
        <v/>
      </c>
      <c r="CC282" s="434" t="str">
        <f>IF(AND($D282&gt;0,AO282="")," * No olvide digitar la variable Consultas Pertinentes: Según Procolo de Referencia. Digite cero si no tiene.",IF(AO282&gt;$D282," * La variable Consultas Pertinentes: Según Procolo de Referencia no puede superar el Total Ambos Sexos.",""))</f>
        <v/>
      </c>
      <c r="CD282" s="434" t="str">
        <f>IF(AND($D282&gt;0,AP282="")," * No olvide digitar la variable Consultas Pertinentes: Según condición clínica. Digite cero si no tiene.",IF(AP282&gt;$D282," * La variable Consultas Pertinentes: Según condición clínica no puede superar el Total Ambos Sexos.",""))</f>
        <v/>
      </c>
      <c r="CE282" s="434" t="str">
        <f>IF(AND($D282&gt;0,AQ282="")," * No olvide digitar la variable Inasistente. Digite cero si no tiene.",IF(AQ282&gt;$D282," * La variable Insasistente no puede superar el Total Ambos Sexos.",""))</f>
        <v/>
      </c>
      <c r="CF282" s="434" t="str">
        <f t="shared" si="252"/>
        <v/>
      </c>
      <c r="CG282" s="436"/>
      <c r="CH282" s="434" t="str">
        <f t="shared" si="253"/>
        <v/>
      </c>
      <c r="CI282" s="434" t="str">
        <f t="shared" si="254"/>
        <v/>
      </c>
      <c r="CJ282" s="436"/>
      <c r="CK282" s="434" t="str">
        <f t="shared" si="255"/>
        <v/>
      </c>
      <c r="CL282" s="434" t="str">
        <f t="shared" si="256"/>
        <v/>
      </c>
      <c r="CO282" s="435">
        <f t="shared" si="257"/>
        <v>0</v>
      </c>
      <c r="CP282" s="435">
        <f t="shared" si="258"/>
        <v>0</v>
      </c>
      <c r="CQ282" s="435">
        <f>IF(AND($D282&gt;0,AO282=""),1,IF(AO282&gt;$D282,1,0))</f>
        <v>0</v>
      </c>
      <c r="CR282" s="435">
        <f t="shared" ref="CR282" si="278">IF(AND($D282&gt;0,AP282=""),1,IF(AP282&gt;$D282,1,0))</f>
        <v>0</v>
      </c>
      <c r="CS282" s="435">
        <f t="shared" ref="CS282:CS283" si="279">IF(AND($D282&gt;0,AQ282=""),1,IF(AQ282&gt;$D282,1,0))</f>
        <v>0</v>
      </c>
      <c r="CT282" s="435">
        <f t="shared" si="259"/>
        <v>0</v>
      </c>
      <c r="CU282" s="436"/>
      <c r="CV282" s="435">
        <f t="shared" si="260"/>
        <v>0</v>
      </c>
      <c r="CW282" s="435">
        <f t="shared" si="261"/>
        <v>0</v>
      </c>
      <c r="CX282" s="436"/>
      <c r="CY282" s="435">
        <f t="shared" si="262"/>
        <v>0</v>
      </c>
      <c r="CZ282" s="435">
        <f t="shared" si="263"/>
        <v>0</v>
      </c>
    </row>
    <row r="283" spans="1:104" ht="15" customHeight="1" x14ac:dyDescent="0.3">
      <c r="A283" s="5790"/>
      <c r="B283" s="6791" t="s">
        <v>1829</v>
      </c>
      <c r="C283" s="6791"/>
      <c r="D283" s="3858">
        <f t="shared" si="273"/>
        <v>0</v>
      </c>
      <c r="E283" s="3859">
        <f t="shared" si="247"/>
        <v>0</v>
      </c>
      <c r="F283" s="3877">
        <f t="shared" si="248"/>
        <v>0</v>
      </c>
      <c r="G283" s="3862"/>
      <c r="H283" s="3861"/>
      <c r="I283" s="3862"/>
      <c r="J283" s="3861"/>
      <c r="K283" s="3862"/>
      <c r="L283" s="3861"/>
      <c r="M283" s="3862"/>
      <c r="N283" s="3861"/>
      <c r="O283" s="3862"/>
      <c r="P283" s="3861"/>
      <c r="Q283" s="3862"/>
      <c r="R283" s="3861"/>
      <c r="S283" s="3862"/>
      <c r="T283" s="835"/>
      <c r="U283" s="3862"/>
      <c r="V283" s="835"/>
      <c r="W283" s="3862"/>
      <c r="X283" s="835"/>
      <c r="Y283" s="3862"/>
      <c r="Z283" s="835"/>
      <c r="AA283" s="3862"/>
      <c r="AB283" s="835"/>
      <c r="AC283" s="3862"/>
      <c r="AD283" s="835"/>
      <c r="AE283" s="3862"/>
      <c r="AF283" s="835"/>
      <c r="AG283" s="3862"/>
      <c r="AH283" s="835"/>
      <c r="AI283" s="3862"/>
      <c r="AJ283" s="835"/>
      <c r="AK283" s="3862"/>
      <c r="AL283" s="835"/>
      <c r="AM283" s="3863"/>
      <c r="AN283" s="3864"/>
      <c r="AO283" s="3844"/>
      <c r="AP283" s="3845"/>
      <c r="AQ283" s="3856"/>
      <c r="AR283" s="3862"/>
      <c r="AS283" s="3845"/>
      <c r="AT283" s="3860"/>
      <c r="AU283" s="835"/>
      <c r="AV283" s="3845"/>
      <c r="AW283" s="3860"/>
      <c r="AX283" s="835"/>
      <c r="AY283" t="str">
        <f t="shared" si="249"/>
        <v/>
      </c>
      <c r="CA283" s="434" t="str">
        <f t="shared" si="250"/>
        <v/>
      </c>
      <c r="CB283" s="434" t="str">
        <f t="shared" si="251"/>
        <v/>
      </c>
      <c r="CC283" s="436"/>
      <c r="CD283" s="436"/>
      <c r="CE283" s="434" t="str">
        <f>IF(AND($D283&gt;0,AQ283="")," * No olvide digitar la variable Inasistente. Digite cero si no tiene.",IF(AQ283&gt;$D283," * La variable Insasistente no puede superar el Total Ambos Sexos.",""))</f>
        <v/>
      </c>
      <c r="CF283" s="434" t="str">
        <f t="shared" si="252"/>
        <v/>
      </c>
      <c r="CG283" s="436"/>
      <c r="CH283" s="434" t="str">
        <f t="shared" si="253"/>
        <v/>
      </c>
      <c r="CI283" s="434" t="str">
        <f t="shared" si="254"/>
        <v/>
      </c>
      <c r="CJ283" s="436"/>
      <c r="CK283" s="434" t="str">
        <f t="shared" si="255"/>
        <v/>
      </c>
      <c r="CL283" s="434" t="str">
        <f t="shared" si="256"/>
        <v/>
      </c>
      <c r="CO283" s="435">
        <f t="shared" si="257"/>
        <v>0</v>
      </c>
      <c r="CP283" s="435">
        <f t="shared" si="258"/>
        <v>0</v>
      </c>
      <c r="CQ283" s="436"/>
      <c r="CR283" s="436"/>
      <c r="CS283" s="435">
        <f t="shared" si="279"/>
        <v>0</v>
      </c>
      <c r="CT283" s="435">
        <f t="shared" si="259"/>
        <v>0</v>
      </c>
      <c r="CU283" s="436"/>
      <c r="CV283" s="435">
        <f t="shared" si="260"/>
        <v>0</v>
      </c>
      <c r="CW283" s="435">
        <f t="shared" si="261"/>
        <v>0</v>
      </c>
      <c r="CX283" s="436"/>
      <c r="CY283" s="435">
        <f t="shared" si="262"/>
        <v>0</v>
      </c>
      <c r="CZ283" s="435">
        <f t="shared" si="263"/>
        <v>0</v>
      </c>
    </row>
    <row r="284" spans="1:104" ht="15" customHeight="1" x14ac:dyDescent="0.3">
      <c r="A284" s="5790"/>
      <c r="B284" s="6791" t="s">
        <v>1830</v>
      </c>
      <c r="C284" s="6791"/>
      <c r="D284" s="3858">
        <f t="shared" si="273"/>
        <v>0</v>
      </c>
      <c r="E284" s="3859">
        <f t="shared" si="247"/>
        <v>0</v>
      </c>
      <c r="F284" s="3877">
        <f t="shared" si="248"/>
        <v>0</v>
      </c>
      <c r="G284" s="3862"/>
      <c r="H284" s="3861"/>
      <c r="I284" s="3862"/>
      <c r="J284" s="3861"/>
      <c r="K284" s="3862"/>
      <c r="L284" s="3861"/>
      <c r="M284" s="3862"/>
      <c r="N284" s="3861"/>
      <c r="O284" s="3862"/>
      <c r="P284" s="3861"/>
      <c r="Q284" s="3862"/>
      <c r="R284" s="3861"/>
      <c r="S284" s="3862"/>
      <c r="T284" s="835"/>
      <c r="U284" s="3862"/>
      <c r="V284" s="835"/>
      <c r="W284" s="3862"/>
      <c r="X284" s="835"/>
      <c r="Y284" s="3862"/>
      <c r="Z284" s="835"/>
      <c r="AA284" s="3862"/>
      <c r="AB284" s="835"/>
      <c r="AC284" s="3862"/>
      <c r="AD284" s="835"/>
      <c r="AE284" s="3862"/>
      <c r="AF284" s="835"/>
      <c r="AG284" s="3862"/>
      <c r="AH284" s="835"/>
      <c r="AI284" s="3862"/>
      <c r="AJ284" s="835"/>
      <c r="AK284" s="3862"/>
      <c r="AL284" s="835"/>
      <c r="AM284" s="3863"/>
      <c r="AN284" s="3864"/>
      <c r="AO284" s="3844"/>
      <c r="AP284" s="3845"/>
      <c r="AQ284" s="3865"/>
      <c r="AR284" s="3862"/>
      <c r="AS284" s="3845"/>
      <c r="AT284" s="3860"/>
      <c r="AU284" s="835"/>
      <c r="AV284" s="3845"/>
      <c r="AW284" s="3860"/>
      <c r="AX284" s="835"/>
      <c r="AY284" t="str">
        <f t="shared" si="249"/>
        <v/>
      </c>
      <c r="CA284" s="434" t="str">
        <f t="shared" si="250"/>
        <v/>
      </c>
      <c r="CB284" s="434" t="str">
        <f t="shared" si="251"/>
        <v/>
      </c>
      <c r="CC284" s="436"/>
      <c r="CD284" s="436"/>
      <c r="CE284" s="436"/>
      <c r="CF284" s="434" t="str">
        <f t="shared" si="252"/>
        <v/>
      </c>
      <c r="CG284" s="436"/>
      <c r="CH284" s="434" t="str">
        <f t="shared" si="253"/>
        <v/>
      </c>
      <c r="CI284" s="434" t="str">
        <f t="shared" si="254"/>
        <v/>
      </c>
      <c r="CJ284" s="436"/>
      <c r="CK284" s="434" t="str">
        <f t="shared" si="255"/>
        <v/>
      </c>
      <c r="CL284" s="434" t="str">
        <f t="shared" si="256"/>
        <v/>
      </c>
      <c r="CO284" s="435">
        <f t="shared" si="257"/>
        <v>0</v>
      </c>
      <c r="CP284" s="435">
        <f t="shared" si="258"/>
        <v>0</v>
      </c>
      <c r="CQ284" s="436"/>
      <c r="CR284" s="436"/>
      <c r="CS284" s="436"/>
      <c r="CT284" s="435">
        <f t="shared" si="259"/>
        <v>0</v>
      </c>
      <c r="CU284" s="436"/>
      <c r="CV284" s="435">
        <f t="shared" si="260"/>
        <v>0</v>
      </c>
      <c r="CW284" s="435">
        <f t="shared" si="261"/>
        <v>0</v>
      </c>
      <c r="CX284" s="436"/>
      <c r="CY284" s="435">
        <f t="shared" si="262"/>
        <v>0</v>
      </c>
      <c r="CZ284" s="435">
        <f t="shared" si="263"/>
        <v>0</v>
      </c>
    </row>
    <row r="285" spans="1:104" ht="15" customHeight="1" x14ac:dyDescent="0.3">
      <c r="A285" s="5790"/>
      <c r="B285" s="6787" t="s">
        <v>1831</v>
      </c>
      <c r="C285" s="6719"/>
      <c r="D285" s="3858">
        <f t="shared" si="273"/>
        <v>0</v>
      </c>
      <c r="E285" s="3878">
        <f t="shared" si="247"/>
        <v>0</v>
      </c>
      <c r="F285" s="3881">
        <f>SUM(H285++J285+L285+N285+P285+R285+T285+V285+X285+Z285+AB285+AD285+AF285+AH285+AJ285+AL285)</f>
        <v>0</v>
      </c>
      <c r="G285" s="3868"/>
      <c r="H285" s="3867"/>
      <c r="I285" s="3868"/>
      <c r="J285" s="3867"/>
      <c r="K285" s="3868"/>
      <c r="L285" s="3867"/>
      <c r="M285" s="3868"/>
      <c r="N285" s="3867"/>
      <c r="O285" s="3868"/>
      <c r="P285" s="3867"/>
      <c r="Q285" s="3868"/>
      <c r="R285" s="3867"/>
      <c r="S285" s="3868"/>
      <c r="T285" s="2677"/>
      <c r="U285" s="3868"/>
      <c r="V285" s="2677"/>
      <c r="W285" s="3868"/>
      <c r="X285" s="2677"/>
      <c r="Y285" s="3868"/>
      <c r="Z285" s="2677"/>
      <c r="AA285" s="3868"/>
      <c r="AB285" s="2677"/>
      <c r="AC285" s="3868"/>
      <c r="AD285" s="2677"/>
      <c r="AE285" s="3868"/>
      <c r="AF285" s="2677"/>
      <c r="AG285" s="3868"/>
      <c r="AH285" s="2677"/>
      <c r="AI285" s="3868"/>
      <c r="AJ285" s="2677"/>
      <c r="AK285" s="3868"/>
      <c r="AL285" s="2677"/>
      <c r="AM285" s="2675"/>
      <c r="AN285" s="3869"/>
      <c r="AO285" s="3870"/>
      <c r="AP285" s="3871"/>
      <c r="AQ285" s="3865"/>
      <c r="AR285" s="3868"/>
      <c r="AS285" s="3845"/>
      <c r="AT285" s="3866"/>
      <c r="AU285" s="2677"/>
      <c r="AV285" s="835"/>
      <c r="AW285" s="3866"/>
      <c r="AX285" s="2677"/>
      <c r="AY285" t="str">
        <f t="shared" si="249"/>
        <v/>
      </c>
      <c r="CA285" s="434" t="str">
        <f t="shared" si="250"/>
        <v/>
      </c>
      <c r="CB285" s="434" t="str">
        <f t="shared" si="251"/>
        <v/>
      </c>
      <c r="CC285" s="436"/>
      <c r="CD285" s="436"/>
      <c r="CE285" s="436"/>
      <c r="CF285" s="434" t="str">
        <f t="shared" si="252"/>
        <v/>
      </c>
      <c r="CG285" s="436"/>
      <c r="CH285" s="434" t="str">
        <f t="shared" si="253"/>
        <v/>
      </c>
      <c r="CI285" s="434" t="str">
        <f t="shared" si="254"/>
        <v/>
      </c>
      <c r="CJ285" s="434" t="str">
        <f>IF(AND($D285&gt;0,AV285="")," * No olvide digitar la variable Contrarreferencia al alta. Digite Cero si no tiene.",IF(AV285&gt;$D285," * La variable Contrarreferencia al alta no puede superar el Total Ambos Sexos.",""))</f>
        <v/>
      </c>
      <c r="CK285" s="434" t="str">
        <f t="shared" si="255"/>
        <v/>
      </c>
      <c r="CL285" s="434" t="str">
        <f t="shared" si="256"/>
        <v/>
      </c>
      <c r="CO285" s="435">
        <f t="shared" si="257"/>
        <v>0</v>
      </c>
      <c r="CP285" s="435">
        <f t="shared" si="258"/>
        <v>0</v>
      </c>
      <c r="CQ285" s="436"/>
      <c r="CR285" s="436"/>
      <c r="CS285" s="436"/>
      <c r="CT285" s="435">
        <f t="shared" si="259"/>
        <v>0</v>
      </c>
      <c r="CU285" s="436"/>
      <c r="CV285" s="435">
        <f t="shared" si="260"/>
        <v>0</v>
      </c>
      <c r="CW285" s="435">
        <f t="shared" si="261"/>
        <v>0</v>
      </c>
      <c r="CX285" s="435">
        <f>IF(AND($D285&gt;0,AV285=""),1,IF(AV285&gt;$D285,1,0))</f>
        <v>0</v>
      </c>
      <c r="CY285" s="435">
        <f t="shared" si="262"/>
        <v>0</v>
      </c>
      <c r="CZ285" s="435">
        <f t="shared" si="263"/>
        <v>0</v>
      </c>
    </row>
    <row r="286" spans="1:104" ht="15" customHeight="1" x14ac:dyDescent="0.3">
      <c r="A286" s="5790"/>
      <c r="B286" s="6787" t="s">
        <v>1832</v>
      </c>
      <c r="C286" s="6719"/>
      <c r="D286" s="3858">
        <f t="shared" si="273"/>
        <v>0</v>
      </c>
      <c r="E286" s="3859">
        <f t="shared" si="247"/>
        <v>0</v>
      </c>
      <c r="F286" s="3877">
        <f t="shared" si="248"/>
        <v>0</v>
      </c>
      <c r="G286" s="3868"/>
      <c r="H286" s="3867"/>
      <c r="I286" s="3868"/>
      <c r="J286" s="3867"/>
      <c r="K286" s="3868"/>
      <c r="L286" s="3867"/>
      <c r="M286" s="3868"/>
      <c r="N286" s="3867"/>
      <c r="O286" s="3868"/>
      <c r="P286" s="3867"/>
      <c r="Q286" s="3868"/>
      <c r="R286" s="3867"/>
      <c r="S286" s="3868"/>
      <c r="T286" s="2677"/>
      <c r="U286" s="3868"/>
      <c r="V286" s="2677"/>
      <c r="W286" s="3868"/>
      <c r="X286" s="2677"/>
      <c r="Y286" s="3868"/>
      <c r="Z286" s="2677"/>
      <c r="AA286" s="3868"/>
      <c r="AB286" s="2677"/>
      <c r="AC286" s="3868"/>
      <c r="AD286" s="2677"/>
      <c r="AE286" s="3868"/>
      <c r="AF286" s="2677"/>
      <c r="AG286" s="3868"/>
      <c r="AH286" s="2677"/>
      <c r="AI286" s="3868"/>
      <c r="AJ286" s="2677"/>
      <c r="AK286" s="3868"/>
      <c r="AL286" s="2677"/>
      <c r="AM286" s="2675"/>
      <c r="AN286" s="3869"/>
      <c r="AO286" s="3870"/>
      <c r="AP286" s="3871"/>
      <c r="AQ286" s="3872"/>
      <c r="AR286" s="3868"/>
      <c r="AS286" s="3871"/>
      <c r="AT286" s="3866"/>
      <c r="AU286" s="2677"/>
      <c r="AV286" s="3871"/>
      <c r="AW286" s="3866"/>
      <c r="AX286" s="2677"/>
      <c r="AY286" t="str">
        <f t="shared" si="249"/>
        <v/>
      </c>
      <c r="CA286" s="434" t="str">
        <f t="shared" si="250"/>
        <v/>
      </c>
      <c r="CB286" s="434" t="str">
        <f t="shared" si="251"/>
        <v/>
      </c>
      <c r="CC286" s="436"/>
      <c r="CD286" s="436"/>
      <c r="CE286" s="436"/>
      <c r="CF286" s="434" t="str">
        <f t="shared" si="252"/>
        <v/>
      </c>
      <c r="CG286" s="436"/>
      <c r="CH286" s="434" t="str">
        <f t="shared" si="253"/>
        <v/>
      </c>
      <c r="CI286" s="434" t="str">
        <f t="shared" si="254"/>
        <v/>
      </c>
      <c r="CJ286" s="436"/>
      <c r="CK286" s="434" t="str">
        <f t="shared" si="255"/>
        <v/>
      </c>
      <c r="CL286" s="434" t="str">
        <f t="shared" si="256"/>
        <v/>
      </c>
      <c r="CO286" s="435">
        <f t="shared" si="257"/>
        <v>0</v>
      </c>
      <c r="CP286" s="435">
        <f t="shared" si="258"/>
        <v>0</v>
      </c>
      <c r="CQ286" s="436"/>
      <c r="CR286" s="436"/>
      <c r="CS286" s="436"/>
      <c r="CT286" s="435">
        <f t="shared" si="259"/>
        <v>0</v>
      </c>
      <c r="CU286" s="436"/>
      <c r="CV286" s="435">
        <f t="shared" si="260"/>
        <v>0</v>
      </c>
      <c r="CW286" s="435">
        <f t="shared" si="261"/>
        <v>0</v>
      </c>
      <c r="CX286" s="436"/>
      <c r="CY286" s="435">
        <f t="shared" si="262"/>
        <v>0</v>
      </c>
      <c r="CZ286" s="435">
        <f t="shared" si="263"/>
        <v>0</v>
      </c>
    </row>
    <row r="287" spans="1:104" ht="15" customHeight="1" x14ac:dyDescent="0.3">
      <c r="A287" s="6574"/>
      <c r="B287" s="6788" t="s">
        <v>1833</v>
      </c>
      <c r="C287" s="6788"/>
      <c r="D287" s="3470">
        <f t="shared" si="273"/>
        <v>0</v>
      </c>
      <c r="E287" s="3610">
        <f t="shared" si="247"/>
        <v>0</v>
      </c>
      <c r="F287" s="3563">
        <f t="shared" si="248"/>
        <v>0</v>
      </c>
      <c r="G287" s="3866"/>
      <c r="H287" s="3867"/>
      <c r="I287" s="3868"/>
      <c r="J287" s="3867"/>
      <c r="K287" s="3868"/>
      <c r="L287" s="3867"/>
      <c r="M287" s="3868"/>
      <c r="N287" s="3867"/>
      <c r="O287" s="3868"/>
      <c r="P287" s="3867"/>
      <c r="Q287" s="3868"/>
      <c r="R287" s="3867"/>
      <c r="S287" s="3868"/>
      <c r="T287" s="2677"/>
      <c r="U287" s="3868"/>
      <c r="V287" s="2677"/>
      <c r="W287" s="3868"/>
      <c r="X287" s="2677"/>
      <c r="Y287" s="3868"/>
      <c r="Z287" s="2677"/>
      <c r="AA287" s="3868"/>
      <c r="AB287" s="2677"/>
      <c r="AC287" s="3868"/>
      <c r="AD287" s="2677"/>
      <c r="AE287" s="3868"/>
      <c r="AF287" s="2677"/>
      <c r="AG287" s="3868"/>
      <c r="AH287" s="2677"/>
      <c r="AI287" s="3868"/>
      <c r="AJ287" s="2677"/>
      <c r="AK287" s="3868"/>
      <c r="AL287" s="2677"/>
      <c r="AM287" s="837"/>
      <c r="AN287" s="3852"/>
      <c r="AO287" s="3873"/>
      <c r="AP287" s="3853"/>
      <c r="AQ287" s="3874"/>
      <c r="AR287" s="3851"/>
      <c r="AS287" s="3853"/>
      <c r="AT287" s="3849"/>
      <c r="AU287" s="838"/>
      <c r="AV287" s="3853"/>
      <c r="AW287" s="3849"/>
      <c r="AX287" s="838"/>
      <c r="AY287" t="str">
        <f t="shared" si="249"/>
        <v/>
      </c>
      <c r="CA287" s="434" t="str">
        <f t="shared" si="250"/>
        <v/>
      </c>
      <c r="CB287" s="434" t="str">
        <f t="shared" si="251"/>
        <v/>
      </c>
      <c r="CC287" s="436"/>
      <c r="CD287" s="436"/>
      <c r="CE287" s="436"/>
      <c r="CF287" s="434" t="str">
        <f t="shared" si="252"/>
        <v/>
      </c>
      <c r="CG287" s="436"/>
      <c r="CH287" s="434" t="str">
        <f t="shared" si="253"/>
        <v/>
      </c>
      <c r="CI287" s="434" t="str">
        <f t="shared" si="254"/>
        <v/>
      </c>
      <c r="CJ287" s="436"/>
      <c r="CK287" s="434" t="str">
        <f t="shared" si="255"/>
        <v/>
      </c>
      <c r="CL287" s="434" t="str">
        <f t="shared" si="256"/>
        <v/>
      </c>
      <c r="CO287" s="435">
        <f t="shared" si="257"/>
        <v>0</v>
      </c>
      <c r="CP287" s="435">
        <f t="shared" si="258"/>
        <v>0</v>
      </c>
      <c r="CQ287" s="436"/>
      <c r="CR287" s="436"/>
      <c r="CS287" s="436"/>
      <c r="CT287" s="435">
        <f t="shared" si="259"/>
        <v>0</v>
      </c>
      <c r="CU287" s="436"/>
      <c r="CV287" s="435">
        <f t="shared" si="260"/>
        <v>0</v>
      </c>
      <c r="CW287" s="435">
        <f t="shared" si="261"/>
        <v>0</v>
      </c>
      <c r="CX287" s="436"/>
      <c r="CY287" s="435">
        <f t="shared" si="262"/>
        <v>0</v>
      </c>
      <c r="CZ287" s="435">
        <f t="shared" si="263"/>
        <v>0</v>
      </c>
    </row>
    <row r="288" spans="1:104" ht="15" customHeight="1" x14ac:dyDescent="0.3">
      <c r="A288" s="6185" t="s">
        <v>1836</v>
      </c>
      <c r="B288" s="6790" t="s">
        <v>1828</v>
      </c>
      <c r="C288" s="6790"/>
      <c r="D288" s="3805">
        <f t="shared" si="273"/>
        <v>0</v>
      </c>
      <c r="E288" s="3639">
        <f>SUM(W288+Y288+AA288+AC288+AE288+AG288+AI288+AK288)</f>
        <v>0</v>
      </c>
      <c r="F288" s="3553">
        <f>SUM(X288+Z288+AB288+AD288+AF288+AH288+AJ288+AL288)</f>
        <v>0</v>
      </c>
      <c r="G288" s="3888"/>
      <c r="H288" s="3889"/>
      <c r="I288" s="3890"/>
      <c r="J288" s="3889"/>
      <c r="K288" s="3891"/>
      <c r="L288" s="3847"/>
      <c r="M288" s="3892"/>
      <c r="N288" s="3847"/>
      <c r="O288" s="3890"/>
      <c r="P288" s="3889"/>
      <c r="Q288" s="3890"/>
      <c r="R288" s="3889"/>
      <c r="S288" s="3891"/>
      <c r="T288" s="3847"/>
      <c r="U288" s="3892"/>
      <c r="V288" s="3847"/>
      <c r="W288" s="3842"/>
      <c r="X288" s="826"/>
      <c r="Y288" s="3842"/>
      <c r="Z288" s="826"/>
      <c r="AA288" s="3842"/>
      <c r="AB288" s="826"/>
      <c r="AC288" s="3842"/>
      <c r="AD288" s="826"/>
      <c r="AE288" s="3842"/>
      <c r="AF288" s="826"/>
      <c r="AG288" s="3842"/>
      <c r="AH288" s="826"/>
      <c r="AI288" s="3842"/>
      <c r="AJ288" s="826"/>
      <c r="AK288" s="3842"/>
      <c r="AL288" s="826"/>
      <c r="AM288" s="2689"/>
      <c r="AN288" s="3854"/>
      <c r="AO288" s="3841"/>
      <c r="AP288" s="3855"/>
      <c r="AQ288" s="3842"/>
      <c r="AR288" s="3856"/>
      <c r="AS288" s="3845"/>
      <c r="AT288" s="3857"/>
      <c r="AU288" s="2691"/>
      <c r="AV288" s="3845"/>
      <c r="AW288" s="3857"/>
      <c r="AX288" s="2691"/>
      <c r="AY288" t="str">
        <f t="shared" si="249"/>
        <v/>
      </c>
      <c r="CA288" s="434" t="str">
        <f t="shared" si="250"/>
        <v/>
      </c>
      <c r="CB288" s="434" t="str">
        <f t="shared" si="251"/>
        <v/>
      </c>
      <c r="CC288" s="434" t="str">
        <f>IF(AND($D288&gt;0,AO288="")," * No olvide digitar la variable Consultas Pertinentes: Según Procolo de Referencia. Digite cero si no tiene.",IF(AO288&gt;$D288," * La variable Consultas Pertinentes: Según Procolo de Referencia no puede superar el Total Ambos Sexos.",""))</f>
        <v/>
      </c>
      <c r="CD288" s="434" t="str">
        <f>IF(AND($D288&gt;0,AP288="")," * No olvide digitar la variable Consultas Pertinentes: Según condición clínica. Digite cero si no tiene.",IF(AP288&gt;$D288," * La variable Consultas Pertinentes: Según condición clínica no puede superar el Total Ambos Sexos.",""))</f>
        <v/>
      </c>
      <c r="CE288" s="434" t="str">
        <f>IF(AND($D288&gt;0,AQ288="")," * No olvide digitar la variable Inasistente. Digite cero si no tiene.",IF(AQ288&gt;$D288," * La variable Insasistente no puede superar el Total Ambos Sexos.",""))</f>
        <v/>
      </c>
      <c r="CF288" s="434" t="str">
        <f t="shared" si="252"/>
        <v/>
      </c>
      <c r="CG288" s="436"/>
      <c r="CH288" s="434" t="str">
        <f t="shared" si="253"/>
        <v/>
      </c>
      <c r="CI288" s="434" t="str">
        <f t="shared" si="254"/>
        <v/>
      </c>
      <c r="CJ288" s="436"/>
      <c r="CK288" s="434" t="str">
        <f t="shared" si="255"/>
        <v/>
      </c>
      <c r="CL288" s="434" t="str">
        <f t="shared" si="256"/>
        <v/>
      </c>
      <c r="CO288" s="435">
        <f t="shared" si="257"/>
        <v>0</v>
      </c>
      <c r="CP288" s="435">
        <f t="shared" si="258"/>
        <v>0</v>
      </c>
      <c r="CQ288" s="435">
        <f>IF(AND($D288&gt;0,AO288=""),1,IF(AO288&gt;$D288,1,0))</f>
        <v>0</v>
      </c>
      <c r="CR288" s="435">
        <f t="shared" ref="CR288" si="280">IF(AND($D288&gt;0,AP288=""),1,IF(AP288&gt;$D288,1,0))</f>
        <v>0</v>
      </c>
      <c r="CS288" s="435">
        <f t="shared" ref="CS288:CS289" si="281">IF(AND($D288&gt;0,AQ288=""),1,IF(AQ288&gt;$D288,1,0))</f>
        <v>0</v>
      </c>
      <c r="CT288" s="435">
        <f t="shared" si="259"/>
        <v>0</v>
      </c>
      <c r="CU288" s="436"/>
      <c r="CV288" s="435">
        <f t="shared" si="260"/>
        <v>0</v>
      </c>
      <c r="CW288" s="435">
        <f t="shared" si="261"/>
        <v>0</v>
      </c>
      <c r="CX288" s="436"/>
      <c r="CY288" s="435">
        <f t="shared" si="262"/>
        <v>0</v>
      </c>
      <c r="CZ288" s="435">
        <f t="shared" si="263"/>
        <v>0</v>
      </c>
    </row>
    <row r="289" spans="1:104" ht="15" customHeight="1" x14ac:dyDescent="0.3">
      <c r="A289" s="5790"/>
      <c r="B289" s="6791" t="s">
        <v>1829</v>
      </c>
      <c r="C289" s="6791"/>
      <c r="D289" s="3858">
        <f t="shared" si="273"/>
        <v>0</v>
      </c>
      <c r="E289" s="3859">
        <f t="shared" ref="E289:F293" si="282">SUM(W289+Y289+AA289+AC289+AE289+AG289+AI289+AK289)</f>
        <v>0</v>
      </c>
      <c r="F289" s="3877">
        <f t="shared" si="282"/>
        <v>0</v>
      </c>
      <c r="G289" s="3893"/>
      <c r="H289" s="3894"/>
      <c r="I289" s="3893"/>
      <c r="J289" s="3894"/>
      <c r="K289" s="3865"/>
      <c r="L289" s="3845"/>
      <c r="M289" s="3865"/>
      <c r="N289" s="3845"/>
      <c r="O289" s="3893"/>
      <c r="P289" s="3894"/>
      <c r="Q289" s="3893"/>
      <c r="R289" s="3894"/>
      <c r="S289" s="3865"/>
      <c r="T289" s="3845"/>
      <c r="U289" s="3865"/>
      <c r="V289" s="3845"/>
      <c r="W289" s="3862"/>
      <c r="X289" s="835"/>
      <c r="Y289" s="3862"/>
      <c r="Z289" s="835"/>
      <c r="AA289" s="3862"/>
      <c r="AB289" s="835"/>
      <c r="AC289" s="3862"/>
      <c r="AD289" s="835"/>
      <c r="AE289" s="3862"/>
      <c r="AF289" s="835"/>
      <c r="AG289" s="3862"/>
      <c r="AH289" s="835"/>
      <c r="AI289" s="3862"/>
      <c r="AJ289" s="835"/>
      <c r="AK289" s="3862"/>
      <c r="AL289" s="835"/>
      <c r="AM289" s="3863"/>
      <c r="AN289" s="3864"/>
      <c r="AO289" s="3844"/>
      <c r="AP289" s="3845"/>
      <c r="AQ289" s="3856"/>
      <c r="AR289" s="3862"/>
      <c r="AS289" s="3845"/>
      <c r="AT289" s="3860"/>
      <c r="AU289" s="835"/>
      <c r="AV289" s="3845"/>
      <c r="AW289" s="3860"/>
      <c r="AX289" s="835"/>
      <c r="AY289" t="str">
        <f t="shared" si="249"/>
        <v/>
      </c>
      <c r="CA289" s="434" t="str">
        <f t="shared" si="250"/>
        <v/>
      </c>
      <c r="CB289" s="434" t="str">
        <f t="shared" si="251"/>
        <v/>
      </c>
      <c r="CC289" s="436"/>
      <c r="CD289" s="436"/>
      <c r="CE289" s="434" t="str">
        <f>IF(AND($D289&gt;0,AQ289="")," * No olvide digitar la variable Inasistente. Digite cero si no tiene.",IF(AQ289&gt;$D289," * La variable Insasistente no puede superar el Total Ambos Sexos.",""))</f>
        <v/>
      </c>
      <c r="CF289" s="434" t="str">
        <f t="shared" si="252"/>
        <v/>
      </c>
      <c r="CG289" s="436"/>
      <c r="CH289" s="434" t="str">
        <f t="shared" si="253"/>
        <v/>
      </c>
      <c r="CI289" s="434" t="str">
        <f t="shared" si="254"/>
        <v/>
      </c>
      <c r="CJ289" s="436"/>
      <c r="CK289" s="434" t="str">
        <f t="shared" si="255"/>
        <v/>
      </c>
      <c r="CL289" s="434" t="str">
        <f t="shared" si="256"/>
        <v/>
      </c>
      <c r="CO289" s="435">
        <f t="shared" si="257"/>
        <v>0</v>
      </c>
      <c r="CP289" s="435">
        <f t="shared" si="258"/>
        <v>0</v>
      </c>
      <c r="CQ289" s="436"/>
      <c r="CR289" s="436"/>
      <c r="CS289" s="435">
        <f t="shared" si="281"/>
        <v>0</v>
      </c>
      <c r="CT289" s="435">
        <f t="shared" si="259"/>
        <v>0</v>
      </c>
      <c r="CU289" s="436"/>
      <c r="CV289" s="435">
        <f t="shared" si="260"/>
        <v>0</v>
      </c>
      <c r="CW289" s="435">
        <f t="shared" si="261"/>
        <v>0</v>
      </c>
      <c r="CX289" s="436"/>
      <c r="CY289" s="435">
        <f t="shared" si="262"/>
        <v>0</v>
      </c>
      <c r="CZ289" s="435">
        <f t="shared" si="263"/>
        <v>0</v>
      </c>
    </row>
    <row r="290" spans="1:104" ht="15" customHeight="1" x14ac:dyDescent="0.3">
      <c r="A290" s="5790"/>
      <c r="B290" s="6791" t="s">
        <v>1830</v>
      </c>
      <c r="C290" s="6791"/>
      <c r="D290" s="3858">
        <f t="shared" si="273"/>
        <v>0</v>
      </c>
      <c r="E290" s="3859">
        <f t="shared" si="282"/>
        <v>0</v>
      </c>
      <c r="F290" s="3877">
        <f t="shared" si="282"/>
        <v>0</v>
      </c>
      <c r="G290" s="3893"/>
      <c r="H290" s="3894"/>
      <c r="I290" s="3893"/>
      <c r="J290" s="3894"/>
      <c r="K290" s="3865"/>
      <c r="L290" s="3845"/>
      <c r="M290" s="3865"/>
      <c r="N290" s="3845"/>
      <c r="O290" s="3893"/>
      <c r="P290" s="3894"/>
      <c r="Q290" s="3893"/>
      <c r="R290" s="3894"/>
      <c r="S290" s="3865"/>
      <c r="T290" s="3845"/>
      <c r="U290" s="3865"/>
      <c r="V290" s="3845"/>
      <c r="W290" s="3862"/>
      <c r="X290" s="835"/>
      <c r="Y290" s="3862"/>
      <c r="Z290" s="835"/>
      <c r="AA290" s="3862"/>
      <c r="AB290" s="835"/>
      <c r="AC290" s="3862"/>
      <c r="AD290" s="835"/>
      <c r="AE290" s="3862"/>
      <c r="AF290" s="835"/>
      <c r="AG290" s="3862"/>
      <c r="AH290" s="835"/>
      <c r="AI290" s="3862"/>
      <c r="AJ290" s="835"/>
      <c r="AK290" s="3862"/>
      <c r="AL290" s="835"/>
      <c r="AM290" s="3863"/>
      <c r="AN290" s="3864"/>
      <c r="AO290" s="3844"/>
      <c r="AP290" s="3845"/>
      <c r="AQ290" s="3865"/>
      <c r="AR290" s="3862"/>
      <c r="AS290" s="3845"/>
      <c r="AT290" s="3860"/>
      <c r="AU290" s="835"/>
      <c r="AV290" s="3845"/>
      <c r="AW290" s="3860"/>
      <c r="AX290" s="835"/>
      <c r="AY290" t="str">
        <f t="shared" si="249"/>
        <v/>
      </c>
      <c r="CA290" s="434" t="str">
        <f t="shared" si="250"/>
        <v/>
      </c>
      <c r="CB290" s="434" t="str">
        <f t="shared" si="251"/>
        <v/>
      </c>
      <c r="CC290" s="436"/>
      <c r="CD290" s="436"/>
      <c r="CE290" s="436"/>
      <c r="CF290" s="434" t="str">
        <f t="shared" si="252"/>
        <v/>
      </c>
      <c r="CG290" s="436"/>
      <c r="CH290" s="434" t="str">
        <f t="shared" si="253"/>
        <v/>
      </c>
      <c r="CI290" s="434" t="str">
        <f t="shared" si="254"/>
        <v/>
      </c>
      <c r="CJ290" s="436"/>
      <c r="CK290" s="434" t="str">
        <f t="shared" si="255"/>
        <v/>
      </c>
      <c r="CL290" s="434" t="str">
        <f t="shared" si="256"/>
        <v/>
      </c>
      <c r="CO290" s="435">
        <f t="shared" si="257"/>
        <v>0</v>
      </c>
      <c r="CP290" s="435">
        <f t="shared" si="258"/>
        <v>0</v>
      </c>
      <c r="CQ290" s="436"/>
      <c r="CR290" s="436"/>
      <c r="CS290" s="436"/>
      <c r="CT290" s="435">
        <f t="shared" si="259"/>
        <v>0</v>
      </c>
      <c r="CU290" s="436"/>
      <c r="CV290" s="435">
        <f t="shared" si="260"/>
        <v>0</v>
      </c>
      <c r="CW290" s="435">
        <f t="shared" si="261"/>
        <v>0</v>
      </c>
      <c r="CX290" s="436"/>
      <c r="CY290" s="435">
        <f t="shared" si="262"/>
        <v>0</v>
      </c>
      <c r="CZ290" s="435">
        <f t="shared" si="263"/>
        <v>0</v>
      </c>
    </row>
    <row r="291" spans="1:104" ht="15" customHeight="1" x14ac:dyDescent="0.3">
      <c r="A291" s="5790"/>
      <c r="B291" s="6787" t="s">
        <v>1831</v>
      </c>
      <c r="C291" s="6719"/>
      <c r="D291" s="3858">
        <f t="shared" si="273"/>
        <v>0</v>
      </c>
      <c r="E291" s="3859">
        <f t="shared" si="282"/>
        <v>0</v>
      </c>
      <c r="F291" s="3877">
        <f t="shared" si="282"/>
        <v>0</v>
      </c>
      <c r="G291" s="3895"/>
      <c r="H291" s="3896"/>
      <c r="I291" s="3895"/>
      <c r="J291" s="3896"/>
      <c r="K291" s="3844"/>
      <c r="L291" s="3845"/>
      <c r="M291" s="3844"/>
      <c r="N291" s="3845"/>
      <c r="O291" s="3895"/>
      <c r="P291" s="3896"/>
      <c r="Q291" s="3895"/>
      <c r="R291" s="3896"/>
      <c r="S291" s="3844"/>
      <c r="T291" s="3845"/>
      <c r="U291" s="3844"/>
      <c r="V291" s="3845"/>
      <c r="W291" s="3868"/>
      <c r="X291" s="2677"/>
      <c r="Y291" s="3868"/>
      <c r="Z291" s="2677"/>
      <c r="AA291" s="3868"/>
      <c r="AB291" s="2677"/>
      <c r="AC291" s="3868"/>
      <c r="AD291" s="2677"/>
      <c r="AE291" s="3868"/>
      <c r="AF291" s="2677"/>
      <c r="AG291" s="3868"/>
      <c r="AH291" s="2677"/>
      <c r="AI291" s="3868"/>
      <c r="AJ291" s="2677"/>
      <c r="AK291" s="3868"/>
      <c r="AL291" s="2677"/>
      <c r="AM291" s="2675"/>
      <c r="AN291" s="3869"/>
      <c r="AO291" s="3844"/>
      <c r="AP291" s="3845"/>
      <c r="AQ291" s="3865"/>
      <c r="AR291" s="3868"/>
      <c r="AS291" s="3845"/>
      <c r="AT291" s="3866"/>
      <c r="AU291" s="2677"/>
      <c r="AV291" s="835"/>
      <c r="AW291" s="3866"/>
      <c r="AX291" s="2677"/>
      <c r="AY291" t="str">
        <f t="shared" si="249"/>
        <v/>
      </c>
      <c r="CA291" s="434" t="str">
        <f t="shared" si="250"/>
        <v/>
      </c>
      <c r="CB291" s="434" t="str">
        <f t="shared" si="251"/>
        <v/>
      </c>
      <c r="CC291" s="436"/>
      <c r="CD291" s="436"/>
      <c r="CE291" s="436"/>
      <c r="CF291" s="434" t="str">
        <f t="shared" si="252"/>
        <v/>
      </c>
      <c r="CG291" s="436"/>
      <c r="CH291" s="434" t="str">
        <f t="shared" si="253"/>
        <v/>
      </c>
      <c r="CI291" s="434" t="str">
        <f t="shared" si="254"/>
        <v/>
      </c>
      <c r="CJ291" s="434" t="str">
        <f>IF(AND($D291&gt;0,AV291="")," * No olvide digitar la variable Contrarreferencia al alta. Digite Cero si no tiene.",IF(AV291&gt;$D291," * La variable Contrarreferencia al alta no puede superar el Total Ambos Sexos.",""))</f>
        <v/>
      </c>
      <c r="CK291" s="434" t="str">
        <f t="shared" si="255"/>
        <v/>
      </c>
      <c r="CL291" s="434" t="str">
        <f t="shared" si="256"/>
        <v/>
      </c>
      <c r="CO291" s="435">
        <f t="shared" si="257"/>
        <v>0</v>
      </c>
      <c r="CP291" s="435">
        <f t="shared" si="258"/>
        <v>0</v>
      </c>
      <c r="CQ291" s="436"/>
      <c r="CR291" s="436"/>
      <c r="CS291" s="436"/>
      <c r="CT291" s="435">
        <f t="shared" si="259"/>
        <v>0</v>
      </c>
      <c r="CU291" s="436"/>
      <c r="CV291" s="435">
        <f t="shared" si="260"/>
        <v>0</v>
      </c>
      <c r="CW291" s="435">
        <f t="shared" si="261"/>
        <v>0</v>
      </c>
      <c r="CX291" s="435">
        <f>IF(AND($D291&gt;0,AV291=""),1,IF(AV291&gt;$D291,1,0))</f>
        <v>0</v>
      </c>
      <c r="CY291" s="435">
        <f t="shared" si="262"/>
        <v>0</v>
      </c>
      <c r="CZ291" s="435">
        <f t="shared" si="263"/>
        <v>0</v>
      </c>
    </row>
    <row r="292" spans="1:104" ht="15" customHeight="1" x14ac:dyDescent="0.3">
      <c r="A292" s="5790"/>
      <c r="B292" s="6787" t="s">
        <v>1832</v>
      </c>
      <c r="C292" s="6719"/>
      <c r="D292" s="3858">
        <f t="shared" si="273"/>
        <v>0</v>
      </c>
      <c r="E292" s="3859">
        <f t="shared" si="282"/>
        <v>0</v>
      </c>
      <c r="F292" s="3877">
        <f t="shared" si="282"/>
        <v>0</v>
      </c>
      <c r="G292" s="3895"/>
      <c r="H292" s="3896"/>
      <c r="I292" s="3895"/>
      <c r="J292" s="3896"/>
      <c r="K292" s="3870"/>
      <c r="L292" s="3871"/>
      <c r="M292" s="3870"/>
      <c r="N292" s="3871"/>
      <c r="O292" s="3895"/>
      <c r="P292" s="3896"/>
      <c r="Q292" s="3895"/>
      <c r="R292" s="3896"/>
      <c r="S292" s="3870"/>
      <c r="T292" s="3871"/>
      <c r="U292" s="3870"/>
      <c r="V292" s="3871"/>
      <c r="W292" s="3868"/>
      <c r="X292" s="2677"/>
      <c r="Y292" s="3868"/>
      <c r="Z292" s="2677"/>
      <c r="AA292" s="3868"/>
      <c r="AB292" s="2677"/>
      <c r="AC292" s="3868"/>
      <c r="AD292" s="2677"/>
      <c r="AE292" s="3868"/>
      <c r="AF292" s="2677"/>
      <c r="AG292" s="3868"/>
      <c r="AH292" s="2677"/>
      <c r="AI292" s="3868"/>
      <c r="AJ292" s="2677"/>
      <c r="AK292" s="3868"/>
      <c r="AL292" s="2677"/>
      <c r="AM292" s="2675"/>
      <c r="AN292" s="3869"/>
      <c r="AO292" s="3870"/>
      <c r="AP292" s="3871"/>
      <c r="AQ292" s="3872"/>
      <c r="AR292" s="3868"/>
      <c r="AS292" s="3871"/>
      <c r="AT292" s="3866"/>
      <c r="AU292" s="2677"/>
      <c r="AV292" s="3871"/>
      <c r="AW292" s="3866"/>
      <c r="AX292" s="2677"/>
      <c r="AY292" t="str">
        <f t="shared" si="249"/>
        <v/>
      </c>
      <c r="CA292" s="434" t="str">
        <f t="shared" si="250"/>
        <v/>
      </c>
      <c r="CB292" s="434" t="str">
        <f t="shared" si="251"/>
        <v/>
      </c>
      <c r="CC292" s="436"/>
      <c r="CD292" s="436"/>
      <c r="CE292" s="436"/>
      <c r="CF292" s="434" t="str">
        <f t="shared" si="252"/>
        <v/>
      </c>
      <c r="CG292" s="436"/>
      <c r="CH292" s="434" t="str">
        <f t="shared" si="253"/>
        <v/>
      </c>
      <c r="CI292" s="434" t="str">
        <f t="shared" si="254"/>
        <v/>
      </c>
      <c r="CJ292" s="436"/>
      <c r="CK292" s="434" t="str">
        <f t="shared" si="255"/>
        <v/>
      </c>
      <c r="CL292" s="434" t="str">
        <f t="shared" si="256"/>
        <v/>
      </c>
      <c r="CO292" s="435">
        <f t="shared" si="257"/>
        <v>0</v>
      </c>
      <c r="CP292" s="435">
        <f t="shared" si="258"/>
        <v>0</v>
      </c>
      <c r="CQ292" s="436"/>
      <c r="CR292" s="436"/>
      <c r="CS292" s="436"/>
      <c r="CT292" s="435">
        <f t="shared" si="259"/>
        <v>0</v>
      </c>
      <c r="CU292" s="436"/>
      <c r="CV292" s="435">
        <f t="shared" si="260"/>
        <v>0</v>
      </c>
      <c r="CW292" s="435">
        <f t="shared" si="261"/>
        <v>0</v>
      </c>
      <c r="CX292" s="436"/>
      <c r="CY292" s="435">
        <f t="shared" si="262"/>
        <v>0</v>
      </c>
      <c r="CZ292" s="435">
        <f t="shared" si="263"/>
        <v>0</v>
      </c>
    </row>
    <row r="293" spans="1:104" ht="15" customHeight="1" x14ac:dyDescent="0.3">
      <c r="A293" s="6574"/>
      <c r="B293" s="6788" t="s">
        <v>1833</v>
      </c>
      <c r="C293" s="6788"/>
      <c r="D293" s="3478">
        <f t="shared" si="273"/>
        <v>0</v>
      </c>
      <c r="E293" s="3610">
        <f t="shared" si="282"/>
        <v>0</v>
      </c>
      <c r="F293" s="3563">
        <f t="shared" si="282"/>
        <v>0</v>
      </c>
      <c r="G293" s="3897"/>
      <c r="H293" s="3898"/>
      <c r="I293" s="3899"/>
      <c r="J293" s="3898"/>
      <c r="K293" s="3897"/>
      <c r="L293" s="3898"/>
      <c r="M293" s="3897"/>
      <c r="N293" s="3898"/>
      <c r="O293" s="3899"/>
      <c r="P293" s="3898"/>
      <c r="Q293" s="3899"/>
      <c r="R293" s="3898"/>
      <c r="S293" s="3897"/>
      <c r="T293" s="3898"/>
      <c r="U293" s="3897"/>
      <c r="V293" s="3898"/>
      <c r="W293" s="3851"/>
      <c r="X293" s="838"/>
      <c r="Y293" s="3851"/>
      <c r="Z293" s="838"/>
      <c r="AA293" s="3851"/>
      <c r="AB293" s="838"/>
      <c r="AC293" s="3851"/>
      <c r="AD293" s="838"/>
      <c r="AE293" s="3851"/>
      <c r="AF293" s="838"/>
      <c r="AG293" s="3851"/>
      <c r="AH293" s="838"/>
      <c r="AI293" s="3851"/>
      <c r="AJ293" s="838"/>
      <c r="AK293" s="3851"/>
      <c r="AL293" s="838"/>
      <c r="AM293" s="837"/>
      <c r="AN293" s="3852"/>
      <c r="AO293" s="3873"/>
      <c r="AP293" s="3853"/>
      <c r="AQ293" s="3874"/>
      <c r="AR293" s="3851"/>
      <c r="AS293" s="3853"/>
      <c r="AT293" s="3849"/>
      <c r="AU293" s="838"/>
      <c r="AV293" s="3853"/>
      <c r="AW293" s="3849"/>
      <c r="AX293" s="838"/>
      <c r="AY293" t="str">
        <f t="shared" si="249"/>
        <v/>
      </c>
      <c r="CA293" s="434" t="str">
        <f t="shared" si="250"/>
        <v/>
      </c>
      <c r="CB293" s="434" t="str">
        <f t="shared" si="251"/>
        <v/>
      </c>
      <c r="CC293" s="436"/>
      <c r="CD293" s="436"/>
      <c r="CE293" s="436"/>
      <c r="CF293" s="434" t="str">
        <f t="shared" si="252"/>
        <v/>
      </c>
      <c r="CG293" s="436"/>
      <c r="CH293" s="434" t="str">
        <f t="shared" si="253"/>
        <v/>
      </c>
      <c r="CI293" s="434" t="str">
        <f t="shared" si="254"/>
        <v/>
      </c>
      <c r="CJ293" s="436"/>
      <c r="CK293" s="434" t="str">
        <f t="shared" si="255"/>
        <v/>
      </c>
      <c r="CL293" s="434" t="str">
        <f t="shared" si="256"/>
        <v/>
      </c>
      <c r="CO293" s="435">
        <f t="shared" si="257"/>
        <v>0</v>
      </c>
      <c r="CP293" s="435">
        <f t="shared" si="258"/>
        <v>0</v>
      </c>
      <c r="CQ293" s="436"/>
      <c r="CR293" s="436"/>
      <c r="CS293" s="436"/>
      <c r="CT293" s="435">
        <f t="shared" si="259"/>
        <v>0</v>
      </c>
      <c r="CU293" s="436"/>
      <c r="CV293" s="435">
        <f t="shared" si="260"/>
        <v>0</v>
      </c>
      <c r="CW293" s="435">
        <f t="shared" si="261"/>
        <v>0</v>
      </c>
      <c r="CX293" s="436"/>
      <c r="CY293" s="435">
        <f t="shared" si="262"/>
        <v>0</v>
      </c>
      <c r="CZ293" s="435">
        <f t="shared" si="263"/>
        <v>0</v>
      </c>
    </row>
    <row r="294" spans="1:104" ht="15" customHeight="1" x14ac:dyDescent="0.3">
      <c r="A294" s="6185" t="s">
        <v>1837</v>
      </c>
      <c r="B294" s="6790" t="s">
        <v>1828</v>
      </c>
      <c r="C294" s="6790"/>
      <c r="D294" s="359">
        <f t="shared" si="273"/>
        <v>0</v>
      </c>
      <c r="E294" s="3639">
        <f>SUM(O294+Q294+S294+U294+W294+Y294+AA294+AC294+AE294+AG294+AI294+AK294)</f>
        <v>0</v>
      </c>
      <c r="F294" s="3553">
        <f>SUM(P294+R294+T294+V294+X294+Z294+AB294+AD294+AF294+AH294+AJ294+AL294)</f>
        <v>0</v>
      </c>
      <c r="G294" s="3900"/>
      <c r="H294" s="3901"/>
      <c r="I294" s="3902"/>
      <c r="J294" s="3901"/>
      <c r="K294" s="3903"/>
      <c r="L294" s="3904"/>
      <c r="M294" s="3903"/>
      <c r="N294" s="3904"/>
      <c r="O294" s="3856"/>
      <c r="P294" s="3855"/>
      <c r="Q294" s="3856"/>
      <c r="R294" s="3855"/>
      <c r="S294" s="3856"/>
      <c r="T294" s="2691"/>
      <c r="U294" s="3856"/>
      <c r="V294" s="2691"/>
      <c r="W294" s="3856"/>
      <c r="X294" s="2691"/>
      <c r="Y294" s="3856"/>
      <c r="Z294" s="2691"/>
      <c r="AA294" s="3856"/>
      <c r="AB294" s="2691"/>
      <c r="AC294" s="3856"/>
      <c r="AD294" s="2691"/>
      <c r="AE294" s="3856"/>
      <c r="AF294" s="2691"/>
      <c r="AG294" s="3856"/>
      <c r="AH294" s="2691"/>
      <c r="AI294" s="3856"/>
      <c r="AJ294" s="2691"/>
      <c r="AK294" s="3856"/>
      <c r="AL294" s="2691"/>
      <c r="AM294" s="2689"/>
      <c r="AN294" s="3854"/>
      <c r="AO294" s="3857"/>
      <c r="AP294" s="3855"/>
      <c r="AQ294" s="3842"/>
      <c r="AR294" s="3856"/>
      <c r="AS294" s="3845"/>
      <c r="AT294" s="3857"/>
      <c r="AU294" s="2691"/>
      <c r="AV294" s="3845"/>
      <c r="AW294" s="3857"/>
      <c r="AX294" s="2691"/>
      <c r="AY294" t="str">
        <f t="shared" si="249"/>
        <v/>
      </c>
      <c r="CA294" s="434" t="str">
        <f t="shared" si="250"/>
        <v/>
      </c>
      <c r="CB294" s="434" t="str">
        <f t="shared" si="251"/>
        <v/>
      </c>
      <c r="CC294" s="434" t="str">
        <f>IF(AND($D294&gt;0,AO294="")," * No olvide digitar la variable Consultas Pertinentes: Según Procolo de Referencia. Digite cero si no tiene.",IF(AO294&gt;$D294," * La variable Consultas Pertinentes: Según Procolo de Referencia no puede superar el Total Ambos Sexos.",""))</f>
        <v/>
      </c>
      <c r="CD294" s="434" t="str">
        <f>IF(AND($D294&gt;0,AP294="")," * No olvide digitar la variable Consultas Pertinentes: Según condición clínica. Digite cero si no tiene.",IF(AP294&gt;$D294," * La variable Consultas Pertinentes: Según condición clínica no puede superar el Total Ambos Sexos.",""))</f>
        <v/>
      </c>
      <c r="CE294" s="434" t="str">
        <f>IF(AND($D294&gt;0,AQ294="")," * No olvide digitar la variable Inasistente. Digite cero si no tiene.",IF(AQ294&gt;$D294," * La variable Insasistente no puede superar el Total Ambos Sexos.",""))</f>
        <v/>
      </c>
      <c r="CF294" s="434" t="str">
        <f t="shared" si="252"/>
        <v/>
      </c>
      <c r="CG294" s="436"/>
      <c r="CH294" s="434" t="str">
        <f t="shared" si="253"/>
        <v/>
      </c>
      <c r="CI294" s="434" t="str">
        <f t="shared" si="254"/>
        <v/>
      </c>
      <c r="CJ294" s="436"/>
      <c r="CK294" s="434" t="str">
        <f t="shared" si="255"/>
        <v/>
      </c>
      <c r="CL294" s="434" t="str">
        <f t="shared" si="256"/>
        <v/>
      </c>
      <c r="CO294" s="435">
        <f t="shared" si="257"/>
        <v>0</v>
      </c>
      <c r="CP294" s="435">
        <f t="shared" si="258"/>
        <v>0</v>
      </c>
      <c r="CQ294" s="435">
        <f>IF(AND($D294&gt;0,AO294=""),1,IF(AO294&gt;$D294,1,0))</f>
        <v>0</v>
      </c>
      <c r="CR294" s="435">
        <f t="shared" ref="CR294" si="283">IF(AND($D294&gt;0,AP294=""),1,IF(AP294&gt;$D294,1,0))</f>
        <v>0</v>
      </c>
      <c r="CS294" s="435">
        <f t="shared" ref="CS294:CS295" si="284">IF(AND($D294&gt;0,AQ294=""),1,IF(AQ294&gt;$D294,1,0))</f>
        <v>0</v>
      </c>
      <c r="CT294" s="435">
        <f t="shared" si="259"/>
        <v>0</v>
      </c>
      <c r="CU294" s="436"/>
      <c r="CV294" s="435">
        <f t="shared" si="260"/>
        <v>0</v>
      </c>
      <c r="CW294" s="435">
        <f t="shared" si="261"/>
        <v>0</v>
      </c>
      <c r="CX294" s="436"/>
      <c r="CY294" s="435">
        <f t="shared" si="262"/>
        <v>0</v>
      </c>
      <c r="CZ294" s="435">
        <f t="shared" si="263"/>
        <v>0</v>
      </c>
    </row>
    <row r="295" spans="1:104" ht="15" customHeight="1" x14ac:dyDescent="0.3">
      <c r="A295" s="5790"/>
      <c r="B295" s="6791" t="s">
        <v>1829</v>
      </c>
      <c r="C295" s="6791"/>
      <c r="D295" s="3858">
        <f t="shared" si="273"/>
        <v>0</v>
      </c>
      <c r="E295" s="3859">
        <f t="shared" ref="E295:F296" si="285">SUM(O295+Q295+S295+U295+W295+Y295+AA295+AC295+AE295+AG295+AI295+AK295)</f>
        <v>0</v>
      </c>
      <c r="F295" s="3645">
        <f t="shared" si="285"/>
        <v>0</v>
      </c>
      <c r="G295" s="3905"/>
      <c r="H295" s="3894"/>
      <c r="I295" s="3893"/>
      <c r="J295" s="3894"/>
      <c r="K295" s="3865"/>
      <c r="L295" s="3845"/>
      <c r="M295" s="3865"/>
      <c r="N295" s="3845"/>
      <c r="O295" s="3862"/>
      <c r="P295" s="3861"/>
      <c r="Q295" s="3862"/>
      <c r="R295" s="3861"/>
      <c r="S295" s="3862"/>
      <c r="T295" s="835"/>
      <c r="U295" s="3862"/>
      <c r="V295" s="835"/>
      <c r="W295" s="3862"/>
      <c r="X295" s="835"/>
      <c r="Y295" s="3862"/>
      <c r="Z295" s="835"/>
      <c r="AA295" s="3862"/>
      <c r="AB295" s="835"/>
      <c r="AC295" s="3862"/>
      <c r="AD295" s="835"/>
      <c r="AE295" s="3862"/>
      <c r="AF295" s="835"/>
      <c r="AG295" s="3862"/>
      <c r="AH295" s="835"/>
      <c r="AI295" s="3862"/>
      <c r="AJ295" s="835"/>
      <c r="AK295" s="3862"/>
      <c r="AL295" s="835"/>
      <c r="AM295" s="3863"/>
      <c r="AN295" s="3864"/>
      <c r="AO295" s="3844"/>
      <c r="AP295" s="3845"/>
      <c r="AQ295" s="3856"/>
      <c r="AR295" s="3862"/>
      <c r="AS295" s="3845"/>
      <c r="AT295" s="3860"/>
      <c r="AU295" s="835"/>
      <c r="AV295" s="3845"/>
      <c r="AW295" s="3860"/>
      <c r="AX295" s="835"/>
      <c r="AY295" t="str">
        <f t="shared" si="249"/>
        <v/>
      </c>
      <c r="CA295" s="434" t="str">
        <f t="shared" si="250"/>
        <v/>
      </c>
      <c r="CB295" s="434" t="str">
        <f t="shared" si="251"/>
        <v/>
      </c>
      <c r="CC295" s="436"/>
      <c r="CD295" s="436"/>
      <c r="CE295" s="434" t="str">
        <f>IF(AND($D295&gt;0,AQ295="")," * No olvide digitar la variable Inasistente. Digite cero si no tiene.",IF(AQ295&gt;$D295," * La variable Insasistente no puede superar el Total Ambos Sexos.",""))</f>
        <v/>
      </c>
      <c r="CF295" s="434" t="str">
        <f t="shared" si="252"/>
        <v/>
      </c>
      <c r="CG295" s="436"/>
      <c r="CH295" s="434" t="str">
        <f t="shared" si="253"/>
        <v/>
      </c>
      <c r="CI295" s="434" t="str">
        <f t="shared" si="254"/>
        <v/>
      </c>
      <c r="CJ295" s="436"/>
      <c r="CK295" s="434" t="str">
        <f t="shared" si="255"/>
        <v/>
      </c>
      <c r="CL295" s="434" t="str">
        <f t="shared" si="256"/>
        <v/>
      </c>
      <c r="CO295" s="435">
        <f t="shared" si="257"/>
        <v>0</v>
      </c>
      <c r="CP295" s="435">
        <f t="shared" si="258"/>
        <v>0</v>
      </c>
      <c r="CQ295" s="436"/>
      <c r="CR295" s="436"/>
      <c r="CS295" s="435">
        <f t="shared" si="284"/>
        <v>0</v>
      </c>
      <c r="CT295" s="435">
        <f t="shared" si="259"/>
        <v>0</v>
      </c>
      <c r="CU295" s="436"/>
      <c r="CV295" s="435">
        <f t="shared" si="260"/>
        <v>0</v>
      </c>
      <c r="CW295" s="435">
        <f t="shared" si="261"/>
        <v>0</v>
      </c>
      <c r="CX295" s="436"/>
      <c r="CY295" s="435">
        <f t="shared" si="262"/>
        <v>0</v>
      </c>
      <c r="CZ295" s="435">
        <f t="shared" si="263"/>
        <v>0</v>
      </c>
    </row>
    <row r="296" spans="1:104" ht="15" customHeight="1" x14ac:dyDescent="0.3">
      <c r="A296" s="5790"/>
      <c r="B296" s="6791" t="s">
        <v>1830</v>
      </c>
      <c r="C296" s="6791"/>
      <c r="D296" s="3858">
        <f t="shared" si="273"/>
        <v>0</v>
      </c>
      <c r="E296" s="3859">
        <f t="shared" si="285"/>
        <v>0</v>
      </c>
      <c r="F296" s="3645">
        <f t="shared" si="285"/>
        <v>0</v>
      </c>
      <c r="G296" s="3905"/>
      <c r="H296" s="3894"/>
      <c r="I296" s="3893"/>
      <c r="J296" s="3894"/>
      <c r="K296" s="3865"/>
      <c r="L296" s="3845"/>
      <c r="M296" s="3865"/>
      <c r="N296" s="3845"/>
      <c r="O296" s="3862"/>
      <c r="P296" s="3861"/>
      <c r="Q296" s="3862"/>
      <c r="R296" s="3861"/>
      <c r="S296" s="3862"/>
      <c r="T296" s="835"/>
      <c r="U296" s="3862"/>
      <c r="V296" s="835"/>
      <c r="W296" s="3862"/>
      <c r="X296" s="835"/>
      <c r="Y296" s="3862"/>
      <c r="Z296" s="835"/>
      <c r="AA296" s="3862"/>
      <c r="AB296" s="835"/>
      <c r="AC296" s="3862"/>
      <c r="AD296" s="835"/>
      <c r="AE296" s="3862"/>
      <c r="AF296" s="835"/>
      <c r="AG296" s="3862"/>
      <c r="AH296" s="835"/>
      <c r="AI296" s="3862"/>
      <c r="AJ296" s="835"/>
      <c r="AK296" s="3862"/>
      <c r="AL296" s="835"/>
      <c r="AM296" s="3863"/>
      <c r="AN296" s="3864"/>
      <c r="AO296" s="3844"/>
      <c r="AP296" s="3845"/>
      <c r="AQ296" s="3865"/>
      <c r="AR296" s="3862"/>
      <c r="AS296" s="3845"/>
      <c r="AT296" s="3860"/>
      <c r="AU296" s="835"/>
      <c r="AV296" s="3845"/>
      <c r="AW296" s="3860"/>
      <c r="AX296" s="835"/>
      <c r="AY296" t="str">
        <f t="shared" si="249"/>
        <v/>
      </c>
      <c r="CA296" s="434" t="str">
        <f t="shared" si="250"/>
        <v/>
      </c>
      <c r="CB296" s="434" t="str">
        <f t="shared" si="251"/>
        <v/>
      </c>
      <c r="CC296" s="436"/>
      <c r="CD296" s="436"/>
      <c r="CE296" s="436"/>
      <c r="CF296" s="434" t="str">
        <f t="shared" si="252"/>
        <v/>
      </c>
      <c r="CG296" s="436"/>
      <c r="CH296" s="434" t="str">
        <f t="shared" si="253"/>
        <v/>
      </c>
      <c r="CI296" s="434" t="str">
        <f t="shared" si="254"/>
        <v/>
      </c>
      <c r="CJ296" s="436"/>
      <c r="CK296" s="434" t="str">
        <f t="shared" si="255"/>
        <v/>
      </c>
      <c r="CL296" s="434" t="str">
        <f t="shared" si="256"/>
        <v/>
      </c>
      <c r="CO296" s="435">
        <f t="shared" si="257"/>
        <v>0</v>
      </c>
      <c r="CP296" s="435">
        <f t="shared" si="258"/>
        <v>0</v>
      </c>
      <c r="CQ296" s="436"/>
      <c r="CR296" s="436"/>
      <c r="CS296" s="436"/>
      <c r="CT296" s="435">
        <f t="shared" si="259"/>
        <v>0</v>
      </c>
      <c r="CU296" s="436"/>
      <c r="CV296" s="435">
        <f t="shared" si="260"/>
        <v>0</v>
      </c>
      <c r="CW296" s="435">
        <f t="shared" si="261"/>
        <v>0</v>
      </c>
      <c r="CX296" s="436"/>
      <c r="CY296" s="435">
        <f t="shared" si="262"/>
        <v>0</v>
      </c>
      <c r="CZ296" s="435">
        <f t="shared" si="263"/>
        <v>0</v>
      </c>
    </row>
    <row r="297" spans="1:104" ht="15" customHeight="1" x14ac:dyDescent="0.3">
      <c r="A297" s="5790"/>
      <c r="B297" s="6787" t="s">
        <v>1831</v>
      </c>
      <c r="C297" s="6719"/>
      <c r="D297" s="3858">
        <f t="shared" si="273"/>
        <v>0</v>
      </c>
      <c r="E297" s="3859">
        <f>SUM(O297+Q297+S297+U297+W297+Y297+AA297+AC297+AE297+AG297+AI297+AK297)</f>
        <v>0</v>
      </c>
      <c r="F297" s="3645">
        <f>SUM(+P297+R297+T297+V297+X297+Z297+AB297+AD297+AF297+AH297+AJ297+AL297)</f>
        <v>0</v>
      </c>
      <c r="G297" s="3906"/>
      <c r="H297" s="3896"/>
      <c r="I297" s="3895"/>
      <c r="J297" s="3896"/>
      <c r="K297" s="3844"/>
      <c r="L297" s="3845"/>
      <c r="M297" s="3844"/>
      <c r="N297" s="3845"/>
      <c r="O297" s="3868"/>
      <c r="P297" s="3867"/>
      <c r="Q297" s="3868"/>
      <c r="R297" s="3867"/>
      <c r="S297" s="3868"/>
      <c r="T297" s="2677"/>
      <c r="U297" s="3868"/>
      <c r="V297" s="2677"/>
      <c r="W297" s="3868"/>
      <c r="X297" s="2677"/>
      <c r="Y297" s="3868"/>
      <c r="Z297" s="2677"/>
      <c r="AA297" s="3868"/>
      <c r="AB297" s="2677"/>
      <c r="AC297" s="3868"/>
      <c r="AD297" s="2677"/>
      <c r="AE297" s="3868"/>
      <c r="AF297" s="2677"/>
      <c r="AG297" s="3868"/>
      <c r="AH297" s="2677"/>
      <c r="AI297" s="3868"/>
      <c r="AJ297" s="2677"/>
      <c r="AK297" s="3868"/>
      <c r="AL297" s="2677"/>
      <c r="AM297" s="2675"/>
      <c r="AN297" s="3869"/>
      <c r="AO297" s="3844"/>
      <c r="AP297" s="3845"/>
      <c r="AQ297" s="3865"/>
      <c r="AR297" s="3868"/>
      <c r="AS297" s="3845"/>
      <c r="AT297" s="3866"/>
      <c r="AU297" s="2677"/>
      <c r="AV297" s="835"/>
      <c r="AW297" s="3866"/>
      <c r="AX297" s="2677"/>
      <c r="AY297" t="str">
        <f t="shared" si="249"/>
        <v/>
      </c>
      <c r="CA297" s="434" t="str">
        <f t="shared" si="250"/>
        <v/>
      </c>
      <c r="CB297" s="434" t="str">
        <f t="shared" si="251"/>
        <v/>
      </c>
      <c r="CC297" s="436"/>
      <c r="CD297" s="436"/>
      <c r="CE297" s="436"/>
      <c r="CF297" s="434" t="str">
        <f t="shared" si="252"/>
        <v/>
      </c>
      <c r="CG297" s="436"/>
      <c r="CH297" s="434" t="str">
        <f t="shared" si="253"/>
        <v/>
      </c>
      <c r="CI297" s="434" t="str">
        <f>IF(AND($D297&gt;0,AU297="")," * No olvide digitar la variable Usuarios Oncológicos. Digite Cero si no tiene.",IF(AU297&gt;$D297," * La variable Usuarios Oncológicos no puede superar el Total Ambos Sexos.",""))</f>
        <v/>
      </c>
      <c r="CJ297" s="434" t="str">
        <f>IF(AND($D297&gt;0,AV297="")," * No olvide digitar la variable Contrarreferencia al alta. Digite Cero si no tiene.",IF(AV297&gt;$D297," * La variable Contrarreferencia al alta no puede superar el Total Ambos Sexos.",""))</f>
        <v/>
      </c>
      <c r="CK297" s="434" t="str">
        <f t="shared" si="255"/>
        <v/>
      </c>
      <c r="CL297" s="434" t="str">
        <f t="shared" si="256"/>
        <v/>
      </c>
      <c r="CO297" s="435">
        <f t="shared" si="257"/>
        <v>0</v>
      </c>
      <c r="CP297" s="435">
        <f t="shared" si="258"/>
        <v>0</v>
      </c>
      <c r="CQ297" s="436"/>
      <c r="CR297" s="436"/>
      <c r="CS297" s="436"/>
      <c r="CT297" s="435">
        <f t="shared" si="259"/>
        <v>0</v>
      </c>
      <c r="CU297" s="436"/>
      <c r="CV297" s="435">
        <f t="shared" si="260"/>
        <v>0</v>
      </c>
      <c r="CW297" s="435">
        <f t="shared" si="261"/>
        <v>0</v>
      </c>
      <c r="CX297" s="435">
        <f>IF(AND($D297&gt;0,AV297=""),1,IF(AV297&gt;$D297,1,0))</f>
        <v>0</v>
      </c>
      <c r="CY297" s="435">
        <f t="shared" si="262"/>
        <v>0</v>
      </c>
      <c r="CZ297" s="435">
        <f t="shared" si="263"/>
        <v>0</v>
      </c>
    </row>
    <row r="298" spans="1:104" ht="15" customHeight="1" x14ac:dyDescent="0.3">
      <c r="A298" s="5790"/>
      <c r="B298" s="6787" t="s">
        <v>1832</v>
      </c>
      <c r="C298" s="6719"/>
      <c r="D298" s="3858">
        <f t="shared" si="273"/>
        <v>0</v>
      </c>
      <c r="E298" s="3859">
        <f>SUM(O298+Q298+S298+U298+W298+Y298+AA298+AC298+AE298+AG298+AI298+AK298)</f>
        <v>0</v>
      </c>
      <c r="F298" s="3645">
        <f>SUM(P298+R298+T298+V298+X298+Z298+AB298+AD298+AF298+AH298+AJ298+AL298)</f>
        <v>0</v>
      </c>
      <c r="G298" s="3906"/>
      <c r="H298" s="3896"/>
      <c r="I298" s="3895"/>
      <c r="J298" s="3896"/>
      <c r="K298" s="3870"/>
      <c r="L298" s="3871"/>
      <c r="M298" s="3870"/>
      <c r="N298" s="3871"/>
      <c r="O298" s="3868"/>
      <c r="P298" s="3867"/>
      <c r="Q298" s="3868"/>
      <c r="R298" s="3867"/>
      <c r="S298" s="3868"/>
      <c r="T298" s="2677"/>
      <c r="U298" s="3868"/>
      <c r="V298" s="2677"/>
      <c r="W298" s="3868"/>
      <c r="X298" s="2677"/>
      <c r="Y298" s="3868"/>
      <c r="Z298" s="2677"/>
      <c r="AA298" s="3868"/>
      <c r="AB298" s="2677"/>
      <c r="AC298" s="3868"/>
      <c r="AD298" s="2677"/>
      <c r="AE298" s="3868"/>
      <c r="AF298" s="2677"/>
      <c r="AG298" s="3868"/>
      <c r="AH298" s="2677"/>
      <c r="AI298" s="3868"/>
      <c r="AJ298" s="2677"/>
      <c r="AK298" s="3868"/>
      <c r="AL298" s="2677"/>
      <c r="AM298" s="2675"/>
      <c r="AN298" s="3869"/>
      <c r="AO298" s="3870"/>
      <c r="AP298" s="3871"/>
      <c r="AQ298" s="3872"/>
      <c r="AR298" s="3868"/>
      <c r="AS298" s="3871"/>
      <c r="AT298" s="3866"/>
      <c r="AU298" s="2677"/>
      <c r="AV298" s="3871"/>
      <c r="AW298" s="3866"/>
      <c r="AX298" s="2677"/>
      <c r="AY298" t="str">
        <f t="shared" si="249"/>
        <v/>
      </c>
      <c r="CA298" s="434" t="str">
        <f t="shared" si="250"/>
        <v/>
      </c>
      <c r="CB298" s="434" t="str">
        <f t="shared" si="251"/>
        <v/>
      </c>
      <c r="CC298" s="436"/>
      <c r="CD298" s="436"/>
      <c r="CE298" s="436"/>
      <c r="CF298" s="434" t="str">
        <f t="shared" si="252"/>
        <v/>
      </c>
      <c r="CG298" s="436"/>
      <c r="CH298" s="434" t="str">
        <f t="shared" si="253"/>
        <v/>
      </c>
      <c r="CI298" s="434" t="str">
        <f t="shared" si="254"/>
        <v/>
      </c>
      <c r="CJ298" s="436"/>
      <c r="CK298" s="434" t="str">
        <f t="shared" si="255"/>
        <v/>
      </c>
      <c r="CL298" s="434" t="str">
        <f t="shared" si="256"/>
        <v/>
      </c>
      <c r="CO298" s="435">
        <f t="shared" si="257"/>
        <v>0</v>
      </c>
      <c r="CP298" s="435">
        <f t="shared" si="258"/>
        <v>0</v>
      </c>
      <c r="CQ298" s="436"/>
      <c r="CR298" s="436"/>
      <c r="CS298" s="436"/>
      <c r="CT298" s="435">
        <f t="shared" si="259"/>
        <v>0</v>
      </c>
      <c r="CU298" s="436"/>
      <c r="CV298" s="435">
        <f t="shared" si="260"/>
        <v>0</v>
      </c>
      <c r="CW298" s="435">
        <f t="shared" si="261"/>
        <v>0</v>
      </c>
      <c r="CX298" s="436"/>
      <c r="CY298" s="435">
        <f t="shared" si="262"/>
        <v>0</v>
      </c>
      <c r="CZ298" s="435">
        <f t="shared" si="263"/>
        <v>0</v>
      </c>
    </row>
    <row r="299" spans="1:104" ht="15" customHeight="1" x14ac:dyDescent="0.3">
      <c r="A299" s="6574"/>
      <c r="B299" s="6788" t="s">
        <v>1833</v>
      </c>
      <c r="C299" s="6788"/>
      <c r="D299" s="3478">
        <f t="shared" si="273"/>
        <v>0</v>
      </c>
      <c r="E299" s="3610">
        <f>SUM(O299+Q299+S299+U299+W299+Y299+AA299+AC299+AE299+AG299+AI299+AK299)</f>
        <v>0</v>
      </c>
      <c r="F299" s="3563">
        <f>SUM(P299+R299+T299+V299+X299+Z299+AB299+AD299+AF299+AH299+AJ299+AL299)</f>
        <v>0</v>
      </c>
      <c r="G299" s="3897"/>
      <c r="H299" s="3898"/>
      <c r="I299" s="3899"/>
      <c r="J299" s="3898"/>
      <c r="K299" s="3897"/>
      <c r="L299" s="3898"/>
      <c r="M299" s="3897"/>
      <c r="N299" s="3898"/>
      <c r="O299" s="3868"/>
      <c r="P299" s="3867"/>
      <c r="Q299" s="3868"/>
      <c r="R299" s="3867"/>
      <c r="S299" s="3868"/>
      <c r="T299" s="2677"/>
      <c r="U299" s="3868"/>
      <c r="V299" s="2677"/>
      <c r="W299" s="3851"/>
      <c r="X299" s="838"/>
      <c r="Y299" s="3851"/>
      <c r="Z299" s="838"/>
      <c r="AA299" s="3851"/>
      <c r="AB299" s="838"/>
      <c r="AC299" s="3851"/>
      <c r="AD299" s="838"/>
      <c r="AE299" s="3851"/>
      <c r="AF299" s="838"/>
      <c r="AG299" s="3851"/>
      <c r="AH299" s="838"/>
      <c r="AI299" s="3851"/>
      <c r="AJ299" s="838"/>
      <c r="AK299" s="3851"/>
      <c r="AL299" s="838"/>
      <c r="AM299" s="837"/>
      <c r="AN299" s="3852"/>
      <c r="AO299" s="3873"/>
      <c r="AP299" s="3853"/>
      <c r="AQ299" s="3874"/>
      <c r="AR299" s="3851"/>
      <c r="AS299" s="3853"/>
      <c r="AT299" s="3849"/>
      <c r="AU299" s="838"/>
      <c r="AV299" s="3853"/>
      <c r="AW299" s="3849"/>
      <c r="AX299" s="838"/>
      <c r="AY299" t="str">
        <f t="shared" si="249"/>
        <v/>
      </c>
      <c r="CA299" s="434" t="str">
        <f t="shared" si="250"/>
        <v/>
      </c>
      <c r="CB299" s="434" t="str">
        <f t="shared" si="251"/>
        <v/>
      </c>
      <c r="CC299" s="436"/>
      <c r="CD299" s="436"/>
      <c r="CE299" s="436"/>
      <c r="CF299" s="434" t="str">
        <f t="shared" si="252"/>
        <v/>
      </c>
      <c r="CG299" s="436"/>
      <c r="CH299" s="434" t="str">
        <f t="shared" si="253"/>
        <v/>
      </c>
      <c r="CI299" s="434" t="str">
        <f t="shared" si="254"/>
        <v/>
      </c>
      <c r="CJ299" s="436"/>
      <c r="CK299" s="434" t="str">
        <f t="shared" si="255"/>
        <v/>
      </c>
      <c r="CL299" s="434" t="str">
        <f t="shared" si="256"/>
        <v/>
      </c>
      <c r="CO299" s="435">
        <f t="shared" si="257"/>
        <v>0</v>
      </c>
      <c r="CP299" s="435">
        <f t="shared" si="258"/>
        <v>0</v>
      </c>
      <c r="CQ299" s="436"/>
      <c r="CR299" s="436"/>
      <c r="CS299" s="436"/>
      <c r="CT299" s="435">
        <f t="shared" si="259"/>
        <v>0</v>
      </c>
      <c r="CU299" s="436"/>
      <c r="CV299" s="435">
        <f t="shared" si="260"/>
        <v>0</v>
      </c>
      <c r="CW299" s="435">
        <f t="shared" si="261"/>
        <v>0</v>
      </c>
      <c r="CX299" s="436"/>
      <c r="CY299" s="435">
        <f t="shared" si="262"/>
        <v>0</v>
      </c>
      <c r="CZ299" s="435">
        <f t="shared" si="263"/>
        <v>0</v>
      </c>
    </row>
    <row r="300" spans="1:104" ht="15" customHeight="1" x14ac:dyDescent="0.3">
      <c r="A300" s="6769" t="s">
        <v>1838</v>
      </c>
      <c r="B300" s="6790" t="s">
        <v>1828</v>
      </c>
      <c r="C300" s="6790"/>
      <c r="D300" s="359">
        <f t="shared" si="273"/>
        <v>0</v>
      </c>
      <c r="E300" s="3639">
        <f>SUM(W300+Y300+AA300+AC300+AE300+AG300+AI300+AK300)</f>
        <v>0</v>
      </c>
      <c r="F300" s="3553">
        <f>SUM(X300+Z300+AB300+AD300+AF300+AH300+AJ300+AL300)</f>
        <v>0</v>
      </c>
      <c r="G300" s="3907"/>
      <c r="H300" s="3904"/>
      <c r="I300" s="3903"/>
      <c r="J300" s="3904"/>
      <c r="K300" s="3903"/>
      <c r="L300" s="3904"/>
      <c r="M300" s="3903"/>
      <c r="N300" s="3904"/>
      <c r="O300" s="3903"/>
      <c r="P300" s="3904"/>
      <c r="Q300" s="3903"/>
      <c r="R300" s="3904"/>
      <c r="S300" s="3903"/>
      <c r="T300" s="3904"/>
      <c r="U300" s="3903"/>
      <c r="V300" s="3904"/>
      <c r="W300" s="3856"/>
      <c r="X300" s="2691"/>
      <c r="Y300" s="3856"/>
      <c r="Z300" s="2691"/>
      <c r="AA300" s="3856"/>
      <c r="AB300" s="2691"/>
      <c r="AC300" s="3856"/>
      <c r="AD300" s="2691"/>
      <c r="AE300" s="3856"/>
      <c r="AF300" s="2691"/>
      <c r="AG300" s="3856"/>
      <c r="AH300" s="2691"/>
      <c r="AI300" s="3856"/>
      <c r="AJ300" s="2691"/>
      <c r="AK300" s="3856"/>
      <c r="AL300" s="2691"/>
      <c r="AM300" s="2689"/>
      <c r="AN300" s="3854"/>
      <c r="AO300" s="3857"/>
      <c r="AP300" s="3855"/>
      <c r="AQ300" s="3842"/>
      <c r="AR300" s="3856"/>
      <c r="AS300" s="3845"/>
      <c r="AT300" s="3857"/>
      <c r="AU300" s="2691"/>
      <c r="AV300" s="3845"/>
      <c r="AW300" s="3857"/>
      <c r="AX300" s="2691"/>
      <c r="AY300" t="str">
        <f t="shared" si="249"/>
        <v/>
      </c>
      <c r="CA300" s="434" t="str">
        <f t="shared" si="250"/>
        <v/>
      </c>
      <c r="CB300" s="434" t="str">
        <f t="shared" si="251"/>
        <v/>
      </c>
      <c r="CC300" s="434" t="str">
        <f>IF(AND($D300&gt;0,AO300="")," * No olvide digitar la variable Consultas Pertinentes: Según Procolo de Referencia. Digite cero si no tiene.",IF(AO300&gt;$D300," * La variable Consultas Pertinentes: Según Procolo de Referencia no puede superar el Total Ambos Sexos.",""))</f>
        <v/>
      </c>
      <c r="CD300" s="434" t="str">
        <f>IF(AND($D300&gt;0,AP300="")," * No olvide digitar la variable Consultas Pertinentes: Según condición clínica. Digite cero si no tiene.",IF(AP300&gt;$D300," * La variable Consultas Pertinentes: Según condición clínica no puede superar el Total Ambos Sexos.",""))</f>
        <v/>
      </c>
      <c r="CE300" s="434" t="str">
        <f>IF(AND($D300&gt;0,AQ300="")," * No olvide digitar la variable Inasistente. Digite cero si no tiene.",IF(AQ300&gt;$D300," * La variable Insasistente no puede superar el Total Ambos Sexos.",""))</f>
        <v/>
      </c>
      <c r="CF300" s="434" t="str">
        <f t="shared" si="252"/>
        <v/>
      </c>
      <c r="CG300" s="436"/>
      <c r="CH300" s="434" t="str">
        <f t="shared" si="253"/>
        <v/>
      </c>
      <c r="CI300" s="434" t="str">
        <f t="shared" si="254"/>
        <v/>
      </c>
      <c r="CJ300" s="436"/>
      <c r="CK300" s="434" t="str">
        <f t="shared" si="255"/>
        <v/>
      </c>
      <c r="CL300" s="434" t="str">
        <f t="shared" si="256"/>
        <v/>
      </c>
      <c r="CO300" s="435">
        <f t="shared" si="257"/>
        <v>0</v>
      </c>
      <c r="CP300" s="435">
        <f t="shared" si="258"/>
        <v>0</v>
      </c>
      <c r="CQ300" s="435">
        <f>IF(AND($D300&gt;0,AO300=""),1,IF(AO300&gt;$D300,1,0))</f>
        <v>0</v>
      </c>
      <c r="CR300" s="435">
        <f t="shared" ref="CR300" si="286">IF(AND($D300&gt;0,AP300=""),1,IF(AP300&gt;$D300,1,0))</f>
        <v>0</v>
      </c>
      <c r="CS300" s="435">
        <f t="shared" ref="CS300:CS301" si="287">IF(AND($D300&gt;0,AQ300=""),1,IF(AQ300&gt;$D300,1,0))</f>
        <v>0</v>
      </c>
      <c r="CT300" s="435">
        <f t="shared" si="259"/>
        <v>0</v>
      </c>
      <c r="CU300" s="436"/>
      <c r="CV300" s="435">
        <f t="shared" si="260"/>
        <v>0</v>
      </c>
      <c r="CW300" s="435">
        <f t="shared" si="261"/>
        <v>0</v>
      </c>
      <c r="CX300" s="436"/>
      <c r="CY300" s="435">
        <f t="shared" si="262"/>
        <v>0</v>
      </c>
      <c r="CZ300" s="435">
        <f t="shared" si="263"/>
        <v>0</v>
      </c>
    </row>
    <row r="301" spans="1:104" ht="15" customHeight="1" x14ac:dyDescent="0.3">
      <c r="A301" s="6770"/>
      <c r="B301" s="6791" t="s">
        <v>1829</v>
      </c>
      <c r="C301" s="6791"/>
      <c r="D301" s="3858">
        <f t="shared" si="273"/>
        <v>0</v>
      </c>
      <c r="E301" s="3859">
        <f t="shared" ref="E301:E311" si="288">SUM(W301+Y301+AA301+AC301+AE301+AG301+AI301+AK301)</f>
        <v>0</v>
      </c>
      <c r="F301" s="3877">
        <f t="shared" ref="F301:F311" si="289">SUM(X301+Z301+AB301+AD301+AF301+AH301+AJ301+AL301)</f>
        <v>0</v>
      </c>
      <c r="G301" s="3844"/>
      <c r="H301" s="3845"/>
      <c r="I301" s="3865"/>
      <c r="J301" s="3845"/>
      <c r="K301" s="3865"/>
      <c r="L301" s="3845"/>
      <c r="M301" s="3865"/>
      <c r="N301" s="3845"/>
      <c r="O301" s="3865"/>
      <c r="P301" s="3845"/>
      <c r="Q301" s="3865"/>
      <c r="R301" s="3845"/>
      <c r="S301" s="3865"/>
      <c r="T301" s="3845"/>
      <c r="U301" s="3865"/>
      <c r="V301" s="3845"/>
      <c r="W301" s="3862"/>
      <c r="X301" s="835"/>
      <c r="Y301" s="3862"/>
      <c r="Z301" s="835"/>
      <c r="AA301" s="3862"/>
      <c r="AB301" s="835"/>
      <c r="AC301" s="3862"/>
      <c r="AD301" s="835"/>
      <c r="AE301" s="3862"/>
      <c r="AF301" s="835"/>
      <c r="AG301" s="3862"/>
      <c r="AH301" s="835"/>
      <c r="AI301" s="3862"/>
      <c r="AJ301" s="835"/>
      <c r="AK301" s="3862"/>
      <c r="AL301" s="835"/>
      <c r="AM301" s="3863"/>
      <c r="AN301" s="3864"/>
      <c r="AO301" s="3844"/>
      <c r="AP301" s="3845"/>
      <c r="AQ301" s="3856"/>
      <c r="AR301" s="3862"/>
      <c r="AS301" s="3845"/>
      <c r="AT301" s="3860"/>
      <c r="AU301" s="835"/>
      <c r="AV301" s="3845"/>
      <c r="AW301" s="3860"/>
      <c r="AX301" s="835"/>
      <c r="AY301" t="str">
        <f t="shared" si="249"/>
        <v/>
      </c>
      <c r="CA301" s="434" t="str">
        <f t="shared" si="250"/>
        <v/>
      </c>
      <c r="CB301" s="434" t="str">
        <f t="shared" si="251"/>
        <v/>
      </c>
      <c r="CC301" s="436"/>
      <c r="CD301" s="436"/>
      <c r="CE301" s="434" t="str">
        <f>IF(AND($D301&gt;0,AQ301="")," * No olvide digitar la variable Inasistente. Digite cero si no tiene.",IF(AQ301&gt;$D301," * La variable Insasistente no puede superar el Total Ambos Sexos.",""))</f>
        <v/>
      </c>
      <c r="CF301" s="434" t="str">
        <f t="shared" si="252"/>
        <v/>
      </c>
      <c r="CG301" s="436"/>
      <c r="CH301" s="434" t="str">
        <f t="shared" si="253"/>
        <v/>
      </c>
      <c r="CI301" s="434" t="str">
        <f t="shared" si="254"/>
        <v/>
      </c>
      <c r="CJ301" s="436"/>
      <c r="CK301" s="434" t="str">
        <f t="shared" si="255"/>
        <v/>
      </c>
      <c r="CL301" s="434" t="str">
        <f t="shared" si="256"/>
        <v/>
      </c>
      <c r="CO301" s="435">
        <f t="shared" si="257"/>
        <v>0</v>
      </c>
      <c r="CP301" s="435">
        <f t="shared" si="258"/>
        <v>0</v>
      </c>
      <c r="CQ301" s="436"/>
      <c r="CR301" s="436"/>
      <c r="CS301" s="435">
        <f t="shared" si="287"/>
        <v>0</v>
      </c>
      <c r="CT301" s="435">
        <f t="shared" si="259"/>
        <v>0</v>
      </c>
      <c r="CU301" s="436"/>
      <c r="CV301" s="435">
        <f t="shared" si="260"/>
        <v>0</v>
      </c>
      <c r="CW301" s="435">
        <f t="shared" si="261"/>
        <v>0</v>
      </c>
      <c r="CX301" s="436"/>
      <c r="CY301" s="435">
        <f t="shared" si="262"/>
        <v>0</v>
      </c>
      <c r="CZ301" s="435">
        <f t="shared" si="263"/>
        <v>0</v>
      </c>
    </row>
    <row r="302" spans="1:104" ht="15" customHeight="1" x14ac:dyDescent="0.3">
      <c r="A302" s="6770"/>
      <c r="B302" s="6791" t="s">
        <v>1830</v>
      </c>
      <c r="C302" s="6791"/>
      <c r="D302" s="3858">
        <f t="shared" si="273"/>
        <v>0</v>
      </c>
      <c r="E302" s="3859">
        <f t="shared" si="288"/>
        <v>0</v>
      </c>
      <c r="F302" s="3645">
        <f t="shared" si="289"/>
        <v>0</v>
      </c>
      <c r="G302" s="3844"/>
      <c r="H302" s="3845"/>
      <c r="I302" s="3865"/>
      <c r="J302" s="3845"/>
      <c r="K302" s="3865"/>
      <c r="L302" s="3845"/>
      <c r="M302" s="3865"/>
      <c r="N302" s="3845"/>
      <c r="O302" s="3865"/>
      <c r="P302" s="3845"/>
      <c r="Q302" s="3865"/>
      <c r="R302" s="3845"/>
      <c r="S302" s="3865"/>
      <c r="T302" s="3845"/>
      <c r="U302" s="3865"/>
      <c r="V302" s="3845"/>
      <c r="W302" s="3862"/>
      <c r="X302" s="835"/>
      <c r="Y302" s="3862"/>
      <c r="Z302" s="835"/>
      <c r="AA302" s="3862"/>
      <c r="AB302" s="835"/>
      <c r="AC302" s="3862"/>
      <c r="AD302" s="835"/>
      <c r="AE302" s="3862"/>
      <c r="AF302" s="835"/>
      <c r="AG302" s="3862"/>
      <c r="AH302" s="835"/>
      <c r="AI302" s="3862"/>
      <c r="AJ302" s="835"/>
      <c r="AK302" s="3862"/>
      <c r="AL302" s="835"/>
      <c r="AM302" s="3863"/>
      <c r="AN302" s="3864"/>
      <c r="AO302" s="3844"/>
      <c r="AP302" s="3845"/>
      <c r="AQ302" s="3865"/>
      <c r="AR302" s="3862"/>
      <c r="AS302" s="3845"/>
      <c r="AT302" s="3860"/>
      <c r="AU302" s="835"/>
      <c r="AV302" s="3845"/>
      <c r="AW302" s="3860"/>
      <c r="AX302" s="835"/>
      <c r="AY302" t="str">
        <f t="shared" si="249"/>
        <v/>
      </c>
      <c r="CA302" s="434" t="str">
        <f t="shared" si="250"/>
        <v/>
      </c>
      <c r="CB302" s="434" t="str">
        <f t="shared" si="251"/>
        <v/>
      </c>
      <c r="CC302" s="436"/>
      <c r="CD302" s="436"/>
      <c r="CE302" s="436"/>
      <c r="CF302" s="434" t="str">
        <f t="shared" si="252"/>
        <v/>
      </c>
      <c r="CG302" s="436"/>
      <c r="CH302" s="434" t="str">
        <f t="shared" si="253"/>
        <v/>
      </c>
      <c r="CI302" s="434" t="str">
        <f t="shared" si="254"/>
        <v/>
      </c>
      <c r="CJ302" s="436"/>
      <c r="CK302" s="434" t="str">
        <f t="shared" si="255"/>
        <v/>
      </c>
      <c r="CL302" s="434" t="str">
        <f t="shared" si="256"/>
        <v/>
      </c>
      <c r="CO302" s="435">
        <f t="shared" si="257"/>
        <v>0</v>
      </c>
      <c r="CP302" s="435">
        <f t="shared" si="258"/>
        <v>0</v>
      </c>
      <c r="CQ302" s="436"/>
      <c r="CR302" s="436"/>
      <c r="CS302" s="436"/>
      <c r="CT302" s="435">
        <f t="shared" si="259"/>
        <v>0</v>
      </c>
      <c r="CU302" s="436"/>
      <c r="CV302" s="435">
        <f t="shared" si="260"/>
        <v>0</v>
      </c>
      <c r="CW302" s="435">
        <f t="shared" si="261"/>
        <v>0</v>
      </c>
      <c r="CX302" s="436"/>
      <c r="CY302" s="435">
        <f t="shared" si="262"/>
        <v>0</v>
      </c>
      <c r="CZ302" s="435">
        <f t="shared" si="263"/>
        <v>0</v>
      </c>
    </row>
    <row r="303" spans="1:104" ht="15" customHeight="1" x14ac:dyDescent="0.3">
      <c r="A303" s="6770"/>
      <c r="B303" s="6787" t="s">
        <v>1831</v>
      </c>
      <c r="C303" s="6719"/>
      <c r="D303" s="3858">
        <f t="shared" si="273"/>
        <v>0</v>
      </c>
      <c r="E303" s="3859">
        <f t="shared" si="288"/>
        <v>0</v>
      </c>
      <c r="F303" s="3645">
        <f t="shared" si="289"/>
        <v>0</v>
      </c>
      <c r="G303" s="3844"/>
      <c r="H303" s="3845"/>
      <c r="I303" s="3865"/>
      <c r="J303" s="3845"/>
      <c r="K303" s="3865"/>
      <c r="L303" s="3845"/>
      <c r="M303" s="3865"/>
      <c r="N303" s="3845"/>
      <c r="O303" s="3865"/>
      <c r="P303" s="3845"/>
      <c r="Q303" s="3865"/>
      <c r="R303" s="3845"/>
      <c r="S303" s="3865"/>
      <c r="T303" s="3845"/>
      <c r="U303" s="3865"/>
      <c r="V303" s="3845"/>
      <c r="W303" s="3862"/>
      <c r="X303" s="835"/>
      <c r="Y303" s="3862"/>
      <c r="Z303" s="835"/>
      <c r="AA303" s="3862"/>
      <c r="AB303" s="835"/>
      <c r="AC303" s="3862"/>
      <c r="AD303" s="835"/>
      <c r="AE303" s="3862"/>
      <c r="AF303" s="835"/>
      <c r="AG303" s="3862"/>
      <c r="AH303" s="835"/>
      <c r="AI303" s="3862"/>
      <c r="AJ303" s="835"/>
      <c r="AK303" s="3862"/>
      <c r="AL303" s="835"/>
      <c r="AM303" s="2675"/>
      <c r="AN303" s="3869"/>
      <c r="AO303" s="3844"/>
      <c r="AP303" s="3845"/>
      <c r="AQ303" s="3865"/>
      <c r="AR303" s="3868"/>
      <c r="AS303" s="3845"/>
      <c r="AT303" s="3866"/>
      <c r="AU303" s="2677"/>
      <c r="AV303" s="835"/>
      <c r="AW303" s="3866"/>
      <c r="AX303" s="2677"/>
      <c r="AY303" t="str">
        <f t="shared" si="249"/>
        <v/>
      </c>
      <c r="CA303" s="434" t="str">
        <f t="shared" si="250"/>
        <v/>
      </c>
      <c r="CB303" s="434" t="str">
        <f t="shared" si="251"/>
        <v/>
      </c>
      <c r="CC303" s="436"/>
      <c r="CD303" s="436"/>
      <c r="CE303" s="436"/>
      <c r="CF303" s="434" t="str">
        <f t="shared" si="252"/>
        <v/>
      </c>
      <c r="CG303" s="436"/>
      <c r="CH303" s="434" t="str">
        <f t="shared" si="253"/>
        <v/>
      </c>
      <c r="CI303" s="434" t="str">
        <f t="shared" si="254"/>
        <v/>
      </c>
      <c r="CJ303" s="434" t="str">
        <f>IF(AND($D303&gt;0,AV303="")," * No olvide digitar la variable Contrarreferencia al alta. Digite Cero si no tiene.",IF(AV303&gt;$D303," * La variable Contrarreferencia al alta no puede superar el Total Ambos Sexos.",""))</f>
        <v/>
      </c>
      <c r="CK303" s="434" t="str">
        <f t="shared" si="255"/>
        <v/>
      </c>
      <c r="CL303" s="434" t="str">
        <f t="shared" si="256"/>
        <v/>
      </c>
      <c r="CO303" s="435">
        <f t="shared" si="257"/>
        <v>0</v>
      </c>
      <c r="CP303" s="435">
        <f t="shared" si="258"/>
        <v>0</v>
      </c>
      <c r="CQ303" s="436"/>
      <c r="CR303" s="436"/>
      <c r="CS303" s="436"/>
      <c r="CT303" s="435">
        <f t="shared" si="259"/>
        <v>0</v>
      </c>
      <c r="CU303" s="436"/>
      <c r="CV303" s="435">
        <f t="shared" si="260"/>
        <v>0</v>
      </c>
      <c r="CW303" s="435">
        <f t="shared" si="261"/>
        <v>0</v>
      </c>
      <c r="CX303" s="435">
        <f>IF(AND($D303&gt;0,AV303=""),1,IF(AV303&gt;$D303,1,0))</f>
        <v>0</v>
      </c>
      <c r="CY303" s="435">
        <f t="shared" si="262"/>
        <v>0</v>
      </c>
      <c r="CZ303" s="435">
        <f t="shared" si="263"/>
        <v>0</v>
      </c>
    </row>
    <row r="304" spans="1:104" ht="15" customHeight="1" x14ac:dyDescent="0.3">
      <c r="A304" s="6770"/>
      <c r="B304" s="6787" t="s">
        <v>1832</v>
      </c>
      <c r="C304" s="6719"/>
      <c r="D304" s="3858">
        <f t="shared" si="273"/>
        <v>0</v>
      </c>
      <c r="E304" s="3859">
        <f t="shared" si="288"/>
        <v>0</v>
      </c>
      <c r="F304" s="3645">
        <f t="shared" si="289"/>
        <v>0</v>
      </c>
      <c r="G304" s="3908"/>
      <c r="H304" s="3909"/>
      <c r="I304" s="3910"/>
      <c r="J304" s="3909"/>
      <c r="K304" s="3910"/>
      <c r="L304" s="3909"/>
      <c r="M304" s="3910"/>
      <c r="N304" s="3909"/>
      <c r="O304" s="3910"/>
      <c r="P304" s="3909"/>
      <c r="Q304" s="3910"/>
      <c r="R304" s="3909"/>
      <c r="S304" s="3910"/>
      <c r="T304" s="3909"/>
      <c r="U304" s="3910"/>
      <c r="V304" s="3909"/>
      <c r="W304" s="3868"/>
      <c r="X304" s="2677"/>
      <c r="Y304" s="3868"/>
      <c r="Z304" s="2677"/>
      <c r="AA304" s="3868"/>
      <c r="AB304" s="2677"/>
      <c r="AC304" s="3868"/>
      <c r="AD304" s="2677"/>
      <c r="AE304" s="3868"/>
      <c r="AF304" s="2677"/>
      <c r="AG304" s="3868"/>
      <c r="AH304" s="2677"/>
      <c r="AI304" s="3868"/>
      <c r="AJ304" s="2677"/>
      <c r="AK304" s="3868"/>
      <c r="AL304" s="2677"/>
      <c r="AM304" s="2675"/>
      <c r="AN304" s="3869"/>
      <c r="AO304" s="3870"/>
      <c r="AP304" s="3871"/>
      <c r="AQ304" s="3872"/>
      <c r="AR304" s="3868"/>
      <c r="AS304" s="3871"/>
      <c r="AT304" s="3866"/>
      <c r="AU304" s="2677"/>
      <c r="AV304" s="3871"/>
      <c r="AW304" s="3866"/>
      <c r="AX304" s="2677"/>
      <c r="AY304" t="str">
        <f t="shared" si="249"/>
        <v/>
      </c>
      <c r="CA304" s="434" t="str">
        <f t="shared" si="250"/>
        <v/>
      </c>
      <c r="CB304" s="434" t="str">
        <f t="shared" si="251"/>
        <v/>
      </c>
      <c r="CC304" s="436"/>
      <c r="CD304" s="436"/>
      <c r="CE304" s="436"/>
      <c r="CF304" s="434" t="str">
        <f t="shared" si="252"/>
        <v/>
      </c>
      <c r="CG304" s="436"/>
      <c r="CH304" s="434" t="str">
        <f t="shared" si="253"/>
        <v/>
      </c>
      <c r="CI304" s="434" t="str">
        <f t="shared" si="254"/>
        <v/>
      </c>
      <c r="CJ304" s="436"/>
      <c r="CK304" s="434" t="str">
        <f t="shared" si="255"/>
        <v/>
      </c>
      <c r="CL304" s="434" t="str">
        <f t="shared" si="256"/>
        <v/>
      </c>
      <c r="CO304" s="435">
        <f t="shared" si="257"/>
        <v>0</v>
      </c>
      <c r="CP304" s="435">
        <f t="shared" si="258"/>
        <v>0</v>
      </c>
      <c r="CQ304" s="436"/>
      <c r="CR304" s="436"/>
      <c r="CS304" s="436"/>
      <c r="CT304" s="435">
        <f t="shared" si="259"/>
        <v>0</v>
      </c>
      <c r="CU304" s="436"/>
      <c r="CV304" s="435">
        <f t="shared" si="260"/>
        <v>0</v>
      </c>
      <c r="CW304" s="435">
        <f t="shared" si="261"/>
        <v>0</v>
      </c>
      <c r="CX304" s="436"/>
      <c r="CY304" s="435">
        <f t="shared" si="262"/>
        <v>0</v>
      </c>
      <c r="CZ304" s="435">
        <f t="shared" si="263"/>
        <v>0</v>
      </c>
    </row>
    <row r="305" spans="1:104" ht="15" customHeight="1" x14ac:dyDescent="0.3">
      <c r="A305" s="6771"/>
      <c r="B305" s="6788" t="s">
        <v>1833</v>
      </c>
      <c r="C305" s="6788"/>
      <c r="D305" s="3808">
        <f t="shared" si="273"/>
        <v>0</v>
      </c>
      <c r="E305" s="3610">
        <f t="shared" si="288"/>
        <v>0</v>
      </c>
      <c r="F305" s="3563">
        <f t="shared" si="289"/>
        <v>0</v>
      </c>
      <c r="G305" s="3884"/>
      <c r="H305" s="3885"/>
      <c r="I305" s="3911"/>
      <c r="J305" s="3885"/>
      <c r="K305" s="3911"/>
      <c r="L305" s="3885"/>
      <c r="M305" s="3911"/>
      <c r="N305" s="3885"/>
      <c r="O305" s="3911"/>
      <c r="P305" s="3885"/>
      <c r="Q305" s="3911"/>
      <c r="R305" s="3885"/>
      <c r="S305" s="3911"/>
      <c r="T305" s="3885"/>
      <c r="U305" s="3911"/>
      <c r="V305" s="3885"/>
      <c r="W305" s="3851"/>
      <c r="X305" s="838"/>
      <c r="Y305" s="3851"/>
      <c r="Z305" s="838"/>
      <c r="AA305" s="3851"/>
      <c r="AB305" s="838"/>
      <c r="AC305" s="3851"/>
      <c r="AD305" s="838"/>
      <c r="AE305" s="3851"/>
      <c r="AF305" s="838"/>
      <c r="AG305" s="3851"/>
      <c r="AH305" s="838"/>
      <c r="AI305" s="3851"/>
      <c r="AJ305" s="838"/>
      <c r="AK305" s="3851"/>
      <c r="AL305" s="838"/>
      <c r="AM305" s="837"/>
      <c r="AN305" s="3852"/>
      <c r="AO305" s="3873"/>
      <c r="AP305" s="3853"/>
      <c r="AQ305" s="3874"/>
      <c r="AR305" s="3851"/>
      <c r="AS305" s="3853"/>
      <c r="AT305" s="3849"/>
      <c r="AU305" s="838"/>
      <c r="AV305" s="3853"/>
      <c r="AW305" s="3849"/>
      <c r="AX305" s="838"/>
      <c r="AY305" t="str">
        <f t="shared" si="249"/>
        <v/>
      </c>
      <c r="CA305" s="434" t="str">
        <f t="shared" si="250"/>
        <v/>
      </c>
      <c r="CB305" s="434" t="str">
        <f t="shared" si="251"/>
        <v/>
      </c>
      <c r="CC305" s="436"/>
      <c r="CD305" s="436"/>
      <c r="CE305" s="436"/>
      <c r="CF305" s="434" t="str">
        <f t="shared" si="252"/>
        <v/>
      </c>
      <c r="CG305" s="436"/>
      <c r="CH305" s="434" t="str">
        <f t="shared" si="253"/>
        <v/>
      </c>
      <c r="CI305" s="434" t="str">
        <f t="shared" si="254"/>
        <v/>
      </c>
      <c r="CJ305" s="436"/>
      <c r="CK305" s="434" t="str">
        <f t="shared" si="255"/>
        <v/>
      </c>
      <c r="CL305" s="434" t="str">
        <f t="shared" si="256"/>
        <v/>
      </c>
      <c r="CO305" s="435">
        <f t="shared" si="257"/>
        <v>0</v>
      </c>
      <c r="CP305" s="435">
        <f t="shared" si="258"/>
        <v>0</v>
      </c>
      <c r="CQ305" s="436"/>
      <c r="CR305" s="436"/>
      <c r="CS305" s="436"/>
      <c r="CT305" s="435">
        <f t="shared" si="259"/>
        <v>0</v>
      </c>
      <c r="CU305" s="436"/>
      <c r="CV305" s="435">
        <f t="shared" si="260"/>
        <v>0</v>
      </c>
      <c r="CW305" s="435">
        <f t="shared" si="261"/>
        <v>0</v>
      </c>
      <c r="CX305" s="436"/>
      <c r="CY305" s="435">
        <f t="shared" si="262"/>
        <v>0</v>
      </c>
      <c r="CZ305" s="435">
        <f t="shared" si="263"/>
        <v>0</v>
      </c>
    </row>
    <row r="306" spans="1:104" ht="15" customHeight="1" x14ac:dyDescent="0.3">
      <c r="A306" s="6185" t="s">
        <v>1839</v>
      </c>
      <c r="B306" s="6790" t="s">
        <v>1828</v>
      </c>
      <c r="C306" s="6790"/>
      <c r="D306" s="359">
        <f t="shared" si="273"/>
        <v>0</v>
      </c>
      <c r="E306" s="3639">
        <f t="shared" si="288"/>
        <v>0</v>
      </c>
      <c r="F306" s="3553">
        <f t="shared" si="289"/>
        <v>0</v>
      </c>
      <c r="G306" s="3907"/>
      <c r="H306" s="3904"/>
      <c r="I306" s="3903"/>
      <c r="J306" s="3904"/>
      <c r="K306" s="3903"/>
      <c r="L306" s="3904"/>
      <c r="M306" s="3903"/>
      <c r="N306" s="3904"/>
      <c r="O306" s="3903"/>
      <c r="P306" s="3904"/>
      <c r="Q306" s="3903"/>
      <c r="R306" s="3904"/>
      <c r="S306" s="3903"/>
      <c r="T306" s="3904"/>
      <c r="U306" s="3903"/>
      <c r="V306" s="3904"/>
      <c r="W306" s="3856"/>
      <c r="X306" s="2691"/>
      <c r="Y306" s="3856"/>
      <c r="Z306" s="2691"/>
      <c r="AA306" s="3856"/>
      <c r="AB306" s="2691"/>
      <c r="AC306" s="3856"/>
      <c r="AD306" s="2691"/>
      <c r="AE306" s="3856"/>
      <c r="AF306" s="2691"/>
      <c r="AG306" s="3856"/>
      <c r="AH306" s="2691"/>
      <c r="AI306" s="3856"/>
      <c r="AJ306" s="2691"/>
      <c r="AK306" s="3856"/>
      <c r="AL306" s="2691"/>
      <c r="AM306" s="2689"/>
      <c r="AN306" s="3854"/>
      <c r="AO306" s="3857"/>
      <c r="AP306" s="3855"/>
      <c r="AQ306" s="3842"/>
      <c r="AR306" s="3856"/>
      <c r="AS306" s="3845"/>
      <c r="AT306" s="3857"/>
      <c r="AU306" s="2691"/>
      <c r="AV306" s="3845"/>
      <c r="AW306" s="3857"/>
      <c r="AX306" s="2691"/>
      <c r="AY306" t="str">
        <f t="shared" si="249"/>
        <v/>
      </c>
      <c r="CA306" s="434" t="str">
        <f t="shared" si="250"/>
        <v/>
      </c>
      <c r="CB306" s="434" t="str">
        <f t="shared" si="251"/>
        <v/>
      </c>
      <c r="CC306" s="434" t="str">
        <f>IF(AND($D306&gt;0,AO306="")," * No olvide digitar la variable Consultas Pertinentes: Según Procolo de Referencia. Digite cero si no tiene.",IF(AO306&gt;$D306," * La variable Consultas Pertinentes: Según Procolo de Referencia no puede superar el Total Ambos Sexos.",""))</f>
        <v/>
      </c>
      <c r="CD306" s="434" t="str">
        <f>IF(AND($D306&gt;0,AP306="")," * No olvide digitar la variable Consultas Pertinentes: Según condición clínica. Digite cero si no tiene.",IF(AP306&gt;$D306," * La variable Consultas Pertinentes: Según condición clínica no puede superar el Total Ambos Sexos.",""))</f>
        <v/>
      </c>
      <c r="CE306" s="434" t="str">
        <f>IF(AND($D306&gt;0,AQ306="")," * No olvide digitar la variable Inasistente. Digite cero si no tiene.",IF(AQ306&gt;$D306," * La variable Insasistente no puede superar el Total Ambos Sexos.",""))</f>
        <v/>
      </c>
      <c r="CF306" s="434" t="str">
        <f t="shared" si="252"/>
        <v/>
      </c>
      <c r="CG306" s="436"/>
      <c r="CH306" s="434" t="str">
        <f t="shared" si="253"/>
        <v/>
      </c>
      <c r="CI306" s="434" t="str">
        <f t="shared" si="254"/>
        <v/>
      </c>
      <c r="CJ306" s="436"/>
      <c r="CK306" s="434" t="str">
        <f t="shared" si="255"/>
        <v/>
      </c>
      <c r="CL306" s="434" t="str">
        <f t="shared" si="256"/>
        <v/>
      </c>
      <c r="CO306" s="435">
        <f t="shared" si="257"/>
        <v>0</v>
      </c>
      <c r="CP306" s="435">
        <f t="shared" si="258"/>
        <v>0</v>
      </c>
      <c r="CQ306" s="435">
        <f>IF(AND($D306&gt;0,AO306=""),1,IF(AO306&gt;$D306,1,0))</f>
        <v>0</v>
      </c>
      <c r="CR306" s="435">
        <f t="shared" ref="CR306" si="290">IF(AND($D306&gt;0,AP306=""),1,IF(AP306&gt;$D306,1,0))</f>
        <v>0</v>
      </c>
      <c r="CS306" s="435">
        <f t="shared" ref="CS306:CS307" si="291">IF(AND($D306&gt;0,AQ306=""),1,IF(AQ306&gt;$D306,1,0))</f>
        <v>0</v>
      </c>
      <c r="CT306" s="435">
        <f t="shared" si="259"/>
        <v>0</v>
      </c>
      <c r="CU306" s="436"/>
      <c r="CV306" s="435">
        <f t="shared" si="260"/>
        <v>0</v>
      </c>
      <c r="CW306" s="435">
        <f t="shared" si="261"/>
        <v>0</v>
      </c>
      <c r="CX306" s="436"/>
      <c r="CY306" s="435">
        <f t="shared" si="262"/>
        <v>0</v>
      </c>
      <c r="CZ306" s="435">
        <f t="shared" si="263"/>
        <v>0</v>
      </c>
    </row>
    <row r="307" spans="1:104" ht="15" customHeight="1" x14ac:dyDescent="0.3">
      <c r="A307" s="5790"/>
      <c r="B307" s="6791" t="s">
        <v>1829</v>
      </c>
      <c r="C307" s="6791"/>
      <c r="D307" s="3858">
        <f t="shared" si="273"/>
        <v>0</v>
      </c>
      <c r="E307" s="3859">
        <f>SUM(W307+Y307+AA307+AC307+AE307+AG307+AI307+AK307)</f>
        <v>0</v>
      </c>
      <c r="F307" s="3645">
        <f t="shared" si="289"/>
        <v>0</v>
      </c>
      <c r="G307" s="3844"/>
      <c r="H307" s="3845"/>
      <c r="I307" s="3865"/>
      <c r="J307" s="3845"/>
      <c r="K307" s="3865"/>
      <c r="L307" s="3845"/>
      <c r="M307" s="3865"/>
      <c r="N307" s="3845"/>
      <c r="O307" s="3865"/>
      <c r="P307" s="3845"/>
      <c r="Q307" s="3865"/>
      <c r="R307" s="3845"/>
      <c r="S307" s="3865"/>
      <c r="T307" s="3845"/>
      <c r="U307" s="3865"/>
      <c r="V307" s="3845"/>
      <c r="W307" s="3862"/>
      <c r="X307" s="835"/>
      <c r="Y307" s="3862"/>
      <c r="Z307" s="835"/>
      <c r="AA307" s="3862"/>
      <c r="AB307" s="835"/>
      <c r="AC307" s="3862"/>
      <c r="AD307" s="835"/>
      <c r="AE307" s="3862"/>
      <c r="AF307" s="835"/>
      <c r="AG307" s="3862"/>
      <c r="AH307" s="835"/>
      <c r="AI307" s="3862"/>
      <c r="AJ307" s="835"/>
      <c r="AK307" s="3862"/>
      <c r="AL307" s="835"/>
      <c r="AM307" s="3863"/>
      <c r="AN307" s="3864"/>
      <c r="AO307" s="3844"/>
      <c r="AP307" s="3845"/>
      <c r="AQ307" s="3856"/>
      <c r="AR307" s="3862"/>
      <c r="AS307" s="3845"/>
      <c r="AT307" s="3860"/>
      <c r="AU307" s="835"/>
      <c r="AV307" s="3845"/>
      <c r="AW307" s="3860"/>
      <c r="AX307" s="835"/>
      <c r="AY307" t="str">
        <f t="shared" si="249"/>
        <v/>
      </c>
      <c r="CA307" s="434" t="str">
        <f t="shared" si="250"/>
        <v/>
      </c>
      <c r="CB307" s="434" t="str">
        <f t="shared" si="251"/>
        <v/>
      </c>
      <c r="CC307" s="436"/>
      <c r="CD307" s="436"/>
      <c r="CE307" s="434" t="str">
        <f>IF(AND($D307&gt;0,AQ307="")," * No olvide digitar la variable Inasistente. Digite cero si no tiene.",IF(AQ307&gt;$D307," * La variable Insasistente no puede superar el Total Ambos Sexos.",""))</f>
        <v/>
      </c>
      <c r="CF307" s="434" t="str">
        <f t="shared" si="252"/>
        <v/>
      </c>
      <c r="CG307" s="436"/>
      <c r="CH307" s="434" t="str">
        <f t="shared" si="253"/>
        <v/>
      </c>
      <c r="CI307" s="434" t="str">
        <f t="shared" si="254"/>
        <v/>
      </c>
      <c r="CJ307" s="436"/>
      <c r="CK307" s="434" t="str">
        <f t="shared" si="255"/>
        <v/>
      </c>
      <c r="CL307" s="434" t="str">
        <f t="shared" si="256"/>
        <v/>
      </c>
      <c r="CO307" s="435">
        <f t="shared" si="257"/>
        <v>0</v>
      </c>
      <c r="CP307" s="435">
        <f t="shared" si="258"/>
        <v>0</v>
      </c>
      <c r="CQ307" s="436"/>
      <c r="CR307" s="436"/>
      <c r="CS307" s="435">
        <f t="shared" si="291"/>
        <v>0</v>
      </c>
      <c r="CT307" s="435">
        <f t="shared" si="259"/>
        <v>0</v>
      </c>
      <c r="CU307" s="436"/>
      <c r="CV307" s="435">
        <f t="shared" si="260"/>
        <v>0</v>
      </c>
      <c r="CW307" s="435">
        <f t="shared" si="261"/>
        <v>0</v>
      </c>
      <c r="CX307" s="436"/>
      <c r="CY307" s="435">
        <f t="shared" si="262"/>
        <v>0</v>
      </c>
      <c r="CZ307" s="435">
        <f t="shared" si="263"/>
        <v>0</v>
      </c>
    </row>
    <row r="308" spans="1:104" ht="15" customHeight="1" x14ac:dyDescent="0.3">
      <c r="A308" s="5790"/>
      <c r="B308" s="6791" t="s">
        <v>1830</v>
      </c>
      <c r="C308" s="6791"/>
      <c r="D308" s="3858">
        <f t="shared" si="273"/>
        <v>0</v>
      </c>
      <c r="E308" s="3859">
        <f t="shared" si="288"/>
        <v>0</v>
      </c>
      <c r="F308" s="3645">
        <f t="shared" si="289"/>
        <v>0</v>
      </c>
      <c r="G308" s="3844"/>
      <c r="H308" s="3845"/>
      <c r="I308" s="3865"/>
      <c r="J308" s="3845"/>
      <c r="K308" s="3865"/>
      <c r="L308" s="3845"/>
      <c r="M308" s="3865"/>
      <c r="N308" s="3845"/>
      <c r="O308" s="3865"/>
      <c r="P308" s="3845"/>
      <c r="Q308" s="3865"/>
      <c r="R308" s="3845"/>
      <c r="S308" s="3865"/>
      <c r="T308" s="3845"/>
      <c r="U308" s="3865"/>
      <c r="V308" s="3845"/>
      <c r="W308" s="3862"/>
      <c r="X308" s="835"/>
      <c r="Y308" s="3862"/>
      <c r="Z308" s="835"/>
      <c r="AA308" s="3862"/>
      <c r="AB308" s="835"/>
      <c r="AC308" s="3862"/>
      <c r="AD308" s="835"/>
      <c r="AE308" s="3862"/>
      <c r="AF308" s="835"/>
      <c r="AG308" s="3862"/>
      <c r="AH308" s="835"/>
      <c r="AI308" s="3862"/>
      <c r="AJ308" s="835"/>
      <c r="AK308" s="3862"/>
      <c r="AL308" s="835"/>
      <c r="AM308" s="3863"/>
      <c r="AN308" s="3864"/>
      <c r="AO308" s="3844"/>
      <c r="AP308" s="3845"/>
      <c r="AQ308" s="3865"/>
      <c r="AR308" s="3862"/>
      <c r="AS308" s="3845"/>
      <c r="AT308" s="3860"/>
      <c r="AU308" s="835"/>
      <c r="AV308" s="3845"/>
      <c r="AW308" s="3860"/>
      <c r="AX308" s="835"/>
      <c r="AY308" t="str">
        <f t="shared" si="249"/>
        <v/>
      </c>
      <c r="CA308" s="434" t="str">
        <f t="shared" si="250"/>
        <v/>
      </c>
      <c r="CB308" s="434" t="str">
        <f t="shared" si="251"/>
        <v/>
      </c>
      <c r="CC308" s="436"/>
      <c r="CD308" s="436"/>
      <c r="CE308" s="436"/>
      <c r="CF308" s="434" t="str">
        <f t="shared" si="252"/>
        <v/>
      </c>
      <c r="CG308" s="436"/>
      <c r="CH308" s="434" t="str">
        <f t="shared" si="253"/>
        <v/>
      </c>
      <c r="CI308" s="434" t="str">
        <f t="shared" si="254"/>
        <v/>
      </c>
      <c r="CJ308" s="436"/>
      <c r="CK308" s="434" t="str">
        <f t="shared" si="255"/>
        <v/>
      </c>
      <c r="CL308" s="434" t="str">
        <f t="shared" si="256"/>
        <v/>
      </c>
      <c r="CO308" s="435">
        <f t="shared" si="257"/>
        <v>0</v>
      </c>
      <c r="CP308" s="435">
        <f t="shared" si="258"/>
        <v>0</v>
      </c>
      <c r="CQ308" s="436"/>
      <c r="CR308" s="436"/>
      <c r="CS308" s="436"/>
      <c r="CT308" s="435">
        <f t="shared" si="259"/>
        <v>0</v>
      </c>
      <c r="CU308" s="436"/>
      <c r="CV308" s="435">
        <f t="shared" si="260"/>
        <v>0</v>
      </c>
      <c r="CW308" s="435">
        <f t="shared" si="261"/>
        <v>0</v>
      </c>
      <c r="CX308" s="436"/>
      <c r="CY308" s="435">
        <f t="shared" si="262"/>
        <v>0</v>
      </c>
      <c r="CZ308" s="435">
        <f t="shared" si="263"/>
        <v>0</v>
      </c>
    </row>
    <row r="309" spans="1:104" x14ac:dyDescent="0.3">
      <c r="A309" s="5790"/>
      <c r="B309" s="6787" t="s">
        <v>1831</v>
      </c>
      <c r="C309" s="6719"/>
      <c r="D309" s="3858">
        <f t="shared" si="273"/>
        <v>0</v>
      </c>
      <c r="E309" s="3859">
        <f t="shared" si="288"/>
        <v>0</v>
      </c>
      <c r="F309" s="3645">
        <f t="shared" si="289"/>
        <v>0</v>
      </c>
      <c r="G309" s="3844"/>
      <c r="H309" s="3845"/>
      <c r="I309" s="3865"/>
      <c r="J309" s="3845"/>
      <c r="K309" s="3865"/>
      <c r="L309" s="3845"/>
      <c r="M309" s="3865"/>
      <c r="N309" s="3845"/>
      <c r="O309" s="3865"/>
      <c r="P309" s="3845"/>
      <c r="Q309" s="3865"/>
      <c r="R309" s="3845"/>
      <c r="S309" s="3865"/>
      <c r="T309" s="3845"/>
      <c r="U309" s="3865"/>
      <c r="V309" s="3845"/>
      <c r="W309" s="3868"/>
      <c r="X309" s="2677"/>
      <c r="Y309" s="3868"/>
      <c r="Z309" s="2677"/>
      <c r="AA309" s="3868"/>
      <c r="AB309" s="2677"/>
      <c r="AC309" s="3868"/>
      <c r="AD309" s="2677"/>
      <c r="AE309" s="3868"/>
      <c r="AF309" s="2677"/>
      <c r="AG309" s="3868"/>
      <c r="AH309" s="2677"/>
      <c r="AI309" s="3868"/>
      <c r="AJ309" s="2677"/>
      <c r="AK309" s="3868"/>
      <c r="AL309" s="2677"/>
      <c r="AM309" s="2675"/>
      <c r="AN309" s="3869"/>
      <c r="AO309" s="3844"/>
      <c r="AP309" s="3845"/>
      <c r="AQ309" s="3865"/>
      <c r="AR309" s="3868"/>
      <c r="AS309" s="3845"/>
      <c r="AT309" s="3866"/>
      <c r="AU309" s="2677"/>
      <c r="AV309" s="835"/>
      <c r="AW309" s="3866"/>
      <c r="AX309" s="2677"/>
      <c r="AY309" t="str">
        <f t="shared" si="249"/>
        <v/>
      </c>
      <c r="CA309" s="434" t="str">
        <f t="shared" si="250"/>
        <v/>
      </c>
      <c r="CB309" s="434" t="str">
        <f t="shared" si="251"/>
        <v/>
      </c>
      <c r="CC309" s="436"/>
      <c r="CD309" s="436"/>
      <c r="CE309" s="436"/>
      <c r="CF309" s="434" t="str">
        <f t="shared" si="252"/>
        <v/>
      </c>
      <c r="CG309" s="436"/>
      <c r="CH309" s="434" t="str">
        <f t="shared" si="253"/>
        <v/>
      </c>
      <c r="CI309" s="434" t="str">
        <f t="shared" si="254"/>
        <v/>
      </c>
      <c r="CJ309" s="434" t="str">
        <f>IF(AND($D309&gt;0,AV309="")," * No olvide digitar la variable Contrarreferencia al alta. Digite Cero si no tiene.",IF(AV309&gt;$D309," * La variable Contrarreferencia al alta no puede superar el Total Ambos Sexos.",""))</f>
        <v/>
      </c>
      <c r="CK309" s="434" t="str">
        <f t="shared" si="255"/>
        <v/>
      </c>
      <c r="CL309" s="434" t="str">
        <f t="shared" si="256"/>
        <v/>
      </c>
      <c r="CO309" s="435">
        <f t="shared" si="257"/>
        <v>0</v>
      </c>
      <c r="CP309" s="435">
        <f t="shared" si="258"/>
        <v>0</v>
      </c>
      <c r="CQ309" s="436"/>
      <c r="CR309" s="436"/>
      <c r="CS309" s="436"/>
      <c r="CT309" s="435">
        <f t="shared" si="259"/>
        <v>0</v>
      </c>
      <c r="CU309" s="436"/>
      <c r="CV309" s="435">
        <f t="shared" si="260"/>
        <v>0</v>
      </c>
      <c r="CW309" s="435">
        <f t="shared" si="261"/>
        <v>0</v>
      </c>
      <c r="CX309" s="435">
        <f t="shared" si="261"/>
        <v>0</v>
      </c>
      <c r="CY309" s="435">
        <f t="shared" si="262"/>
        <v>0</v>
      </c>
      <c r="CZ309" s="435">
        <f t="shared" si="263"/>
        <v>0</v>
      </c>
    </row>
    <row r="310" spans="1:104" ht="15" customHeight="1" x14ac:dyDescent="0.3">
      <c r="A310" s="5790"/>
      <c r="B310" s="6787" t="s">
        <v>1832</v>
      </c>
      <c r="C310" s="6719"/>
      <c r="D310" s="3858">
        <f t="shared" si="273"/>
        <v>0</v>
      </c>
      <c r="E310" s="3859">
        <f t="shared" si="288"/>
        <v>0</v>
      </c>
      <c r="F310" s="3645">
        <f t="shared" si="289"/>
        <v>0</v>
      </c>
      <c r="G310" s="3908"/>
      <c r="H310" s="3909"/>
      <c r="I310" s="3910"/>
      <c r="J310" s="3909"/>
      <c r="K310" s="3910"/>
      <c r="L310" s="3909"/>
      <c r="M310" s="3910"/>
      <c r="N310" s="3909"/>
      <c r="O310" s="3910"/>
      <c r="P310" s="3909"/>
      <c r="Q310" s="3910"/>
      <c r="R310" s="3909"/>
      <c r="S310" s="3910"/>
      <c r="T310" s="3909"/>
      <c r="U310" s="3910"/>
      <c r="V310" s="3909"/>
      <c r="W310" s="3868"/>
      <c r="X310" s="2677"/>
      <c r="Y310" s="3868"/>
      <c r="Z310" s="2677"/>
      <c r="AA310" s="3868"/>
      <c r="AB310" s="2677"/>
      <c r="AC310" s="3868"/>
      <c r="AD310" s="2677"/>
      <c r="AE310" s="3868"/>
      <c r="AF310" s="2677"/>
      <c r="AG310" s="3868"/>
      <c r="AH310" s="2677"/>
      <c r="AI310" s="3868"/>
      <c r="AJ310" s="2677"/>
      <c r="AK310" s="3868"/>
      <c r="AL310" s="2677"/>
      <c r="AM310" s="2675"/>
      <c r="AN310" s="3869"/>
      <c r="AO310" s="3870"/>
      <c r="AP310" s="3871"/>
      <c r="AQ310" s="3865"/>
      <c r="AR310" s="3868"/>
      <c r="AS310" s="3871"/>
      <c r="AT310" s="3866"/>
      <c r="AU310" s="2677"/>
      <c r="AV310" s="3871"/>
      <c r="AW310" s="3866"/>
      <c r="AX310" s="2677"/>
      <c r="AY310" t="str">
        <f t="shared" si="249"/>
        <v/>
      </c>
      <c r="CA310" s="434" t="str">
        <f t="shared" si="250"/>
        <v/>
      </c>
      <c r="CB310" s="434" t="str">
        <f t="shared" si="251"/>
        <v/>
      </c>
      <c r="CC310" s="436"/>
      <c r="CD310" s="436"/>
      <c r="CE310" s="436"/>
      <c r="CF310" s="434" t="str">
        <f t="shared" si="252"/>
        <v/>
      </c>
      <c r="CG310" s="436"/>
      <c r="CH310" s="434" t="str">
        <f t="shared" si="253"/>
        <v/>
      </c>
      <c r="CI310" s="434" t="str">
        <f t="shared" si="254"/>
        <v/>
      </c>
      <c r="CJ310" s="436"/>
      <c r="CK310" s="434" t="str">
        <f t="shared" si="255"/>
        <v/>
      </c>
      <c r="CL310" s="434" t="str">
        <f t="shared" si="256"/>
        <v/>
      </c>
      <c r="CO310" s="435">
        <f t="shared" si="257"/>
        <v>0</v>
      </c>
      <c r="CP310" s="435">
        <f t="shared" si="258"/>
        <v>0</v>
      </c>
      <c r="CQ310" s="436"/>
      <c r="CR310" s="436"/>
      <c r="CS310" s="436"/>
      <c r="CT310" s="435">
        <f t="shared" si="259"/>
        <v>0</v>
      </c>
      <c r="CU310" s="436"/>
      <c r="CV310" s="435">
        <f t="shared" si="260"/>
        <v>0</v>
      </c>
      <c r="CW310" s="435">
        <f t="shared" si="261"/>
        <v>0</v>
      </c>
      <c r="CX310" s="436"/>
      <c r="CY310" s="435">
        <f t="shared" si="262"/>
        <v>0</v>
      </c>
      <c r="CZ310" s="435">
        <f t="shared" si="263"/>
        <v>0</v>
      </c>
    </row>
    <row r="311" spans="1:104" ht="15" customHeight="1" x14ac:dyDescent="0.3">
      <c r="A311" s="6574"/>
      <c r="B311" s="6788" t="s">
        <v>1833</v>
      </c>
      <c r="C311" s="6788"/>
      <c r="D311" s="3478">
        <f t="shared" si="273"/>
        <v>0</v>
      </c>
      <c r="E311" s="3610">
        <f t="shared" si="288"/>
        <v>0</v>
      </c>
      <c r="F311" s="3563">
        <f t="shared" si="289"/>
        <v>0</v>
      </c>
      <c r="G311" s="3884"/>
      <c r="H311" s="3885"/>
      <c r="I311" s="3911"/>
      <c r="J311" s="3885"/>
      <c r="K311" s="3911"/>
      <c r="L311" s="3885"/>
      <c r="M311" s="3911"/>
      <c r="N311" s="3885"/>
      <c r="O311" s="3911"/>
      <c r="P311" s="3885"/>
      <c r="Q311" s="3911"/>
      <c r="R311" s="3885"/>
      <c r="S311" s="3911"/>
      <c r="T311" s="3885"/>
      <c r="U311" s="3911"/>
      <c r="V311" s="3885"/>
      <c r="W311" s="3851"/>
      <c r="X311" s="838"/>
      <c r="Y311" s="3851"/>
      <c r="Z311" s="838"/>
      <c r="AA311" s="3851"/>
      <c r="AB311" s="838"/>
      <c r="AC311" s="3851"/>
      <c r="AD311" s="838"/>
      <c r="AE311" s="3851"/>
      <c r="AF311" s="838"/>
      <c r="AG311" s="3851"/>
      <c r="AH311" s="838"/>
      <c r="AI311" s="3851"/>
      <c r="AJ311" s="838"/>
      <c r="AK311" s="3851"/>
      <c r="AL311" s="838"/>
      <c r="AM311" s="837"/>
      <c r="AN311" s="3852"/>
      <c r="AO311" s="3873"/>
      <c r="AP311" s="3853"/>
      <c r="AQ311" s="3865"/>
      <c r="AR311" s="3851"/>
      <c r="AS311" s="3853"/>
      <c r="AT311" s="3849"/>
      <c r="AU311" s="838"/>
      <c r="AV311" s="3853"/>
      <c r="AW311" s="3849"/>
      <c r="AX311" s="838"/>
      <c r="AY311" t="str">
        <f t="shared" si="249"/>
        <v/>
      </c>
      <c r="CA311" s="434" t="str">
        <f t="shared" si="250"/>
        <v/>
      </c>
      <c r="CB311" s="434" t="str">
        <f t="shared" si="251"/>
        <v/>
      </c>
      <c r="CC311" s="436"/>
      <c r="CD311" s="436"/>
      <c r="CE311" s="436"/>
      <c r="CF311" s="434" t="str">
        <f t="shared" si="252"/>
        <v/>
      </c>
      <c r="CG311" s="436"/>
      <c r="CH311" s="434" t="str">
        <f t="shared" si="253"/>
        <v/>
      </c>
      <c r="CI311" s="434" t="str">
        <f t="shared" si="254"/>
        <v/>
      </c>
      <c r="CJ311" s="436"/>
      <c r="CK311" s="434" t="str">
        <f t="shared" si="255"/>
        <v/>
      </c>
      <c r="CL311" s="434" t="str">
        <f t="shared" si="256"/>
        <v/>
      </c>
      <c r="CO311" s="435">
        <f t="shared" si="257"/>
        <v>0</v>
      </c>
      <c r="CP311" s="435">
        <f t="shared" si="258"/>
        <v>0</v>
      </c>
      <c r="CQ311" s="436"/>
      <c r="CR311" s="436"/>
      <c r="CS311" s="436"/>
      <c r="CT311" s="435">
        <f t="shared" si="259"/>
        <v>0</v>
      </c>
      <c r="CU311" s="436"/>
      <c r="CV311" s="435">
        <f t="shared" si="260"/>
        <v>0</v>
      </c>
      <c r="CW311" s="435">
        <f t="shared" si="261"/>
        <v>0</v>
      </c>
      <c r="CX311" s="436"/>
      <c r="CY311" s="435">
        <f t="shared" si="262"/>
        <v>0</v>
      </c>
      <c r="CZ311" s="435">
        <f t="shared" si="263"/>
        <v>0</v>
      </c>
    </row>
    <row r="312" spans="1:104" x14ac:dyDescent="0.3">
      <c r="A312" s="6185" t="s">
        <v>1649</v>
      </c>
      <c r="B312" s="6790" t="s">
        <v>1828</v>
      </c>
      <c r="C312" s="6790"/>
      <c r="D312" s="359">
        <f t="shared" si="273"/>
        <v>0</v>
      </c>
      <c r="E312" s="3639">
        <f>SUM(G312++I312+K312+M312+O312+Q312+S312+U312+W312+Y312+AA312+AC312+AE312+AG312+AI312+AK312)</f>
        <v>0</v>
      </c>
      <c r="F312" s="3553">
        <f>SUM(H312++J312+L312+N312+P312+R312+T312+V312+X312+Z312+AB312+AD312+AF312+AH312+AJ312+AL312)</f>
        <v>0</v>
      </c>
      <c r="G312" s="3857"/>
      <c r="H312" s="3855"/>
      <c r="I312" s="3856"/>
      <c r="J312" s="3855"/>
      <c r="K312" s="3856"/>
      <c r="L312" s="3855"/>
      <c r="M312" s="3856"/>
      <c r="N312" s="3855"/>
      <c r="O312" s="3856"/>
      <c r="P312" s="3855"/>
      <c r="Q312" s="3856"/>
      <c r="R312" s="3855"/>
      <c r="S312" s="3856"/>
      <c r="T312" s="2691"/>
      <c r="U312" s="3856"/>
      <c r="V312" s="2691"/>
      <c r="W312" s="3856"/>
      <c r="X312" s="2691"/>
      <c r="Y312" s="3856"/>
      <c r="Z312" s="2691"/>
      <c r="AA312" s="3856"/>
      <c r="AB312" s="2691"/>
      <c r="AC312" s="3856"/>
      <c r="AD312" s="2691"/>
      <c r="AE312" s="3856"/>
      <c r="AF312" s="2691"/>
      <c r="AG312" s="3856"/>
      <c r="AH312" s="2691"/>
      <c r="AI312" s="3856"/>
      <c r="AJ312" s="2691"/>
      <c r="AK312" s="3856"/>
      <c r="AL312" s="2691"/>
      <c r="AM312" s="2689"/>
      <c r="AN312" s="3854"/>
      <c r="AO312" s="3857"/>
      <c r="AP312" s="3855"/>
      <c r="AQ312" s="3842"/>
      <c r="AR312" s="3856"/>
      <c r="AS312" s="3845"/>
      <c r="AT312" s="3857"/>
      <c r="AU312" s="2691"/>
      <c r="AV312" s="3845"/>
      <c r="AW312" s="3857"/>
      <c r="AX312" s="2691"/>
      <c r="AY312" t="str">
        <f t="shared" si="249"/>
        <v/>
      </c>
      <c r="CA312" s="434" t="str">
        <f t="shared" si="250"/>
        <v/>
      </c>
      <c r="CB312" s="434" t="str">
        <f t="shared" si="251"/>
        <v/>
      </c>
      <c r="CC312" s="434" t="str">
        <f>IF(AND($D312&gt;0,AO312="")," * No olvide digitar la variable Consultas Pertinentes: Según Procolo de Referencia. Digite cero si no tiene.",IF(AO312&gt;$D312," * La variable Consultas Pertinentes: Según Procolo de Referencia no puede superar el Total Ambos Sexos.",""))</f>
        <v/>
      </c>
      <c r="CD312" s="434" t="str">
        <f>IF(AND($D312&gt;0,AP312="")," * No olvide digitar la variable Consultas Pertinentes: Según condición clínica. Digite cero si no tiene.",IF(AP312&gt;$D312," * La variable Consultas Pertinentes: Según condición clínica no puede superar el Total Ambos Sexos.",""))</f>
        <v/>
      </c>
      <c r="CE312" s="434" t="str">
        <f>IF(AND($D312&gt;0,AQ312="")," * No olvide digitar la variable Inasistente. Digite cero si no tiene.",IF(AQ312&gt;$D312," * La variable Insasistente no puede superar el Total Ambos Sexos.",""))</f>
        <v/>
      </c>
      <c r="CF312" s="434" t="str">
        <f t="shared" si="252"/>
        <v/>
      </c>
      <c r="CG312" s="436"/>
      <c r="CH312" s="434" t="str">
        <f t="shared" si="253"/>
        <v/>
      </c>
      <c r="CI312" s="434" t="str">
        <f t="shared" si="254"/>
        <v/>
      </c>
      <c r="CJ312" s="436"/>
      <c r="CK312" s="434" t="str">
        <f t="shared" si="255"/>
        <v/>
      </c>
      <c r="CL312" s="434" t="str">
        <f t="shared" si="256"/>
        <v/>
      </c>
      <c r="CO312" s="435">
        <f t="shared" si="257"/>
        <v>0</v>
      </c>
      <c r="CP312" s="435">
        <f t="shared" si="258"/>
        <v>0</v>
      </c>
      <c r="CQ312" s="435">
        <f>IF(AND($D312&gt;0,AO312=""),1,IF(AO312&gt;$D312,1,0))</f>
        <v>0</v>
      </c>
      <c r="CR312" s="435">
        <f t="shared" ref="CR312" si="292">IF(AND($D312&gt;0,AP312=""),1,IF(AP312&gt;$D312,1,0))</f>
        <v>0</v>
      </c>
      <c r="CS312" s="435">
        <f t="shared" ref="CS312:CS313" si="293">IF(AND($D312&gt;0,AQ312=""),1,IF(AQ312&gt;$D312,1,0))</f>
        <v>0</v>
      </c>
      <c r="CT312" s="435">
        <f t="shared" si="259"/>
        <v>0</v>
      </c>
      <c r="CU312" s="436"/>
      <c r="CV312" s="435">
        <f t="shared" si="260"/>
        <v>0</v>
      </c>
      <c r="CW312" s="435">
        <f t="shared" si="261"/>
        <v>0</v>
      </c>
      <c r="CX312" s="436"/>
      <c r="CY312" s="435">
        <f t="shared" si="262"/>
        <v>0</v>
      </c>
      <c r="CZ312" s="435">
        <f t="shared" si="263"/>
        <v>0</v>
      </c>
    </row>
    <row r="313" spans="1:104" ht="15" customHeight="1" x14ac:dyDescent="0.3">
      <c r="A313" s="5790"/>
      <c r="B313" s="6791" t="s">
        <v>1829</v>
      </c>
      <c r="C313" s="6791"/>
      <c r="D313" s="3858">
        <f t="shared" si="273"/>
        <v>0</v>
      </c>
      <c r="E313" s="3859">
        <f t="shared" ref="E313:E323" si="294">SUM(G313++I313+K313+M313+O313+Q313+S313+U313+W313+Y313+AA313+AC313+AE313+AG313+AI313+AK313)</f>
        <v>0</v>
      </c>
      <c r="F313" s="3645">
        <f t="shared" ref="F313:F329" si="295">SUM(H313++J313+L313+N313+P313+R313+T313+V313+X313+Z313+AB313+AD313+AF313+AH313+AJ313+AL313)</f>
        <v>0</v>
      </c>
      <c r="G313" s="3860"/>
      <c r="H313" s="3861"/>
      <c r="I313" s="3862"/>
      <c r="J313" s="3861"/>
      <c r="K313" s="3862"/>
      <c r="L313" s="3861"/>
      <c r="M313" s="3862"/>
      <c r="N313" s="3861"/>
      <c r="O313" s="3862"/>
      <c r="P313" s="3861"/>
      <c r="Q313" s="3862"/>
      <c r="R313" s="3861"/>
      <c r="S313" s="3862"/>
      <c r="T313" s="835"/>
      <c r="U313" s="3862"/>
      <c r="V313" s="835"/>
      <c r="W313" s="3862"/>
      <c r="X313" s="835"/>
      <c r="Y313" s="3862"/>
      <c r="Z313" s="835"/>
      <c r="AA313" s="3862"/>
      <c r="AB313" s="835"/>
      <c r="AC313" s="3862"/>
      <c r="AD313" s="835"/>
      <c r="AE313" s="3862"/>
      <c r="AF313" s="835"/>
      <c r="AG313" s="3862"/>
      <c r="AH313" s="835"/>
      <c r="AI313" s="3862"/>
      <c r="AJ313" s="835"/>
      <c r="AK313" s="3862"/>
      <c r="AL313" s="835"/>
      <c r="AM313" s="3863"/>
      <c r="AN313" s="3864"/>
      <c r="AO313" s="3844"/>
      <c r="AP313" s="3845"/>
      <c r="AQ313" s="3856"/>
      <c r="AR313" s="3862"/>
      <c r="AS313" s="3845"/>
      <c r="AT313" s="3860"/>
      <c r="AU313" s="835"/>
      <c r="AV313" s="3845"/>
      <c r="AW313" s="3860"/>
      <c r="AX313" s="835"/>
      <c r="AY313" t="str">
        <f t="shared" si="249"/>
        <v/>
      </c>
      <c r="CA313" s="434" t="str">
        <f t="shared" si="250"/>
        <v/>
      </c>
      <c r="CB313" s="434" t="str">
        <f t="shared" si="251"/>
        <v/>
      </c>
      <c r="CC313" s="436"/>
      <c r="CD313" s="436"/>
      <c r="CE313" s="434" t="str">
        <f>IF(AND($D313&gt;0,AQ313="")," * No olvide digitar la variable Inasistente. Digite cero si no tiene.",IF(AQ313&gt;$D313," * La variable Insasistente no puede superar el Total Ambos Sexos.",""))</f>
        <v/>
      </c>
      <c r="CF313" s="434" t="str">
        <f t="shared" si="252"/>
        <v/>
      </c>
      <c r="CG313" s="436"/>
      <c r="CH313" s="434" t="str">
        <f t="shared" si="253"/>
        <v/>
      </c>
      <c r="CI313" s="434" t="str">
        <f t="shared" si="254"/>
        <v/>
      </c>
      <c r="CJ313" s="436"/>
      <c r="CK313" s="434" t="str">
        <f t="shared" si="255"/>
        <v/>
      </c>
      <c r="CL313" s="434" t="str">
        <f t="shared" si="256"/>
        <v/>
      </c>
      <c r="CO313" s="435">
        <f t="shared" si="257"/>
        <v>0</v>
      </c>
      <c r="CP313" s="435">
        <f t="shared" si="258"/>
        <v>0</v>
      </c>
      <c r="CQ313" s="436"/>
      <c r="CR313" s="436"/>
      <c r="CS313" s="435">
        <f t="shared" si="293"/>
        <v>0</v>
      </c>
      <c r="CT313" s="435">
        <f t="shared" si="259"/>
        <v>0</v>
      </c>
      <c r="CU313" s="436"/>
      <c r="CV313" s="435">
        <f t="shared" si="260"/>
        <v>0</v>
      </c>
      <c r="CW313" s="435">
        <f t="shared" si="261"/>
        <v>0</v>
      </c>
      <c r="CX313" s="436"/>
      <c r="CY313" s="435">
        <f t="shared" si="262"/>
        <v>0</v>
      </c>
      <c r="CZ313" s="435">
        <f t="shared" si="263"/>
        <v>0</v>
      </c>
    </row>
    <row r="314" spans="1:104" ht="15" customHeight="1" x14ac:dyDescent="0.3">
      <c r="A314" s="5790"/>
      <c r="B314" s="6791" t="s">
        <v>1830</v>
      </c>
      <c r="C314" s="6791"/>
      <c r="D314" s="3858">
        <f t="shared" si="273"/>
        <v>0</v>
      </c>
      <c r="E314" s="3859">
        <f t="shared" si="294"/>
        <v>0</v>
      </c>
      <c r="F314" s="3877">
        <f t="shared" si="295"/>
        <v>0</v>
      </c>
      <c r="G314" s="3862"/>
      <c r="H314" s="3861"/>
      <c r="I314" s="3862"/>
      <c r="J314" s="3861"/>
      <c r="K314" s="3862"/>
      <c r="L314" s="3861"/>
      <c r="M314" s="3862"/>
      <c r="N314" s="3861"/>
      <c r="O314" s="3862"/>
      <c r="P314" s="3861"/>
      <c r="Q314" s="3862"/>
      <c r="R314" s="3861"/>
      <c r="S314" s="3862"/>
      <c r="T314" s="835"/>
      <c r="U314" s="3862"/>
      <c r="V314" s="835"/>
      <c r="W314" s="3862"/>
      <c r="X314" s="835"/>
      <c r="Y314" s="3862"/>
      <c r="Z314" s="835"/>
      <c r="AA314" s="3862"/>
      <c r="AB314" s="835"/>
      <c r="AC314" s="3862"/>
      <c r="AD314" s="835"/>
      <c r="AE314" s="3862"/>
      <c r="AF314" s="835"/>
      <c r="AG314" s="3862"/>
      <c r="AH314" s="835"/>
      <c r="AI314" s="3862"/>
      <c r="AJ314" s="835"/>
      <c r="AK314" s="3862"/>
      <c r="AL314" s="835"/>
      <c r="AM314" s="3863"/>
      <c r="AN314" s="3864"/>
      <c r="AO314" s="3844"/>
      <c r="AP314" s="3845"/>
      <c r="AQ314" s="3865"/>
      <c r="AR314" s="3862"/>
      <c r="AS314" s="3845"/>
      <c r="AT314" s="3860"/>
      <c r="AU314" s="835"/>
      <c r="AV314" s="3845"/>
      <c r="AW314" s="3860"/>
      <c r="AX314" s="835"/>
      <c r="AY314" t="str">
        <f t="shared" si="249"/>
        <v/>
      </c>
      <c r="CA314" s="434" t="str">
        <f t="shared" si="250"/>
        <v/>
      </c>
      <c r="CB314" s="434" t="str">
        <f t="shared" si="251"/>
        <v/>
      </c>
      <c r="CC314" s="436"/>
      <c r="CD314" s="436"/>
      <c r="CE314" s="436"/>
      <c r="CF314" s="434" t="str">
        <f t="shared" si="252"/>
        <v/>
      </c>
      <c r="CG314" s="436"/>
      <c r="CH314" s="434" t="str">
        <f t="shared" si="253"/>
        <v/>
      </c>
      <c r="CI314" s="434" t="str">
        <f t="shared" si="254"/>
        <v/>
      </c>
      <c r="CJ314" s="436"/>
      <c r="CK314" s="434" t="str">
        <f t="shared" si="255"/>
        <v/>
      </c>
      <c r="CL314" s="434" t="str">
        <f t="shared" si="256"/>
        <v/>
      </c>
      <c r="CO314" s="435">
        <f t="shared" si="257"/>
        <v>0</v>
      </c>
      <c r="CP314" s="435">
        <f t="shared" si="258"/>
        <v>0</v>
      </c>
      <c r="CQ314" s="436"/>
      <c r="CR314" s="436"/>
      <c r="CS314" s="436"/>
      <c r="CT314" s="435">
        <f t="shared" si="259"/>
        <v>0</v>
      </c>
      <c r="CU314" s="436"/>
      <c r="CV314" s="435">
        <f t="shared" si="260"/>
        <v>0</v>
      </c>
      <c r="CW314" s="435">
        <f t="shared" si="261"/>
        <v>0</v>
      </c>
      <c r="CX314" s="436"/>
      <c r="CY314" s="435">
        <f t="shared" si="262"/>
        <v>0</v>
      </c>
      <c r="CZ314" s="435">
        <f t="shared" si="263"/>
        <v>0</v>
      </c>
    </row>
    <row r="315" spans="1:104" ht="15" customHeight="1" x14ac:dyDescent="0.3">
      <c r="A315" s="5790"/>
      <c r="B315" s="6787" t="s">
        <v>1831</v>
      </c>
      <c r="C315" s="6719"/>
      <c r="D315" s="3858">
        <f t="shared" si="273"/>
        <v>0</v>
      </c>
      <c r="E315" s="3859">
        <f t="shared" si="294"/>
        <v>0</v>
      </c>
      <c r="F315" s="3877">
        <f t="shared" si="295"/>
        <v>0</v>
      </c>
      <c r="G315" s="3868"/>
      <c r="H315" s="3867"/>
      <c r="I315" s="3868"/>
      <c r="J315" s="3867"/>
      <c r="K315" s="3868"/>
      <c r="L315" s="3867"/>
      <c r="M315" s="3868"/>
      <c r="N315" s="3867"/>
      <c r="O315" s="3868"/>
      <c r="P315" s="3867"/>
      <c r="Q315" s="3868"/>
      <c r="R315" s="3867"/>
      <c r="S315" s="3868"/>
      <c r="T315" s="2677"/>
      <c r="U315" s="3868"/>
      <c r="V315" s="2677"/>
      <c r="W315" s="3868"/>
      <c r="X315" s="2677"/>
      <c r="Y315" s="3868"/>
      <c r="Z315" s="2677"/>
      <c r="AA315" s="3868"/>
      <c r="AB315" s="2677"/>
      <c r="AC315" s="3868"/>
      <c r="AD315" s="2677"/>
      <c r="AE315" s="3868"/>
      <c r="AF315" s="2677"/>
      <c r="AG315" s="3868"/>
      <c r="AH315" s="2677"/>
      <c r="AI315" s="3868"/>
      <c r="AJ315" s="2677"/>
      <c r="AK315" s="3868"/>
      <c r="AL315" s="2677"/>
      <c r="AM315" s="2675"/>
      <c r="AN315" s="3869"/>
      <c r="AO315" s="3844"/>
      <c r="AP315" s="3845"/>
      <c r="AQ315" s="3865"/>
      <c r="AR315" s="3868"/>
      <c r="AS315" s="3845"/>
      <c r="AT315" s="3866"/>
      <c r="AU315" s="2677"/>
      <c r="AV315" s="835"/>
      <c r="AW315" s="3866"/>
      <c r="AX315" s="2677"/>
      <c r="AY315" t="str">
        <f t="shared" ref="AY315:AY328" si="296">CA315&amp;CB315&amp;CC315&amp;CD315&amp;CE315&amp;CF315&amp;CG315&amp;CH315&amp;CI315&amp;CJ315&amp;CK315&amp;CL315</f>
        <v/>
      </c>
      <c r="CA315" s="434" t="str">
        <f t="shared" ref="CA315:CA329" si="297">IF(AND($F315&gt;0,AM315="")," * No olvide digitar la variable Gestante. Digite cero si no tiene.",IF(AM315&gt;$F315," * La variable Gestante no puede superar el Total Mujeres.",""))</f>
        <v/>
      </c>
      <c r="CB315" s="434" t="str">
        <f t="shared" ref="CB315:CB329" si="298">IF(AND(AG315+AH315&gt;0,AN315="")," * No olvide digitar la variable 60 años (incluido en grupos de 60-64 años). Digite Cero si no tiene.",IF(AN315&gt;AG315+AH315," * La variable 60 años (incluido en grupos de 60-64 años) no puede superar la suma del Grupo 60-64 años.",""))</f>
        <v/>
      </c>
      <c r="CC315" s="436"/>
      <c r="CD315" s="436"/>
      <c r="CE315" s="436"/>
      <c r="CF315" s="434" t="str">
        <f t="shared" ref="CF315:CF329" si="299">IF(AND($D315&gt;0,AR315="")," * No olvide digitar la variable Compra de Servicio. Digite Cero si no tiene.",IF(AR315&gt;$D315," * La variable Compra de Servicio no puede superar el Total Ambos Sexos.",""))</f>
        <v/>
      </c>
      <c r="CG315" s="436"/>
      <c r="CH315" s="434" t="str">
        <f t="shared" ref="CH315:CH329" si="300">IF(AND($D315&gt;0,AT315="")," * No olvide digitar la variable Usuarios con Dicapacidad. Digite Cero si no tiene.",IF(AT315&gt;$D315," * La variable Usuarios con Dicapacidad no puede superar el Total Ambos Sexos.",""))</f>
        <v/>
      </c>
      <c r="CI315" s="434" t="str">
        <f t="shared" ref="CI315:CI329" si="301">IF(AND($D315&gt;0,AU315="")," * No olvide digitar la variable Usuarios Oncológicos. Digite Cero si no tiene.",IF(AU315&gt;$D315," * La variable Usuarios Oncológicos no puede superar el Total Ambos Sexos.",""))</f>
        <v/>
      </c>
      <c r="CJ315" s="434" t="str">
        <f>IF(AND($D315&gt;0,AV315="")," * No olvide digitar la variable Contrarreferencia al alta. Digite Cero si no tiene.",IF(AV315&gt;$D315," * La variable Contrarreferencia al alta no puede superar el Total Ambos Sexos.",""))</f>
        <v/>
      </c>
      <c r="CK315" s="434" t="str">
        <f t="shared" ref="CK315:CK329" si="302">IF(AND($D315&gt;0,AW315="")," * No olvide digitar la variable Migrantes. Digite Cero si no tiene.",IF(AW315&gt;$D315," * La variable Migrantes no puede superar el Total Ambos Sexos.",""))</f>
        <v/>
      </c>
      <c r="CL315" s="434" t="str">
        <f t="shared" ref="CL315:CL329" si="303">IF(AND($D315&gt;0,AX315=""),"  * No olvide digitar la variable Pueblo Originario. Digite Cero si no tiene.",IF(AX315&gt;$D315," * La variable Pueblo Originario no puede superar el Total Ambos Sexos.",""))</f>
        <v/>
      </c>
      <c r="CO315" s="435">
        <f t="shared" ref="CO315:CO329" si="304">IF(AND($F315&gt;0,AM315=""),1,IF(AM315&gt;$F315,1,0))</f>
        <v>0</v>
      </c>
      <c r="CP315" s="435">
        <f t="shared" ref="CP315:CP329" si="305">IF(AND(AG315+AH315&gt;0,AN315=""),1,IF(AN315&gt;AG315+AH315,1,0))</f>
        <v>0</v>
      </c>
      <c r="CQ315" s="436"/>
      <c r="CR315" s="436"/>
      <c r="CS315" s="436"/>
      <c r="CT315" s="435">
        <f t="shared" ref="CT315:CT329" si="306">IF(AND($D315&gt;0,AR315=""),1,IF(AR315&gt;$D315,1,0))</f>
        <v>0</v>
      </c>
      <c r="CU315" s="436"/>
      <c r="CV315" s="435">
        <f t="shared" ref="CV315:CV329" si="307">IF(AND($D315&gt;0,AT315=""),1,IF(AT315&gt;$D315,1,0))</f>
        <v>0</v>
      </c>
      <c r="CW315" s="435">
        <f t="shared" ref="CW315:CW329" si="308">IF(AND($D315&gt;0,AU315=""),1,IF(AU315&gt;$D315,1,0))</f>
        <v>0</v>
      </c>
      <c r="CX315" s="435">
        <f>IF(AND($D315&gt;0,AV315=""),1,IF(AV315&gt;$D315,1,0))</f>
        <v>0</v>
      </c>
      <c r="CY315" s="435">
        <f t="shared" ref="CY315:CY329" si="309">IF(AND($D315&gt;0,AW315=""),1,IF(AW315&gt;$D315,1,0))</f>
        <v>0</v>
      </c>
      <c r="CZ315" s="435">
        <f t="shared" ref="CZ315:CZ329" si="310">IF(AND($D315&gt;0,AX315=""),1,IF(AX315&gt;$D315,1,0))</f>
        <v>0</v>
      </c>
    </row>
    <row r="316" spans="1:104" ht="15" customHeight="1" x14ac:dyDescent="0.3">
      <c r="A316" s="5790"/>
      <c r="B316" s="6787" t="s">
        <v>1832</v>
      </c>
      <c r="C316" s="6719"/>
      <c r="D316" s="3858">
        <f t="shared" si="273"/>
        <v>0</v>
      </c>
      <c r="E316" s="3859">
        <f t="shared" si="294"/>
        <v>0</v>
      </c>
      <c r="F316" s="3877">
        <f t="shared" si="295"/>
        <v>0</v>
      </c>
      <c r="G316" s="3868"/>
      <c r="H316" s="3867"/>
      <c r="I316" s="3868"/>
      <c r="J316" s="3867"/>
      <c r="K316" s="3868"/>
      <c r="L316" s="3867"/>
      <c r="M316" s="3868"/>
      <c r="N316" s="3867"/>
      <c r="O316" s="3868"/>
      <c r="P316" s="3867"/>
      <c r="Q316" s="3868"/>
      <c r="R316" s="3867"/>
      <c r="S316" s="3868"/>
      <c r="T316" s="2677"/>
      <c r="U316" s="3868"/>
      <c r="V316" s="2677"/>
      <c r="W316" s="3868"/>
      <c r="X316" s="2677"/>
      <c r="Y316" s="3868"/>
      <c r="Z316" s="2677"/>
      <c r="AA316" s="3868"/>
      <c r="AB316" s="2677"/>
      <c r="AC316" s="3868"/>
      <c r="AD316" s="2677"/>
      <c r="AE316" s="3868"/>
      <c r="AF316" s="2677"/>
      <c r="AG316" s="3868"/>
      <c r="AH316" s="2677"/>
      <c r="AI316" s="3868"/>
      <c r="AJ316" s="2677"/>
      <c r="AK316" s="3868"/>
      <c r="AL316" s="2677"/>
      <c r="AM316" s="2675"/>
      <c r="AN316" s="3869"/>
      <c r="AO316" s="3870"/>
      <c r="AP316" s="3871"/>
      <c r="AQ316" s="3872"/>
      <c r="AR316" s="3868"/>
      <c r="AS316" s="3871"/>
      <c r="AT316" s="3866"/>
      <c r="AU316" s="2677"/>
      <c r="AV316" s="3871"/>
      <c r="AW316" s="3866"/>
      <c r="AX316" s="2677"/>
      <c r="AY316" t="str">
        <f t="shared" si="296"/>
        <v/>
      </c>
      <c r="CA316" s="434" t="str">
        <f t="shared" si="297"/>
        <v/>
      </c>
      <c r="CB316" s="434" t="str">
        <f t="shared" si="298"/>
        <v/>
      </c>
      <c r="CC316" s="436"/>
      <c r="CD316" s="436"/>
      <c r="CE316" s="436"/>
      <c r="CF316" s="434" t="str">
        <f t="shared" si="299"/>
        <v/>
      </c>
      <c r="CG316" s="436"/>
      <c r="CH316" s="434" t="str">
        <f t="shared" si="300"/>
        <v/>
      </c>
      <c r="CI316" s="434" t="str">
        <f t="shared" si="301"/>
        <v/>
      </c>
      <c r="CJ316" s="436"/>
      <c r="CK316" s="434" t="str">
        <f t="shared" si="302"/>
        <v/>
      </c>
      <c r="CL316" s="434" t="str">
        <f t="shared" si="303"/>
        <v/>
      </c>
      <c r="CO316" s="435">
        <f t="shared" si="304"/>
        <v>0</v>
      </c>
      <c r="CP316" s="435">
        <f t="shared" si="305"/>
        <v>0</v>
      </c>
      <c r="CQ316" s="436"/>
      <c r="CR316" s="436"/>
      <c r="CS316" s="436"/>
      <c r="CT316" s="435">
        <f t="shared" si="306"/>
        <v>0</v>
      </c>
      <c r="CU316" s="436"/>
      <c r="CV316" s="435">
        <f t="shared" si="307"/>
        <v>0</v>
      </c>
      <c r="CW316" s="435">
        <f t="shared" si="308"/>
        <v>0</v>
      </c>
      <c r="CX316" s="436"/>
      <c r="CY316" s="435">
        <f t="shared" si="309"/>
        <v>0</v>
      </c>
      <c r="CZ316" s="435">
        <f t="shared" si="310"/>
        <v>0</v>
      </c>
    </row>
    <row r="317" spans="1:104" ht="15" customHeight="1" x14ac:dyDescent="0.3">
      <c r="A317" s="6574"/>
      <c r="B317" s="6788" t="s">
        <v>1833</v>
      </c>
      <c r="C317" s="6788"/>
      <c r="D317" s="3478">
        <f t="shared" si="273"/>
        <v>0</v>
      </c>
      <c r="E317" s="3610">
        <f t="shared" si="294"/>
        <v>0</v>
      </c>
      <c r="F317" s="3563">
        <f t="shared" si="295"/>
        <v>0</v>
      </c>
      <c r="G317" s="3849"/>
      <c r="H317" s="3850"/>
      <c r="I317" s="3851"/>
      <c r="J317" s="3850"/>
      <c r="K317" s="3851"/>
      <c r="L317" s="3850"/>
      <c r="M317" s="3851"/>
      <c r="N317" s="3850"/>
      <c r="O317" s="3851"/>
      <c r="P317" s="3850"/>
      <c r="Q317" s="3851"/>
      <c r="R317" s="3850"/>
      <c r="S317" s="3851"/>
      <c r="T317" s="838"/>
      <c r="U317" s="3851"/>
      <c r="V317" s="838"/>
      <c r="W317" s="3851"/>
      <c r="X317" s="838"/>
      <c r="Y317" s="3851"/>
      <c r="Z317" s="838"/>
      <c r="AA317" s="3851"/>
      <c r="AB317" s="838"/>
      <c r="AC317" s="3851"/>
      <c r="AD317" s="838"/>
      <c r="AE317" s="3851"/>
      <c r="AF317" s="838"/>
      <c r="AG317" s="3851"/>
      <c r="AH317" s="838"/>
      <c r="AI317" s="3851"/>
      <c r="AJ317" s="838"/>
      <c r="AK317" s="3851"/>
      <c r="AL317" s="838"/>
      <c r="AM317" s="837"/>
      <c r="AN317" s="3852"/>
      <c r="AO317" s="3873"/>
      <c r="AP317" s="3853"/>
      <c r="AQ317" s="3874"/>
      <c r="AR317" s="3851"/>
      <c r="AS317" s="3853"/>
      <c r="AT317" s="3849"/>
      <c r="AU317" s="838"/>
      <c r="AV317" s="3853"/>
      <c r="AW317" s="3849"/>
      <c r="AX317" s="838"/>
      <c r="AY317" t="str">
        <f t="shared" si="296"/>
        <v/>
      </c>
      <c r="CA317" s="434" t="str">
        <f t="shared" si="297"/>
        <v/>
      </c>
      <c r="CB317" s="434" t="str">
        <f t="shared" si="298"/>
        <v/>
      </c>
      <c r="CC317" s="436"/>
      <c r="CD317" s="436"/>
      <c r="CE317" s="436"/>
      <c r="CF317" s="434" t="str">
        <f t="shared" si="299"/>
        <v/>
      </c>
      <c r="CG317" s="436"/>
      <c r="CH317" s="434" t="str">
        <f t="shared" si="300"/>
        <v/>
      </c>
      <c r="CI317" s="434" t="str">
        <f t="shared" si="301"/>
        <v/>
      </c>
      <c r="CJ317" s="436"/>
      <c r="CK317" s="434" t="str">
        <f t="shared" si="302"/>
        <v/>
      </c>
      <c r="CL317" s="434" t="str">
        <f t="shared" si="303"/>
        <v/>
      </c>
      <c r="CO317" s="435">
        <f t="shared" si="304"/>
        <v>0</v>
      </c>
      <c r="CP317" s="435">
        <f t="shared" si="305"/>
        <v>0</v>
      </c>
      <c r="CQ317" s="436"/>
      <c r="CR317" s="436"/>
      <c r="CS317" s="436"/>
      <c r="CT317" s="435">
        <f t="shared" si="306"/>
        <v>0</v>
      </c>
      <c r="CU317" s="436"/>
      <c r="CV317" s="435">
        <f t="shared" si="307"/>
        <v>0</v>
      </c>
      <c r="CW317" s="435">
        <f t="shared" si="308"/>
        <v>0</v>
      </c>
      <c r="CX317" s="436"/>
      <c r="CY317" s="435">
        <f t="shared" si="309"/>
        <v>0</v>
      </c>
      <c r="CZ317" s="435">
        <f t="shared" si="310"/>
        <v>0</v>
      </c>
    </row>
    <row r="318" spans="1:104" ht="18" customHeight="1" x14ac:dyDescent="0.3">
      <c r="A318" s="6374" t="s">
        <v>1651</v>
      </c>
      <c r="B318" s="6821" t="s">
        <v>1828</v>
      </c>
      <c r="C318" s="6821"/>
      <c r="D318" s="3337">
        <f t="shared" si="273"/>
        <v>0</v>
      </c>
      <c r="E318" s="3639">
        <f t="shared" si="294"/>
        <v>0</v>
      </c>
      <c r="F318" s="3553">
        <f t="shared" si="295"/>
        <v>0</v>
      </c>
      <c r="G318" s="3912"/>
      <c r="H318" s="3913"/>
      <c r="I318" s="3914"/>
      <c r="J318" s="3913"/>
      <c r="K318" s="3914"/>
      <c r="L318" s="3913"/>
      <c r="M318" s="3914"/>
      <c r="N318" s="3913"/>
      <c r="O318" s="3914"/>
      <c r="P318" s="3913"/>
      <c r="Q318" s="3914"/>
      <c r="R318" s="3913"/>
      <c r="S318" s="3914"/>
      <c r="T318" s="3915"/>
      <c r="U318" s="3914"/>
      <c r="V318" s="3915"/>
      <c r="W318" s="3914"/>
      <c r="X318" s="3915"/>
      <c r="Y318" s="3914"/>
      <c r="Z318" s="3915"/>
      <c r="AA318" s="3914"/>
      <c r="AB318" s="3915"/>
      <c r="AC318" s="3914"/>
      <c r="AD318" s="3915"/>
      <c r="AE318" s="3914"/>
      <c r="AF318" s="3915"/>
      <c r="AG318" s="3914"/>
      <c r="AH318" s="3915"/>
      <c r="AI318" s="3914"/>
      <c r="AJ318" s="3915"/>
      <c r="AK318" s="3912"/>
      <c r="AL318" s="3916"/>
      <c r="AM318" s="3914"/>
      <c r="AN318" s="3917"/>
      <c r="AO318" s="3912"/>
      <c r="AP318" s="3918"/>
      <c r="AQ318" s="3842"/>
      <c r="AR318" s="3842"/>
      <c r="AS318" s="3845"/>
      <c r="AT318" s="3841"/>
      <c r="AU318" s="826"/>
      <c r="AV318" s="3845"/>
      <c r="AW318" s="3841"/>
      <c r="AX318" s="826"/>
      <c r="AY318" t="str">
        <f t="shared" si="296"/>
        <v/>
      </c>
      <c r="CA318" s="434" t="str">
        <f t="shared" si="297"/>
        <v/>
      </c>
      <c r="CB318" s="434" t="str">
        <f t="shared" si="298"/>
        <v/>
      </c>
      <c r="CC318" s="434" t="str">
        <f>IF(AND($D318&gt;0,AO318="")," * No olvide digitar la variable Consultas Pertinentes: Según Procolo de Referencia. Digite cero si no tiene.",IF(AO318&gt;$D318," * La variable Consultas Pertinentes: Según Procolo de Referencia no puede superar el Total Ambos Sexos.",""))</f>
        <v/>
      </c>
      <c r="CD318" s="434" t="str">
        <f>IF(AND($D318&gt;0,AP318="")," * No olvide digitar la variable Consultas Pertinentes: Según condición clínica. Digite cero si no tiene.",IF(AP318&gt;$D318," * La variable Consultas Pertinentes: Según condición clínica no puede superar el Total Ambos Sexos.",""))</f>
        <v/>
      </c>
      <c r="CE318" s="434" t="str">
        <f>IF(AND($D318&gt;0,AQ318="")," * No olvide digitar la variable Inasistente. Digite cero si no tiene.",IF(AQ318&gt;$D318," * La variable Insasistente no puede superar el Total Ambos Sexos.",""))</f>
        <v/>
      </c>
      <c r="CF318" s="434" t="str">
        <f t="shared" si="299"/>
        <v/>
      </c>
      <c r="CG318" s="436"/>
      <c r="CH318" s="434" t="str">
        <f t="shared" si="300"/>
        <v/>
      </c>
      <c r="CI318" s="434" t="str">
        <f t="shared" si="301"/>
        <v/>
      </c>
      <c r="CJ318" s="436"/>
      <c r="CK318" s="434" t="str">
        <f t="shared" si="302"/>
        <v/>
      </c>
      <c r="CL318" s="434" t="str">
        <f t="shared" si="303"/>
        <v/>
      </c>
      <c r="CO318" s="435">
        <f t="shared" si="304"/>
        <v>0</v>
      </c>
      <c r="CP318" s="435">
        <f t="shared" si="305"/>
        <v>0</v>
      </c>
      <c r="CQ318" s="435">
        <f>IF(AND($D318&gt;0,AO318=""),1,IF(AO318&gt;$D318,1,0))</f>
        <v>0</v>
      </c>
      <c r="CR318" s="435">
        <f t="shared" ref="CR318" si="311">IF(AND($D318&gt;0,AP318=""),1,IF(AP318&gt;$D318,1,0))</f>
        <v>0</v>
      </c>
      <c r="CS318" s="435">
        <f t="shared" ref="CS318:CS319" si="312">IF(AND($D318&gt;0,AQ318=""),1,IF(AQ318&gt;$D318,1,0))</f>
        <v>0</v>
      </c>
      <c r="CT318" s="435">
        <f t="shared" si="306"/>
        <v>0</v>
      </c>
      <c r="CU318" s="436"/>
      <c r="CV318" s="435">
        <f t="shared" si="307"/>
        <v>0</v>
      </c>
      <c r="CW318" s="435">
        <f t="shared" si="308"/>
        <v>0</v>
      </c>
      <c r="CX318" s="436"/>
      <c r="CY318" s="435">
        <f t="shared" si="309"/>
        <v>0</v>
      </c>
      <c r="CZ318" s="435">
        <f t="shared" si="310"/>
        <v>0</v>
      </c>
    </row>
    <row r="319" spans="1:104" x14ac:dyDescent="0.3">
      <c r="A319" s="6375"/>
      <c r="B319" s="6791" t="s">
        <v>1829</v>
      </c>
      <c r="C319" s="6791"/>
      <c r="D319" s="3919">
        <f t="shared" si="273"/>
        <v>0</v>
      </c>
      <c r="E319" s="3859">
        <f t="shared" si="294"/>
        <v>0</v>
      </c>
      <c r="F319" s="3645">
        <f t="shared" si="295"/>
        <v>0</v>
      </c>
      <c r="G319" s="3920"/>
      <c r="H319" s="3921"/>
      <c r="I319" s="3922"/>
      <c r="J319" s="3921"/>
      <c r="K319" s="3922"/>
      <c r="L319" s="3921"/>
      <c r="M319" s="3922"/>
      <c r="N319" s="3921"/>
      <c r="O319" s="3922"/>
      <c r="P319" s="3921"/>
      <c r="Q319" s="3922"/>
      <c r="R319" s="3921"/>
      <c r="S319" s="3922"/>
      <c r="T319" s="3923"/>
      <c r="U319" s="3922"/>
      <c r="V319" s="3923"/>
      <c r="W319" s="3922"/>
      <c r="X319" s="3923"/>
      <c r="Y319" s="3922"/>
      <c r="Z319" s="3923"/>
      <c r="AA319" s="3922"/>
      <c r="AB319" s="3923"/>
      <c r="AC319" s="3922"/>
      <c r="AD319" s="3923"/>
      <c r="AE319" s="3922"/>
      <c r="AF319" s="3923"/>
      <c r="AG319" s="3922"/>
      <c r="AH319" s="3923"/>
      <c r="AI319" s="3922"/>
      <c r="AJ319" s="3923"/>
      <c r="AK319" s="3920"/>
      <c r="AL319" s="3924"/>
      <c r="AM319" s="3922"/>
      <c r="AN319" s="3925"/>
      <c r="AO319" s="3844"/>
      <c r="AP319" s="3845"/>
      <c r="AQ319" s="3856"/>
      <c r="AR319" s="3862"/>
      <c r="AS319" s="3845"/>
      <c r="AT319" s="3860"/>
      <c r="AU319" s="835"/>
      <c r="AV319" s="3845"/>
      <c r="AW319" s="3860"/>
      <c r="AX319" s="835"/>
      <c r="AY319" t="str">
        <f t="shared" si="296"/>
        <v/>
      </c>
      <c r="CA319" s="434" t="str">
        <f t="shared" si="297"/>
        <v/>
      </c>
      <c r="CB319" s="434" t="str">
        <f t="shared" si="298"/>
        <v/>
      </c>
      <c r="CC319" s="436"/>
      <c r="CD319" s="436"/>
      <c r="CE319" s="434" t="str">
        <f>IF(AND($D319&gt;0,AQ319="")," * No olvide digitar la variable Inasistente. Digite cero si no tiene.",IF(AQ319&gt;$D319," * La variable Insasistente no puede superar el Total Ambos Sexos.",""))</f>
        <v/>
      </c>
      <c r="CF319" s="434" t="str">
        <f t="shared" si="299"/>
        <v/>
      </c>
      <c r="CG319" s="436"/>
      <c r="CH319" s="434" t="str">
        <f t="shared" si="300"/>
        <v/>
      </c>
      <c r="CI319" s="434" t="str">
        <f t="shared" si="301"/>
        <v/>
      </c>
      <c r="CJ319" s="436"/>
      <c r="CK319" s="434" t="str">
        <f t="shared" si="302"/>
        <v/>
      </c>
      <c r="CL319" s="434" t="str">
        <f t="shared" si="303"/>
        <v/>
      </c>
      <c r="CO319" s="435">
        <f t="shared" si="304"/>
        <v>0</v>
      </c>
      <c r="CP319" s="435">
        <f t="shared" si="305"/>
        <v>0</v>
      </c>
      <c r="CQ319" s="436"/>
      <c r="CR319" s="436"/>
      <c r="CS319" s="435">
        <f t="shared" si="312"/>
        <v>0</v>
      </c>
      <c r="CT319" s="435">
        <f t="shared" si="306"/>
        <v>0</v>
      </c>
      <c r="CU319" s="436"/>
      <c r="CV319" s="435">
        <f t="shared" si="307"/>
        <v>0</v>
      </c>
      <c r="CW319" s="435">
        <f t="shared" si="308"/>
        <v>0</v>
      </c>
      <c r="CX319" s="436"/>
      <c r="CY319" s="435">
        <f t="shared" si="309"/>
        <v>0</v>
      </c>
      <c r="CZ319" s="435">
        <f t="shared" si="310"/>
        <v>0</v>
      </c>
    </row>
    <row r="320" spans="1:104" ht="15" customHeight="1" x14ac:dyDescent="0.3">
      <c r="A320" s="6375"/>
      <c r="B320" s="6791" t="s">
        <v>1830</v>
      </c>
      <c r="C320" s="6791"/>
      <c r="D320" s="3919">
        <f t="shared" si="273"/>
        <v>0</v>
      </c>
      <c r="E320" s="3859">
        <f t="shared" si="294"/>
        <v>0</v>
      </c>
      <c r="F320" s="3645">
        <f t="shared" si="295"/>
        <v>0</v>
      </c>
      <c r="G320" s="3920"/>
      <c r="H320" s="3921"/>
      <c r="I320" s="3922"/>
      <c r="J320" s="3921"/>
      <c r="K320" s="3922"/>
      <c r="L320" s="3921"/>
      <c r="M320" s="3922"/>
      <c r="N320" s="3921"/>
      <c r="O320" s="3922"/>
      <c r="P320" s="3921"/>
      <c r="Q320" s="3922"/>
      <c r="R320" s="3921"/>
      <c r="S320" s="3922"/>
      <c r="T320" s="3923"/>
      <c r="U320" s="3922"/>
      <c r="V320" s="3923"/>
      <c r="W320" s="3922"/>
      <c r="X320" s="3923"/>
      <c r="Y320" s="3922"/>
      <c r="Z320" s="3923"/>
      <c r="AA320" s="3922"/>
      <c r="AB320" s="3923"/>
      <c r="AC320" s="3922"/>
      <c r="AD320" s="3923"/>
      <c r="AE320" s="3922"/>
      <c r="AF320" s="3923"/>
      <c r="AG320" s="3922"/>
      <c r="AH320" s="3923"/>
      <c r="AI320" s="3922"/>
      <c r="AJ320" s="3923"/>
      <c r="AK320" s="3920"/>
      <c r="AL320" s="3924"/>
      <c r="AM320" s="3922"/>
      <c r="AN320" s="3925"/>
      <c r="AO320" s="3844"/>
      <c r="AP320" s="3845"/>
      <c r="AQ320" s="3865"/>
      <c r="AR320" s="3862"/>
      <c r="AS320" s="3845"/>
      <c r="AT320" s="3860"/>
      <c r="AU320" s="835"/>
      <c r="AV320" s="3845"/>
      <c r="AW320" s="3860"/>
      <c r="AX320" s="835"/>
      <c r="AY320" t="str">
        <f t="shared" si="296"/>
        <v/>
      </c>
      <c r="CA320" s="434" t="str">
        <f t="shared" si="297"/>
        <v/>
      </c>
      <c r="CB320" s="434" t="str">
        <f t="shared" si="298"/>
        <v/>
      </c>
      <c r="CC320" s="436"/>
      <c r="CD320" s="436"/>
      <c r="CE320" s="436"/>
      <c r="CF320" s="434" t="str">
        <f t="shared" si="299"/>
        <v/>
      </c>
      <c r="CG320" s="436"/>
      <c r="CH320" s="434" t="str">
        <f t="shared" si="300"/>
        <v/>
      </c>
      <c r="CI320" s="434" t="str">
        <f t="shared" si="301"/>
        <v/>
      </c>
      <c r="CJ320" s="436"/>
      <c r="CK320" s="434" t="str">
        <f t="shared" si="302"/>
        <v/>
      </c>
      <c r="CL320" s="434" t="str">
        <f t="shared" si="303"/>
        <v/>
      </c>
      <c r="CO320" s="435">
        <f t="shared" si="304"/>
        <v>0</v>
      </c>
      <c r="CP320" s="435">
        <f t="shared" si="305"/>
        <v>0</v>
      </c>
      <c r="CQ320" s="436"/>
      <c r="CR320" s="436"/>
      <c r="CS320" s="436"/>
      <c r="CT320" s="435">
        <f t="shared" si="306"/>
        <v>0</v>
      </c>
      <c r="CU320" s="436"/>
      <c r="CV320" s="435">
        <f t="shared" si="307"/>
        <v>0</v>
      </c>
      <c r="CW320" s="435">
        <f t="shared" si="308"/>
        <v>0</v>
      </c>
      <c r="CX320" s="436"/>
      <c r="CY320" s="435">
        <f t="shared" si="309"/>
        <v>0</v>
      </c>
      <c r="CZ320" s="435">
        <f t="shared" si="310"/>
        <v>0</v>
      </c>
    </row>
    <row r="321" spans="1:104" ht="15" customHeight="1" x14ac:dyDescent="0.3">
      <c r="A321" s="6375"/>
      <c r="B321" s="6787" t="s">
        <v>1831</v>
      </c>
      <c r="C321" s="6719"/>
      <c r="D321" s="3919">
        <f t="shared" si="273"/>
        <v>0</v>
      </c>
      <c r="E321" s="3859">
        <f t="shared" si="294"/>
        <v>0</v>
      </c>
      <c r="F321" s="3645">
        <f t="shared" si="295"/>
        <v>0</v>
      </c>
      <c r="G321" s="3926"/>
      <c r="H321" s="3927"/>
      <c r="I321" s="3928"/>
      <c r="J321" s="3927"/>
      <c r="K321" s="3928"/>
      <c r="L321" s="3927"/>
      <c r="M321" s="3928"/>
      <c r="N321" s="3927"/>
      <c r="O321" s="3928"/>
      <c r="P321" s="3927"/>
      <c r="Q321" s="3928"/>
      <c r="R321" s="3927"/>
      <c r="S321" s="3928"/>
      <c r="T321" s="3927"/>
      <c r="U321" s="3928"/>
      <c r="V321" s="3927"/>
      <c r="W321" s="3928"/>
      <c r="X321" s="3927"/>
      <c r="Y321" s="3928"/>
      <c r="Z321" s="3927"/>
      <c r="AA321" s="3928"/>
      <c r="AB321" s="3927"/>
      <c r="AC321" s="3928"/>
      <c r="AD321" s="3927"/>
      <c r="AE321" s="3928"/>
      <c r="AF321" s="3927"/>
      <c r="AG321" s="3928"/>
      <c r="AH321" s="3927"/>
      <c r="AI321" s="3928"/>
      <c r="AJ321" s="3927"/>
      <c r="AK321" s="3926"/>
      <c r="AL321" s="3929"/>
      <c r="AM321" s="3930"/>
      <c r="AN321" s="3931"/>
      <c r="AO321" s="3844"/>
      <c r="AP321" s="3845"/>
      <c r="AQ321" s="3865"/>
      <c r="AR321" s="3930"/>
      <c r="AS321" s="3845"/>
      <c r="AT321" s="3932"/>
      <c r="AU321" s="3933"/>
      <c r="AV321" s="835"/>
      <c r="AW321" s="3932"/>
      <c r="AX321" s="3933"/>
      <c r="AY321" t="str">
        <f t="shared" si="296"/>
        <v/>
      </c>
      <c r="CA321" s="434" t="str">
        <f t="shared" si="297"/>
        <v/>
      </c>
      <c r="CB321" s="434" t="str">
        <f t="shared" si="298"/>
        <v/>
      </c>
      <c r="CC321" s="436"/>
      <c r="CD321" s="436"/>
      <c r="CE321" s="436"/>
      <c r="CF321" s="434" t="str">
        <f t="shared" si="299"/>
        <v/>
      </c>
      <c r="CG321" s="436"/>
      <c r="CH321" s="434" t="str">
        <f t="shared" si="300"/>
        <v/>
      </c>
      <c r="CI321" s="434" t="str">
        <f t="shared" si="301"/>
        <v/>
      </c>
      <c r="CJ321" s="434" t="str">
        <f>IF(AND($D321&gt;0,AV321="")," * No olvide digitar la variable Contrarreferencia al alta. Digite Cero si no tiene.",IF(AV321&gt;$D321," * La variable Contrarreferencia al alta no puede superar el Total Ambos Sexos.",""))</f>
        <v/>
      </c>
      <c r="CK321" s="434" t="str">
        <f t="shared" si="302"/>
        <v/>
      </c>
      <c r="CL321" s="434" t="str">
        <f t="shared" si="303"/>
        <v/>
      </c>
      <c r="CO321" s="435">
        <f t="shared" si="304"/>
        <v>0</v>
      </c>
      <c r="CP321" s="435">
        <f t="shared" si="305"/>
        <v>0</v>
      </c>
      <c r="CQ321" s="436"/>
      <c r="CR321" s="436"/>
      <c r="CS321" s="436"/>
      <c r="CT321" s="435">
        <f t="shared" si="306"/>
        <v>0</v>
      </c>
      <c r="CU321" s="436"/>
      <c r="CV321" s="435">
        <f t="shared" si="307"/>
        <v>0</v>
      </c>
      <c r="CW321" s="435">
        <f t="shared" si="308"/>
        <v>0</v>
      </c>
      <c r="CX321" s="435">
        <f>IF(AND($D321&gt;0,AV321=""),1,IF(AV321&gt;$D321,1,0))</f>
        <v>0</v>
      </c>
      <c r="CY321" s="435">
        <f t="shared" si="309"/>
        <v>0</v>
      </c>
      <c r="CZ321" s="435">
        <f t="shared" si="310"/>
        <v>0</v>
      </c>
    </row>
    <row r="322" spans="1:104" ht="15" customHeight="1" x14ac:dyDescent="0.3">
      <c r="A322" s="6375"/>
      <c r="B322" s="6787" t="s">
        <v>1832</v>
      </c>
      <c r="C322" s="6719"/>
      <c r="D322" s="3919">
        <f t="shared" si="273"/>
        <v>0</v>
      </c>
      <c r="E322" s="3859">
        <f t="shared" si="294"/>
        <v>0</v>
      </c>
      <c r="F322" s="3645">
        <f t="shared" si="295"/>
        <v>0</v>
      </c>
      <c r="G322" s="3926"/>
      <c r="H322" s="3927"/>
      <c r="I322" s="3928"/>
      <c r="J322" s="3927"/>
      <c r="K322" s="3928"/>
      <c r="L322" s="3927"/>
      <c r="M322" s="3928"/>
      <c r="N322" s="3927"/>
      <c r="O322" s="3928"/>
      <c r="P322" s="3927"/>
      <c r="Q322" s="3928"/>
      <c r="R322" s="3927"/>
      <c r="S322" s="3928"/>
      <c r="T322" s="3927"/>
      <c r="U322" s="3928"/>
      <c r="V322" s="3927"/>
      <c r="W322" s="3928"/>
      <c r="X322" s="3927"/>
      <c r="Y322" s="3928"/>
      <c r="Z322" s="3927"/>
      <c r="AA322" s="3928"/>
      <c r="AB322" s="3927"/>
      <c r="AC322" s="3928"/>
      <c r="AD322" s="3927"/>
      <c r="AE322" s="3928"/>
      <c r="AF322" s="3927"/>
      <c r="AG322" s="3928"/>
      <c r="AH322" s="3927"/>
      <c r="AI322" s="3928"/>
      <c r="AJ322" s="3927"/>
      <c r="AK322" s="3926"/>
      <c r="AL322" s="3929"/>
      <c r="AM322" s="3934"/>
      <c r="AN322" s="3935"/>
      <c r="AO322" s="3870"/>
      <c r="AP322" s="3871"/>
      <c r="AQ322" s="3872"/>
      <c r="AR322" s="3934"/>
      <c r="AS322" s="3871"/>
      <c r="AT322" s="3936"/>
      <c r="AU322" s="3937"/>
      <c r="AV322" s="3871"/>
      <c r="AW322" s="3936"/>
      <c r="AX322" s="3937"/>
      <c r="AY322" t="str">
        <f t="shared" si="296"/>
        <v/>
      </c>
      <c r="CA322" s="434" t="str">
        <f t="shared" si="297"/>
        <v/>
      </c>
      <c r="CB322" s="434" t="str">
        <f t="shared" si="298"/>
        <v/>
      </c>
      <c r="CC322" s="436"/>
      <c r="CD322" s="436"/>
      <c r="CE322" s="436"/>
      <c r="CF322" s="434" t="str">
        <f t="shared" si="299"/>
        <v/>
      </c>
      <c r="CG322" s="436"/>
      <c r="CH322" s="434" t="str">
        <f t="shared" si="300"/>
        <v/>
      </c>
      <c r="CI322" s="434" t="str">
        <f t="shared" si="301"/>
        <v/>
      </c>
      <c r="CJ322" s="436"/>
      <c r="CK322" s="434" t="str">
        <f t="shared" si="302"/>
        <v/>
      </c>
      <c r="CL322" s="434" t="str">
        <f t="shared" si="303"/>
        <v/>
      </c>
      <c r="CO322" s="435">
        <f t="shared" si="304"/>
        <v>0</v>
      </c>
      <c r="CP322" s="435">
        <f t="shared" si="305"/>
        <v>0</v>
      </c>
      <c r="CQ322" s="436"/>
      <c r="CR322" s="436"/>
      <c r="CS322" s="436"/>
      <c r="CT322" s="435">
        <f t="shared" si="306"/>
        <v>0</v>
      </c>
      <c r="CU322" s="436"/>
      <c r="CV322" s="435">
        <f t="shared" si="307"/>
        <v>0</v>
      </c>
      <c r="CW322" s="435">
        <f t="shared" si="308"/>
        <v>0</v>
      </c>
      <c r="CX322" s="436"/>
      <c r="CY322" s="435">
        <f t="shared" si="309"/>
        <v>0</v>
      </c>
      <c r="CZ322" s="435">
        <f t="shared" si="310"/>
        <v>0</v>
      </c>
    </row>
    <row r="323" spans="1:104" ht="15" customHeight="1" x14ac:dyDescent="0.3">
      <c r="A323" s="6739"/>
      <c r="B323" s="6788" t="s">
        <v>1833</v>
      </c>
      <c r="C323" s="6788"/>
      <c r="D323" s="724">
        <f t="shared" si="273"/>
        <v>0</v>
      </c>
      <c r="E323" s="3626">
        <f t="shared" si="294"/>
        <v>0</v>
      </c>
      <c r="F323" s="2961">
        <f t="shared" si="295"/>
        <v>0</v>
      </c>
      <c r="G323" s="3938"/>
      <c r="H323" s="3939"/>
      <c r="I323" s="3940"/>
      <c r="J323" s="3939"/>
      <c r="K323" s="3940"/>
      <c r="L323" s="3939"/>
      <c r="M323" s="3940"/>
      <c r="N323" s="3939"/>
      <c r="O323" s="3940"/>
      <c r="P323" s="3939"/>
      <c r="Q323" s="3940"/>
      <c r="R323" s="3939"/>
      <c r="S323" s="3938"/>
      <c r="T323" s="3939"/>
      <c r="U323" s="3938"/>
      <c r="V323" s="3939"/>
      <c r="W323" s="3938"/>
      <c r="X323" s="3939"/>
      <c r="Y323" s="3938"/>
      <c r="Z323" s="3939"/>
      <c r="AA323" s="3938"/>
      <c r="AB323" s="3939"/>
      <c r="AC323" s="3938"/>
      <c r="AD323" s="3939"/>
      <c r="AE323" s="3938"/>
      <c r="AF323" s="3939"/>
      <c r="AG323" s="3938"/>
      <c r="AH323" s="3939"/>
      <c r="AI323" s="3938"/>
      <c r="AJ323" s="3939"/>
      <c r="AK323" s="3938"/>
      <c r="AL323" s="3941"/>
      <c r="AM323" s="3851"/>
      <c r="AN323" s="3852"/>
      <c r="AO323" s="3873"/>
      <c r="AP323" s="3853"/>
      <c r="AQ323" s="3874"/>
      <c r="AR323" s="3851"/>
      <c r="AS323" s="3853"/>
      <c r="AT323" s="3849"/>
      <c r="AU323" s="838"/>
      <c r="AV323" s="3853"/>
      <c r="AW323" s="3849"/>
      <c r="AX323" s="838"/>
      <c r="AY323" t="str">
        <f t="shared" si="296"/>
        <v/>
      </c>
      <c r="CA323" s="434" t="str">
        <f t="shared" si="297"/>
        <v/>
      </c>
      <c r="CB323" s="434" t="str">
        <f t="shared" si="298"/>
        <v/>
      </c>
      <c r="CC323" s="436"/>
      <c r="CD323" s="436"/>
      <c r="CE323" s="436"/>
      <c r="CF323" s="434" t="str">
        <f t="shared" si="299"/>
        <v/>
      </c>
      <c r="CG323" s="436"/>
      <c r="CH323" s="434" t="str">
        <f t="shared" si="300"/>
        <v/>
      </c>
      <c r="CI323" s="434" t="str">
        <f t="shared" si="301"/>
        <v/>
      </c>
      <c r="CJ323" s="436"/>
      <c r="CK323" s="434" t="str">
        <f t="shared" si="302"/>
        <v/>
      </c>
      <c r="CL323" s="434" t="str">
        <f t="shared" si="303"/>
        <v/>
      </c>
      <c r="CO323" s="435">
        <f t="shared" si="304"/>
        <v>0</v>
      </c>
      <c r="CP323" s="435">
        <f t="shared" si="305"/>
        <v>0</v>
      </c>
      <c r="CQ323" s="436"/>
      <c r="CR323" s="436"/>
      <c r="CS323" s="436"/>
      <c r="CT323" s="435">
        <f t="shared" si="306"/>
        <v>0</v>
      </c>
      <c r="CU323" s="436"/>
      <c r="CV323" s="435">
        <f t="shared" si="307"/>
        <v>0</v>
      </c>
      <c r="CW323" s="435">
        <f t="shared" si="308"/>
        <v>0</v>
      </c>
      <c r="CX323" s="436"/>
      <c r="CY323" s="435">
        <f t="shared" si="309"/>
        <v>0</v>
      </c>
      <c r="CZ323" s="435">
        <f t="shared" si="310"/>
        <v>0</v>
      </c>
    </row>
    <row r="324" spans="1:104" ht="15" customHeight="1" x14ac:dyDescent="0.3">
      <c r="A324" s="6670" t="s">
        <v>1840</v>
      </c>
      <c r="B324" s="6821" t="s">
        <v>1828</v>
      </c>
      <c r="C324" s="6821"/>
      <c r="D324" s="3337">
        <f t="shared" si="273"/>
        <v>0</v>
      </c>
      <c r="E324" s="3639">
        <f t="shared" ref="E324:E328" si="313">SUM(G324++I324+K324+M324+O324+Q324+S324+U324+W324+Y324+AA324+AC324+AE324+AG324+AI324+AK324)</f>
        <v>0</v>
      </c>
      <c r="F324" s="3553">
        <f t="shared" si="295"/>
        <v>0</v>
      </c>
      <c r="G324" s="3912"/>
      <c r="H324" s="3913"/>
      <c r="I324" s="3914"/>
      <c r="J324" s="3913"/>
      <c r="K324" s="3914"/>
      <c r="L324" s="3913"/>
      <c r="M324" s="3914"/>
      <c r="N324" s="3913"/>
      <c r="O324" s="3914"/>
      <c r="P324" s="3913"/>
      <c r="Q324" s="3914"/>
      <c r="R324" s="3913"/>
      <c r="S324" s="3914"/>
      <c r="T324" s="3915"/>
      <c r="U324" s="3914"/>
      <c r="V324" s="3915"/>
      <c r="W324" s="3914"/>
      <c r="X324" s="3915"/>
      <c r="Y324" s="3914"/>
      <c r="Z324" s="3915"/>
      <c r="AA324" s="3914"/>
      <c r="AB324" s="3915"/>
      <c r="AC324" s="3914"/>
      <c r="AD324" s="3915"/>
      <c r="AE324" s="3914"/>
      <c r="AF324" s="3915"/>
      <c r="AG324" s="3914"/>
      <c r="AH324" s="3915"/>
      <c r="AI324" s="3914"/>
      <c r="AJ324" s="3915"/>
      <c r="AK324" s="3912"/>
      <c r="AL324" s="3916"/>
      <c r="AM324" s="3914"/>
      <c r="AN324" s="3913"/>
      <c r="AO324" s="3856"/>
      <c r="AP324" s="859"/>
      <c r="AQ324" s="3856"/>
      <c r="AR324" s="3842"/>
      <c r="AS324" s="3845"/>
      <c r="AT324" s="3841"/>
      <c r="AU324" s="826"/>
      <c r="AV324" s="3845"/>
      <c r="AW324" s="3841"/>
      <c r="AX324" s="826"/>
      <c r="AY324" t="str">
        <f>CA324&amp;CB324&amp;CC324&amp;CD324&amp;CE324&amp;CF324&amp;CG324&amp;CH324&amp;CI324&amp;CJ324&amp;CK324&amp;CL324</f>
        <v/>
      </c>
      <c r="CA324" s="434" t="str">
        <f t="shared" si="297"/>
        <v/>
      </c>
      <c r="CB324" s="434" t="str">
        <f t="shared" si="298"/>
        <v/>
      </c>
      <c r="CC324" s="434" t="str">
        <f>IF(AND($D324&gt;0,AO324="")," * No olvide digitar la variable Consultas Pertinentes: Según Procolo de Referencia. Digite cero si no tiene.",IF(AO324&gt;$D324," * La variable Consultas Pertinentes: Según Procolo de Referencia no puede superar el Total Ambos Sexos.",""))</f>
        <v/>
      </c>
      <c r="CD324" s="434" t="str">
        <f>IF(AND($D324&gt;0,AP324="")," * No olvide digitar la variable Consultas Pertinentes: Según condición clínica. Digite cero si no tiene.",IF(AP324&gt;$D324," * La variable Consultas Pertinentes: Según condición clínica no puede superar el Total Ambos Sexos.",""))</f>
        <v/>
      </c>
      <c r="CE324" s="434" t="str">
        <f>IF(AND($D324&gt;0,AQ324="")," * No olvide digitar la variable Inasistente. Digite cero si no tiene.",IF(AQ324&gt;$D324," * La variable Insasistente no puede superar el Total Ambos Sexos.",""))</f>
        <v/>
      </c>
      <c r="CF324" s="434" t="str">
        <f t="shared" si="299"/>
        <v/>
      </c>
      <c r="CG324" s="436"/>
      <c r="CH324" s="434" t="str">
        <f t="shared" si="300"/>
        <v/>
      </c>
      <c r="CI324" s="434" t="str">
        <f t="shared" si="301"/>
        <v/>
      </c>
      <c r="CJ324" s="436"/>
      <c r="CK324" s="434" t="str">
        <f t="shared" si="302"/>
        <v/>
      </c>
      <c r="CL324" s="434" t="str">
        <f t="shared" si="303"/>
        <v/>
      </c>
      <c r="CO324" s="435">
        <f t="shared" si="304"/>
        <v>0</v>
      </c>
      <c r="CP324" s="435">
        <f t="shared" si="305"/>
        <v>0</v>
      </c>
      <c r="CQ324" s="435">
        <f>IF(AND($D324&gt;0,AO324=""),1,IF(AO324&gt;$D324,1,0))</f>
        <v>0</v>
      </c>
      <c r="CR324" s="435">
        <f>IF(AND($D324&gt;0,AP324=""),1,IF(AP324&gt;$D324,1,0))</f>
        <v>0</v>
      </c>
      <c r="CS324" s="435">
        <f>IF(AND($D324&gt;0,AQ324=""),1,IF(AQ324&gt;$D324,1,0))</f>
        <v>0</v>
      </c>
      <c r="CT324" s="435">
        <f t="shared" si="306"/>
        <v>0</v>
      </c>
      <c r="CU324" s="436"/>
      <c r="CV324" s="435">
        <f t="shared" si="307"/>
        <v>0</v>
      </c>
      <c r="CW324" s="435">
        <f t="shared" si="308"/>
        <v>0</v>
      </c>
      <c r="CX324" s="436"/>
      <c r="CY324" s="435">
        <f t="shared" si="309"/>
        <v>0</v>
      </c>
      <c r="CZ324" s="435">
        <f t="shared" si="310"/>
        <v>0</v>
      </c>
    </row>
    <row r="325" spans="1:104" ht="15" customHeight="1" x14ac:dyDescent="0.3">
      <c r="A325" s="6670"/>
      <c r="B325" s="6791" t="s">
        <v>1829</v>
      </c>
      <c r="C325" s="6791"/>
      <c r="D325" s="3919">
        <f t="shared" si="273"/>
        <v>0</v>
      </c>
      <c r="E325" s="3859">
        <f t="shared" si="313"/>
        <v>0</v>
      </c>
      <c r="F325" s="3645">
        <f t="shared" si="295"/>
        <v>0</v>
      </c>
      <c r="G325" s="3920"/>
      <c r="H325" s="3921"/>
      <c r="I325" s="3922"/>
      <c r="J325" s="3921"/>
      <c r="K325" s="3922"/>
      <c r="L325" s="3921"/>
      <c r="M325" s="3922"/>
      <c r="N325" s="3921"/>
      <c r="O325" s="3922"/>
      <c r="P325" s="3921"/>
      <c r="Q325" s="3922"/>
      <c r="R325" s="3921"/>
      <c r="S325" s="3922"/>
      <c r="T325" s="3923"/>
      <c r="U325" s="3922"/>
      <c r="V325" s="3923"/>
      <c r="W325" s="3922"/>
      <c r="X325" s="3923"/>
      <c r="Y325" s="3922"/>
      <c r="Z325" s="3923"/>
      <c r="AA325" s="3922"/>
      <c r="AB325" s="3923"/>
      <c r="AC325" s="3922"/>
      <c r="AD325" s="3923"/>
      <c r="AE325" s="3922"/>
      <c r="AF325" s="3923"/>
      <c r="AG325" s="3922"/>
      <c r="AH325" s="3923"/>
      <c r="AI325" s="3922"/>
      <c r="AJ325" s="3923"/>
      <c r="AK325" s="3920"/>
      <c r="AL325" s="3924"/>
      <c r="AM325" s="3922"/>
      <c r="AN325" s="3921"/>
      <c r="AO325" s="3862"/>
      <c r="AP325" s="3861"/>
      <c r="AQ325" s="3862"/>
      <c r="AR325" s="3862"/>
      <c r="AS325" s="3845"/>
      <c r="AT325" s="3860"/>
      <c r="AU325" s="835"/>
      <c r="AV325" s="3845"/>
      <c r="AW325" s="3860"/>
      <c r="AX325" s="835"/>
      <c r="AY325" t="str">
        <f t="shared" si="296"/>
        <v/>
      </c>
      <c r="CA325" s="434" t="str">
        <f t="shared" si="297"/>
        <v/>
      </c>
      <c r="CB325" s="434" t="str">
        <f t="shared" si="298"/>
        <v/>
      </c>
      <c r="CC325" s="434" t="str">
        <f t="shared" ref="CC325:CC328" si="314">IF(AND($D325&gt;0,AO325="")," * No olvide digitar la variable Consultas Pertinentes: Según Procolo de Referencia. Digite cero si no tiene.",IF(AO325&gt;$D325," * La variable Consultas Pertinentes: Según Procolo de Referencia no puede superar el Total Ambos Sexos.",""))</f>
        <v/>
      </c>
      <c r="CD325" s="434" t="str">
        <f t="shared" ref="CD325:CD328" si="315">IF(AND($D325&gt;0,AP325="")," * No olvide digitar la variable Consultas Pertinentes: Según condición clínica. Digite cero si no tiene.",IF(AP325&gt;$D325," * La variable Consultas Pertinentes: Según condición clínica no puede superar el Total Ambos Sexos.",""))</f>
        <v/>
      </c>
      <c r="CE325" s="434" t="str">
        <f t="shared" ref="CE325:CE328" si="316">IF(AND($D325&gt;0,AQ325="")," * No olvide digitar la variable Inasistente. Digite cero si no tiene.",IF(AQ325&gt;$D325," * La variable Insasistente no puede superar el Total Ambos Sexos.",""))</f>
        <v/>
      </c>
      <c r="CF325" s="434" t="str">
        <f t="shared" si="299"/>
        <v/>
      </c>
      <c r="CG325" s="436"/>
      <c r="CH325" s="434" t="str">
        <f t="shared" si="300"/>
        <v/>
      </c>
      <c r="CI325" s="434" t="str">
        <f t="shared" si="301"/>
        <v/>
      </c>
      <c r="CJ325" s="436"/>
      <c r="CK325" s="434" t="str">
        <f t="shared" si="302"/>
        <v/>
      </c>
      <c r="CL325" s="434" t="str">
        <f t="shared" si="303"/>
        <v/>
      </c>
      <c r="CO325" s="435">
        <f t="shared" si="304"/>
        <v>0</v>
      </c>
      <c r="CP325" s="435">
        <f t="shared" si="305"/>
        <v>0</v>
      </c>
      <c r="CQ325" s="435">
        <f t="shared" ref="CQ325:CQ329" si="317">IF(AND($D325&gt;0,AO325=""),1,IF(AO325&gt;$D325,1,0))</f>
        <v>0</v>
      </c>
      <c r="CR325" s="435">
        <f t="shared" ref="CR325:CR329" si="318">IF(AND($D325&gt;0,AP325=""),1,IF(AP325&gt;$D325,1,0))</f>
        <v>0</v>
      </c>
      <c r="CS325" s="435">
        <f t="shared" ref="CS325:CS329" si="319">IF(AND($D325&gt;0,AQ325=""),1,IF(AQ325&gt;$D325,1,0))</f>
        <v>0</v>
      </c>
      <c r="CT325" s="435">
        <f t="shared" si="306"/>
        <v>0</v>
      </c>
      <c r="CU325" s="436"/>
      <c r="CV325" s="435">
        <f t="shared" si="307"/>
        <v>0</v>
      </c>
      <c r="CW325" s="435">
        <f t="shared" si="308"/>
        <v>0</v>
      </c>
      <c r="CX325" s="436"/>
      <c r="CY325" s="435">
        <f t="shared" si="309"/>
        <v>0</v>
      </c>
      <c r="CZ325" s="435">
        <f t="shared" si="310"/>
        <v>0</v>
      </c>
    </row>
    <row r="326" spans="1:104" ht="15" customHeight="1" x14ac:dyDescent="0.3">
      <c r="A326" s="6670"/>
      <c r="B326" s="6791" t="s">
        <v>1830</v>
      </c>
      <c r="C326" s="6791"/>
      <c r="D326" s="3919">
        <f t="shared" si="273"/>
        <v>0</v>
      </c>
      <c r="E326" s="3859">
        <f t="shared" si="313"/>
        <v>0</v>
      </c>
      <c r="F326" s="3645">
        <f t="shared" si="295"/>
        <v>0</v>
      </c>
      <c r="G326" s="3920"/>
      <c r="H326" s="3921"/>
      <c r="I326" s="3922"/>
      <c r="J326" s="3921"/>
      <c r="K326" s="3922"/>
      <c r="L326" s="3921"/>
      <c r="M326" s="3922"/>
      <c r="N326" s="3921"/>
      <c r="O326" s="3922"/>
      <c r="P326" s="3921"/>
      <c r="Q326" s="3922"/>
      <c r="R326" s="3921"/>
      <c r="S326" s="3922"/>
      <c r="T326" s="3923"/>
      <c r="U326" s="3922"/>
      <c r="V326" s="3923"/>
      <c r="W326" s="3922"/>
      <c r="X326" s="3923"/>
      <c r="Y326" s="3922"/>
      <c r="Z326" s="3923"/>
      <c r="AA326" s="3922"/>
      <c r="AB326" s="3923"/>
      <c r="AC326" s="3922"/>
      <c r="AD326" s="3923"/>
      <c r="AE326" s="3922"/>
      <c r="AF326" s="3923"/>
      <c r="AG326" s="3922"/>
      <c r="AH326" s="3923"/>
      <c r="AI326" s="3922"/>
      <c r="AJ326" s="3923"/>
      <c r="AK326" s="3920"/>
      <c r="AL326" s="3924"/>
      <c r="AM326" s="3922"/>
      <c r="AN326" s="3921"/>
      <c r="AO326" s="3862"/>
      <c r="AP326" s="3861"/>
      <c r="AQ326" s="3862"/>
      <c r="AR326" s="3862"/>
      <c r="AS326" s="3845"/>
      <c r="AT326" s="3860"/>
      <c r="AU326" s="835"/>
      <c r="AV326" s="3845"/>
      <c r="AW326" s="3860"/>
      <c r="AX326" s="835"/>
      <c r="AY326" t="str">
        <f t="shared" si="296"/>
        <v/>
      </c>
      <c r="CA326" s="434" t="str">
        <f t="shared" si="297"/>
        <v/>
      </c>
      <c r="CB326" s="434" t="str">
        <f t="shared" si="298"/>
        <v/>
      </c>
      <c r="CC326" s="434" t="str">
        <f t="shared" si="314"/>
        <v/>
      </c>
      <c r="CD326" s="434" t="str">
        <f t="shared" si="315"/>
        <v/>
      </c>
      <c r="CE326" s="434" t="str">
        <f t="shared" si="316"/>
        <v/>
      </c>
      <c r="CF326" s="434" t="str">
        <f t="shared" si="299"/>
        <v/>
      </c>
      <c r="CG326" s="436"/>
      <c r="CH326" s="434" t="str">
        <f t="shared" si="300"/>
        <v/>
      </c>
      <c r="CI326" s="434" t="str">
        <f t="shared" si="301"/>
        <v/>
      </c>
      <c r="CJ326" s="436"/>
      <c r="CK326" s="434" t="str">
        <f t="shared" si="302"/>
        <v/>
      </c>
      <c r="CL326" s="434" t="str">
        <f t="shared" si="303"/>
        <v/>
      </c>
      <c r="CO326" s="435">
        <f t="shared" si="304"/>
        <v>0</v>
      </c>
      <c r="CP326" s="435">
        <f t="shared" si="305"/>
        <v>0</v>
      </c>
      <c r="CQ326" s="435">
        <f t="shared" si="317"/>
        <v>0</v>
      </c>
      <c r="CR326" s="435">
        <f t="shared" si="318"/>
        <v>0</v>
      </c>
      <c r="CS326" s="435">
        <f t="shared" si="319"/>
        <v>0</v>
      </c>
      <c r="CT326" s="435">
        <f t="shared" si="306"/>
        <v>0</v>
      </c>
      <c r="CU326" s="436"/>
      <c r="CV326" s="435">
        <f t="shared" si="307"/>
        <v>0</v>
      </c>
      <c r="CW326" s="435">
        <f t="shared" si="308"/>
        <v>0</v>
      </c>
      <c r="CX326" s="436"/>
      <c r="CY326" s="435">
        <f t="shared" si="309"/>
        <v>0</v>
      </c>
      <c r="CZ326" s="435">
        <f t="shared" si="310"/>
        <v>0</v>
      </c>
    </row>
    <row r="327" spans="1:104" ht="15" customHeight="1" x14ac:dyDescent="0.3">
      <c r="A327" s="6670"/>
      <c r="B327" s="6787" t="s">
        <v>1831</v>
      </c>
      <c r="C327" s="6719"/>
      <c r="D327" s="3919">
        <f t="shared" si="273"/>
        <v>0</v>
      </c>
      <c r="E327" s="3859">
        <f>SUM(G327++I327+K327+M327+O327+Q327+S327+U327+W327+Y327+AA327+AC327+AE327+AG327+AI327+AK327)</f>
        <v>0</v>
      </c>
      <c r="F327" s="3645">
        <f t="shared" si="295"/>
        <v>0</v>
      </c>
      <c r="G327" s="3926"/>
      <c r="H327" s="3927"/>
      <c r="I327" s="3928"/>
      <c r="J327" s="3927"/>
      <c r="K327" s="3928"/>
      <c r="L327" s="3927"/>
      <c r="M327" s="3928"/>
      <c r="N327" s="3927"/>
      <c r="O327" s="3928"/>
      <c r="P327" s="3927"/>
      <c r="Q327" s="3928"/>
      <c r="R327" s="3927"/>
      <c r="S327" s="3928"/>
      <c r="T327" s="3927"/>
      <c r="U327" s="3928"/>
      <c r="V327" s="3927"/>
      <c r="W327" s="3928"/>
      <c r="X327" s="3927"/>
      <c r="Y327" s="3928"/>
      <c r="Z327" s="3927"/>
      <c r="AA327" s="3928"/>
      <c r="AB327" s="3927"/>
      <c r="AC327" s="3928"/>
      <c r="AD327" s="3927"/>
      <c r="AE327" s="3928"/>
      <c r="AF327" s="3927"/>
      <c r="AG327" s="3928"/>
      <c r="AH327" s="3927"/>
      <c r="AI327" s="3928"/>
      <c r="AJ327" s="3927"/>
      <c r="AK327" s="3926"/>
      <c r="AL327" s="3929"/>
      <c r="AM327" s="3930"/>
      <c r="AN327" s="3942"/>
      <c r="AO327" s="3868"/>
      <c r="AP327" s="3867"/>
      <c r="AQ327" s="3868"/>
      <c r="AR327" s="3930"/>
      <c r="AS327" s="3845"/>
      <c r="AT327" s="3932"/>
      <c r="AU327" s="3933"/>
      <c r="AV327" s="835"/>
      <c r="AW327" s="3932"/>
      <c r="AX327" s="3933"/>
      <c r="AY327" t="str">
        <f t="shared" si="296"/>
        <v/>
      </c>
      <c r="CA327" s="434" t="str">
        <f t="shared" si="297"/>
        <v/>
      </c>
      <c r="CB327" s="434" t="str">
        <f t="shared" si="298"/>
        <v/>
      </c>
      <c r="CC327" s="434" t="str">
        <f t="shared" si="314"/>
        <v/>
      </c>
      <c r="CD327" s="434" t="str">
        <f t="shared" si="315"/>
        <v/>
      </c>
      <c r="CE327" s="434" t="str">
        <f t="shared" si="316"/>
        <v/>
      </c>
      <c r="CF327" s="434" t="str">
        <f t="shared" si="299"/>
        <v/>
      </c>
      <c r="CG327" s="436"/>
      <c r="CH327" s="434" t="str">
        <f t="shared" si="300"/>
        <v/>
      </c>
      <c r="CI327" s="434" t="str">
        <f t="shared" si="301"/>
        <v/>
      </c>
      <c r="CJ327" s="434" t="str">
        <f>IF(AND($D327&gt;0,AV327="")," * No olvide digitar la variable Contrarreferencia al alta. Digite Cero si no tiene.",IF(AV327&gt;$D327," * La variable Contrarreferencia al alta no puede superar el Total Ambos Sexos.",""))</f>
        <v/>
      </c>
      <c r="CK327" s="434" t="str">
        <f t="shared" si="302"/>
        <v/>
      </c>
      <c r="CL327" s="434" t="str">
        <f t="shared" si="303"/>
        <v/>
      </c>
      <c r="CO327" s="435">
        <f t="shared" si="304"/>
        <v>0</v>
      </c>
      <c r="CP327" s="435">
        <f t="shared" si="305"/>
        <v>0</v>
      </c>
      <c r="CQ327" s="435">
        <f t="shared" si="317"/>
        <v>0</v>
      </c>
      <c r="CR327" s="435">
        <f t="shared" si="318"/>
        <v>0</v>
      </c>
      <c r="CS327" s="435">
        <f t="shared" si="319"/>
        <v>0</v>
      </c>
      <c r="CT327" s="435">
        <f t="shared" si="306"/>
        <v>0</v>
      </c>
      <c r="CU327" s="436"/>
      <c r="CV327" s="435">
        <f t="shared" si="307"/>
        <v>0</v>
      </c>
      <c r="CW327" s="435">
        <f t="shared" si="308"/>
        <v>0</v>
      </c>
      <c r="CX327" s="435">
        <f>IF(AND($D327&gt;0,AV327=""),1,IF(AV327&gt;$D327,1,0))</f>
        <v>0</v>
      </c>
      <c r="CY327" s="435">
        <f t="shared" si="309"/>
        <v>0</v>
      </c>
      <c r="CZ327" s="435">
        <f t="shared" si="310"/>
        <v>0</v>
      </c>
    </row>
    <row r="328" spans="1:104" ht="15" customHeight="1" x14ac:dyDescent="0.3">
      <c r="A328" s="6670"/>
      <c r="B328" s="6787" t="s">
        <v>1832</v>
      </c>
      <c r="C328" s="6719"/>
      <c r="D328" s="3919">
        <f t="shared" si="273"/>
        <v>0</v>
      </c>
      <c r="E328" s="3859">
        <f t="shared" si="313"/>
        <v>0</v>
      </c>
      <c r="F328" s="3645">
        <f t="shared" si="295"/>
        <v>0</v>
      </c>
      <c r="G328" s="3926"/>
      <c r="H328" s="3927"/>
      <c r="I328" s="3928"/>
      <c r="J328" s="3927"/>
      <c r="K328" s="3928"/>
      <c r="L328" s="3927"/>
      <c r="M328" s="3928"/>
      <c r="N328" s="3927"/>
      <c r="O328" s="3928"/>
      <c r="P328" s="3927"/>
      <c r="Q328" s="3928"/>
      <c r="R328" s="3927"/>
      <c r="S328" s="3928"/>
      <c r="T328" s="3927"/>
      <c r="U328" s="3928"/>
      <c r="V328" s="3927"/>
      <c r="W328" s="3928"/>
      <c r="X328" s="3927"/>
      <c r="Y328" s="3928"/>
      <c r="Z328" s="3927"/>
      <c r="AA328" s="3928"/>
      <c r="AB328" s="3927"/>
      <c r="AC328" s="3928"/>
      <c r="AD328" s="3927"/>
      <c r="AE328" s="3928"/>
      <c r="AF328" s="3927"/>
      <c r="AG328" s="3928"/>
      <c r="AH328" s="3927"/>
      <c r="AI328" s="3928"/>
      <c r="AJ328" s="3927"/>
      <c r="AK328" s="3926"/>
      <c r="AL328" s="3929"/>
      <c r="AM328" s="3934"/>
      <c r="AN328" s="3943"/>
      <c r="AO328" s="3868"/>
      <c r="AP328" s="3867"/>
      <c r="AQ328" s="3868"/>
      <c r="AR328" s="3934"/>
      <c r="AS328" s="3871"/>
      <c r="AT328" s="3936"/>
      <c r="AU328" s="3937"/>
      <c r="AV328" s="3871"/>
      <c r="AW328" s="3936"/>
      <c r="AX328" s="3937"/>
      <c r="AY328" t="str">
        <f t="shared" si="296"/>
        <v/>
      </c>
      <c r="CA328" s="434" t="str">
        <f t="shared" si="297"/>
        <v/>
      </c>
      <c r="CB328" s="434" t="str">
        <f t="shared" si="298"/>
        <v/>
      </c>
      <c r="CC328" s="434" t="str">
        <f t="shared" si="314"/>
        <v/>
      </c>
      <c r="CD328" s="434" t="str">
        <f t="shared" si="315"/>
        <v/>
      </c>
      <c r="CE328" s="434" t="str">
        <f t="shared" si="316"/>
        <v/>
      </c>
      <c r="CF328" s="434" t="str">
        <f t="shared" si="299"/>
        <v/>
      </c>
      <c r="CG328" s="436"/>
      <c r="CH328" s="434" t="str">
        <f t="shared" si="300"/>
        <v/>
      </c>
      <c r="CI328" s="434" t="str">
        <f t="shared" si="301"/>
        <v/>
      </c>
      <c r="CJ328" s="436"/>
      <c r="CK328" s="434" t="str">
        <f t="shared" si="302"/>
        <v/>
      </c>
      <c r="CL328" s="434" t="str">
        <f t="shared" si="303"/>
        <v/>
      </c>
      <c r="CO328" s="435">
        <f t="shared" si="304"/>
        <v>0</v>
      </c>
      <c r="CP328" s="435">
        <f t="shared" si="305"/>
        <v>0</v>
      </c>
      <c r="CQ328" s="435">
        <f t="shared" si="317"/>
        <v>0</v>
      </c>
      <c r="CR328" s="435">
        <f t="shared" si="318"/>
        <v>0</v>
      </c>
      <c r="CS328" s="435">
        <f t="shared" si="319"/>
        <v>0</v>
      </c>
      <c r="CT328" s="435">
        <f t="shared" si="306"/>
        <v>0</v>
      </c>
      <c r="CU328" s="436"/>
      <c r="CV328" s="435">
        <f t="shared" si="307"/>
        <v>0</v>
      </c>
      <c r="CW328" s="435">
        <f t="shared" si="308"/>
        <v>0</v>
      </c>
      <c r="CX328" s="436"/>
      <c r="CY328" s="435">
        <f t="shared" si="309"/>
        <v>0</v>
      </c>
      <c r="CZ328" s="435">
        <f t="shared" si="310"/>
        <v>0</v>
      </c>
    </row>
    <row r="329" spans="1:104" ht="15" customHeight="1" x14ac:dyDescent="0.3">
      <c r="A329" s="6670"/>
      <c r="B329" s="6788" t="s">
        <v>1833</v>
      </c>
      <c r="C329" s="6788"/>
      <c r="D329" s="724">
        <f t="shared" si="273"/>
        <v>0</v>
      </c>
      <c r="E329" s="3626">
        <f>SUM(G329++I329+K329+M329+O329+Q329+S329+U329+W329+Y329+AA329+AC329+AE329+AG329+AI329+AK329)</f>
        <v>0</v>
      </c>
      <c r="F329" s="2961">
        <f t="shared" si="295"/>
        <v>0</v>
      </c>
      <c r="G329" s="3938"/>
      <c r="H329" s="3939"/>
      <c r="I329" s="3940"/>
      <c r="J329" s="3939"/>
      <c r="K329" s="3940"/>
      <c r="L329" s="3939"/>
      <c r="M329" s="3940"/>
      <c r="N329" s="3939"/>
      <c r="O329" s="3940"/>
      <c r="P329" s="3939"/>
      <c r="Q329" s="3940"/>
      <c r="R329" s="3939"/>
      <c r="S329" s="3938"/>
      <c r="T329" s="3939"/>
      <c r="U329" s="3938"/>
      <c r="V329" s="3939"/>
      <c r="W329" s="3938"/>
      <c r="X329" s="3939"/>
      <c r="Y329" s="3938"/>
      <c r="Z329" s="3939"/>
      <c r="AA329" s="3938"/>
      <c r="AB329" s="3939"/>
      <c r="AC329" s="3938"/>
      <c r="AD329" s="3939"/>
      <c r="AE329" s="3938"/>
      <c r="AF329" s="3939"/>
      <c r="AG329" s="3938"/>
      <c r="AH329" s="3939"/>
      <c r="AI329" s="3938"/>
      <c r="AJ329" s="3939"/>
      <c r="AK329" s="3938"/>
      <c r="AL329" s="3941"/>
      <c r="AM329" s="3851"/>
      <c r="AN329" s="3850"/>
      <c r="AO329" s="3851"/>
      <c r="AP329" s="3850"/>
      <c r="AQ329" s="3851"/>
      <c r="AR329" s="3851"/>
      <c r="AS329" s="3853"/>
      <c r="AT329" s="3849"/>
      <c r="AU329" s="838"/>
      <c r="AV329" s="3853"/>
      <c r="AW329" s="3849"/>
      <c r="AX329" s="838"/>
      <c r="AY329" t="str">
        <f>CA329&amp;CB329&amp;CC329&amp;CD329&amp;CE329&amp;CF329&amp;CG329&amp;CH329&amp;CI329&amp;CJ329&amp;CK329&amp;CL329</f>
        <v/>
      </c>
      <c r="CA329" s="434" t="str">
        <f t="shared" si="297"/>
        <v/>
      </c>
      <c r="CB329" s="434" t="str">
        <f t="shared" si="298"/>
        <v/>
      </c>
      <c r="CC329" s="434" t="str">
        <f>IF(AND($D329&gt;0,AO329="")," * No olvide digitar la variable Consultas Pertinentes: Según Procolo de Referencia. Digite cero si no tiene.",IF(AO329&gt;$D329," * La variable Consultas Pertinentes: Según Procolo de Referencia no puede superar el Total Ambos Sexos.",""))</f>
        <v/>
      </c>
      <c r="CD329" s="434" t="str">
        <f>IF(AND($D329&gt;0,AP329="")," * No olvide digitar la variable Consultas Pertinentes: Según condición clínica. Digite cero si no tiene.",IF(AP329&gt;$D329," * La variable Consultas Pertinentes: Según condición clínica no puede superar el Total Ambos Sexos.",""))</f>
        <v/>
      </c>
      <c r="CE329" s="434" t="str">
        <f>IF(AND($D329&gt;0,AQ329="")," * No olvide digitar la variable Inasistente. Digite cero si no tiene.",IF(AQ329&gt;$D329," * La variable Insasistente no puede superar el Total Ambos Sexos.",""))</f>
        <v/>
      </c>
      <c r="CF329" s="434" t="str">
        <f t="shared" si="299"/>
        <v/>
      </c>
      <c r="CG329" s="436"/>
      <c r="CH329" s="434" t="str">
        <f t="shared" si="300"/>
        <v/>
      </c>
      <c r="CI329" s="434" t="str">
        <f t="shared" si="301"/>
        <v/>
      </c>
      <c r="CJ329" s="436"/>
      <c r="CK329" s="434" t="str">
        <f t="shared" si="302"/>
        <v/>
      </c>
      <c r="CL329" s="434" t="str">
        <f t="shared" si="303"/>
        <v/>
      </c>
      <c r="CO329" s="435">
        <f t="shared" si="304"/>
        <v>0</v>
      </c>
      <c r="CP329" s="435">
        <f t="shared" si="305"/>
        <v>0</v>
      </c>
      <c r="CQ329" s="435">
        <f t="shared" si="317"/>
        <v>0</v>
      </c>
      <c r="CR329" s="435">
        <f t="shared" si="318"/>
        <v>0</v>
      </c>
      <c r="CS329" s="435">
        <f t="shared" si="319"/>
        <v>0</v>
      </c>
      <c r="CT329" s="435">
        <f t="shared" si="306"/>
        <v>0</v>
      </c>
      <c r="CU329" s="436"/>
      <c r="CV329" s="435">
        <f t="shared" si="307"/>
        <v>0</v>
      </c>
      <c r="CW329" s="435">
        <f t="shared" si="308"/>
        <v>0</v>
      </c>
      <c r="CX329" s="436"/>
      <c r="CY329" s="435">
        <f t="shared" si="309"/>
        <v>0</v>
      </c>
      <c r="CZ329" s="435">
        <f t="shared" si="310"/>
        <v>0</v>
      </c>
    </row>
    <row r="330" spans="1:104" x14ac:dyDescent="0.3">
      <c r="A330" s="6822" t="s">
        <v>77</v>
      </c>
      <c r="B330" s="6728" t="s">
        <v>1828</v>
      </c>
      <c r="C330" s="6730"/>
      <c r="D330" s="3805">
        <f>SUM(E330+F330)</f>
        <v>0</v>
      </c>
      <c r="E330" s="3944">
        <f>SUM(G330++I330+K330+M330+O330+Q330+S330+U330+W330+Y330+AA330+AC330+AE330+AG330+AI330+AK330)</f>
        <v>0</v>
      </c>
      <c r="F330" s="3724">
        <f>SUM(H330++J330+L330+N330+P330+R330+T330+V330+X330+Z330+AB330+AD330+AF330+AH330+AJ330+AL330)</f>
        <v>0</v>
      </c>
      <c r="G330" s="3805">
        <f>G252+G264+G270+G276+G282+G312+G318+G324</f>
        <v>0</v>
      </c>
      <c r="H330" s="3776">
        <f t="shared" ref="H330:N334" si="320">H252+H258+H264+H270+H276+H282+H306+H312+H318+H324</f>
        <v>0</v>
      </c>
      <c r="I330" s="3805">
        <f t="shared" si="320"/>
        <v>0</v>
      </c>
      <c r="J330" s="3776">
        <f t="shared" si="320"/>
        <v>0</v>
      </c>
      <c r="K330" s="3805">
        <f t="shared" si="320"/>
        <v>0</v>
      </c>
      <c r="L330" s="3776">
        <f>L252+L258+L264+L270+L276+L282+L306+L312+L318+L324</f>
        <v>0</v>
      </c>
      <c r="M330" s="3805">
        <f t="shared" si="320"/>
        <v>0</v>
      </c>
      <c r="N330" s="3776">
        <f t="shared" si="320"/>
        <v>0</v>
      </c>
      <c r="O330" s="3805">
        <f t="shared" ref="O330:V334" si="321">O252+O258+O264+O270+O276+O282+O294+O312+O318+O324</f>
        <v>0</v>
      </c>
      <c r="P330" s="3750">
        <f t="shared" si="321"/>
        <v>0</v>
      </c>
      <c r="Q330" s="3805">
        <f t="shared" si="321"/>
        <v>0</v>
      </c>
      <c r="R330" s="3750">
        <f t="shared" si="321"/>
        <v>0</v>
      </c>
      <c r="S330" s="3805">
        <f t="shared" si="321"/>
        <v>0</v>
      </c>
      <c r="T330" s="3750">
        <f t="shared" si="321"/>
        <v>0</v>
      </c>
      <c r="U330" s="3805">
        <f t="shared" si="321"/>
        <v>0</v>
      </c>
      <c r="V330" s="3794">
        <f t="shared" si="321"/>
        <v>0</v>
      </c>
      <c r="W330" s="5639">
        <f>W252+W258+W264+W270+W276+W282+W288+W294+W300+W306+W312+W318+W324</f>
        <v>0</v>
      </c>
      <c r="X330" s="5636">
        <f t="shared" ref="X330:AN330" si="322">X252+X258+X264+X270+X276+X282+X288+X294+X300+X306+X312+X318+X324</f>
        <v>0</v>
      </c>
      <c r="Y330" s="5639">
        <f>Y252+Y258+Y264+Y270+Y276+Y282+Y288+Y294+Y300+Y306+Y312+Y318+Y324</f>
        <v>0</v>
      </c>
      <c r="Z330" s="5636">
        <f t="shared" si="322"/>
        <v>0</v>
      </c>
      <c r="AA330" s="5639">
        <f t="shared" si="322"/>
        <v>0</v>
      </c>
      <c r="AB330" s="5636">
        <f t="shared" si="322"/>
        <v>0</v>
      </c>
      <c r="AC330" s="5639">
        <f t="shared" si="322"/>
        <v>0</v>
      </c>
      <c r="AD330" s="5636">
        <f t="shared" si="322"/>
        <v>0</v>
      </c>
      <c r="AE330" s="5639">
        <f t="shared" si="322"/>
        <v>0</v>
      </c>
      <c r="AF330" s="5636">
        <f t="shared" si="322"/>
        <v>0</v>
      </c>
      <c r="AG330" s="5639">
        <f t="shared" si="322"/>
        <v>0</v>
      </c>
      <c r="AH330" s="5636">
        <f t="shared" si="322"/>
        <v>0</v>
      </c>
      <c r="AI330" s="5639">
        <f t="shared" si="322"/>
        <v>0</v>
      </c>
      <c r="AJ330" s="5636">
        <f t="shared" si="322"/>
        <v>0</v>
      </c>
      <c r="AK330" s="5639">
        <f t="shared" si="322"/>
        <v>0</v>
      </c>
      <c r="AL330" s="5640">
        <f t="shared" si="322"/>
        <v>0</v>
      </c>
      <c r="AM330" s="5636">
        <f t="shared" si="322"/>
        <v>0</v>
      </c>
      <c r="AN330" s="5636">
        <f t="shared" si="322"/>
        <v>0</v>
      </c>
      <c r="AO330" s="359">
        <f>SUM(AO252+AO258+AO264+AO270+AO276+AO282+AO288+AO294+AO300+AO306+AO312+AO318)</f>
        <v>0</v>
      </c>
      <c r="AP330" s="3797">
        <f>SUM(AP252+AP258+AP264+AP270+AP276+AP282+AP288+AP294+AP300+AP306+AP312+AP318)</f>
        <v>0</v>
      </c>
      <c r="AQ330" s="3776">
        <f t="shared" ref="AQ330:AR331" si="323">AQ252+AQ258+AQ264+AQ270+AQ276+AQ282+AQ288+AQ294+AQ300+AQ306+AQ312+AQ318+AQ324</f>
        <v>0</v>
      </c>
      <c r="AR330" s="3776">
        <f t="shared" si="323"/>
        <v>0</v>
      </c>
      <c r="AS330" s="3724">
        <f>SUM(AS264,AS276)</f>
        <v>0</v>
      </c>
      <c r="AT330" s="3805">
        <f t="shared" ref="AT330:AX331" si="324">AT252+AT258+AT264+AT270+AT276+AT282+AT288+AT294+AT300+AT306+AT312+AT318+AT324</f>
        <v>0</v>
      </c>
      <c r="AU330" s="3794">
        <f t="shared" si="324"/>
        <v>0</v>
      </c>
      <c r="AV330" s="3751"/>
      <c r="AW330" s="3805">
        <f t="shared" si="324"/>
        <v>0</v>
      </c>
      <c r="AX330" s="3794">
        <f t="shared" si="324"/>
        <v>0</v>
      </c>
    </row>
    <row r="331" spans="1:104" x14ac:dyDescent="0.3">
      <c r="A331" s="6822"/>
      <c r="B331" s="6791" t="s">
        <v>1829</v>
      </c>
      <c r="C331" s="6791"/>
      <c r="D331" s="359">
        <f t="shared" ref="D331:D335" si="325">SUM(E331+F331)</f>
        <v>0</v>
      </c>
      <c r="E331" s="3945">
        <f t="shared" ref="E331:F335" si="326">SUM(G331++I331+K331+M331+O331+Q331+S331+U331+W331+Y331+AA331+AC331+AE331+AG331+AI331+AK331)</f>
        <v>0</v>
      </c>
      <c r="F331" s="3946">
        <f t="shared" si="326"/>
        <v>0</v>
      </c>
      <c r="G331" s="3858">
        <f>G253+G265+G271+G277+G283+G313+G319+G325</f>
        <v>0</v>
      </c>
      <c r="H331" s="3947">
        <f t="shared" si="320"/>
        <v>0</v>
      </c>
      <c r="I331" s="3858">
        <f t="shared" si="320"/>
        <v>0</v>
      </c>
      <c r="J331" s="3947">
        <f t="shared" si="320"/>
        <v>0</v>
      </c>
      <c r="K331" s="3858">
        <f>K253+K259+K265+K271+K277+K283+K307+K313+K319+K325</f>
        <v>0</v>
      </c>
      <c r="L331" s="3947">
        <f t="shared" si="320"/>
        <v>0</v>
      </c>
      <c r="M331" s="3858">
        <f t="shared" si="320"/>
        <v>0</v>
      </c>
      <c r="N331" s="3947">
        <f t="shared" si="320"/>
        <v>0</v>
      </c>
      <c r="O331" s="359">
        <f>O253+O259+O265+O271+O277+O283+O295+O313+O319+O325</f>
        <v>0</v>
      </c>
      <c r="P331" s="3776">
        <f t="shared" si="321"/>
        <v>0</v>
      </c>
      <c r="Q331" s="359">
        <f t="shared" si="321"/>
        <v>0</v>
      </c>
      <c r="R331" s="3776">
        <f t="shared" si="321"/>
        <v>0</v>
      </c>
      <c r="S331" s="359">
        <f t="shared" si="321"/>
        <v>0</v>
      </c>
      <c r="T331" s="3776">
        <f t="shared" si="321"/>
        <v>0</v>
      </c>
      <c r="U331" s="359">
        <f t="shared" si="321"/>
        <v>0</v>
      </c>
      <c r="V331" s="3797">
        <f t="shared" si="321"/>
        <v>0</v>
      </c>
      <c r="W331" s="1173">
        <f>W253+W259+W265+W271+W277+W283+W289+W295+W301+W307+W313+W319+W325</f>
        <v>0</v>
      </c>
      <c r="X331" s="5637">
        <f t="shared" ref="X331:AN331" si="327">X253+X259+X265+X271+X277+X283+X289+X295+X301+X307+X313+X319+X325</f>
        <v>0</v>
      </c>
      <c r="Y331" s="1173">
        <f t="shared" si="327"/>
        <v>0</v>
      </c>
      <c r="Z331" s="5637">
        <f t="shared" si="327"/>
        <v>0</v>
      </c>
      <c r="AA331" s="1173">
        <f t="shared" si="327"/>
        <v>0</v>
      </c>
      <c r="AB331" s="5637">
        <f t="shared" si="327"/>
        <v>0</v>
      </c>
      <c r="AC331" s="1173">
        <f t="shared" si="327"/>
        <v>0</v>
      </c>
      <c r="AD331" s="5637">
        <f t="shared" si="327"/>
        <v>0</v>
      </c>
      <c r="AE331" s="1173">
        <f t="shared" si="327"/>
        <v>0</v>
      </c>
      <c r="AF331" s="5637">
        <f t="shared" si="327"/>
        <v>0</v>
      </c>
      <c r="AG331" s="1173">
        <f t="shared" si="327"/>
        <v>0</v>
      </c>
      <c r="AH331" s="5637">
        <f t="shared" si="327"/>
        <v>0</v>
      </c>
      <c r="AI331" s="1173">
        <f t="shared" si="327"/>
        <v>0</v>
      </c>
      <c r="AJ331" s="5637">
        <f t="shared" si="327"/>
        <v>0</v>
      </c>
      <c r="AK331" s="1173">
        <f t="shared" si="327"/>
        <v>0</v>
      </c>
      <c r="AL331" s="5641">
        <f t="shared" si="327"/>
        <v>0</v>
      </c>
      <c r="AM331" s="5637">
        <f t="shared" si="327"/>
        <v>0</v>
      </c>
      <c r="AN331" s="5637">
        <f t="shared" si="327"/>
        <v>0</v>
      </c>
      <c r="AO331" s="3948"/>
      <c r="AP331" s="3949"/>
      <c r="AQ331" s="3755">
        <f t="shared" si="323"/>
        <v>0</v>
      </c>
      <c r="AR331" s="3755">
        <f t="shared" si="323"/>
        <v>0</v>
      </c>
      <c r="AS331" s="3950">
        <f>SUM(AS277+ AS265)</f>
        <v>0</v>
      </c>
      <c r="AT331" s="3858">
        <f t="shared" si="324"/>
        <v>0</v>
      </c>
      <c r="AU331" s="3745">
        <f t="shared" si="324"/>
        <v>0</v>
      </c>
      <c r="AV331" s="3402"/>
      <c r="AW331" s="3858">
        <f t="shared" si="324"/>
        <v>0</v>
      </c>
      <c r="AX331" s="3745">
        <f t="shared" si="324"/>
        <v>0</v>
      </c>
    </row>
    <row r="332" spans="1:104" x14ac:dyDescent="0.3">
      <c r="A332" s="6822"/>
      <c r="B332" s="6791" t="s">
        <v>1830</v>
      </c>
      <c r="C332" s="6791"/>
      <c r="D332" s="359">
        <f t="shared" si="325"/>
        <v>0</v>
      </c>
      <c r="E332" s="3945">
        <f t="shared" si="326"/>
        <v>0</v>
      </c>
      <c r="F332" s="3946">
        <f t="shared" si="326"/>
        <v>0</v>
      </c>
      <c r="G332" s="3858">
        <f>G254+G266+G272+G278+G284+G314+G320+G326</f>
        <v>0</v>
      </c>
      <c r="H332" s="3947">
        <f t="shared" si="320"/>
        <v>0</v>
      </c>
      <c r="I332" s="3858">
        <f t="shared" si="320"/>
        <v>0</v>
      </c>
      <c r="J332" s="3947">
        <f t="shared" si="320"/>
        <v>0</v>
      </c>
      <c r="K332" s="3858">
        <f t="shared" si="320"/>
        <v>0</v>
      </c>
      <c r="L332" s="3947">
        <f t="shared" si="320"/>
        <v>0</v>
      </c>
      <c r="M332" s="3858">
        <f t="shared" si="320"/>
        <v>0</v>
      </c>
      <c r="N332" s="3947">
        <f t="shared" si="320"/>
        <v>0</v>
      </c>
      <c r="O332" s="359">
        <f t="shared" si="321"/>
        <v>0</v>
      </c>
      <c r="P332" s="3776">
        <f t="shared" si="321"/>
        <v>0</v>
      </c>
      <c r="Q332" s="359">
        <f t="shared" si="321"/>
        <v>0</v>
      </c>
      <c r="R332" s="3776">
        <f t="shared" si="321"/>
        <v>0</v>
      </c>
      <c r="S332" s="359">
        <f t="shared" si="321"/>
        <v>0</v>
      </c>
      <c r="T332" s="3776">
        <f t="shared" si="321"/>
        <v>0</v>
      </c>
      <c r="U332" s="359">
        <f t="shared" si="321"/>
        <v>0</v>
      </c>
      <c r="V332" s="3797">
        <f t="shared" si="321"/>
        <v>0</v>
      </c>
      <c r="W332" s="1173">
        <f>W254+W260+W266+W272+W278+W284+W290+W296+W302+W308+W314+W320+W326</f>
        <v>0</v>
      </c>
      <c r="X332" s="5637">
        <f t="shared" ref="X332:AN332" si="328">X254+X260+X266+X272+X278+X284+X290+X296+X302+X308+X314+X320+X326</f>
        <v>0</v>
      </c>
      <c r="Y332" s="1173">
        <f t="shared" si="328"/>
        <v>0</v>
      </c>
      <c r="Z332" s="5637">
        <f t="shared" si="328"/>
        <v>0</v>
      </c>
      <c r="AA332" s="1173">
        <f t="shared" si="328"/>
        <v>0</v>
      </c>
      <c r="AB332" s="5637">
        <f t="shared" si="328"/>
        <v>0</v>
      </c>
      <c r="AC332" s="1173">
        <f t="shared" si="328"/>
        <v>0</v>
      </c>
      <c r="AD332" s="5637">
        <f t="shared" si="328"/>
        <v>0</v>
      </c>
      <c r="AE332" s="1173">
        <f t="shared" si="328"/>
        <v>0</v>
      </c>
      <c r="AF332" s="5637">
        <f t="shared" si="328"/>
        <v>0</v>
      </c>
      <c r="AG332" s="1173">
        <f t="shared" si="328"/>
        <v>0</v>
      </c>
      <c r="AH332" s="5637">
        <f t="shared" si="328"/>
        <v>0</v>
      </c>
      <c r="AI332" s="1173">
        <f t="shared" si="328"/>
        <v>0</v>
      </c>
      <c r="AJ332" s="5637">
        <f t="shared" si="328"/>
        <v>0</v>
      </c>
      <c r="AK332" s="1173">
        <f t="shared" si="328"/>
        <v>0</v>
      </c>
      <c r="AL332" s="5641">
        <f t="shared" si="328"/>
        <v>0</v>
      </c>
      <c r="AM332" s="5637">
        <f t="shared" si="328"/>
        <v>0</v>
      </c>
      <c r="AN332" s="5637">
        <f t="shared" si="328"/>
        <v>0</v>
      </c>
      <c r="AO332" s="3948"/>
      <c r="AP332" s="3949"/>
      <c r="AQ332" s="3865"/>
      <c r="AR332" s="3755">
        <f>SUM(AR336+AR254+AR260+AR266+AR272+AR278+AR284+AR290+AR296+AR302+AR308+AR314+AR320+AR326)</f>
        <v>0</v>
      </c>
      <c r="AS332" s="3950">
        <f>SUM(AS266+AS278)</f>
        <v>0</v>
      </c>
      <c r="AT332" s="3858">
        <f t="shared" ref="AT332:AX332" si="329">SUM(AT254+AT260+AT266+AT272+AT278+AT284+AT290+AT296+AT302+AT308+AT314+AT320+AT326)</f>
        <v>0</v>
      </c>
      <c r="AU332" s="3745">
        <f t="shared" si="329"/>
        <v>0</v>
      </c>
      <c r="AV332" s="3402"/>
      <c r="AW332" s="3858">
        <f t="shared" si="329"/>
        <v>0</v>
      </c>
      <c r="AX332" s="3745">
        <f t="shared" si="329"/>
        <v>0</v>
      </c>
    </row>
    <row r="333" spans="1:104" x14ac:dyDescent="0.3">
      <c r="A333" s="6822"/>
      <c r="B333" s="6787" t="s">
        <v>1831</v>
      </c>
      <c r="C333" s="6719"/>
      <c r="D333" s="359">
        <f t="shared" si="325"/>
        <v>0</v>
      </c>
      <c r="E333" s="3945">
        <f t="shared" si="326"/>
        <v>0</v>
      </c>
      <c r="F333" s="3946">
        <f t="shared" si="326"/>
        <v>0</v>
      </c>
      <c r="G333" s="3858">
        <f>G255+G267+G273+G279+G285+G315+G321+G327</f>
        <v>0</v>
      </c>
      <c r="H333" s="3947">
        <f t="shared" si="320"/>
        <v>0</v>
      </c>
      <c r="I333" s="3858">
        <f t="shared" si="320"/>
        <v>0</v>
      </c>
      <c r="J333" s="3947">
        <f t="shared" si="320"/>
        <v>0</v>
      </c>
      <c r="K333" s="3858">
        <f t="shared" si="320"/>
        <v>0</v>
      </c>
      <c r="L333" s="3947">
        <f t="shared" si="320"/>
        <v>0</v>
      </c>
      <c r="M333" s="3858">
        <f t="shared" si="320"/>
        <v>0</v>
      </c>
      <c r="N333" s="3947">
        <f t="shared" si="320"/>
        <v>0</v>
      </c>
      <c r="O333" s="359">
        <f>O255+O261+O267+O273+O279+O285+O297+O315+O321+O327</f>
        <v>0</v>
      </c>
      <c r="P333" s="3776">
        <f>P255+P261+P267+P273+P279+P285+P297+P315+P321+P327</f>
        <v>0</v>
      </c>
      <c r="Q333" s="359">
        <f t="shared" si="321"/>
        <v>0</v>
      </c>
      <c r="R333" s="3776">
        <f t="shared" si="321"/>
        <v>0</v>
      </c>
      <c r="S333" s="359">
        <f t="shared" si="321"/>
        <v>0</v>
      </c>
      <c r="T333" s="3776">
        <f t="shared" si="321"/>
        <v>0</v>
      </c>
      <c r="U333" s="359">
        <f t="shared" si="321"/>
        <v>0</v>
      </c>
      <c r="V333" s="3797">
        <f t="shared" si="321"/>
        <v>0</v>
      </c>
      <c r="W333" s="1173">
        <f>W255+W261+W267+W273+W279+W285+W291+W297+W303+W309+W315+W321+W327</f>
        <v>0</v>
      </c>
      <c r="X333" s="5637">
        <f t="shared" ref="X333:AN333" si="330">X255+X261+X267+X273+X279+X285+X291+X297+X303+X309+X315+X321+X327</f>
        <v>0</v>
      </c>
      <c r="Y333" s="1173">
        <f t="shared" si="330"/>
        <v>0</v>
      </c>
      <c r="Z333" s="5637">
        <f t="shared" si="330"/>
        <v>0</v>
      </c>
      <c r="AA333" s="1173">
        <f t="shared" si="330"/>
        <v>0</v>
      </c>
      <c r="AB333" s="5637">
        <f t="shared" si="330"/>
        <v>0</v>
      </c>
      <c r="AC333" s="1173">
        <f t="shared" si="330"/>
        <v>0</v>
      </c>
      <c r="AD333" s="5637">
        <f t="shared" si="330"/>
        <v>0</v>
      </c>
      <c r="AE333" s="1173">
        <f t="shared" si="330"/>
        <v>0</v>
      </c>
      <c r="AF333" s="5637">
        <f t="shared" si="330"/>
        <v>0</v>
      </c>
      <c r="AG333" s="1173">
        <f t="shared" si="330"/>
        <v>0</v>
      </c>
      <c r="AH333" s="5637">
        <f t="shared" si="330"/>
        <v>0</v>
      </c>
      <c r="AI333" s="1173">
        <f t="shared" si="330"/>
        <v>0</v>
      </c>
      <c r="AJ333" s="5637">
        <f t="shared" si="330"/>
        <v>0</v>
      </c>
      <c r="AK333" s="1173">
        <f t="shared" si="330"/>
        <v>0</v>
      </c>
      <c r="AL333" s="5641">
        <f t="shared" si="330"/>
        <v>0</v>
      </c>
      <c r="AM333" s="5637">
        <f t="shared" si="330"/>
        <v>0</v>
      </c>
      <c r="AN333" s="5637">
        <f t="shared" si="330"/>
        <v>0</v>
      </c>
      <c r="AO333" s="3948"/>
      <c r="AP333" s="3949"/>
      <c r="AQ333" s="3865"/>
      <c r="AR333" s="3755">
        <f>AR255+AR261+AR267+AR273+AR279+AR285+AR291+AR297+AR303+AR309+AR315+AR321+AR327</f>
        <v>0</v>
      </c>
      <c r="AS333" s="3950">
        <f>SUM(AS268+AS280)</f>
        <v>0</v>
      </c>
      <c r="AT333" s="3858">
        <f t="shared" ref="AT333:AX333" si="331">AT255+AT261+AT267+AT273+AT279+AT285+AT291+AT297+AT303+AT309+AT315+AT321+AT327</f>
        <v>0</v>
      </c>
      <c r="AU333" s="3745">
        <f t="shared" si="331"/>
        <v>0</v>
      </c>
      <c r="AV333" s="3745">
        <f>AV255+AV261+AV267+AV273+AV279+AV285+AV291+AV297+AV303+AV309+AV315+AV321+AV327</f>
        <v>0</v>
      </c>
      <c r="AW333" s="3858">
        <f t="shared" si="331"/>
        <v>0</v>
      </c>
      <c r="AX333" s="3745">
        <f t="shared" si="331"/>
        <v>0</v>
      </c>
    </row>
    <row r="334" spans="1:104" x14ac:dyDescent="0.3">
      <c r="A334" s="6822"/>
      <c r="B334" s="6787" t="s">
        <v>1832</v>
      </c>
      <c r="C334" s="6719"/>
      <c r="D334" s="359">
        <f t="shared" si="325"/>
        <v>0</v>
      </c>
      <c r="E334" s="3945">
        <f t="shared" si="326"/>
        <v>0</v>
      </c>
      <c r="F334" s="3946">
        <f t="shared" si="326"/>
        <v>0</v>
      </c>
      <c r="G334" s="3858">
        <f>G256+G268+G274+G280+G286+G316+G322+G328</f>
        <v>0</v>
      </c>
      <c r="H334" s="3947">
        <f t="shared" si="320"/>
        <v>0</v>
      </c>
      <c r="I334" s="3858">
        <f t="shared" si="320"/>
        <v>0</v>
      </c>
      <c r="J334" s="3947">
        <f t="shared" si="320"/>
        <v>0</v>
      </c>
      <c r="K334" s="3858">
        <f t="shared" si="320"/>
        <v>0</v>
      </c>
      <c r="L334" s="3947">
        <f t="shared" si="320"/>
        <v>0</v>
      </c>
      <c r="M334" s="3858">
        <f t="shared" si="320"/>
        <v>0</v>
      </c>
      <c r="N334" s="3947">
        <f t="shared" si="320"/>
        <v>0</v>
      </c>
      <c r="O334" s="359">
        <f>O256+O262+O268+O274+O280+O286+O298+O316+O322+O328</f>
        <v>0</v>
      </c>
      <c r="P334" s="3776">
        <f t="shared" si="321"/>
        <v>0</v>
      </c>
      <c r="Q334" s="359">
        <f t="shared" si="321"/>
        <v>0</v>
      </c>
      <c r="R334" s="3776">
        <f t="shared" si="321"/>
        <v>0</v>
      </c>
      <c r="S334" s="359">
        <f t="shared" si="321"/>
        <v>0</v>
      </c>
      <c r="T334" s="3776">
        <f t="shared" si="321"/>
        <v>0</v>
      </c>
      <c r="U334" s="359">
        <f t="shared" si="321"/>
        <v>0</v>
      </c>
      <c r="V334" s="3797">
        <f t="shared" si="321"/>
        <v>0</v>
      </c>
      <c r="W334" s="1173">
        <f>W256+W262+W268+W274+W280+W286+W292+W298+W304+W310+W316+W322+W328</f>
        <v>0</v>
      </c>
      <c r="X334" s="5637">
        <f t="shared" ref="X334:AN334" si="332">X256+X262+X268+X274+X280+X286+X292+X298+X304+X310+X316+X322+X328</f>
        <v>0</v>
      </c>
      <c r="Y334" s="1173">
        <f t="shared" si="332"/>
        <v>0</v>
      </c>
      <c r="Z334" s="5637">
        <f t="shared" si="332"/>
        <v>0</v>
      </c>
      <c r="AA334" s="1173">
        <f t="shared" si="332"/>
        <v>0</v>
      </c>
      <c r="AB334" s="5637">
        <f t="shared" si="332"/>
        <v>0</v>
      </c>
      <c r="AC334" s="1173">
        <f t="shared" si="332"/>
        <v>0</v>
      </c>
      <c r="AD334" s="5637">
        <f t="shared" si="332"/>
        <v>0</v>
      </c>
      <c r="AE334" s="1173">
        <f t="shared" si="332"/>
        <v>0</v>
      </c>
      <c r="AF334" s="5637">
        <f t="shared" si="332"/>
        <v>0</v>
      </c>
      <c r="AG334" s="1173">
        <f t="shared" si="332"/>
        <v>0</v>
      </c>
      <c r="AH334" s="5637">
        <f t="shared" si="332"/>
        <v>0</v>
      </c>
      <c r="AI334" s="1173">
        <f t="shared" si="332"/>
        <v>0</v>
      </c>
      <c r="AJ334" s="5637">
        <f t="shared" si="332"/>
        <v>0</v>
      </c>
      <c r="AK334" s="1173">
        <f t="shared" si="332"/>
        <v>0</v>
      </c>
      <c r="AL334" s="5641">
        <f t="shared" si="332"/>
        <v>0</v>
      </c>
      <c r="AM334" s="5637">
        <f t="shared" si="332"/>
        <v>0</v>
      </c>
      <c r="AN334" s="5637">
        <f t="shared" si="332"/>
        <v>0</v>
      </c>
      <c r="AO334" s="3948"/>
      <c r="AP334" s="3949"/>
      <c r="AQ334" s="3872"/>
      <c r="AR334" s="3755">
        <f>SUM(AR256+AR262+AR268+AR274+AR280+AR286+AR304+AR298+AR292+AR310+AR316+AR322+AR328)</f>
        <v>0</v>
      </c>
      <c r="AS334" s="3950">
        <f>SUM(AS256+AS262+AS268+AS274+AS280+AS286+AS304+AS298+AS292+AS310+AS316+AS322+AS328)</f>
        <v>0</v>
      </c>
      <c r="AT334" s="3858">
        <f t="shared" ref="AT334:AX334" si="333">SUM(AT256+AT262+AT268+AT274+AT280+AT286+AT304+AT298+AT292+AT310+AT316+AT322+AT328)</f>
        <v>0</v>
      </c>
      <c r="AU334" s="3745">
        <f t="shared" si="333"/>
        <v>0</v>
      </c>
      <c r="AV334" s="3402"/>
      <c r="AW334" s="3858">
        <f t="shared" si="333"/>
        <v>0</v>
      </c>
      <c r="AX334" s="3745">
        <f t="shared" si="333"/>
        <v>0</v>
      </c>
    </row>
    <row r="335" spans="1:104" x14ac:dyDescent="0.3">
      <c r="A335" s="6823"/>
      <c r="B335" s="6788" t="s">
        <v>1833</v>
      </c>
      <c r="C335" s="6788"/>
      <c r="D335" s="3808">
        <f t="shared" si="325"/>
        <v>0</v>
      </c>
      <c r="E335" s="3951">
        <f t="shared" si="326"/>
        <v>0</v>
      </c>
      <c r="F335" s="3952">
        <f t="shared" si="326"/>
        <v>0</v>
      </c>
      <c r="G335" s="3478">
        <f>G275+G281+G287+G317+G323+G329</f>
        <v>0</v>
      </c>
      <c r="H335" s="3781">
        <f>H275+H281+H287+H317+H323+H329</f>
        <v>0</v>
      </c>
      <c r="I335" s="3478">
        <f>I257+I269+I275+I281+I287+I317+I323+I329</f>
        <v>0</v>
      </c>
      <c r="J335" s="3781">
        <f t="shared" ref="J335:N335" si="334">J257+J269+J275+J281+J287+J317+J323+J329</f>
        <v>0</v>
      </c>
      <c r="K335" s="3478">
        <f t="shared" si="334"/>
        <v>0</v>
      </c>
      <c r="L335" s="3781">
        <f t="shared" si="334"/>
        <v>0</v>
      </c>
      <c r="M335" s="3478">
        <f t="shared" si="334"/>
        <v>0</v>
      </c>
      <c r="N335" s="3781">
        <f t="shared" si="334"/>
        <v>0</v>
      </c>
      <c r="O335" s="3808">
        <f>O257+O269+O275+O281+O287+O299+O317+O323+O329</f>
        <v>0</v>
      </c>
      <c r="P335" s="3757">
        <f t="shared" ref="P335:V335" si="335">P257+P269+P275+P281+P287+P299+P317+P323+P329</f>
        <v>0</v>
      </c>
      <c r="Q335" s="3808">
        <f t="shared" si="335"/>
        <v>0</v>
      </c>
      <c r="R335" s="3757">
        <f t="shared" si="335"/>
        <v>0</v>
      </c>
      <c r="S335" s="3808">
        <f t="shared" si="335"/>
        <v>0</v>
      </c>
      <c r="T335" s="3757">
        <f t="shared" si="335"/>
        <v>0</v>
      </c>
      <c r="U335" s="3808">
        <f t="shared" si="335"/>
        <v>0</v>
      </c>
      <c r="V335" s="3953">
        <f t="shared" si="335"/>
        <v>0</v>
      </c>
      <c r="W335" s="1165">
        <f>W257+W263+W269+W275+W281+W287+W293+W305+W311+W299+W317+W323+W329</f>
        <v>0</v>
      </c>
      <c r="X335" s="5638">
        <f t="shared" ref="X335:AN335" si="336">X257+X263+X269+X275+X281+X287+X293+X305+X311+X299+X317+X323+X329</f>
        <v>0</v>
      </c>
      <c r="Y335" s="1165">
        <f t="shared" si="336"/>
        <v>0</v>
      </c>
      <c r="Z335" s="5638">
        <f t="shared" si="336"/>
        <v>0</v>
      </c>
      <c r="AA335" s="1165">
        <f t="shared" si="336"/>
        <v>0</v>
      </c>
      <c r="AB335" s="5638">
        <f t="shared" si="336"/>
        <v>0</v>
      </c>
      <c r="AC335" s="1165">
        <f t="shared" si="336"/>
        <v>0</v>
      </c>
      <c r="AD335" s="5638">
        <f t="shared" si="336"/>
        <v>0</v>
      </c>
      <c r="AE335" s="1165">
        <f t="shared" si="336"/>
        <v>0</v>
      </c>
      <c r="AF335" s="5638">
        <f t="shared" si="336"/>
        <v>0</v>
      </c>
      <c r="AG335" s="1165">
        <f t="shared" si="336"/>
        <v>0</v>
      </c>
      <c r="AH335" s="5638">
        <f t="shared" si="336"/>
        <v>0</v>
      </c>
      <c r="AI335" s="1165">
        <f t="shared" si="336"/>
        <v>0</v>
      </c>
      <c r="AJ335" s="5638">
        <f t="shared" si="336"/>
        <v>0</v>
      </c>
      <c r="AK335" s="1165">
        <f t="shared" si="336"/>
        <v>0</v>
      </c>
      <c r="AL335" s="5642">
        <f t="shared" si="336"/>
        <v>0</v>
      </c>
      <c r="AM335" s="5638">
        <f t="shared" si="336"/>
        <v>0</v>
      </c>
      <c r="AN335" s="5638">
        <f t="shared" si="336"/>
        <v>0</v>
      </c>
      <c r="AO335" s="3954"/>
      <c r="AP335" s="3955"/>
      <c r="AQ335" s="3874"/>
      <c r="AR335" s="3781">
        <f>SUM(AR257+AR263+AR269+AR275+AR281+AR287+AR293+AR299+AR305+AR311+AR317+AR323+AR329)</f>
        <v>0</v>
      </c>
      <c r="AS335" s="3956">
        <f>SUM(AS269+AS281)</f>
        <v>0</v>
      </c>
      <c r="AT335" s="3478">
        <f t="shared" ref="AT335:AX335" si="337">SUM(AT257+AT263+AT269+AT275+AT281+AT287+AT293+AT299+AT305+AT311+AT317+AT323+AT329)</f>
        <v>0</v>
      </c>
      <c r="AU335" s="3781">
        <f t="shared" si="337"/>
        <v>0</v>
      </c>
      <c r="AV335" s="3955"/>
      <c r="AW335" s="3478">
        <f t="shared" si="337"/>
        <v>0</v>
      </c>
      <c r="AX335" s="3746">
        <f t="shared" si="337"/>
        <v>0</v>
      </c>
    </row>
    <row r="336" spans="1:104" x14ac:dyDescent="0.3">
      <c r="A336" s="3" t="s">
        <v>1841</v>
      </c>
      <c r="B336" s="3721"/>
      <c r="C336" s="3721"/>
      <c r="D336" s="8"/>
      <c r="E336" s="8"/>
      <c r="F336" s="8"/>
      <c r="G336" s="8"/>
      <c r="H336" s="8"/>
      <c r="I336" s="8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1873"/>
      <c r="AM336" s="1873"/>
      <c r="AN336" s="9"/>
      <c r="AO336" s="9"/>
      <c r="AP336" s="9"/>
      <c r="AQ336" s="9"/>
      <c r="AR336" s="9"/>
    </row>
    <row r="337" spans="1:94" x14ac:dyDescent="0.3">
      <c r="A337" s="6307" t="s">
        <v>1592</v>
      </c>
      <c r="B337" s="6223"/>
      <c r="C337" s="6308"/>
      <c r="D337" s="6824" t="s">
        <v>77</v>
      </c>
      <c r="E337" s="6551"/>
      <c r="F337" s="6552"/>
      <c r="G337" s="6688" t="s">
        <v>101</v>
      </c>
      <c r="H337" s="6247"/>
      <c r="I337" s="6247"/>
      <c r="J337" s="6247"/>
      <c r="K337" s="6247"/>
      <c r="L337" s="6247"/>
      <c r="M337" s="6247"/>
      <c r="N337" s="6247"/>
      <c r="O337" s="6247"/>
      <c r="P337" s="6247"/>
      <c r="Q337" s="6247"/>
      <c r="R337" s="6247"/>
      <c r="S337" s="6247"/>
      <c r="T337" s="6247"/>
      <c r="U337" s="6247"/>
      <c r="V337" s="6247"/>
      <c r="W337" s="6247"/>
      <c r="X337" s="6247"/>
      <c r="Y337" s="6247"/>
      <c r="Z337" s="6247"/>
      <c r="AA337" s="6247"/>
      <c r="AB337" s="6247"/>
      <c r="AC337" s="6247"/>
      <c r="AD337" s="6247"/>
      <c r="AE337" s="6247"/>
      <c r="AF337" s="6247"/>
      <c r="AG337" s="6247"/>
      <c r="AH337" s="6247"/>
      <c r="AI337" s="6247"/>
      <c r="AJ337" s="6247"/>
      <c r="AK337" s="6247"/>
      <c r="AL337" s="6247"/>
      <c r="AM337" s="6247"/>
      <c r="AN337" s="6247"/>
      <c r="AO337" s="6247"/>
      <c r="AP337" s="6689"/>
      <c r="AQ337" s="6249" t="s">
        <v>1842</v>
      </c>
      <c r="AR337" s="6243" t="s">
        <v>1843</v>
      </c>
    </row>
    <row r="338" spans="1:94" x14ac:dyDescent="0.3">
      <c r="A338" s="6559"/>
      <c r="B338" s="6686"/>
      <c r="C338" s="6063"/>
      <c r="D338" s="6825"/>
      <c r="E338" s="6826"/>
      <c r="F338" s="6797"/>
      <c r="G338" s="6828" t="s">
        <v>474</v>
      </c>
      <c r="H338" s="6693"/>
      <c r="I338" s="6688" t="s">
        <v>380</v>
      </c>
      <c r="J338" s="6277"/>
      <c r="K338" s="6688" t="s">
        <v>381</v>
      </c>
      <c r="L338" s="6277"/>
      <c r="M338" s="6688" t="s">
        <v>1577</v>
      </c>
      <c r="N338" s="6277"/>
      <c r="O338" s="6688" t="s">
        <v>383</v>
      </c>
      <c r="P338" s="6277"/>
      <c r="Q338" s="6688" t="s">
        <v>384</v>
      </c>
      <c r="R338" s="6277"/>
      <c r="S338" s="6688" t="s">
        <v>385</v>
      </c>
      <c r="T338" s="6277"/>
      <c r="U338" s="6688" t="s">
        <v>386</v>
      </c>
      <c r="V338" s="6277"/>
      <c r="W338" s="6688" t="s">
        <v>1578</v>
      </c>
      <c r="X338" s="6277"/>
      <c r="Y338" s="6688" t="s">
        <v>303</v>
      </c>
      <c r="Z338" s="6694"/>
      <c r="AA338" s="6688" t="s">
        <v>304</v>
      </c>
      <c r="AB338" s="6694"/>
      <c r="AC338" s="6688" t="s">
        <v>1818</v>
      </c>
      <c r="AD338" s="6694"/>
      <c r="AE338" s="6688" t="s">
        <v>1819</v>
      </c>
      <c r="AF338" s="6694"/>
      <c r="AG338" s="6688" t="s">
        <v>1820</v>
      </c>
      <c r="AH338" s="6694"/>
      <c r="AI338" s="6688" t="s">
        <v>1821</v>
      </c>
      <c r="AJ338" s="6694"/>
      <c r="AK338" s="6688" t="s">
        <v>1583</v>
      </c>
      <c r="AL338" s="6694"/>
      <c r="AM338" s="6688" t="s">
        <v>1584</v>
      </c>
      <c r="AN338" s="6694"/>
      <c r="AO338" s="6688" t="s">
        <v>938</v>
      </c>
      <c r="AP338" s="6694"/>
      <c r="AQ338" s="5766"/>
      <c r="AR338" s="5759"/>
    </row>
    <row r="339" spans="1:94" x14ac:dyDescent="0.3">
      <c r="A339" s="6482"/>
      <c r="B339" s="6481"/>
      <c r="C339" s="6645"/>
      <c r="D339" s="3535" t="s">
        <v>79</v>
      </c>
      <c r="E339" s="491" t="s">
        <v>58</v>
      </c>
      <c r="F339" s="1802" t="s">
        <v>59</v>
      </c>
      <c r="G339" s="3507" t="s">
        <v>58</v>
      </c>
      <c r="H339" s="605" t="s">
        <v>59</v>
      </c>
      <c r="I339" s="3488" t="s">
        <v>58</v>
      </c>
      <c r="J339" s="605" t="s">
        <v>59</v>
      </c>
      <c r="K339" s="3488" t="s">
        <v>58</v>
      </c>
      <c r="L339" s="605" t="s">
        <v>59</v>
      </c>
      <c r="M339" s="3488" t="s">
        <v>58</v>
      </c>
      <c r="N339" s="605" t="s">
        <v>59</v>
      </c>
      <c r="O339" s="3488" t="s">
        <v>58</v>
      </c>
      <c r="P339" s="605" t="s">
        <v>59</v>
      </c>
      <c r="Q339" s="3488" t="s">
        <v>58</v>
      </c>
      <c r="R339" s="605" t="s">
        <v>59</v>
      </c>
      <c r="S339" s="3488" t="s">
        <v>58</v>
      </c>
      <c r="T339" s="605" t="s">
        <v>59</v>
      </c>
      <c r="U339" s="3488" t="s">
        <v>58</v>
      </c>
      <c r="V339" s="605" t="s">
        <v>59</v>
      </c>
      <c r="W339" s="3488" t="s">
        <v>58</v>
      </c>
      <c r="X339" s="605" t="s">
        <v>59</v>
      </c>
      <c r="Y339" s="3488" t="s">
        <v>58</v>
      </c>
      <c r="Z339" s="605" t="s">
        <v>59</v>
      </c>
      <c r="AA339" s="3488" t="s">
        <v>58</v>
      </c>
      <c r="AB339" s="605" t="s">
        <v>59</v>
      </c>
      <c r="AC339" s="3488" t="s">
        <v>58</v>
      </c>
      <c r="AD339" s="605" t="s">
        <v>59</v>
      </c>
      <c r="AE339" s="3488" t="s">
        <v>58</v>
      </c>
      <c r="AF339" s="605" t="s">
        <v>59</v>
      </c>
      <c r="AG339" s="3488" t="s">
        <v>58</v>
      </c>
      <c r="AH339" s="605" t="s">
        <v>59</v>
      </c>
      <c r="AI339" s="3488" t="s">
        <v>58</v>
      </c>
      <c r="AJ339" s="605" t="s">
        <v>59</v>
      </c>
      <c r="AK339" s="3488" t="s">
        <v>58</v>
      </c>
      <c r="AL339" s="605" t="s">
        <v>59</v>
      </c>
      <c r="AM339" s="3488" t="s">
        <v>58</v>
      </c>
      <c r="AN339" s="605" t="s">
        <v>59</v>
      </c>
      <c r="AO339" s="3488" t="s">
        <v>58</v>
      </c>
      <c r="AP339" s="605" t="s">
        <v>59</v>
      </c>
      <c r="AQ339" s="5767"/>
      <c r="AR339" s="6687"/>
    </row>
    <row r="340" spans="1:94" x14ac:dyDescent="0.3">
      <c r="A340" s="6646" t="s">
        <v>1598</v>
      </c>
      <c r="B340" s="6789"/>
      <c r="C340" s="6647"/>
      <c r="D340" s="3337">
        <f>SUM(E340:F340)</f>
        <v>0</v>
      </c>
      <c r="E340" s="597">
        <f>SUM(G340+I340+K340+M340+O340+Q340+S340+U340+W340+Y340+AA340+AC340+AE340+AG340+AI340+AK340+AM340+AO340)</f>
        <v>0</v>
      </c>
      <c r="F340" s="598">
        <f>SUM(H340+J340+L340+N340+P340+R340+T340+V340+X340+Z340+AB340+AD340+AF340+AH340+AJ340+AL340+AN340+AP340)</f>
        <v>0</v>
      </c>
      <c r="G340" s="3309"/>
      <c r="H340" s="771"/>
      <c r="I340" s="3309"/>
      <c r="J340" s="771"/>
      <c r="K340" s="3309"/>
      <c r="L340" s="771"/>
      <c r="M340" s="3309"/>
      <c r="N340" s="771"/>
      <c r="O340" s="3309"/>
      <c r="P340" s="771"/>
      <c r="Q340" s="3309"/>
      <c r="R340" s="771"/>
      <c r="S340" s="3309"/>
      <c r="T340" s="771"/>
      <c r="U340" s="3309"/>
      <c r="V340" s="771"/>
      <c r="W340" s="3309"/>
      <c r="X340" s="771"/>
      <c r="Y340" s="3309"/>
      <c r="Z340" s="771"/>
      <c r="AA340" s="3309"/>
      <c r="AB340" s="771"/>
      <c r="AC340" s="3309"/>
      <c r="AD340" s="771"/>
      <c r="AE340" s="3309"/>
      <c r="AF340" s="771"/>
      <c r="AG340" s="3309"/>
      <c r="AH340" s="771"/>
      <c r="AI340" s="3309"/>
      <c r="AJ340" s="771"/>
      <c r="AK340" s="3309"/>
      <c r="AL340" s="771"/>
      <c r="AM340" s="3309"/>
      <c r="AN340" s="771"/>
      <c r="AO340" s="3309"/>
      <c r="AP340" s="759"/>
      <c r="AQ340" s="74"/>
      <c r="AR340" s="42"/>
      <c r="AS340" t="str">
        <f>CA340&amp;CB340</f>
        <v/>
      </c>
      <c r="CA340" s="434" t="str">
        <f>IF(AND($F340&gt;0,AQ340="")," * No olvide digitar la variable Gestante. Digite cero si no tiene.",IF(AQ340&gt;$F340," * La variable Gestante no puede superar el Total Mujeres.",""))</f>
        <v/>
      </c>
      <c r="CB340" s="434" t="str">
        <f>IF(AND(AK340+AL340&gt;0,AR340="")," * No olvide digitar la variable 60 años (incluido en grupos de 60-64 años). Digite Cero si no tiene.",IF(AR340&gt;AK340+AL340," * La variable 60 años (incluido en grupos de 60-64 años) no puede superar la suma del Grupo 60-64 años.",""))</f>
        <v/>
      </c>
      <c r="CO340" s="435">
        <f>IF(AND($F340&gt;0,AQ340=""),1,IF(AQ340&gt;$F340,1,0))</f>
        <v>0</v>
      </c>
      <c r="CP340" s="435">
        <f>IF(AND(AK340+AL340&gt;0,AR340=""),1,IF(AR340&gt;AK340+AL340,1,0))</f>
        <v>0</v>
      </c>
    </row>
    <row r="341" spans="1:94" x14ac:dyDescent="0.3">
      <c r="A341" s="6827" t="s">
        <v>1844</v>
      </c>
      <c r="B341" s="6706"/>
      <c r="C341" s="6350"/>
      <c r="D341" s="3919">
        <f>SUM(E341:F341)</f>
        <v>0</v>
      </c>
      <c r="E341" s="589">
        <f t="shared" ref="E341:F344" si="338">SUM(G341+I341+K341+M341+O341+Q341+S341+U341+W341+Y341+AA341+AC341+AE341+AG341+AI341+AK341+AM341+AO341)</f>
        <v>0</v>
      </c>
      <c r="F341" s="480">
        <f t="shared" si="338"/>
        <v>0</v>
      </c>
      <c r="G341" s="3958"/>
      <c r="H341" s="3959"/>
      <c r="I341" s="3958"/>
      <c r="J341" s="3959"/>
      <c r="K341" s="3958"/>
      <c r="L341" s="3959"/>
      <c r="M341" s="3958"/>
      <c r="N341" s="3959"/>
      <c r="O341" s="3958"/>
      <c r="P341" s="3959"/>
      <c r="Q341" s="3958"/>
      <c r="R341" s="3959"/>
      <c r="S341" s="3958"/>
      <c r="T341" s="3959"/>
      <c r="U341" s="3958"/>
      <c r="V341" s="3959"/>
      <c r="W341" s="3958"/>
      <c r="X341" s="3959"/>
      <c r="Y341" s="3958"/>
      <c r="Z341" s="3959"/>
      <c r="AA341" s="3958"/>
      <c r="AB341" s="3959"/>
      <c r="AC341" s="3958"/>
      <c r="AD341" s="3959"/>
      <c r="AE341" s="3958"/>
      <c r="AF341" s="3959"/>
      <c r="AG341" s="3958"/>
      <c r="AH341" s="3959"/>
      <c r="AI341" s="3958"/>
      <c r="AJ341" s="3959"/>
      <c r="AK341" s="3958"/>
      <c r="AL341" s="3959"/>
      <c r="AM341" s="3958"/>
      <c r="AN341" s="3959"/>
      <c r="AO341" s="3958"/>
      <c r="AP341" s="352"/>
      <c r="AQ341" s="430"/>
      <c r="AR341" s="347"/>
      <c r="AS341" t="str">
        <f t="shared" ref="AS341:AS343" si="339">CA341&amp;CB341</f>
        <v/>
      </c>
      <c r="CA341" s="434" t="str">
        <f t="shared" ref="CA341:CA344" si="340">IF(AND($F341&gt;0,AQ341="")," * No olvide digitar la variable Gestante. Digite cero si no tiene.",IF(AQ341&gt;$F341," * La variable Gestante no puede superar el Total Mujeres.",""))</f>
        <v/>
      </c>
      <c r="CB341" s="434" t="str">
        <f t="shared" ref="CB341:CB344" si="341">IF(AND(AK341+AL341&gt;0,AR341="")," * No olvide digitar la variable 60 años (incluido en grupos de 60-64 años). Digite Cero si no tiene.",IF(AR341&gt;AK341+AL341," * La variable 60 años (incluido en grupos de 60-64 años) no puede superar la suma del Grupo 60-64 años.",""))</f>
        <v/>
      </c>
      <c r="CO341" s="435">
        <f t="shared" ref="CO341:CO344" si="342">IF(AND($F341&gt;0,AQ341=""),1,IF(AQ341&gt;$F341,1,0))</f>
        <v>0</v>
      </c>
      <c r="CP341" s="435">
        <f t="shared" ref="CP341:CP344" si="343">IF(AND(AK341+AL341&gt;0,AR341=""),1,IF(AR341&gt;AK341+AL341,1,0))</f>
        <v>0</v>
      </c>
    </row>
    <row r="342" spans="1:94" x14ac:dyDescent="0.3">
      <c r="A342" s="6827" t="s">
        <v>1845</v>
      </c>
      <c r="B342" s="6706"/>
      <c r="C342" s="6350"/>
      <c r="D342" s="3919">
        <f>SUM(E342:F342)</f>
        <v>0</v>
      </c>
      <c r="E342" s="589">
        <f t="shared" si="338"/>
        <v>0</v>
      </c>
      <c r="F342" s="480">
        <f t="shared" si="338"/>
        <v>0</v>
      </c>
      <c r="G342" s="3958"/>
      <c r="H342" s="3959"/>
      <c r="I342" s="3958"/>
      <c r="J342" s="3959"/>
      <c r="K342" s="3958"/>
      <c r="L342" s="3959"/>
      <c r="M342" s="3958"/>
      <c r="N342" s="3959"/>
      <c r="O342" s="3958"/>
      <c r="P342" s="3959"/>
      <c r="Q342" s="3958"/>
      <c r="R342" s="3959"/>
      <c r="S342" s="3958"/>
      <c r="T342" s="3959"/>
      <c r="U342" s="3958"/>
      <c r="V342" s="3959"/>
      <c r="W342" s="3958"/>
      <c r="X342" s="3959"/>
      <c r="Y342" s="3958"/>
      <c r="Z342" s="3959"/>
      <c r="AA342" s="3958"/>
      <c r="AB342" s="3959"/>
      <c r="AC342" s="3958"/>
      <c r="AD342" s="3959"/>
      <c r="AE342" s="3958"/>
      <c r="AF342" s="3959"/>
      <c r="AG342" s="3958"/>
      <c r="AH342" s="3959"/>
      <c r="AI342" s="3958"/>
      <c r="AJ342" s="3959"/>
      <c r="AK342" s="3958"/>
      <c r="AL342" s="3959"/>
      <c r="AM342" s="3958"/>
      <c r="AN342" s="3959"/>
      <c r="AO342" s="3958"/>
      <c r="AP342" s="352"/>
      <c r="AQ342" s="430"/>
      <c r="AR342" s="347"/>
      <c r="AS342" t="str">
        <f t="shared" si="339"/>
        <v/>
      </c>
      <c r="CA342" s="434" t="str">
        <f t="shared" si="340"/>
        <v/>
      </c>
      <c r="CB342" s="434" t="str">
        <f t="shared" si="341"/>
        <v/>
      </c>
      <c r="CO342" s="435">
        <f t="shared" si="342"/>
        <v>0</v>
      </c>
      <c r="CP342" s="435">
        <f t="shared" si="343"/>
        <v>0</v>
      </c>
    </row>
    <row r="343" spans="1:94" x14ac:dyDescent="0.3">
      <c r="A343" s="6787" t="s">
        <v>1846</v>
      </c>
      <c r="B343" s="6718"/>
      <c r="C343" s="6719"/>
      <c r="D343" s="3919">
        <f>SUM(E343:F343)</f>
        <v>0</v>
      </c>
      <c r="E343" s="589">
        <f t="shared" si="338"/>
        <v>0</v>
      </c>
      <c r="F343" s="480">
        <f t="shared" si="338"/>
        <v>0</v>
      </c>
      <c r="G343" s="3958"/>
      <c r="H343" s="3959"/>
      <c r="I343" s="3958"/>
      <c r="J343" s="3959"/>
      <c r="K343" s="3958"/>
      <c r="L343" s="3959"/>
      <c r="M343" s="3958"/>
      <c r="N343" s="3959"/>
      <c r="O343" s="3958"/>
      <c r="P343" s="3959"/>
      <c r="Q343" s="3958"/>
      <c r="R343" s="3959"/>
      <c r="S343" s="3958"/>
      <c r="T343" s="3959"/>
      <c r="U343" s="3958"/>
      <c r="V343" s="3959"/>
      <c r="W343" s="3958"/>
      <c r="X343" s="3959"/>
      <c r="Y343" s="3958"/>
      <c r="Z343" s="3959"/>
      <c r="AA343" s="3958"/>
      <c r="AB343" s="3959"/>
      <c r="AC343" s="3958"/>
      <c r="AD343" s="3959"/>
      <c r="AE343" s="3958"/>
      <c r="AF343" s="3959"/>
      <c r="AG343" s="3958"/>
      <c r="AH343" s="3959"/>
      <c r="AI343" s="3958"/>
      <c r="AJ343" s="3959"/>
      <c r="AK343" s="3958"/>
      <c r="AL343" s="3959"/>
      <c r="AM343" s="3958"/>
      <c r="AN343" s="3959"/>
      <c r="AO343" s="3958"/>
      <c r="AP343" s="352"/>
      <c r="AQ343" s="377"/>
      <c r="AR343" s="2"/>
      <c r="AS343" t="str">
        <f t="shared" si="339"/>
        <v/>
      </c>
      <c r="CA343" s="434" t="str">
        <f t="shared" si="340"/>
        <v/>
      </c>
      <c r="CB343" s="434" t="str">
        <f t="shared" si="341"/>
        <v/>
      </c>
      <c r="CO343" s="435">
        <f t="shared" si="342"/>
        <v>0</v>
      </c>
      <c r="CP343" s="435">
        <f t="shared" si="343"/>
        <v>0</v>
      </c>
    </row>
    <row r="344" spans="1:94" x14ac:dyDescent="0.3">
      <c r="A344" s="6268" t="s">
        <v>1847</v>
      </c>
      <c r="B344" s="6056"/>
      <c r="C344" s="6057"/>
      <c r="D344" s="724">
        <f>SUM(E344:F344)</f>
        <v>0</v>
      </c>
      <c r="E344" s="3673">
        <f t="shared" si="338"/>
        <v>0</v>
      </c>
      <c r="F344" s="485">
        <f t="shared" si="338"/>
        <v>0</v>
      </c>
      <c r="G344" s="429"/>
      <c r="H344" s="389"/>
      <c r="I344" s="429"/>
      <c r="J344" s="389"/>
      <c r="K344" s="429"/>
      <c r="L344" s="389"/>
      <c r="M344" s="429"/>
      <c r="N344" s="389"/>
      <c r="O344" s="429"/>
      <c r="P344" s="389"/>
      <c r="Q344" s="429"/>
      <c r="R344" s="389"/>
      <c r="S344" s="429"/>
      <c r="T344" s="389"/>
      <c r="U344" s="429"/>
      <c r="V344" s="389"/>
      <c r="W344" s="429"/>
      <c r="X344" s="389"/>
      <c r="Y344" s="429"/>
      <c r="Z344" s="389"/>
      <c r="AA344" s="429"/>
      <c r="AB344" s="389"/>
      <c r="AC344" s="429"/>
      <c r="AD344" s="389"/>
      <c r="AE344" s="429"/>
      <c r="AF344" s="389"/>
      <c r="AG344" s="429"/>
      <c r="AH344" s="389"/>
      <c r="AI344" s="429"/>
      <c r="AJ344" s="389"/>
      <c r="AK344" s="429"/>
      <c r="AL344" s="389"/>
      <c r="AM344" s="429"/>
      <c r="AN344" s="389"/>
      <c r="AO344" s="429"/>
      <c r="AP344" s="390"/>
      <c r="AQ344" s="379"/>
      <c r="AR344" s="388"/>
      <c r="AS344" t="str">
        <f>CA344&amp;CB344</f>
        <v/>
      </c>
      <c r="CA344" s="434" t="str">
        <f t="shared" si="340"/>
        <v/>
      </c>
      <c r="CB344" s="434" t="str">
        <f t="shared" si="341"/>
        <v/>
      </c>
      <c r="CO344" s="435">
        <f t="shared" si="342"/>
        <v>0</v>
      </c>
      <c r="CP344" s="435">
        <f t="shared" si="343"/>
        <v>0</v>
      </c>
    </row>
    <row r="345" spans="1:94" ht="16.2" x14ac:dyDescent="0.3">
      <c r="A345" s="11" t="s">
        <v>1848</v>
      </c>
      <c r="B345" s="3960"/>
      <c r="C345" s="3960"/>
      <c r="D345" s="3961"/>
      <c r="E345" s="3962"/>
    </row>
    <row r="346" spans="1:94" ht="30.6" x14ac:dyDescent="0.3">
      <c r="A346" s="6688" t="s">
        <v>1423</v>
      </c>
      <c r="B346" s="6277"/>
      <c r="C346" s="3963" t="s">
        <v>1849</v>
      </c>
      <c r="D346" s="3964" t="s">
        <v>1850</v>
      </c>
      <c r="E346" s="3965" t="s">
        <v>1851</v>
      </c>
    </row>
    <row r="347" spans="1:94" x14ac:dyDescent="0.3">
      <c r="A347" s="6835" t="s">
        <v>1641</v>
      </c>
      <c r="B347" s="6836"/>
      <c r="C347" s="3310"/>
      <c r="D347" s="773"/>
      <c r="E347" s="576"/>
    </row>
    <row r="348" spans="1:94" x14ac:dyDescent="0.3">
      <c r="A348" s="6831" t="s">
        <v>1852</v>
      </c>
      <c r="B348" s="6832"/>
      <c r="C348" s="346"/>
      <c r="D348" s="369"/>
      <c r="E348" s="347"/>
    </row>
    <row r="349" spans="1:94" x14ac:dyDescent="0.3">
      <c r="A349" s="6053" t="s">
        <v>1853</v>
      </c>
      <c r="B349" s="5968"/>
      <c r="C349" s="346"/>
      <c r="D349" s="369"/>
      <c r="E349" s="347"/>
    </row>
    <row r="350" spans="1:94" x14ac:dyDescent="0.3">
      <c r="A350" s="6831" t="s">
        <v>1646</v>
      </c>
      <c r="B350" s="6832"/>
      <c r="C350" s="346"/>
      <c r="D350" s="369"/>
      <c r="E350" s="347"/>
    </row>
    <row r="351" spans="1:94" x14ac:dyDescent="0.3">
      <c r="A351" s="6831" t="s">
        <v>1648</v>
      </c>
      <c r="B351" s="6832"/>
      <c r="C351" s="346"/>
      <c r="D351" s="369"/>
      <c r="E351" s="347"/>
    </row>
    <row r="352" spans="1:94" x14ac:dyDescent="0.3">
      <c r="A352" s="6831" t="s">
        <v>1854</v>
      </c>
      <c r="B352" s="6832"/>
      <c r="C352" s="346"/>
      <c r="D352" s="369"/>
      <c r="E352" s="347"/>
    </row>
    <row r="353" spans="1:5" x14ac:dyDescent="0.3">
      <c r="A353" s="6831" t="s">
        <v>1645</v>
      </c>
      <c r="B353" s="6832"/>
      <c r="C353" s="346"/>
      <c r="D353" s="369"/>
      <c r="E353" s="347"/>
    </row>
    <row r="354" spans="1:5" ht="21" customHeight="1" x14ac:dyDescent="0.3">
      <c r="A354" s="6833" t="s">
        <v>1855</v>
      </c>
      <c r="B354" s="6834"/>
      <c r="C354" s="346"/>
      <c r="D354" s="369"/>
      <c r="E354" s="347"/>
    </row>
    <row r="355" spans="1:5" x14ac:dyDescent="0.3">
      <c r="A355" s="6833" t="s">
        <v>1649</v>
      </c>
      <c r="B355" s="6834"/>
      <c r="C355" s="346"/>
      <c r="D355" s="369"/>
      <c r="E355" s="347"/>
    </row>
    <row r="356" spans="1:5" x14ac:dyDescent="0.3">
      <c r="A356" s="6833" t="s">
        <v>1650</v>
      </c>
      <c r="B356" s="6834"/>
      <c r="C356" s="346"/>
      <c r="D356" s="369"/>
      <c r="E356" s="347"/>
    </row>
    <row r="357" spans="1:5" x14ac:dyDescent="0.3">
      <c r="A357" s="6829" t="s">
        <v>1856</v>
      </c>
      <c r="B357" s="6830"/>
      <c r="C357" s="380"/>
      <c r="D357" s="2911"/>
      <c r="E357" s="388"/>
    </row>
    <row r="384" spans="1:2" hidden="1" x14ac:dyDescent="0.3">
      <c r="A384" s="3114">
        <f>SUM(D12:D17,D21:D38,D44:D67,D71:D81,I71:I81,D85:D86,D91:D143,B148:B158,I148:I158,D163:D174,D179:D200,D202:D226,D231:D234,D241:D245,D250:D335,D340:D344,C347:E357)</f>
        <v>0</v>
      </c>
      <c r="B384" s="3115">
        <f>SUM(CO12:CZ344)</f>
        <v>0</v>
      </c>
    </row>
  </sheetData>
  <sheetProtection algorithmName="SHA-512" hashValue="IUiyhoTia4SoDq6QfVM5zkiMPDd2cT5p9PMVQRtXmktYp7QjxqDn2mWFp6TS4gNhgVS+UXeJtB40BqaALp1PeA==" saltValue="2J58Rk/lXugtSFHApLI3hA==" spinCount="100000" sheet="1" objects="1" scenarios="1"/>
  <mergeCells count="563">
    <mergeCell ref="A357:B357"/>
    <mergeCell ref="A353:B353"/>
    <mergeCell ref="A356:B356"/>
    <mergeCell ref="A346:B346"/>
    <mergeCell ref="A347:B347"/>
    <mergeCell ref="A348:B348"/>
    <mergeCell ref="A349:B349"/>
    <mergeCell ref="A350:B350"/>
    <mergeCell ref="A351:B351"/>
    <mergeCell ref="A354:B354"/>
    <mergeCell ref="A355:B355"/>
    <mergeCell ref="A352:B352"/>
    <mergeCell ref="A340:C340"/>
    <mergeCell ref="A341:C341"/>
    <mergeCell ref="A342:C342"/>
    <mergeCell ref="A343:C343"/>
    <mergeCell ref="A344:C344"/>
    <mergeCell ref="G337:AP337"/>
    <mergeCell ref="AQ337:AQ339"/>
    <mergeCell ref="AR337:AR339"/>
    <mergeCell ref="G338:H338"/>
    <mergeCell ref="I338:J338"/>
    <mergeCell ref="K338:L338"/>
    <mergeCell ref="M338:N338"/>
    <mergeCell ref="O338:P338"/>
    <mergeCell ref="Q338:R338"/>
    <mergeCell ref="S338:T338"/>
    <mergeCell ref="U338:V338"/>
    <mergeCell ref="W338:X338"/>
    <mergeCell ref="Y338:Z338"/>
    <mergeCell ref="AA338:AB338"/>
    <mergeCell ref="AC338:AD338"/>
    <mergeCell ref="AE338:AF338"/>
    <mergeCell ref="AG338:AH338"/>
    <mergeCell ref="AI338:AJ338"/>
    <mergeCell ref="AK338:AL338"/>
    <mergeCell ref="AM338:AN338"/>
    <mergeCell ref="AO338:AP338"/>
    <mergeCell ref="A330:A335"/>
    <mergeCell ref="B330:C330"/>
    <mergeCell ref="B331:C331"/>
    <mergeCell ref="B332:C332"/>
    <mergeCell ref="B333:C333"/>
    <mergeCell ref="B334:C334"/>
    <mergeCell ref="B335:C335"/>
    <mergeCell ref="A337:C339"/>
    <mergeCell ref="D337:F338"/>
    <mergeCell ref="B322:C322"/>
    <mergeCell ref="B323:C323"/>
    <mergeCell ref="A324:A329"/>
    <mergeCell ref="B324:C324"/>
    <mergeCell ref="B325:C325"/>
    <mergeCell ref="B326:C326"/>
    <mergeCell ref="B327:C327"/>
    <mergeCell ref="B328:C328"/>
    <mergeCell ref="B329:C329"/>
    <mergeCell ref="A318:A323"/>
    <mergeCell ref="B318:C318"/>
    <mergeCell ref="B319:C319"/>
    <mergeCell ref="B320:C320"/>
    <mergeCell ref="B321:C321"/>
    <mergeCell ref="AU247:AU249"/>
    <mergeCell ref="AV247:AV249"/>
    <mergeCell ref="AW247:AW249"/>
    <mergeCell ref="AX247:AX249"/>
    <mergeCell ref="G248:H248"/>
    <mergeCell ref="I248:J248"/>
    <mergeCell ref="K248:L248"/>
    <mergeCell ref="M248:N248"/>
    <mergeCell ref="O248:P248"/>
    <mergeCell ref="Q248:R248"/>
    <mergeCell ref="S248:T248"/>
    <mergeCell ref="U248:V248"/>
    <mergeCell ref="W248:X248"/>
    <mergeCell ref="Y248:Z248"/>
    <mergeCell ref="AA248:AB248"/>
    <mergeCell ref="AC248:AD248"/>
    <mergeCell ref="AE248:AF248"/>
    <mergeCell ref="AG248:AH248"/>
    <mergeCell ref="AI248:AJ248"/>
    <mergeCell ref="AK248:AL248"/>
    <mergeCell ref="AO248:AO249"/>
    <mergeCell ref="AP248:AP249"/>
    <mergeCell ref="D247:F248"/>
    <mergeCell ref="G247:AL247"/>
    <mergeCell ref="AM247:AM249"/>
    <mergeCell ref="AN247:AN249"/>
    <mergeCell ref="AO247:AP247"/>
    <mergeCell ref="AQ247:AQ249"/>
    <mergeCell ref="AR247:AR249"/>
    <mergeCell ref="AS247:AS249"/>
    <mergeCell ref="AT247:AT249"/>
    <mergeCell ref="AV176:AV178"/>
    <mergeCell ref="AW176:AW178"/>
    <mergeCell ref="AX176:AX178"/>
    <mergeCell ref="G177:H177"/>
    <mergeCell ref="I177:J177"/>
    <mergeCell ref="K177:L177"/>
    <mergeCell ref="M177:N177"/>
    <mergeCell ref="O177:P177"/>
    <mergeCell ref="Q177:R177"/>
    <mergeCell ref="S177:T177"/>
    <mergeCell ref="U177:V177"/>
    <mergeCell ref="W177:X177"/>
    <mergeCell ref="Y177:Z177"/>
    <mergeCell ref="AA177:AB177"/>
    <mergeCell ref="AC177:AD177"/>
    <mergeCell ref="AE177:AF177"/>
    <mergeCell ref="AG177:AH177"/>
    <mergeCell ref="AI177:AJ177"/>
    <mergeCell ref="AK177:AL177"/>
    <mergeCell ref="AM177:AN177"/>
    <mergeCell ref="AO177:AP177"/>
    <mergeCell ref="A174:C174"/>
    <mergeCell ref="A176:C178"/>
    <mergeCell ref="D176:F177"/>
    <mergeCell ref="G176:AP176"/>
    <mergeCell ref="AQ176:AQ178"/>
    <mergeCell ref="AR176:AR178"/>
    <mergeCell ref="AS176:AS178"/>
    <mergeCell ref="AT176:AT178"/>
    <mergeCell ref="AU176:AU178"/>
    <mergeCell ref="AW160:AW162"/>
    <mergeCell ref="AX160:AX162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W161:X161"/>
    <mergeCell ref="Y161:Z161"/>
    <mergeCell ref="AA161:AB161"/>
    <mergeCell ref="AC161:AD161"/>
    <mergeCell ref="AE161:AF161"/>
    <mergeCell ref="AG161:AH161"/>
    <mergeCell ref="AI161:AJ161"/>
    <mergeCell ref="AK161:AL161"/>
    <mergeCell ref="AM161:AN161"/>
    <mergeCell ref="AO161:AP161"/>
    <mergeCell ref="AX88:AX90"/>
    <mergeCell ref="A91:A96"/>
    <mergeCell ref="B91:C91"/>
    <mergeCell ref="A97:A102"/>
    <mergeCell ref="A141:C141"/>
    <mergeCell ref="A145:A147"/>
    <mergeCell ref="B145:B147"/>
    <mergeCell ref="C145:C147"/>
    <mergeCell ref="D145:D147"/>
    <mergeCell ref="E145:E147"/>
    <mergeCell ref="F145:F147"/>
    <mergeCell ref="G145:G147"/>
    <mergeCell ref="H145:H147"/>
    <mergeCell ref="I145:I147"/>
    <mergeCell ref="J145:J147"/>
    <mergeCell ref="K145:K147"/>
    <mergeCell ref="L145:L147"/>
    <mergeCell ref="M145:M147"/>
    <mergeCell ref="N145:N147"/>
    <mergeCell ref="AW145:AW147"/>
    <mergeCell ref="AX145:AX147"/>
    <mergeCell ref="A143:C143"/>
    <mergeCell ref="A136:C136"/>
    <mergeCell ref="A137:C137"/>
    <mergeCell ref="D69:H69"/>
    <mergeCell ref="I69:M69"/>
    <mergeCell ref="N69:N70"/>
    <mergeCell ref="A71:C71"/>
    <mergeCell ref="A72:A73"/>
    <mergeCell ref="B73:C73"/>
    <mergeCell ref="B303:C303"/>
    <mergeCell ref="B304:C304"/>
    <mergeCell ref="B297:C297"/>
    <mergeCell ref="B298:C298"/>
    <mergeCell ref="B299:C299"/>
    <mergeCell ref="B300:C300"/>
    <mergeCell ref="B301:C301"/>
    <mergeCell ref="B302:C302"/>
    <mergeCell ref="B291:C291"/>
    <mergeCell ref="B292:C292"/>
    <mergeCell ref="B293:C293"/>
    <mergeCell ref="B294:C294"/>
    <mergeCell ref="B295:C295"/>
    <mergeCell ref="B296:C296"/>
    <mergeCell ref="A288:A293"/>
    <mergeCell ref="A294:A299"/>
    <mergeCell ref="B285:C285"/>
    <mergeCell ref="A172:C172"/>
    <mergeCell ref="B305:C305"/>
    <mergeCell ref="B306:C306"/>
    <mergeCell ref="B307:C307"/>
    <mergeCell ref="A312:A317"/>
    <mergeCell ref="B312:C312"/>
    <mergeCell ref="B313:C313"/>
    <mergeCell ref="B314:C314"/>
    <mergeCell ref="B315:C315"/>
    <mergeCell ref="B316:C316"/>
    <mergeCell ref="B317:C317"/>
    <mergeCell ref="B308:C308"/>
    <mergeCell ref="A306:A311"/>
    <mergeCell ref="B309:C309"/>
    <mergeCell ref="B310:C310"/>
    <mergeCell ref="B311:C311"/>
    <mergeCell ref="A300:A305"/>
    <mergeCell ref="B288:C288"/>
    <mergeCell ref="B289:C289"/>
    <mergeCell ref="B290:C290"/>
    <mergeCell ref="B279:C279"/>
    <mergeCell ref="B280:C280"/>
    <mergeCell ref="B281:C281"/>
    <mergeCell ref="B282:C282"/>
    <mergeCell ref="B283:C283"/>
    <mergeCell ref="B284:C284"/>
    <mergeCell ref="A276:A281"/>
    <mergeCell ref="A282:A287"/>
    <mergeCell ref="B273:C273"/>
    <mergeCell ref="B274:C274"/>
    <mergeCell ref="B275:C275"/>
    <mergeCell ref="B276:C276"/>
    <mergeCell ref="B277:C277"/>
    <mergeCell ref="B278:C278"/>
    <mergeCell ref="B267:C267"/>
    <mergeCell ref="B268:C268"/>
    <mergeCell ref="B269:C269"/>
    <mergeCell ref="B270:C270"/>
    <mergeCell ref="B271:C271"/>
    <mergeCell ref="B272:C272"/>
    <mergeCell ref="A264:A269"/>
    <mergeCell ref="A270:A275"/>
    <mergeCell ref="B286:C286"/>
    <mergeCell ref="B287:C287"/>
    <mergeCell ref="B264:C264"/>
    <mergeCell ref="B265:C265"/>
    <mergeCell ref="B266:C266"/>
    <mergeCell ref="A243:C243"/>
    <mergeCell ref="A244:C244"/>
    <mergeCell ref="A245:C245"/>
    <mergeCell ref="A247:C249"/>
    <mergeCell ref="A250:A251"/>
    <mergeCell ref="B261:C261"/>
    <mergeCell ref="B262:C262"/>
    <mergeCell ref="B263:C263"/>
    <mergeCell ref="A241:C241"/>
    <mergeCell ref="A242:C242"/>
    <mergeCell ref="B255:C255"/>
    <mergeCell ref="B256:C256"/>
    <mergeCell ref="B257:C257"/>
    <mergeCell ref="B258:C258"/>
    <mergeCell ref="B259:C259"/>
    <mergeCell ref="B260:C260"/>
    <mergeCell ref="A252:A257"/>
    <mergeCell ref="A258:A263"/>
    <mergeCell ref="B250:C250"/>
    <mergeCell ref="B251:C251"/>
    <mergeCell ref="B252:C252"/>
    <mergeCell ref="B253:C253"/>
    <mergeCell ref="B254:C254"/>
    <mergeCell ref="AG228:AG230"/>
    <mergeCell ref="AH228:AH230"/>
    <mergeCell ref="A228:C230"/>
    <mergeCell ref="D228:F229"/>
    <mergeCell ref="AA229:AB229"/>
    <mergeCell ref="I229:J229"/>
    <mergeCell ref="K229:L229"/>
    <mergeCell ref="M229:N229"/>
    <mergeCell ref="O229:P229"/>
    <mergeCell ref="Q229:R229"/>
    <mergeCell ref="S229:T229"/>
    <mergeCell ref="U229:V229"/>
    <mergeCell ref="W229:X229"/>
    <mergeCell ref="A232:C232"/>
    <mergeCell ref="A233:C233"/>
    <mergeCell ref="A234:C234"/>
    <mergeCell ref="A235:C235"/>
    <mergeCell ref="A236:C236"/>
    <mergeCell ref="A238:C240"/>
    <mergeCell ref="D238:F239"/>
    <mergeCell ref="G238:G240"/>
    <mergeCell ref="G228:AB228"/>
    <mergeCell ref="K238:K240"/>
    <mergeCell ref="H238:H240"/>
    <mergeCell ref="I238:I240"/>
    <mergeCell ref="J238:J240"/>
    <mergeCell ref="A231:C231"/>
    <mergeCell ref="AI228:AI230"/>
    <mergeCell ref="G229:H229"/>
    <mergeCell ref="A201:A203"/>
    <mergeCell ref="B201:B203"/>
    <mergeCell ref="A204:A211"/>
    <mergeCell ref="B204:B206"/>
    <mergeCell ref="B207:B208"/>
    <mergeCell ref="B209:B211"/>
    <mergeCell ref="A212:A216"/>
    <mergeCell ref="B212:C212"/>
    <mergeCell ref="B213:B214"/>
    <mergeCell ref="B215:B216"/>
    <mergeCell ref="A217:A219"/>
    <mergeCell ref="B217:B219"/>
    <mergeCell ref="A220:A221"/>
    <mergeCell ref="B220:B221"/>
    <mergeCell ref="A222:A226"/>
    <mergeCell ref="B222:B223"/>
    <mergeCell ref="B224:B226"/>
    <mergeCell ref="Y229:Z229"/>
    <mergeCell ref="AC228:AC230"/>
    <mergeCell ref="AD228:AD230"/>
    <mergeCell ref="AE228:AE230"/>
    <mergeCell ref="AF228:AF230"/>
    <mergeCell ref="A192:A200"/>
    <mergeCell ref="B192:C192"/>
    <mergeCell ref="B193:C193"/>
    <mergeCell ref="B194:C194"/>
    <mergeCell ref="B195:C195"/>
    <mergeCell ref="B196:B200"/>
    <mergeCell ref="A179:A191"/>
    <mergeCell ref="B179:C179"/>
    <mergeCell ref="B180:C180"/>
    <mergeCell ref="B181:C181"/>
    <mergeCell ref="B182:C182"/>
    <mergeCell ref="B183:B191"/>
    <mergeCell ref="A169:C169"/>
    <mergeCell ref="A170:B170"/>
    <mergeCell ref="A171:C171"/>
    <mergeCell ref="AQ160:AQ162"/>
    <mergeCell ref="AR160:AR162"/>
    <mergeCell ref="AS145:AS147"/>
    <mergeCell ref="AT145:AT147"/>
    <mergeCell ref="AU145:AU147"/>
    <mergeCell ref="AV145:AV147"/>
    <mergeCell ref="AQ145:AQ147"/>
    <mergeCell ref="AR145:AR147"/>
    <mergeCell ref="A160:C162"/>
    <mergeCell ref="D160:F161"/>
    <mergeCell ref="G160:AP160"/>
    <mergeCell ref="A163:C163"/>
    <mergeCell ref="A164:C164"/>
    <mergeCell ref="A165:C165"/>
    <mergeCell ref="A166:C166"/>
    <mergeCell ref="A167:C167"/>
    <mergeCell ref="A168:C168"/>
    <mergeCell ref="AS160:AS162"/>
    <mergeCell ref="AT160:AT162"/>
    <mergeCell ref="AU160:AU162"/>
    <mergeCell ref="AV160:AV162"/>
    <mergeCell ref="A138:C138"/>
    <mergeCell ref="A139:C139"/>
    <mergeCell ref="A142:C142"/>
    <mergeCell ref="A130:C130"/>
    <mergeCell ref="A131:C131"/>
    <mergeCell ref="A132:C132"/>
    <mergeCell ref="A133:C133"/>
    <mergeCell ref="A134:C134"/>
    <mergeCell ref="A135:C135"/>
    <mergeCell ref="A125:C125"/>
    <mergeCell ref="A126:C126"/>
    <mergeCell ref="A127:C127"/>
    <mergeCell ref="A128:C128"/>
    <mergeCell ref="A129:C129"/>
    <mergeCell ref="A119:C119"/>
    <mergeCell ref="A120:C120"/>
    <mergeCell ref="A121:C121"/>
    <mergeCell ref="A122:C122"/>
    <mergeCell ref="A123:C123"/>
    <mergeCell ref="A124:C124"/>
    <mergeCell ref="A113:C113"/>
    <mergeCell ref="A114:C114"/>
    <mergeCell ref="A115:C115"/>
    <mergeCell ref="A116:C116"/>
    <mergeCell ref="A117:C117"/>
    <mergeCell ref="A118:C118"/>
    <mergeCell ref="A108:C108"/>
    <mergeCell ref="A109:C109"/>
    <mergeCell ref="A110:C110"/>
    <mergeCell ref="A111:C111"/>
    <mergeCell ref="A112:C112"/>
    <mergeCell ref="A107:C107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Q89:R89"/>
    <mergeCell ref="S89:T89"/>
    <mergeCell ref="U89:V89"/>
    <mergeCell ref="W89:X89"/>
    <mergeCell ref="Y89:Z89"/>
    <mergeCell ref="A103:C103"/>
    <mergeCell ref="A104:C104"/>
    <mergeCell ref="A105:C105"/>
    <mergeCell ref="A106:C106"/>
    <mergeCell ref="AR88:AR90"/>
    <mergeCell ref="AS88:AS90"/>
    <mergeCell ref="AT88:AT90"/>
    <mergeCell ref="AU88:AU90"/>
    <mergeCell ref="AV88:AV90"/>
    <mergeCell ref="AW88:AW90"/>
    <mergeCell ref="A88:C90"/>
    <mergeCell ref="D88:F89"/>
    <mergeCell ref="G88:AN88"/>
    <mergeCell ref="AO88:AO90"/>
    <mergeCell ref="AP88:AP90"/>
    <mergeCell ref="AQ88:AQ90"/>
    <mergeCell ref="G89:H89"/>
    <mergeCell ref="I89:J89"/>
    <mergeCell ref="K89:L89"/>
    <mergeCell ref="M89:N89"/>
    <mergeCell ref="AM89:AN89"/>
    <mergeCell ref="AI89:AJ89"/>
    <mergeCell ref="AK89:AL89"/>
    <mergeCell ref="AA89:AB89"/>
    <mergeCell ref="AC89:AD89"/>
    <mergeCell ref="AE89:AF89"/>
    <mergeCell ref="AG89:AH89"/>
    <mergeCell ref="O89:P89"/>
    <mergeCell ref="A79:C79"/>
    <mergeCell ref="A80:C80"/>
    <mergeCell ref="A81:C81"/>
    <mergeCell ref="A83:C84"/>
    <mergeCell ref="D83:F83"/>
    <mergeCell ref="A85:A86"/>
    <mergeCell ref="B85:C85"/>
    <mergeCell ref="B86:C86"/>
    <mergeCell ref="A74:C74"/>
    <mergeCell ref="A75:C75"/>
    <mergeCell ref="A77:C77"/>
    <mergeCell ref="A78:C78"/>
    <mergeCell ref="A76:C76"/>
    <mergeCell ref="A63:C63"/>
    <mergeCell ref="B72:C72"/>
    <mergeCell ref="A48:C48"/>
    <mergeCell ref="A50:C50"/>
    <mergeCell ref="A51:B56"/>
    <mergeCell ref="A57:C57"/>
    <mergeCell ref="A58:B62"/>
    <mergeCell ref="A49:C49"/>
    <mergeCell ref="A64:B66"/>
    <mergeCell ref="A67:C67"/>
    <mergeCell ref="A69:C70"/>
    <mergeCell ref="A44:C44"/>
    <mergeCell ref="A45:C45"/>
    <mergeCell ref="A46:C46"/>
    <mergeCell ref="A47:C47"/>
    <mergeCell ref="AA42:AB42"/>
    <mergeCell ref="AC42:AD42"/>
    <mergeCell ref="AE42:AF42"/>
    <mergeCell ref="AG42:AH42"/>
    <mergeCell ref="AI42:AJ42"/>
    <mergeCell ref="D41:F42"/>
    <mergeCell ref="AU41:AU43"/>
    <mergeCell ref="AV41:AV43"/>
    <mergeCell ref="AW41:AW43"/>
    <mergeCell ref="AX41:AX43"/>
    <mergeCell ref="G42:H42"/>
    <mergeCell ref="I42:J42"/>
    <mergeCell ref="K42:L42"/>
    <mergeCell ref="M42:N42"/>
    <mergeCell ref="O42:P42"/>
    <mergeCell ref="Q42:R42"/>
    <mergeCell ref="G41:AP41"/>
    <mergeCell ref="AQ41:AQ43"/>
    <mergeCell ref="AR41:AR43"/>
    <mergeCell ref="AS41:AS43"/>
    <mergeCell ref="AT41:AT43"/>
    <mergeCell ref="S42:T42"/>
    <mergeCell ref="U42:V42"/>
    <mergeCell ref="W42:X42"/>
    <mergeCell ref="Y42:Z42"/>
    <mergeCell ref="AM42:AN42"/>
    <mergeCell ref="AO42:AP42"/>
    <mergeCell ref="AK42:AL42"/>
    <mergeCell ref="A34:C34"/>
    <mergeCell ref="A35:C35"/>
    <mergeCell ref="A36:C36"/>
    <mergeCell ref="A37:C37"/>
    <mergeCell ref="A39:C39"/>
    <mergeCell ref="A41:C43"/>
    <mergeCell ref="A28:C28"/>
    <mergeCell ref="A29:C29"/>
    <mergeCell ref="A30:C30"/>
    <mergeCell ref="A31:C31"/>
    <mergeCell ref="A32:C32"/>
    <mergeCell ref="A33:C33"/>
    <mergeCell ref="AV19:AV20"/>
    <mergeCell ref="A21:C21"/>
    <mergeCell ref="AK19:AL19"/>
    <mergeCell ref="AM19:AN19"/>
    <mergeCell ref="AO19:AP19"/>
    <mergeCell ref="AQ19:AQ20"/>
    <mergeCell ref="AR19:AR20"/>
    <mergeCell ref="AS19:AS20"/>
    <mergeCell ref="Y19:Z19"/>
    <mergeCell ref="AA19:AB19"/>
    <mergeCell ref="AC19:AD19"/>
    <mergeCell ref="AE19:AF19"/>
    <mergeCell ref="AG19:AH19"/>
    <mergeCell ref="AI19:AJ19"/>
    <mergeCell ref="M19:N19"/>
    <mergeCell ref="O19:P19"/>
    <mergeCell ref="A22:C22"/>
    <mergeCell ref="A23:C23"/>
    <mergeCell ref="A16:C16"/>
    <mergeCell ref="A17:C17"/>
    <mergeCell ref="A24:C24"/>
    <mergeCell ref="A25:C25"/>
    <mergeCell ref="A26:C26"/>
    <mergeCell ref="A27:C27"/>
    <mergeCell ref="AT19:AT20"/>
    <mergeCell ref="AK10:AL10"/>
    <mergeCell ref="AW19:AW20"/>
    <mergeCell ref="AX19:AX20"/>
    <mergeCell ref="A12:C12"/>
    <mergeCell ref="A13:C13"/>
    <mergeCell ref="A14:C14"/>
    <mergeCell ref="A15:C15"/>
    <mergeCell ref="A19:C20"/>
    <mergeCell ref="D19:F19"/>
    <mergeCell ref="G19:H19"/>
    <mergeCell ref="I19:J19"/>
    <mergeCell ref="K19:L19"/>
    <mergeCell ref="Q19:R19"/>
    <mergeCell ref="S19:T19"/>
    <mergeCell ref="U19:V19"/>
    <mergeCell ref="W19:X19"/>
    <mergeCell ref="AM10:AN10"/>
    <mergeCell ref="Q10:R10"/>
    <mergeCell ref="S10:T10"/>
    <mergeCell ref="U10:V10"/>
    <mergeCell ref="W10:X10"/>
    <mergeCell ref="Y10:Z10"/>
    <mergeCell ref="AA10:AB10"/>
    <mergeCell ref="AU19:AU20"/>
    <mergeCell ref="G67:Z67"/>
    <mergeCell ref="A6:P6"/>
    <mergeCell ref="DR6:EI6"/>
    <mergeCell ref="A9:C11"/>
    <mergeCell ref="D9:F10"/>
    <mergeCell ref="G9:AP9"/>
    <mergeCell ref="AQ9:AQ11"/>
    <mergeCell ref="AR9:AR11"/>
    <mergeCell ref="AS9:AS11"/>
    <mergeCell ref="AT9:AT11"/>
    <mergeCell ref="AU9:AU11"/>
    <mergeCell ref="AV9:AV11"/>
    <mergeCell ref="AW9:AW11"/>
    <mergeCell ref="AX9:AX11"/>
    <mergeCell ref="G10:H10"/>
    <mergeCell ref="I10:J10"/>
    <mergeCell ref="K10:L10"/>
    <mergeCell ref="M10:N10"/>
    <mergeCell ref="O10:P10"/>
    <mergeCell ref="AO10:AP10"/>
    <mergeCell ref="AC10:AD10"/>
    <mergeCell ref="AE10:AF10"/>
    <mergeCell ref="AG10:AH10"/>
    <mergeCell ref="AI10:AJ10"/>
  </mergeCells>
  <dataValidations count="10">
    <dataValidation type="whole" operator="greaterThanOrEqual" allowBlank="1" showInputMessage="1" showErrorMessage="1" errorTitle="Error" error="Favor Ingrese sólo Números." sqref="O148:AX156 G12:AX17 G23:T33 U45:X63 E85:F86 AH183 AO196 AJ183 O157 G163:AX173 AC196 AE196 AF183 AD183 AQ196:AX196 G340:AR344 AD231:AD236 AL183 AG196 AN183 AI196 AP183:AX183 AK196 AM196 E241:K245 G45:R46 S44:T63 U21:AX38 G35:T38 G21:T21 G48:R63 AA44:AX67 Y44:Z66" xr:uid="{00000000-0002-0000-0900-000000000000}">
      <formula1>0</formula1>
    </dataValidation>
    <dataValidation type="whole" operator="greaterThanOrEqual" allowBlank="1" showInputMessage="1" showErrorMessage="1" sqref="J71:N81 E71:H81" xr:uid="{103569F6-8656-4260-956F-386A5CDEB186}">
      <formula1>0</formula1>
    </dataValidation>
    <dataValidation type="whole" operator="equal" allowBlank="1" showInputMessage="1" showErrorMessage="1" errorTitle="Error" error="Favor Ingrese sólo Números." sqref="G22:T22 G44:R44 G47:R47 U44:X44 G34:T34 G64:G67 H64:X66" xr:uid="{714DC3D5-0680-41E3-93EB-1CC193492D91}">
      <formula1>0</formula1>
    </dataValidation>
    <dataValidation type="whole" operator="equal" allowBlank="1" showInputMessage="1" showErrorMessage="1" sqref="AV330:AV332 AV334:AV335 AO331:AP331 AO332:AQ335 G231:J236 D235:F236 K235:T236 U231:AB236 AC235:AC236 AH235:AI236 AA220:AB221 Y220:Z226 G204:X226 Y204:Z216 AA209:AB216 AC212:AJ216 AM212:AP216 AS212:AT216 AV205:AV206 AV208 AV210:AV211 AV220:AV221 AV223 AV225:AV226 G179:AB200 AC179:AC191 AE179:AE191 AG179:AG191 AI179:AI191 AK179:AK191 AM179:AM191 AO179:AO191 AP192:AP200 AN192:AN200 AL192:AL200 AJ192:AJ200 AH192:AH200 AF192:AF200 AD192:AD200 AV192:AV195 F148 F151:F152 F154 F156 L148 L151:L152 L154 L156 G121:P127 Q122:X125 Q127:X127 G110:P114 G104:X104" xr:uid="{8B9CE04D-E205-43B5-B707-8FC1AF87FB78}">
      <formula1>0</formula1>
    </dataValidation>
    <dataValidation type="whole" allowBlank="1" showInputMessage="1" showErrorMessage="1" sqref="AA202:AB208 AA222:AB226 Y217:AB219 Y202:Z203 G128:X142 Y91:AX142 G105:P109 Q126:X126 G115:P120 G91:X103 Q105:X121" xr:uid="{8CF5700F-03BA-460E-81EE-C598E1057758}">
      <formula1>0</formula1>
      <formula2>9.99999999999999E+40</formula2>
    </dataValidation>
    <dataValidation type="whole" allowBlank="1" showInputMessage="1" showErrorMessage="1" sqref="AV184:AV191 F157 AQ179:AX182 AV224 AQ197:AX200 G250:AX329 AQ202:AR226 AS217:AT226 AS202:AT211 AU202:AU226 AW202:AX226 AV202:AV204 AV207 AV209 AV212:AV219 AV222 AQ184:AU195 AW184:AX195 C148:E157 G148:H157 F149:F150 F153 F155 J148:K157 M148:N157 L157 L155 L153 L149:L150" xr:uid="{3FDBDA2C-8336-4286-8FF2-247CF3C41D2B}">
      <formula1>0</formula1>
      <formula2>9.99999999999999E+39</formula2>
    </dataValidation>
    <dataValidation type="whole" allowBlank="1" showInputMessage="1" showErrorMessage="1" sqref="E179:E191 F192:F200" xr:uid="{3EE8E97D-9BE9-46E2-8737-EA7AD5E2BA63}">
      <formula1>0</formula1>
      <formula2>9.99999999999999E+34</formula2>
    </dataValidation>
    <dataValidation type="whole" allowBlank="1" showInputMessage="1" showErrorMessage="1" sqref="G202:X203 C347:E357" xr:uid="{0ABB7874-19D2-4B4C-AAD3-4E3A907B79D9}">
      <formula1>0</formula1>
      <formula2>9.99999999999999E+42</formula2>
    </dataValidation>
    <dataValidation type="whole" allowBlank="1" showInputMessage="1" showErrorMessage="1" sqref="AC192:AC195 AM217:AP226 AP184:AP191 AC217:AJ226 AC202:AJ211 AK202:AL226 AM202:AP211 AF179:AF182 AK192:AK195 AG192:AG195 AE192:AE195 AD179:AD182 AE197:AE200 AG197:AG200 AH179:AH182 AI197:AI200 AI192:AI195 AK197:AK200 AO192:AO195 AJ179:AJ182 AL179:AL182 AM197:AM200 AM192:AM195 AO197:AO200 AP179:AP182 AN179:AN182 AN184:AN191 AL184:AL191 AJ184:AJ191 AH184:AH191 AF184:AF191 AC197:AC200 AD184:AD191" xr:uid="{D0787436-2597-41C3-896D-F3EB73D941A9}">
      <formula1>0</formula1>
      <formula2>9.99999999999999E+38</formula2>
    </dataValidation>
    <dataValidation type="whole" allowBlank="1" showInputMessage="1" showErrorMessage="1" sqref="AC231:AC234 K231:T234 AE231:AG236 AH231:AI234" xr:uid="{C019A070-DFA7-4ECE-AE20-353195CA6FCA}">
      <formula1>0</formula1>
      <formula2>9.99999999999999E+37</formula2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EF311"/>
  <sheetViews>
    <sheetView showGridLines="0" zoomScale="106" zoomScaleNormal="106" workbookViewId="0"/>
  </sheetViews>
  <sheetFormatPr baseColWidth="10" defaultColWidth="11.44140625" defaultRowHeight="14.4" x14ac:dyDescent="0.3"/>
  <cols>
    <col min="1" max="1" width="43.109375" customWidth="1"/>
    <col min="2" max="2" width="35.88671875" customWidth="1"/>
    <col min="3" max="3" width="16.88671875" customWidth="1"/>
    <col min="4" max="4" width="14.88671875" customWidth="1"/>
    <col min="5" max="5" width="14.5546875" customWidth="1"/>
    <col min="44" max="44" width="13.44140625" customWidth="1"/>
    <col min="46" max="46" width="12.88671875" customWidth="1"/>
    <col min="48" max="48" width="12.44140625" customWidth="1"/>
    <col min="50" max="50" width="12.109375" customWidth="1"/>
    <col min="76" max="77" width="8.109375" customWidth="1"/>
    <col min="78" max="78" width="9.44140625" hidden="1" customWidth="1"/>
    <col min="79" max="84" width="14" hidden="1" customWidth="1"/>
    <col min="85" max="90" width="11.44140625" hidden="1" customWidth="1"/>
    <col min="91" max="91" width="11.88671875" hidden="1" customWidth="1"/>
    <col min="92" max="131" width="11.44140625" hidden="1" customWidth="1"/>
    <col min="132" max="132" width="24.33203125" hidden="1" customWidth="1"/>
    <col min="133" max="136" width="11.44140625" hidden="1" customWidth="1"/>
    <col min="137" max="137" width="9.44140625" customWidth="1"/>
    <col min="138" max="139" width="8.109375" customWidth="1"/>
  </cols>
  <sheetData>
    <row r="1" spans="1:133" x14ac:dyDescent="0.3">
      <c r="A1" s="50" t="s">
        <v>23</v>
      </c>
    </row>
    <row r="2" spans="1:133" x14ac:dyDescent="0.3">
      <c r="A2" s="50" t="str">
        <f>CONCATENATE("COMUNA: ",NOMBRE!B2, " (",NOMBRE!C2,NOMBRE!D2,NOMBRE!E2,NOMBRE!F2,NOMBRE!G2,")")</f>
        <v>COMUNA:  ()</v>
      </c>
    </row>
    <row r="3" spans="1:133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133" x14ac:dyDescent="0.3">
      <c r="A4" s="50" t="str">
        <f>CONCATENATE("MES: ",NOMBRE!B6, " (",NOMBRE!C6,NOMBRE!D6,")")</f>
        <v>MES:  ()</v>
      </c>
    </row>
    <row r="5" spans="1:133" x14ac:dyDescent="0.3">
      <c r="A5" s="50" t="str">
        <f>CONCATENATE("AÑO: ",NOMBRE!B7)</f>
        <v>AÑO: 2025</v>
      </c>
    </row>
    <row r="6" spans="1:133" s="1970" customFormat="1" ht="18" customHeight="1" x14ac:dyDescent="0.3">
      <c r="A6" s="5819" t="s">
        <v>1857</v>
      </c>
      <c r="B6" s="5819"/>
      <c r="C6" s="5819"/>
      <c r="D6" s="5819"/>
      <c r="E6" s="5819"/>
      <c r="F6" s="5819"/>
      <c r="G6" s="5819"/>
      <c r="H6" s="5819"/>
      <c r="I6" s="5819"/>
      <c r="J6" s="5819"/>
      <c r="K6" s="5819"/>
      <c r="L6" s="5819"/>
      <c r="M6" s="5819"/>
      <c r="N6" s="5819"/>
      <c r="O6" s="5819"/>
      <c r="P6" s="5819"/>
      <c r="Q6" s="3966"/>
      <c r="R6" s="3966"/>
      <c r="S6" s="3966"/>
      <c r="T6" s="3966"/>
      <c r="U6" s="3966"/>
      <c r="V6" s="3966"/>
      <c r="W6" s="3966"/>
      <c r="X6" s="3966"/>
      <c r="Y6" s="3966"/>
      <c r="Z6" s="3966"/>
      <c r="AA6" s="3966"/>
      <c r="AB6" s="3966"/>
      <c r="AC6" s="3966"/>
      <c r="AD6" s="3966"/>
      <c r="AE6" s="3966"/>
      <c r="AF6" s="7"/>
      <c r="AG6" s="7"/>
      <c r="AH6" s="7"/>
      <c r="AI6" s="7"/>
      <c r="AJ6" s="7"/>
      <c r="AK6" s="7"/>
      <c r="AL6" s="7"/>
      <c r="AM6" s="2184"/>
      <c r="AN6" s="2184"/>
      <c r="AO6" s="2184"/>
      <c r="AP6" s="2184"/>
      <c r="AQ6" s="2184"/>
      <c r="AR6" s="2184"/>
      <c r="AS6" s="2184"/>
      <c r="AT6" s="2184"/>
      <c r="AU6" s="2184"/>
      <c r="AV6" s="2184"/>
      <c r="AW6" s="2184"/>
      <c r="AX6" s="3967"/>
      <c r="AY6" s="3967"/>
      <c r="AZ6" s="3967"/>
      <c r="BA6" s="3967"/>
      <c r="BB6" s="3967"/>
      <c r="BC6" s="3967"/>
      <c r="BD6" s="3967"/>
      <c r="BE6" s="3967"/>
      <c r="BF6" s="3967"/>
      <c r="BG6" s="3967"/>
      <c r="BH6" s="3967"/>
      <c r="BI6" s="3967"/>
      <c r="BJ6" s="2184"/>
      <c r="BK6" s="2184"/>
      <c r="BL6" s="2184"/>
      <c r="BM6" s="2184"/>
      <c r="BN6" s="2184"/>
      <c r="BO6" s="2184"/>
      <c r="BP6" s="2184"/>
      <c r="BQ6" s="2184"/>
      <c r="BR6" s="2184"/>
      <c r="BS6" s="2184"/>
      <c r="BT6" s="2184"/>
      <c r="BU6" s="2184"/>
      <c r="BV6" s="2183"/>
      <c r="BW6" s="2183"/>
      <c r="BX6" s="3968"/>
      <c r="BY6" s="3968"/>
      <c r="BZ6" s="3968"/>
      <c r="CA6" s="3969"/>
      <c r="CB6" s="3969"/>
      <c r="CC6" s="3969"/>
      <c r="CD6" s="3969"/>
      <c r="CE6" s="3969"/>
      <c r="CF6" s="3969"/>
      <c r="CG6" s="3969"/>
      <c r="CH6" s="3969"/>
      <c r="CI6" s="3969"/>
      <c r="CJ6" s="3969"/>
      <c r="CK6" s="3969"/>
      <c r="CL6" s="3969"/>
      <c r="CM6" s="3969"/>
      <c r="CN6" s="3969"/>
      <c r="CO6" s="3969"/>
      <c r="CP6" s="3969"/>
      <c r="CQ6" s="3969"/>
      <c r="CR6" s="3969"/>
      <c r="CS6" s="3969"/>
      <c r="CT6" s="3969"/>
      <c r="CU6" s="3969"/>
      <c r="CV6" s="3969"/>
      <c r="CW6" s="3969"/>
      <c r="CX6" s="3969"/>
      <c r="CY6" s="3969"/>
      <c r="CZ6" s="3969"/>
      <c r="DA6" s="3969"/>
      <c r="DB6" s="3969"/>
      <c r="DC6" s="3969"/>
      <c r="DD6" s="3969"/>
      <c r="DE6" s="3969"/>
      <c r="DF6" s="3969"/>
      <c r="DG6" s="3969"/>
      <c r="DH6" s="3969"/>
      <c r="DI6" s="3969"/>
      <c r="DJ6" s="3969"/>
      <c r="DK6" s="3969"/>
      <c r="DL6" s="3969"/>
      <c r="DM6" s="3969"/>
      <c r="DN6" s="3969"/>
      <c r="DO6" s="3969"/>
      <c r="DP6" s="3969"/>
      <c r="DQ6" s="3969"/>
      <c r="DR6" s="3969"/>
      <c r="DS6" s="3969"/>
      <c r="DT6" s="3969"/>
      <c r="DU6" s="3969"/>
      <c r="DV6" s="3969"/>
      <c r="DW6" s="3969"/>
      <c r="DX6" s="3969"/>
      <c r="DY6" s="3969"/>
      <c r="DZ6" s="3969"/>
      <c r="EA6" s="3969"/>
      <c r="EB6" s="3969"/>
      <c r="EC6" s="3969"/>
    </row>
    <row r="8" spans="1:133" s="1971" customFormat="1" ht="18" customHeight="1" x14ac:dyDescent="0.3">
      <c r="A8" s="3970" t="s">
        <v>1858</v>
      </c>
      <c r="B8" s="3970"/>
      <c r="C8" s="3970"/>
      <c r="D8" s="3970"/>
      <c r="E8" s="3970"/>
      <c r="F8" s="3970"/>
      <c r="G8" s="3970"/>
      <c r="H8" s="3970"/>
      <c r="I8" s="3970"/>
      <c r="J8" s="3970"/>
      <c r="K8" s="3970"/>
      <c r="L8" s="3970"/>
      <c r="M8" s="3970"/>
      <c r="N8" s="3970"/>
      <c r="O8" s="3970"/>
      <c r="P8" s="3970"/>
      <c r="Q8" s="3970"/>
      <c r="R8" s="3970"/>
      <c r="S8" s="3970"/>
      <c r="T8" s="3970"/>
      <c r="U8" s="3970"/>
      <c r="V8" s="3970"/>
      <c r="W8" s="3970"/>
      <c r="X8" s="3970"/>
      <c r="Y8" s="3970"/>
      <c r="Z8" s="3970"/>
      <c r="AA8" s="3970"/>
      <c r="AB8" s="3970"/>
      <c r="AC8" s="3970"/>
      <c r="AD8" s="3970"/>
      <c r="AE8" s="3970"/>
      <c r="AF8" s="3970"/>
      <c r="AG8" s="3970"/>
      <c r="AH8" s="3970"/>
      <c r="AI8" s="3970"/>
      <c r="AJ8" s="3970"/>
      <c r="AK8" s="3970"/>
      <c r="AL8" s="3970"/>
      <c r="AM8" s="3970"/>
      <c r="AN8" s="3970"/>
      <c r="AO8" s="3970"/>
      <c r="AP8" s="3970"/>
      <c r="AQ8" s="3970"/>
    </row>
    <row r="9" spans="1:133" ht="18" customHeight="1" x14ac:dyDescent="0.3">
      <c r="A9" s="3970" t="s">
        <v>1859</v>
      </c>
      <c r="B9" s="3970"/>
      <c r="C9" s="3970"/>
      <c r="D9" s="3970"/>
      <c r="E9" s="3970"/>
      <c r="F9" s="3970"/>
      <c r="G9" s="3970"/>
      <c r="H9" s="3970"/>
      <c r="I9" s="3970"/>
      <c r="J9" s="3970"/>
      <c r="K9" s="3970"/>
      <c r="L9" s="3970"/>
      <c r="M9" s="3970"/>
      <c r="N9" s="3970"/>
      <c r="O9" s="3970"/>
      <c r="P9" s="3970"/>
      <c r="Q9" s="3970"/>
      <c r="R9" s="3970"/>
      <c r="S9" s="3970"/>
      <c r="T9" s="3970"/>
      <c r="U9" s="3970"/>
      <c r="V9" s="3970"/>
      <c r="W9" s="3970"/>
      <c r="X9" s="3970"/>
      <c r="Y9" s="3970"/>
      <c r="Z9" s="3970"/>
      <c r="AA9" s="3970"/>
      <c r="AB9" s="3970"/>
      <c r="AC9" s="3970"/>
      <c r="AD9" s="3970"/>
      <c r="AE9" s="3970"/>
      <c r="AF9" s="3970"/>
      <c r="AG9" s="3970"/>
      <c r="AH9" s="3970"/>
      <c r="AI9" s="3970"/>
      <c r="AJ9" s="3970"/>
      <c r="AK9" s="3970"/>
      <c r="AL9" s="3970"/>
      <c r="AM9" s="3970"/>
      <c r="AN9" s="3970"/>
      <c r="AO9" s="3970"/>
      <c r="AP9" s="3970"/>
      <c r="AQ9" s="3970"/>
    </row>
    <row r="10" spans="1:133" x14ac:dyDescent="0.3">
      <c r="A10" s="6837" t="s">
        <v>1860</v>
      </c>
      <c r="B10" s="6838" t="s">
        <v>77</v>
      </c>
      <c r="C10" s="6308"/>
      <c r="D10" s="6839" t="s">
        <v>29</v>
      </c>
      <c r="E10" s="6840"/>
      <c r="F10" s="6840"/>
      <c r="G10" s="6840"/>
      <c r="H10" s="6840"/>
      <c r="I10" s="6840"/>
      <c r="J10" s="6840"/>
      <c r="K10" s="6840"/>
      <c r="L10" s="6840"/>
      <c r="M10" s="6840"/>
      <c r="N10" s="6840"/>
      <c r="O10" s="6840"/>
      <c r="P10" s="6840"/>
      <c r="Q10" s="6840"/>
      <c r="R10" s="6840"/>
      <c r="S10" s="6840"/>
      <c r="T10" s="6840"/>
      <c r="U10" s="6840"/>
      <c r="V10" s="6840"/>
      <c r="W10" s="6840"/>
      <c r="X10" s="6840"/>
      <c r="Y10" s="6840"/>
      <c r="Z10" s="6840"/>
      <c r="AA10" s="6840"/>
      <c r="AB10" s="6840"/>
      <c r="AC10" s="6840"/>
      <c r="AD10" s="6840"/>
      <c r="AE10" s="6840"/>
      <c r="AF10" s="6840"/>
      <c r="AG10" s="6840"/>
      <c r="AH10" s="6840"/>
      <c r="AI10" s="6840"/>
      <c r="AJ10" s="6840"/>
      <c r="AK10" s="6840"/>
      <c r="AL10" s="6840"/>
      <c r="AM10" s="6840"/>
      <c r="AN10" s="6840"/>
      <c r="AO10" s="6840"/>
      <c r="AP10" s="6840"/>
      <c r="AQ10" s="6841"/>
      <c r="AR10" s="6842" t="s">
        <v>1861</v>
      </c>
      <c r="AS10" s="6843"/>
      <c r="AT10" s="6844" t="s">
        <v>457</v>
      </c>
      <c r="AU10" s="6845"/>
      <c r="AV10" s="6224" t="s">
        <v>36</v>
      </c>
      <c r="AW10" s="6243" t="s">
        <v>37</v>
      </c>
    </row>
    <row r="11" spans="1:133" x14ac:dyDescent="0.3">
      <c r="A11" s="5755"/>
      <c r="B11" s="6482"/>
      <c r="C11" s="6645"/>
      <c r="D11" s="6848" t="s">
        <v>1862</v>
      </c>
      <c r="E11" s="6842"/>
      <c r="F11" s="6848" t="s">
        <v>935</v>
      </c>
      <c r="G11" s="6842"/>
      <c r="H11" s="6848" t="s">
        <v>1863</v>
      </c>
      <c r="I11" s="6849"/>
      <c r="J11" s="6842" t="s">
        <v>937</v>
      </c>
      <c r="K11" s="6842"/>
      <c r="L11" s="6848" t="s">
        <v>326</v>
      </c>
      <c r="M11" s="6842"/>
      <c r="N11" s="6848" t="s">
        <v>94</v>
      </c>
      <c r="O11" s="6842"/>
      <c r="P11" s="6848" t="s">
        <v>44</v>
      </c>
      <c r="Q11" s="6842"/>
      <c r="R11" s="6848" t="s">
        <v>45</v>
      </c>
      <c r="S11" s="6842"/>
      <c r="T11" s="6848" t="s">
        <v>46</v>
      </c>
      <c r="U11" s="6849"/>
      <c r="V11" s="6848" t="s">
        <v>47</v>
      </c>
      <c r="W11" s="6849"/>
      <c r="X11" s="6848" t="s">
        <v>48</v>
      </c>
      <c r="Y11" s="6849"/>
      <c r="Z11" s="6848" t="s">
        <v>49</v>
      </c>
      <c r="AA11" s="6849"/>
      <c r="AB11" s="6848" t="s">
        <v>50</v>
      </c>
      <c r="AC11" s="6849"/>
      <c r="AD11" s="6848" t="s">
        <v>51</v>
      </c>
      <c r="AE11" s="6849"/>
      <c r="AF11" s="6848" t="s">
        <v>52</v>
      </c>
      <c r="AG11" s="6849"/>
      <c r="AH11" s="6848" t="s">
        <v>53</v>
      </c>
      <c r="AI11" s="6849"/>
      <c r="AJ11" s="6848" t="s">
        <v>54</v>
      </c>
      <c r="AK11" s="6849"/>
      <c r="AL11" s="6848" t="s">
        <v>55</v>
      </c>
      <c r="AM11" s="6849"/>
      <c r="AN11" s="6848" t="s">
        <v>56</v>
      </c>
      <c r="AO11" s="6849"/>
      <c r="AP11" s="6848" t="s">
        <v>57</v>
      </c>
      <c r="AQ11" s="6843"/>
      <c r="AR11" s="6224" t="s">
        <v>58</v>
      </c>
      <c r="AS11" s="6851" t="s">
        <v>59</v>
      </c>
      <c r="AT11" s="6846"/>
      <c r="AU11" s="6847"/>
      <c r="AV11" s="6850"/>
      <c r="AW11" s="5759"/>
    </row>
    <row r="12" spans="1:133" x14ac:dyDescent="0.3">
      <c r="A12" s="6471"/>
      <c r="B12" s="3977" t="s">
        <v>1864</v>
      </c>
      <c r="C12" s="487" t="s">
        <v>1865</v>
      </c>
      <c r="D12" s="3977" t="s">
        <v>1864</v>
      </c>
      <c r="E12" s="3978" t="s">
        <v>1865</v>
      </c>
      <c r="F12" s="3977" t="s">
        <v>1864</v>
      </c>
      <c r="G12" s="3978" t="s">
        <v>1865</v>
      </c>
      <c r="H12" s="3977" t="s">
        <v>1864</v>
      </c>
      <c r="I12" s="3979" t="s">
        <v>1865</v>
      </c>
      <c r="J12" s="3980" t="s">
        <v>1864</v>
      </c>
      <c r="K12" s="3978" t="s">
        <v>1865</v>
      </c>
      <c r="L12" s="3977" t="s">
        <v>1864</v>
      </c>
      <c r="M12" s="3979" t="s">
        <v>1865</v>
      </c>
      <c r="N12" s="3980" t="s">
        <v>1864</v>
      </c>
      <c r="O12" s="3978" t="s">
        <v>1865</v>
      </c>
      <c r="P12" s="3977" t="s">
        <v>1864</v>
      </c>
      <c r="Q12" s="3978" t="s">
        <v>1865</v>
      </c>
      <c r="R12" s="3977" t="s">
        <v>1864</v>
      </c>
      <c r="S12" s="3978" t="s">
        <v>1865</v>
      </c>
      <c r="T12" s="3977" t="s">
        <v>1864</v>
      </c>
      <c r="U12" s="3978" t="s">
        <v>1865</v>
      </c>
      <c r="V12" s="3977" t="s">
        <v>1864</v>
      </c>
      <c r="W12" s="3978" t="s">
        <v>1865</v>
      </c>
      <c r="X12" s="3977" t="s">
        <v>1864</v>
      </c>
      <c r="Y12" s="3978" t="s">
        <v>1865</v>
      </c>
      <c r="Z12" s="3977" t="s">
        <v>1864</v>
      </c>
      <c r="AA12" s="3978" t="s">
        <v>1865</v>
      </c>
      <c r="AB12" s="3977" t="s">
        <v>1864</v>
      </c>
      <c r="AC12" s="3978" t="s">
        <v>1865</v>
      </c>
      <c r="AD12" s="3977" t="s">
        <v>1864</v>
      </c>
      <c r="AE12" s="3978" t="s">
        <v>1865</v>
      </c>
      <c r="AF12" s="3977" t="s">
        <v>1864</v>
      </c>
      <c r="AG12" s="3978" t="s">
        <v>1865</v>
      </c>
      <c r="AH12" s="3977" t="s">
        <v>1864</v>
      </c>
      <c r="AI12" s="3978" t="s">
        <v>1865</v>
      </c>
      <c r="AJ12" s="3977" t="s">
        <v>1864</v>
      </c>
      <c r="AK12" s="3978" t="s">
        <v>1865</v>
      </c>
      <c r="AL12" s="3977" t="s">
        <v>1864</v>
      </c>
      <c r="AM12" s="3978" t="s">
        <v>1865</v>
      </c>
      <c r="AN12" s="3977" t="s">
        <v>1864</v>
      </c>
      <c r="AO12" s="3978" t="s">
        <v>1865</v>
      </c>
      <c r="AP12" s="3977" t="s">
        <v>1864</v>
      </c>
      <c r="AQ12" s="3981" t="s">
        <v>1865</v>
      </c>
      <c r="AR12" s="6626"/>
      <c r="AS12" s="5956"/>
      <c r="AT12" s="1784" t="s">
        <v>462</v>
      </c>
      <c r="AU12" s="1831" t="s">
        <v>463</v>
      </c>
      <c r="AV12" s="6626"/>
      <c r="AW12" s="6687"/>
    </row>
    <row r="13" spans="1:133" x14ac:dyDescent="0.3">
      <c r="A13" s="3982" t="s">
        <v>1866</v>
      </c>
      <c r="B13" s="3308">
        <f>+N13+P13+R13+T13+V13+X13+Z13+AB13+AD13+AF13+AH13+AJ13+AL13+AN13+AP13</f>
        <v>0</v>
      </c>
      <c r="C13" s="3983">
        <f>+O13+Q13+S13+U13+W13+Y13+AA13+AC13+AE13+AG13+AI13+AK13+AM13+AO13+AQ13</f>
        <v>0</v>
      </c>
      <c r="D13" s="334"/>
      <c r="E13" s="1919"/>
      <c r="F13" s="334"/>
      <c r="G13" s="1919"/>
      <c r="H13" s="334"/>
      <c r="I13" s="1919"/>
      <c r="J13" s="334"/>
      <c r="K13" s="1919"/>
      <c r="L13" s="334"/>
      <c r="M13" s="1012"/>
      <c r="N13" s="44"/>
      <c r="O13" s="1039"/>
      <c r="P13" s="327"/>
      <c r="Q13" s="1039"/>
      <c r="R13" s="327"/>
      <c r="S13" s="1039"/>
      <c r="T13" s="327"/>
      <c r="U13" s="1039"/>
      <c r="V13" s="327"/>
      <c r="W13" s="1039"/>
      <c r="X13" s="327"/>
      <c r="Y13" s="1039"/>
      <c r="Z13" s="327"/>
      <c r="AA13" s="1039"/>
      <c r="AB13" s="327"/>
      <c r="AC13" s="1039"/>
      <c r="AD13" s="327"/>
      <c r="AE13" s="1039"/>
      <c r="AF13" s="327"/>
      <c r="AG13" s="1039"/>
      <c r="AH13" s="327"/>
      <c r="AI13" s="1039"/>
      <c r="AJ13" s="327"/>
      <c r="AK13" s="1039"/>
      <c r="AL13" s="327"/>
      <c r="AM13" s="1039"/>
      <c r="AN13" s="327"/>
      <c r="AO13" s="1039"/>
      <c r="AP13" s="327"/>
      <c r="AQ13" s="1026"/>
      <c r="AR13" s="3984"/>
      <c r="AS13" s="3985"/>
      <c r="AT13" s="3986"/>
      <c r="AU13" s="3985"/>
      <c r="AV13" s="3987"/>
      <c r="AW13" s="3988"/>
      <c r="AX13" s="1898" t="str">
        <f t="shared" ref="AX13:AX20" si="0">$CA13&amp;CB13&amp;CC13&amp;$CD13&amp;CJ13&amp;CK13&amp;CL13&amp;CM13&amp;CN13&amp;CO13&amp;CP13&amp;CQ13&amp;CR13&amp;CS13&amp;CT13&amp;CU13&amp;CV13&amp;CW13&amp;CX13</f>
        <v/>
      </c>
      <c r="CA13" s="1899" t="str">
        <f>IF(B13&lt;&gt;(AS13)," * La suma de las columnas "&amp;AR$10&amp;""&amp;" DEBE SER IGUAL a los Exámenes Procesados. ","")</f>
        <v/>
      </c>
      <c r="CB13" s="1899" t="str">
        <f t="shared" ref="CB13:CB30" si="1">IF(AND($B13&gt;0,AND(AT13="",AU13="")),"* No olvide ingresar las columnas Trans Masculino o Femenino (Digite CERO si no tiene). ",IF((AT13+AU13)&gt;$B13,"* El Número de Trans Masculino o Femenino no puede superar el Total Procesados. ",""))</f>
        <v/>
      </c>
      <c r="CC13" s="1899" t="str">
        <f t="shared" ref="CC13:CC30" si="2">IF(AND($B13&gt;0,AV13=""),"* No olvide ingresar la columna "&amp;AV$10&amp;""&amp;" *(Digite CERO si no tiene). ",IF(AV13&gt;$B13," *El Número de "&amp;AV$10&amp;""&amp;" no puede superar el Total Procesados. ",""))</f>
        <v/>
      </c>
      <c r="CD13" s="1899" t="str">
        <f t="shared" ref="CD13:CD30" si="3">IF(AND($B13&gt;0,AW13=""),"* No olvide ingresar la columna "&amp;AW$10&amp;""&amp;" *(Digite CERO si no tiene). ",IF(AW13&gt;$B13," *El Número de "&amp;AW$10&amp;""&amp;" no puede superar el Total Procesados. ",""))</f>
        <v/>
      </c>
      <c r="CE13" s="1900"/>
      <c r="CF13" s="1900"/>
      <c r="CG13" s="1900"/>
      <c r="CH13" s="1900"/>
      <c r="CI13" s="1900"/>
      <c r="CJ13" s="1899" t="str">
        <f t="shared" ref="CJ13:CJ21" si="4">IF(N13&lt;O13,CONCATENATE("* El total de Procesados debe ser mayor o igual al total de Reactivos en el grupo de edad ",$N$11),"")</f>
        <v/>
      </c>
      <c r="CK13" s="1899" t="str">
        <f t="shared" ref="CK13:CK21" si="5">IF(P13&lt;Q13,CONCATENATE("* El total de Procesados debe ser mayor o igual al total de Reactivos en el grupo de edad ",$P$11),"")</f>
        <v/>
      </c>
      <c r="CL13" s="1899" t="str">
        <f t="shared" ref="CL13:CL21" si="6">IF(R13&lt;S13,CONCATENATE("* El total de Procesados debe ser mayor o igual al total de Reactivos en el grupo de edad ",$R$11),"")</f>
        <v/>
      </c>
      <c r="CM13" s="1899" t="str">
        <f>IF($T13&lt;$U13,CONCATENATE("* El total de Procesados debe ser mayor o igual al total de Reactivos en el grupo de edad ",$T$11),"")</f>
        <v/>
      </c>
      <c r="CN13" s="1899" t="str">
        <f t="shared" ref="CN13:CN21" si="7">IF(V13&lt;W13,CONCATENATE("* El total de Procesados debe ser mayor o igual al total de Reactivos en el grupo de edad ",$V$11),"")</f>
        <v/>
      </c>
      <c r="CO13" s="1899" t="str">
        <f t="shared" ref="CO13:CO21" si="8">IF(X13&lt;Y13,CONCATENATE("* El total de Procesados debe ser mayor o igual al total de Reactivos en el grupo de edad ",$X$11),"")</f>
        <v/>
      </c>
      <c r="CP13" s="1899" t="str">
        <f t="shared" ref="CP13:CP21" si="9">IF(Z13&lt;AA13,CONCATENATE("* El total de Procesados debe ser mayor o igual al total de Reactivos en el grupo de edad ",$Z$11),"")</f>
        <v/>
      </c>
      <c r="CQ13" s="1899" t="str">
        <f t="shared" ref="CQ13:CQ21" si="10">IF(AB13&lt;AC13,CONCATENATE("* El total de Procesados debe ser mayor o igual al total de Reactivos en el grupo de edad ",$AB$11),"")</f>
        <v/>
      </c>
      <c r="CR13" s="1899" t="str">
        <f t="shared" ref="CR13:CR21" si="11">IF(AD13&lt;AE13,CONCATENATE("* El total de Procesados debe ser mayor o igual al total de Reactivos en el grupo de edad ",$AD$11),"")</f>
        <v/>
      </c>
      <c r="CS13" s="1899" t="str">
        <f t="shared" ref="CS13:CS21" si="12">IF(AF13&lt;AG13,CONCATENATE("* El total de Procesados debe ser mayor o igual al total de Reactivos en el grupo de edad ",$AF$11),"")</f>
        <v/>
      </c>
      <c r="CT13" s="1899" t="str">
        <f t="shared" ref="CT13:CT21" si="13">IF(AH13&lt;AI13,CONCATENATE("* El total de Procesados debe ser mayor o igual al total de Reactivos en el grupo de edad ",$AH$11),"")</f>
        <v/>
      </c>
      <c r="CU13" s="1899" t="str">
        <f t="shared" ref="CU13:CU21" si="14">IF(AJ13&lt;AK13,CONCATENATE("* El total de Procesados debe ser mayor o igual al total de Reactivos en el grupo de edad ",$AJ$11),"")</f>
        <v/>
      </c>
      <c r="CV13" s="1899" t="str">
        <f t="shared" ref="CV13:CV21" si="15">IF(AL13&lt;AM13,CONCATENATE("* El total de Procesados debe ser mayor o igual al total de Reactivos en el grupo de edad ",$AL$11),"")</f>
        <v/>
      </c>
      <c r="CW13" s="1899" t="str">
        <f t="shared" ref="CW13:CW21" si="16">IF(AN13&lt;AO13,CONCATENATE("* El total de Procesados debe ser mayor o igual al total de Reactivos en el grupo de edad ",$AN$11),"")</f>
        <v/>
      </c>
      <c r="CX13" s="1899" t="str">
        <f t="shared" ref="CX13:CX21" si="17">IF(AP13&lt;AQ13,CONCATENATE("* El total de Procesados debe ser mayor o igual al total de Reactivos en el grupo de edad ",$AP$11),"")</f>
        <v/>
      </c>
      <c r="CY13" s="1970"/>
      <c r="CZ13" s="1971"/>
      <c r="DA13" s="1971"/>
      <c r="DE13" s="1970"/>
      <c r="DF13" s="3989">
        <f>IF(B13&lt;&gt;(AS13),1,0)</f>
        <v>0</v>
      </c>
      <c r="DG13" s="3989">
        <f t="shared" ref="DG13:DG30" si="18">IF(AND($B13&gt;0,AND(AT13="",AU13="")),1,IF((AT13+AU13)&gt;$B13,1,0))</f>
        <v>0</v>
      </c>
      <c r="DH13" s="3989">
        <f t="shared" ref="DH13:DH30" si="19">IF(AND($B13&gt;0,AV13=""),1,IF(AV13&gt;$B13,1,0))</f>
        <v>0</v>
      </c>
      <c r="DI13" s="3989">
        <f t="shared" ref="DI13:DI30" si="20">IF(AND($B13&gt;0,AW13=""),1,IF(AW13&gt;$B13,1,0))</f>
        <v>0</v>
      </c>
      <c r="DJ13" s="1900"/>
      <c r="DK13" s="1900"/>
      <c r="DL13" s="1900"/>
      <c r="DM13" s="1900"/>
      <c r="DN13" s="1900"/>
      <c r="DO13" s="3989">
        <f t="shared" ref="DO13:DO21" si="21">IF(N13&lt;O13,1,0)</f>
        <v>0</v>
      </c>
      <c r="DP13" s="3989">
        <f t="shared" ref="DP13:DP21" si="22">IF(P13&lt;Q13,1,0)</f>
        <v>0</v>
      </c>
      <c r="DQ13" s="3989">
        <f t="shared" ref="DQ13:DQ21" si="23">IF(R13&lt;S13,1,0)</f>
        <v>0</v>
      </c>
      <c r="DR13" s="3989">
        <f>IF($T13&lt;$U13,1,0)</f>
        <v>0</v>
      </c>
      <c r="DS13" s="3989">
        <f t="shared" ref="DS13:DS21" si="24">IF(V13&lt;W13,1,0)</f>
        <v>0</v>
      </c>
      <c r="DT13" s="3989">
        <f t="shared" ref="DT13:DT21" si="25">IF(X13&lt;Y13,1,0)</f>
        <v>0</v>
      </c>
      <c r="DU13" s="3989">
        <f t="shared" ref="DU13:DU21" si="26">IF(Z13&lt;AA13,1,0)</f>
        <v>0</v>
      </c>
      <c r="DV13" s="3989">
        <f t="shared" ref="DV13:DV21" si="27">IF(AB13&lt;AC13,1,0)</f>
        <v>0</v>
      </c>
      <c r="DW13" s="3989">
        <f t="shared" ref="DW13:DW21" si="28">IF(AD13&lt;AE13,1,0)</f>
        <v>0</v>
      </c>
      <c r="DX13" s="3989">
        <f t="shared" ref="DX13:DX21" si="29">IF(AF13&lt;AG13,1,0)</f>
        <v>0</v>
      </c>
      <c r="DY13" s="3989">
        <f t="shared" ref="DY13:DY21" si="30">IF(AH13&lt;AI13,1,0)</f>
        <v>0</v>
      </c>
      <c r="DZ13" s="3989">
        <f t="shared" ref="DZ13:DZ21" si="31">IF(AJ13&lt;AK13,1,0)</f>
        <v>0</v>
      </c>
      <c r="EA13" s="3989">
        <f t="shared" ref="EA13:EA21" si="32">IF(AL13&lt;AM13,1,0)</f>
        <v>0</v>
      </c>
      <c r="EB13" s="3989">
        <f t="shared" ref="EB13:EB21" si="33">IF(AN13&lt;AO13,1,0)</f>
        <v>0</v>
      </c>
      <c r="EC13" s="3989">
        <f t="shared" ref="EC13:EC21" si="34">IF(AP13&lt;AQ13,1,0)</f>
        <v>0</v>
      </c>
    </row>
    <row r="14" spans="1:133" x14ac:dyDescent="0.3">
      <c r="A14" s="3990" t="s">
        <v>1867</v>
      </c>
      <c r="B14" s="3991">
        <f t="shared" ref="B14:C20" si="35">+N14+P14+R14+T14+V14+X14+Z14+AB14+AD14+AF14+AH14+AJ14+AL14+AN14+AP14</f>
        <v>0</v>
      </c>
      <c r="C14" s="345">
        <f t="shared" si="35"/>
        <v>0</v>
      </c>
      <c r="D14" s="3992"/>
      <c r="E14" s="3993"/>
      <c r="F14" s="3992"/>
      <c r="G14" s="3993"/>
      <c r="H14" s="3992"/>
      <c r="I14" s="3993"/>
      <c r="J14" s="3992"/>
      <c r="K14" s="3993"/>
      <c r="L14" s="3992"/>
      <c r="M14" s="3994"/>
      <c r="N14" s="3987"/>
      <c r="O14" s="3995"/>
      <c r="P14" s="3996"/>
      <c r="Q14" s="3995"/>
      <c r="R14" s="3996"/>
      <c r="S14" s="3995"/>
      <c r="T14" s="3996"/>
      <c r="U14" s="3995"/>
      <c r="V14" s="3996"/>
      <c r="W14" s="3995"/>
      <c r="X14" s="3996"/>
      <c r="Y14" s="3995"/>
      <c r="Z14" s="3996"/>
      <c r="AA14" s="3995"/>
      <c r="AB14" s="3996"/>
      <c r="AC14" s="3995"/>
      <c r="AD14" s="3996"/>
      <c r="AE14" s="3995"/>
      <c r="AF14" s="3996"/>
      <c r="AG14" s="3995"/>
      <c r="AH14" s="3996"/>
      <c r="AI14" s="3995"/>
      <c r="AJ14" s="3996"/>
      <c r="AK14" s="3995"/>
      <c r="AL14" s="3996"/>
      <c r="AM14" s="3995"/>
      <c r="AN14" s="3996"/>
      <c r="AO14" s="3995"/>
      <c r="AP14" s="3996"/>
      <c r="AQ14" s="3985"/>
      <c r="AR14" s="3984"/>
      <c r="AS14" s="3985"/>
      <c r="AT14" s="3986"/>
      <c r="AU14" s="3985"/>
      <c r="AV14" s="3987"/>
      <c r="AW14" s="3988"/>
      <c r="AX14" s="1898" t="str">
        <f t="shared" si="0"/>
        <v/>
      </c>
      <c r="CA14" s="1899" t="str">
        <f>IF(B14&lt;&gt;(AS14)," * La suma de las columnas "&amp;AR$10&amp;""&amp;" DEBE SER IGUAL a los Exámenes Procesados. ","")</f>
        <v/>
      </c>
      <c r="CB14" s="1899" t="str">
        <f t="shared" si="1"/>
        <v/>
      </c>
      <c r="CC14" s="1899" t="str">
        <f t="shared" si="2"/>
        <v/>
      </c>
      <c r="CD14" s="1899" t="str">
        <f t="shared" si="3"/>
        <v/>
      </c>
      <c r="CE14" s="1900"/>
      <c r="CF14" s="1900"/>
      <c r="CG14" s="1900"/>
      <c r="CH14" s="1900"/>
      <c r="CI14" s="1900"/>
      <c r="CJ14" s="1899" t="str">
        <f t="shared" si="4"/>
        <v/>
      </c>
      <c r="CK14" s="1899" t="str">
        <f t="shared" si="5"/>
        <v/>
      </c>
      <c r="CL14" s="1899" t="str">
        <f t="shared" si="6"/>
        <v/>
      </c>
      <c r="CM14" s="1899" t="str">
        <f t="shared" ref="CM14:CM30" si="36">IF($T14&lt;$U14,CONCATENATE("* El total de Procesados debe ser mayor o igual al total de Reactivos en el grupo de edad ",$T$11),"")</f>
        <v/>
      </c>
      <c r="CN14" s="1899" t="str">
        <f t="shared" si="7"/>
        <v/>
      </c>
      <c r="CO14" s="1899" t="str">
        <f t="shared" si="8"/>
        <v/>
      </c>
      <c r="CP14" s="1899" t="str">
        <f t="shared" si="9"/>
        <v/>
      </c>
      <c r="CQ14" s="1899" t="str">
        <f t="shared" si="10"/>
        <v/>
      </c>
      <c r="CR14" s="1899" t="str">
        <f t="shared" si="11"/>
        <v/>
      </c>
      <c r="CS14" s="1899" t="str">
        <f t="shared" si="12"/>
        <v/>
      </c>
      <c r="CT14" s="1899" t="str">
        <f t="shared" si="13"/>
        <v/>
      </c>
      <c r="CU14" s="1899" t="str">
        <f t="shared" si="14"/>
        <v/>
      </c>
      <c r="CV14" s="1899" t="str">
        <f t="shared" si="15"/>
        <v/>
      </c>
      <c r="CW14" s="1899" t="str">
        <f t="shared" si="16"/>
        <v/>
      </c>
      <c r="CX14" s="1899" t="str">
        <f t="shared" si="17"/>
        <v/>
      </c>
      <c r="DE14" s="1970"/>
      <c r="DF14" s="3989">
        <f>IF(B14&lt;&gt;(AS14),1,0)</f>
        <v>0</v>
      </c>
      <c r="DG14" s="3989">
        <f t="shared" si="18"/>
        <v>0</v>
      </c>
      <c r="DH14" s="3989">
        <f t="shared" si="19"/>
        <v>0</v>
      </c>
      <c r="DI14" s="3989">
        <f t="shared" si="20"/>
        <v>0</v>
      </c>
      <c r="DJ14" s="1900"/>
      <c r="DK14" s="1900"/>
      <c r="DL14" s="1900"/>
      <c r="DM14" s="1900"/>
      <c r="DN14" s="1900"/>
      <c r="DO14" s="3989">
        <f t="shared" si="21"/>
        <v>0</v>
      </c>
      <c r="DP14" s="3989">
        <f t="shared" si="22"/>
        <v>0</v>
      </c>
      <c r="DQ14" s="3989">
        <f t="shared" si="23"/>
        <v>0</v>
      </c>
      <c r="DR14" s="3989">
        <f t="shared" ref="DR14:DR30" si="37">IF($T14&lt;$U14,1,0)</f>
        <v>0</v>
      </c>
      <c r="DS14" s="3989">
        <f t="shared" si="24"/>
        <v>0</v>
      </c>
      <c r="DT14" s="3989">
        <f t="shared" si="25"/>
        <v>0</v>
      </c>
      <c r="DU14" s="3989">
        <f t="shared" si="26"/>
        <v>0</v>
      </c>
      <c r="DV14" s="3989">
        <f t="shared" si="27"/>
        <v>0</v>
      </c>
      <c r="DW14" s="3989">
        <f t="shared" si="28"/>
        <v>0</v>
      </c>
      <c r="DX14" s="3989">
        <f t="shared" si="29"/>
        <v>0</v>
      </c>
      <c r="DY14" s="3989">
        <f t="shared" si="30"/>
        <v>0</v>
      </c>
      <c r="DZ14" s="3989">
        <f t="shared" si="31"/>
        <v>0</v>
      </c>
      <c r="EA14" s="3989">
        <f t="shared" si="32"/>
        <v>0</v>
      </c>
      <c r="EB14" s="3989">
        <f t="shared" si="33"/>
        <v>0</v>
      </c>
      <c r="EC14" s="3989">
        <f t="shared" si="34"/>
        <v>0</v>
      </c>
    </row>
    <row r="15" spans="1:133" x14ac:dyDescent="0.3">
      <c r="A15" s="3990" t="s">
        <v>1868</v>
      </c>
      <c r="B15" s="3991">
        <f t="shared" si="35"/>
        <v>0</v>
      </c>
      <c r="C15" s="345">
        <f t="shared" si="35"/>
        <v>0</v>
      </c>
      <c r="D15" s="3992"/>
      <c r="E15" s="3993"/>
      <c r="F15" s="3992"/>
      <c r="G15" s="3993"/>
      <c r="H15" s="3992"/>
      <c r="I15" s="3993"/>
      <c r="J15" s="3992"/>
      <c r="K15" s="3993"/>
      <c r="L15" s="3992"/>
      <c r="M15" s="3994"/>
      <c r="N15" s="3987"/>
      <c r="O15" s="3995"/>
      <c r="P15" s="3996"/>
      <c r="Q15" s="3995"/>
      <c r="R15" s="3996"/>
      <c r="S15" s="3995"/>
      <c r="T15" s="3996"/>
      <c r="U15" s="3995"/>
      <c r="V15" s="3996"/>
      <c r="W15" s="3995"/>
      <c r="X15" s="3996"/>
      <c r="Y15" s="3995"/>
      <c r="Z15" s="3996"/>
      <c r="AA15" s="3995"/>
      <c r="AB15" s="3996"/>
      <c r="AC15" s="3995"/>
      <c r="AD15" s="3996"/>
      <c r="AE15" s="3995"/>
      <c r="AF15" s="3996"/>
      <c r="AG15" s="3995"/>
      <c r="AH15" s="3996"/>
      <c r="AI15" s="3995"/>
      <c r="AJ15" s="3996"/>
      <c r="AK15" s="3995"/>
      <c r="AL15" s="3996"/>
      <c r="AM15" s="3995"/>
      <c r="AN15" s="3996"/>
      <c r="AO15" s="3995"/>
      <c r="AP15" s="3996"/>
      <c r="AQ15" s="3985"/>
      <c r="AR15" s="3984"/>
      <c r="AS15" s="3985"/>
      <c r="AT15" s="3986"/>
      <c r="AU15" s="3985"/>
      <c r="AV15" s="3987"/>
      <c r="AW15" s="3988"/>
      <c r="AX15" s="1898" t="str">
        <f t="shared" si="0"/>
        <v/>
      </c>
      <c r="CA15" s="1899" t="str">
        <f>IF(B15&lt;&gt;(AS15)," * La suma de las columnas "&amp;AR$10&amp;""&amp;" DEBE SER IGUAL a los Exámenes Procesados. ","")</f>
        <v/>
      </c>
      <c r="CB15" s="1899" t="str">
        <f t="shared" si="1"/>
        <v/>
      </c>
      <c r="CC15" s="1899" t="str">
        <f t="shared" si="2"/>
        <v/>
      </c>
      <c r="CD15" s="1899" t="str">
        <f t="shared" si="3"/>
        <v/>
      </c>
      <c r="CE15" s="1900"/>
      <c r="CF15" s="1900"/>
      <c r="CG15" s="1900"/>
      <c r="CH15" s="1900"/>
      <c r="CI15" s="1900"/>
      <c r="CJ15" s="1899" t="str">
        <f t="shared" si="4"/>
        <v/>
      </c>
      <c r="CK15" s="1899" t="str">
        <f t="shared" si="5"/>
        <v/>
      </c>
      <c r="CL15" s="1899" t="str">
        <f t="shared" si="6"/>
        <v/>
      </c>
      <c r="CM15" s="1899" t="str">
        <f t="shared" si="36"/>
        <v/>
      </c>
      <c r="CN15" s="1899" t="str">
        <f t="shared" si="7"/>
        <v/>
      </c>
      <c r="CO15" s="1899" t="str">
        <f t="shared" si="8"/>
        <v/>
      </c>
      <c r="CP15" s="1899" t="str">
        <f t="shared" si="9"/>
        <v/>
      </c>
      <c r="CQ15" s="1899" t="str">
        <f t="shared" si="10"/>
        <v/>
      </c>
      <c r="CR15" s="1899" t="str">
        <f t="shared" si="11"/>
        <v/>
      </c>
      <c r="CS15" s="1899" t="str">
        <f t="shared" si="12"/>
        <v/>
      </c>
      <c r="CT15" s="1899" t="str">
        <f t="shared" si="13"/>
        <v/>
      </c>
      <c r="CU15" s="1899" t="str">
        <f t="shared" si="14"/>
        <v/>
      </c>
      <c r="CV15" s="1899" t="str">
        <f t="shared" si="15"/>
        <v/>
      </c>
      <c r="CW15" s="1899" t="str">
        <f t="shared" si="16"/>
        <v/>
      </c>
      <c r="CX15" s="1899" t="str">
        <f t="shared" si="17"/>
        <v/>
      </c>
      <c r="DE15" s="1970"/>
      <c r="DF15" s="3989">
        <f>IF(B15&lt;&gt;(AS15),1,0)</f>
        <v>0</v>
      </c>
      <c r="DG15" s="3989">
        <f t="shared" si="18"/>
        <v>0</v>
      </c>
      <c r="DH15" s="3989">
        <f t="shared" si="19"/>
        <v>0</v>
      </c>
      <c r="DI15" s="3989">
        <f t="shared" si="20"/>
        <v>0</v>
      </c>
      <c r="DJ15" s="1900"/>
      <c r="DK15" s="1900"/>
      <c r="DL15" s="1900"/>
      <c r="DM15" s="1900"/>
      <c r="DN15" s="1900"/>
      <c r="DO15" s="3989">
        <f t="shared" si="21"/>
        <v>0</v>
      </c>
      <c r="DP15" s="3989">
        <f t="shared" si="22"/>
        <v>0</v>
      </c>
      <c r="DQ15" s="3989">
        <f t="shared" si="23"/>
        <v>0</v>
      </c>
      <c r="DR15" s="3989">
        <f t="shared" si="37"/>
        <v>0</v>
      </c>
      <c r="DS15" s="3989">
        <f t="shared" si="24"/>
        <v>0</v>
      </c>
      <c r="DT15" s="3989">
        <f t="shared" si="25"/>
        <v>0</v>
      </c>
      <c r="DU15" s="3989">
        <f t="shared" si="26"/>
        <v>0</v>
      </c>
      <c r="DV15" s="3989">
        <f t="shared" si="27"/>
        <v>0</v>
      </c>
      <c r="DW15" s="3989">
        <f t="shared" si="28"/>
        <v>0</v>
      </c>
      <c r="DX15" s="3989">
        <f t="shared" si="29"/>
        <v>0</v>
      </c>
      <c r="DY15" s="3989">
        <f t="shared" si="30"/>
        <v>0</v>
      </c>
      <c r="DZ15" s="3989">
        <f t="shared" si="31"/>
        <v>0</v>
      </c>
      <c r="EA15" s="3989">
        <f t="shared" si="32"/>
        <v>0</v>
      </c>
      <c r="EB15" s="3989">
        <f t="shared" si="33"/>
        <v>0</v>
      </c>
      <c r="EC15" s="3989">
        <f t="shared" si="34"/>
        <v>0</v>
      </c>
    </row>
    <row r="16" spans="1:133" x14ac:dyDescent="0.3">
      <c r="A16" s="3990" t="s">
        <v>1869</v>
      </c>
      <c r="B16" s="3991">
        <f t="shared" si="35"/>
        <v>0</v>
      </c>
      <c r="C16" s="345">
        <f t="shared" si="35"/>
        <v>0</v>
      </c>
      <c r="D16" s="3992"/>
      <c r="E16" s="3993"/>
      <c r="F16" s="3992"/>
      <c r="G16" s="3993"/>
      <c r="H16" s="3992"/>
      <c r="I16" s="3993"/>
      <c r="J16" s="3992"/>
      <c r="K16" s="3993"/>
      <c r="L16" s="3992"/>
      <c r="M16" s="3994"/>
      <c r="N16" s="3987"/>
      <c r="O16" s="3995"/>
      <c r="P16" s="3996"/>
      <c r="Q16" s="3995"/>
      <c r="R16" s="3996"/>
      <c r="S16" s="3995"/>
      <c r="T16" s="3996"/>
      <c r="U16" s="3995"/>
      <c r="V16" s="3996"/>
      <c r="W16" s="3995"/>
      <c r="X16" s="3996"/>
      <c r="Y16" s="3995"/>
      <c r="Z16" s="3996"/>
      <c r="AA16" s="3995"/>
      <c r="AB16" s="3996"/>
      <c r="AC16" s="3995"/>
      <c r="AD16" s="3996"/>
      <c r="AE16" s="3995"/>
      <c r="AF16" s="3996"/>
      <c r="AG16" s="3995"/>
      <c r="AH16" s="3996"/>
      <c r="AI16" s="3995"/>
      <c r="AJ16" s="3996"/>
      <c r="AK16" s="3995"/>
      <c r="AL16" s="3996"/>
      <c r="AM16" s="3995"/>
      <c r="AN16" s="3996"/>
      <c r="AO16" s="3995"/>
      <c r="AP16" s="3996"/>
      <c r="AQ16" s="3985"/>
      <c r="AR16" s="3984"/>
      <c r="AS16" s="3985"/>
      <c r="AT16" s="3986"/>
      <c r="AU16" s="3985"/>
      <c r="AV16" s="3987"/>
      <c r="AW16" s="3988"/>
      <c r="AX16" s="1898" t="str">
        <f t="shared" si="0"/>
        <v/>
      </c>
      <c r="CA16" s="1899" t="str">
        <f>IF(B16&lt;&gt;(AS16)," * La suma de las columnas "&amp;AR$10&amp;""&amp;" DEBE SER IGUAL a los Exámenes Procesados. ","")</f>
        <v/>
      </c>
      <c r="CB16" s="1899" t="str">
        <f t="shared" si="1"/>
        <v/>
      </c>
      <c r="CC16" s="1899" t="str">
        <f t="shared" si="2"/>
        <v/>
      </c>
      <c r="CD16" s="1899" t="str">
        <f t="shared" si="3"/>
        <v/>
      </c>
      <c r="CE16" s="1900"/>
      <c r="CF16" s="1900"/>
      <c r="CG16" s="1900"/>
      <c r="CH16" s="1900"/>
      <c r="CI16" s="1900"/>
      <c r="CJ16" s="1899" t="str">
        <f t="shared" si="4"/>
        <v/>
      </c>
      <c r="CK16" s="1899" t="str">
        <f t="shared" si="5"/>
        <v/>
      </c>
      <c r="CL16" s="1899" t="str">
        <f t="shared" si="6"/>
        <v/>
      </c>
      <c r="CM16" s="1899" t="str">
        <f t="shared" si="36"/>
        <v/>
      </c>
      <c r="CN16" s="1899" t="str">
        <f t="shared" si="7"/>
        <v/>
      </c>
      <c r="CO16" s="1899" t="str">
        <f t="shared" si="8"/>
        <v/>
      </c>
      <c r="CP16" s="1899" t="str">
        <f t="shared" si="9"/>
        <v/>
      </c>
      <c r="CQ16" s="1899" t="str">
        <f t="shared" si="10"/>
        <v/>
      </c>
      <c r="CR16" s="1899" t="str">
        <f t="shared" si="11"/>
        <v/>
      </c>
      <c r="CS16" s="1899" t="str">
        <f t="shared" si="12"/>
        <v/>
      </c>
      <c r="CT16" s="1899" t="str">
        <f t="shared" si="13"/>
        <v/>
      </c>
      <c r="CU16" s="1899" t="str">
        <f t="shared" si="14"/>
        <v/>
      </c>
      <c r="CV16" s="1899" t="str">
        <f t="shared" si="15"/>
        <v/>
      </c>
      <c r="CW16" s="1899" t="str">
        <f t="shared" si="16"/>
        <v/>
      </c>
      <c r="CX16" s="1899" t="str">
        <f t="shared" si="17"/>
        <v/>
      </c>
      <c r="DE16" s="1970"/>
      <c r="DF16" s="3989">
        <f>IF(B16&lt;&gt;(AS16),1,0)</f>
        <v>0</v>
      </c>
      <c r="DG16" s="3989">
        <f t="shared" si="18"/>
        <v>0</v>
      </c>
      <c r="DH16" s="3989">
        <f t="shared" si="19"/>
        <v>0</v>
      </c>
      <c r="DI16" s="3989">
        <f t="shared" si="20"/>
        <v>0</v>
      </c>
      <c r="DJ16" s="1900"/>
      <c r="DK16" s="1900"/>
      <c r="DL16" s="1900"/>
      <c r="DM16" s="1900"/>
      <c r="DN16" s="1900"/>
      <c r="DO16" s="3989">
        <f t="shared" si="21"/>
        <v>0</v>
      </c>
      <c r="DP16" s="3989">
        <f t="shared" si="22"/>
        <v>0</v>
      </c>
      <c r="DQ16" s="3989">
        <f t="shared" si="23"/>
        <v>0</v>
      </c>
      <c r="DR16" s="3989">
        <f t="shared" si="37"/>
        <v>0</v>
      </c>
      <c r="DS16" s="3989">
        <f t="shared" si="24"/>
        <v>0</v>
      </c>
      <c r="DT16" s="3989">
        <f t="shared" si="25"/>
        <v>0</v>
      </c>
      <c r="DU16" s="3989">
        <f t="shared" si="26"/>
        <v>0</v>
      </c>
      <c r="DV16" s="3989">
        <f t="shared" si="27"/>
        <v>0</v>
      </c>
      <c r="DW16" s="3989">
        <f t="shared" si="28"/>
        <v>0</v>
      </c>
      <c r="DX16" s="3989">
        <f t="shared" si="29"/>
        <v>0</v>
      </c>
      <c r="DY16" s="3989">
        <f t="shared" si="30"/>
        <v>0</v>
      </c>
      <c r="DZ16" s="3989">
        <f t="shared" si="31"/>
        <v>0</v>
      </c>
      <c r="EA16" s="3989">
        <f t="shared" si="32"/>
        <v>0</v>
      </c>
      <c r="EB16" s="3989">
        <f t="shared" si="33"/>
        <v>0</v>
      </c>
      <c r="EC16" s="3989">
        <f t="shared" si="34"/>
        <v>0</v>
      </c>
    </row>
    <row r="17" spans="1:133" x14ac:dyDescent="0.3">
      <c r="A17" s="3957" t="s">
        <v>1870</v>
      </c>
      <c r="B17" s="3991">
        <f t="shared" si="35"/>
        <v>0</v>
      </c>
      <c r="C17" s="345">
        <f t="shared" si="35"/>
        <v>0</v>
      </c>
      <c r="D17" s="3992"/>
      <c r="E17" s="3993"/>
      <c r="F17" s="3992"/>
      <c r="G17" s="3993"/>
      <c r="H17" s="3992"/>
      <c r="I17" s="3993"/>
      <c r="J17" s="3992"/>
      <c r="K17" s="3993"/>
      <c r="L17" s="3992"/>
      <c r="M17" s="3994"/>
      <c r="N17" s="3987"/>
      <c r="O17" s="3995"/>
      <c r="P17" s="3996"/>
      <c r="Q17" s="3995"/>
      <c r="R17" s="3996"/>
      <c r="S17" s="3995"/>
      <c r="T17" s="3996"/>
      <c r="U17" s="3995"/>
      <c r="V17" s="3996"/>
      <c r="W17" s="3995"/>
      <c r="X17" s="3996"/>
      <c r="Y17" s="3995"/>
      <c r="Z17" s="3996"/>
      <c r="AA17" s="3995"/>
      <c r="AB17" s="3996"/>
      <c r="AC17" s="3995"/>
      <c r="AD17" s="3996"/>
      <c r="AE17" s="3995"/>
      <c r="AF17" s="3996"/>
      <c r="AG17" s="3995"/>
      <c r="AH17" s="3996"/>
      <c r="AI17" s="3995"/>
      <c r="AJ17" s="3996"/>
      <c r="AK17" s="3995"/>
      <c r="AL17" s="3996"/>
      <c r="AM17" s="3995"/>
      <c r="AN17" s="3996"/>
      <c r="AO17" s="3995"/>
      <c r="AP17" s="3996"/>
      <c r="AQ17" s="3985"/>
      <c r="AR17" s="3984"/>
      <c r="AS17" s="3985"/>
      <c r="AT17" s="3986"/>
      <c r="AU17" s="3985"/>
      <c r="AV17" s="3987"/>
      <c r="AW17" s="3988"/>
      <c r="AX17" s="1898" t="str">
        <f t="shared" si="0"/>
        <v/>
      </c>
      <c r="CA17" s="1899" t="str">
        <f>IF(B17&lt;&gt;(AS17)," * La suma de las columnas "&amp;AR$10&amp;""&amp;" DEBE SER IGUAL a los Exámenes Procesados. ","")</f>
        <v/>
      </c>
      <c r="CB17" s="1899" t="str">
        <f t="shared" si="1"/>
        <v/>
      </c>
      <c r="CC17" s="1899" t="str">
        <f t="shared" si="2"/>
        <v/>
      </c>
      <c r="CD17" s="1899" t="str">
        <f t="shared" si="3"/>
        <v/>
      </c>
      <c r="CE17" s="1900"/>
      <c r="CF17" s="1900"/>
      <c r="CG17" s="1900"/>
      <c r="CH17" s="1900"/>
      <c r="CI17" s="1900"/>
      <c r="CJ17" s="1899" t="str">
        <f t="shared" si="4"/>
        <v/>
      </c>
      <c r="CK17" s="1899" t="str">
        <f t="shared" si="5"/>
        <v/>
      </c>
      <c r="CL17" s="1899" t="str">
        <f t="shared" si="6"/>
        <v/>
      </c>
      <c r="CM17" s="1899" t="str">
        <f t="shared" si="36"/>
        <v/>
      </c>
      <c r="CN17" s="1899" t="str">
        <f t="shared" si="7"/>
        <v/>
      </c>
      <c r="CO17" s="1899" t="str">
        <f t="shared" si="8"/>
        <v/>
      </c>
      <c r="CP17" s="1899" t="str">
        <f t="shared" si="9"/>
        <v/>
      </c>
      <c r="CQ17" s="1899" t="str">
        <f t="shared" si="10"/>
        <v/>
      </c>
      <c r="CR17" s="1899" t="str">
        <f t="shared" si="11"/>
        <v/>
      </c>
      <c r="CS17" s="1899" t="str">
        <f t="shared" si="12"/>
        <v/>
      </c>
      <c r="CT17" s="1899" t="str">
        <f t="shared" si="13"/>
        <v/>
      </c>
      <c r="CU17" s="1899" t="str">
        <f t="shared" si="14"/>
        <v/>
      </c>
      <c r="CV17" s="1899" t="str">
        <f t="shared" si="15"/>
        <v/>
      </c>
      <c r="CW17" s="1899" t="str">
        <f t="shared" si="16"/>
        <v/>
      </c>
      <c r="CX17" s="1899" t="str">
        <f t="shared" si="17"/>
        <v/>
      </c>
      <c r="DE17" s="1970"/>
      <c r="DF17" s="3989">
        <f>IF(B17&lt;&gt;(AS17),1,0)</f>
        <v>0</v>
      </c>
      <c r="DG17" s="3989">
        <f t="shared" si="18"/>
        <v>0</v>
      </c>
      <c r="DH17" s="3989">
        <f t="shared" si="19"/>
        <v>0</v>
      </c>
      <c r="DI17" s="3989">
        <f t="shared" si="20"/>
        <v>0</v>
      </c>
      <c r="DJ17" s="1900"/>
      <c r="DK17" s="1900"/>
      <c r="DL17" s="1900"/>
      <c r="DM17" s="1900"/>
      <c r="DN17" s="1900"/>
      <c r="DO17" s="3989">
        <f t="shared" si="21"/>
        <v>0</v>
      </c>
      <c r="DP17" s="3989">
        <f t="shared" si="22"/>
        <v>0</v>
      </c>
      <c r="DQ17" s="3989">
        <f t="shared" si="23"/>
        <v>0</v>
      </c>
      <c r="DR17" s="3989">
        <f t="shared" si="37"/>
        <v>0</v>
      </c>
      <c r="DS17" s="3989">
        <f t="shared" si="24"/>
        <v>0</v>
      </c>
      <c r="DT17" s="3989">
        <f t="shared" si="25"/>
        <v>0</v>
      </c>
      <c r="DU17" s="3989">
        <f t="shared" si="26"/>
        <v>0</v>
      </c>
      <c r="DV17" s="3989">
        <f t="shared" si="27"/>
        <v>0</v>
      </c>
      <c r="DW17" s="3989">
        <f t="shared" si="28"/>
        <v>0</v>
      </c>
      <c r="DX17" s="3989">
        <f t="shared" si="29"/>
        <v>0</v>
      </c>
      <c r="DY17" s="3989">
        <f t="shared" si="30"/>
        <v>0</v>
      </c>
      <c r="DZ17" s="3989">
        <f t="shared" si="31"/>
        <v>0</v>
      </c>
      <c r="EA17" s="3989">
        <f t="shared" si="32"/>
        <v>0</v>
      </c>
      <c r="EB17" s="3989">
        <f t="shared" si="33"/>
        <v>0</v>
      </c>
      <c r="EC17" s="3989">
        <f t="shared" si="34"/>
        <v>0</v>
      </c>
    </row>
    <row r="18" spans="1:133" x14ac:dyDescent="0.3">
      <c r="A18" s="3957" t="s">
        <v>1871</v>
      </c>
      <c r="B18" s="3991">
        <f t="shared" si="35"/>
        <v>0</v>
      </c>
      <c r="C18" s="345">
        <f>+O18+Q18+S18+U18+W18+Y18+AA18+AC18+AE18+AG18+AI18+AK18+AM18+AO18+AQ18</f>
        <v>0</v>
      </c>
      <c r="D18" s="3992"/>
      <c r="E18" s="3993"/>
      <c r="F18" s="3992"/>
      <c r="G18" s="3993"/>
      <c r="H18" s="3992"/>
      <c r="I18" s="3993"/>
      <c r="J18" s="3992"/>
      <c r="K18" s="3993"/>
      <c r="L18" s="3992"/>
      <c r="M18" s="3994"/>
      <c r="N18" s="3987"/>
      <c r="O18" s="3995"/>
      <c r="P18" s="3996"/>
      <c r="Q18" s="3995"/>
      <c r="R18" s="3996"/>
      <c r="S18" s="3995"/>
      <c r="T18" s="3996"/>
      <c r="U18" s="3995"/>
      <c r="V18" s="3996"/>
      <c r="W18" s="3995"/>
      <c r="X18" s="3996"/>
      <c r="Y18" s="3995"/>
      <c r="Z18" s="3996"/>
      <c r="AA18" s="3995"/>
      <c r="AB18" s="3996"/>
      <c r="AC18" s="3995"/>
      <c r="AD18" s="3996"/>
      <c r="AE18" s="3995"/>
      <c r="AF18" s="3996"/>
      <c r="AG18" s="3995"/>
      <c r="AH18" s="3996"/>
      <c r="AI18" s="3995"/>
      <c r="AJ18" s="3996"/>
      <c r="AK18" s="3995"/>
      <c r="AL18" s="3996"/>
      <c r="AM18" s="3995"/>
      <c r="AN18" s="3996"/>
      <c r="AO18" s="3995"/>
      <c r="AP18" s="3996"/>
      <c r="AQ18" s="3985"/>
      <c r="AR18" s="3987"/>
      <c r="AS18" s="3985"/>
      <c r="AT18" s="3986"/>
      <c r="AU18" s="3985"/>
      <c r="AV18" s="3987"/>
      <c r="AW18" s="3988"/>
      <c r="AX18" s="1898" t="str">
        <f t="shared" si="0"/>
        <v/>
      </c>
      <c r="CA18" s="1899" t="str">
        <f>IF(B18&lt;&gt;(AS18+AR18)," * La suma de las columnas "&amp;AR$10&amp;""&amp;" DEBE SER IGUAL a los Exámenes Procesados. ","")</f>
        <v/>
      </c>
      <c r="CB18" s="1899" t="str">
        <f t="shared" si="1"/>
        <v/>
      </c>
      <c r="CC18" s="1899" t="str">
        <f t="shared" si="2"/>
        <v/>
      </c>
      <c r="CD18" s="1899" t="str">
        <f t="shared" si="3"/>
        <v/>
      </c>
      <c r="CE18" s="1900"/>
      <c r="CF18" s="1900"/>
      <c r="CG18" s="1900"/>
      <c r="CH18" s="1900"/>
      <c r="CI18" s="1900"/>
      <c r="CJ18" s="1899" t="str">
        <f t="shared" si="4"/>
        <v/>
      </c>
      <c r="CK18" s="1899" t="str">
        <f t="shared" si="5"/>
        <v/>
      </c>
      <c r="CL18" s="1899" t="str">
        <f t="shared" si="6"/>
        <v/>
      </c>
      <c r="CM18" s="1899" t="str">
        <f t="shared" si="36"/>
        <v/>
      </c>
      <c r="CN18" s="1899" t="str">
        <f t="shared" si="7"/>
        <v/>
      </c>
      <c r="CO18" s="1899" t="str">
        <f t="shared" si="8"/>
        <v/>
      </c>
      <c r="CP18" s="1899" t="str">
        <f t="shared" si="9"/>
        <v/>
      </c>
      <c r="CQ18" s="1899" t="str">
        <f t="shared" si="10"/>
        <v/>
      </c>
      <c r="CR18" s="1899" t="str">
        <f t="shared" si="11"/>
        <v/>
      </c>
      <c r="CS18" s="1899" t="str">
        <f t="shared" si="12"/>
        <v/>
      </c>
      <c r="CT18" s="1899" t="str">
        <f t="shared" si="13"/>
        <v/>
      </c>
      <c r="CU18" s="1899" t="str">
        <f t="shared" si="14"/>
        <v/>
      </c>
      <c r="CV18" s="1899" t="str">
        <f t="shared" si="15"/>
        <v/>
      </c>
      <c r="CW18" s="1899" t="str">
        <f t="shared" si="16"/>
        <v/>
      </c>
      <c r="CX18" s="1899" t="str">
        <f t="shared" si="17"/>
        <v/>
      </c>
      <c r="DE18" s="1970"/>
      <c r="DF18" s="3989">
        <f>IF(B18&lt;&gt;(AS18+AR18),1,0)</f>
        <v>0</v>
      </c>
      <c r="DG18" s="3989">
        <f t="shared" si="18"/>
        <v>0</v>
      </c>
      <c r="DH18" s="3989">
        <f t="shared" si="19"/>
        <v>0</v>
      </c>
      <c r="DI18" s="3989">
        <f t="shared" si="20"/>
        <v>0</v>
      </c>
      <c r="DJ18" s="1900"/>
      <c r="DK18" s="1900"/>
      <c r="DL18" s="1900"/>
      <c r="DM18" s="1900"/>
      <c r="DN18" s="1900"/>
      <c r="DO18" s="3989">
        <f t="shared" si="21"/>
        <v>0</v>
      </c>
      <c r="DP18" s="3989">
        <f t="shared" si="22"/>
        <v>0</v>
      </c>
      <c r="DQ18" s="3989">
        <f t="shared" si="23"/>
        <v>0</v>
      </c>
      <c r="DR18" s="3989">
        <f t="shared" si="37"/>
        <v>0</v>
      </c>
      <c r="DS18" s="3989">
        <f t="shared" si="24"/>
        <v>0</v>
      </c>
      <c r="DT18" s="3989">
        <f t="shared" si="25"/>
        <v>0</v>
      </c>
      <c r="DU18" s="3989">
        <f t="shared" si="26"/>
        <v>0</v>
      </c>
      <c r="DV18" s="3989">
        <f t="shared" si="27"/>
        <v>0</v>
      </c>
      <c r="DW18" s="3989">
        <f t="shared" si="28"/>
        <v>0</v>
      </c>
      <c r="DX18" s="3989">
        <f t="shared" si="29"/>
        <v>0</v>
      </c>
      <c r="DY18" s="3989">
        <f t="shared" si="30"/>
        <v>0</v>
      </c>
      <c r="DZ18" s="3989">
        <f t="shared" si="31"/>
        <v>0</v>
      </c>
      <c r="EA18" s="3989">
        <f t="shared" si="32"/>
        <v>0</v>
      </c>
      <c r="EB18" s="3989">
        <f t="shared" si="33"/>
        <v>0</v>
      </c>
      <c r="EC18" s="3989">
        <f t="shared" si="34"/>
        <v>0</v>
      </c>
    </row>
    <row r="19" spans="1:133" x14ac:dyDescent="0.3">
      <c r="A19" s="3957" t="s">
        <v>1872</v>
      </c>
      <c r="B19" s="3991">
        <f t="shared" si="35"/>
        <v>0</v>
      </c>
      <c r="C19" s="345">
        <f t="shared" si="35"/>
        <v>0</v>
      </c>
      <c r="D19" s="3992"/>
      <c r="E19" s="3993"/>
      <c r="F19" s="3992"/>
      <c r="G19" s="3993"/>
      <c r="H19" s="3992"/>
      <c r="I19" s="3993"/>
      <c r="J19" s="3992"/>
      <c r="K19" s="3993"/>
      <c r="L19" s="3992"/>
      <c r="M19" s="3994"/>
      <c r="N19" s="3987"/>
      <c r="O19" s="3995"/>
      <c r="P19" s="3996"/>
      <c r="Q19" s="3995"/>
      <c r="R19" s="3996"/>
      <c r="S19" s="3995"/>
      <c r="T19" s="3996"/>
      <c r="U19" s="3995"/>
      <c r="V19" s="3996"/>
      <c r="W19" s="3995"/>
      <c r="X19" s="3996"/>
      <c r="Y19" s="3995"/>
      <c r="Z19" s="3996"/>
      <c r="AA19" s="3995"/>
      <c r="AB19" s="3996"/>
      <c r="AC19" s="3995"/>
      <c r="AD19" s="3996"/>
      <c r="AE19" s="3995"/>
      <c r="AF19" s="3996"/>
      <c r="AG19" s="3995"/>
      <c r="AH19" s="3996"/>
      <c r="AI19" s="3995"/>
      <c r="AJ19" s="3996"/>
      <c r="AK19" s="3995"/>
      <c r="AL19" s="3996"/>
      <c r="AM19" s="3995"/>
      <c r="AN19" s="3996"/>
      <c r="AO19" s="3995"/>
      <c r="AP19" s="3996"/>
      <c r="AQ19" s="3985"/>
      <c r="AR19" s="3984"/>
      <c r="AS19" s="3985"/>
      <c r="AT19" s="3986"/>
      <c r="AU19" s="3985"/>
      <c r="AV19" s="3987"/>
      <c r="AW19" s="3988"/>
      <c r="AX19" s="1898" t="str">
        <f t="shared" si="0"/>
        <v/>
      </c>
      <c r="CA19" s="1899" t="str">
        <f>IF(B19&lt;&gt;(AS19)," * La suma de las columnas "&amp;AR$10&amp;""&amp;" DEBE SER IGUAL a los Exámenes Procesados. ","")</f>
        <v/>
      </c>
      <c r="CB19" s="1899" t="str">
        <f t="shared" si="1"/>
        <v/>
      </c>
      <c r="CC19" s="1899" t="str">
        <f t="shared" si="2"/>
        <v/>
      </c>
      <c r="CD19" s="1899" t="str">
        <f t="shared" si="3"/>
        <v/>
      </c>
      <c r="CE19" s="1900"/>
      <c r="CF19" s="1900"/>
      <c r="CG19" s="1900"/>
      <c r="CH19" s="1900"/>
      <c r="CI19" s="1900"/>
      <c r="CJ19" s="1899" t="str">
        <f t="shared" si="4"/>
        <v/>
      </c>
      <c r="CK19" s="1899" t="str">
        <f t="shared" si="5"/>
        <v/>
      </c>
      <c r="CL19" s="1899" t="str">
        <f t="shared" si="6"/>
        <v/>
      </c>
      <c r="CM19" s="1899" t="str">
        <f t="shared" si="36"/>
        <v/>
      </c>
      <c r="CN19" s="1899" t="str">
        <f t="shared" si="7"/>
        <v/>
      </c>
      <c r="CO19" s="1899" t="str">
        <f t="shared" si="8"/>
        <v/>
      </c>
      <c r="CP19" s="1899" t="str">
        <f t="shared" si="9"/>
        <v/>
      </c>
      <c r="CQ19" s="1899" t="str">
        <f t="shared" si="10"/>
        <v/>
      </c>
      <c r="CR19" s="1899" t="str">
        <f t="shared" si="11"/>
        <v/>
      </c>
      <c r="CS19" s="1899" t="str">
        <f t="shared" si="12"/>
        <v/>
      </c>
      <c r="CT19" s="1899" t="str">
        <f t="shared" si="13"/>
        <v/>
      </c>
      <c r="CU19" s="1899" t="str">
        <f t="shared" si="14"/>
        <v/>
      </c>
      <c r="CV19" s="1899" t="str">
        <f t="shared" si="15"/>
        <v/>
      </c>
      <c r="CW19" s="1899" t="str">
        <f t="shared" si="16"/>
        <v/>
      </c>
      <c r="CX19" s="1899" t="str">
        <f t="shared" si="17"/>
        <v/>
      </c>
      <c r="DE19" s="1970"/>
      <c r="DF19" s="3989">
        <f>IF(B19&lt;&gt;(AS19),1,0)</f>
        <v>0</v>
      </c>
      <c r="DG19" s="3989">
        <f t="shared" si="18"/>
        <v>0</v>
      </c>
      <c r="DH19" s="3989">
        <f t="shared" si="19"/>
        <v>0</v>
      </c>
      <c r="DI19" s="3989">
        <f t="shared" si="20"/>
        <v>0</v>
      </c>
      <c r="DJ19" s="1900"/>
      <c r="DK19" s="1900"/>
      <c r="DL19" s="1900"/>
      <c r="DM19" s="1900"/>
      <c r="DN19" s="1900"/>
      <c r="DO19" s="3989">
        <f t="shared" si="21"/>
        <v>0</v>
      </c>
      <c r="DP19" s="3989">
        <f t="shared" si="22"/>
        <v>0</v>
      </c>
      <c r="DQ19" s="3989">
        <f t="shared" si="23"/>
        <v>0</v>
      </c>
      <c r="DR19" s="3989">
        <f t="shared" si="37"/>
        <v>0</v>
      </c>
      <c r="DS19" s="3989">
        <f t="shared" si="24"/>
        <v>0</v>
      </c>
      <c r="DT19" s="3989">
        <f t="shared" si="25"/>
        <v>0</v>
      </c>
      <c r="DU19" s="3989">
        <f t="shared" si="26"/>
        <v>0</v>
      </c>
      <c r="DV19" s="3989">
        <f t="shared" si="27"/>
        <v>0</v>
      </c>
      <c r="DW19" s="3989">
        <f t="shared" si="28"/>
        <v>0</v>
      </c>
      <c r="DX19" s="3989">
        <f t="shared" si="29"/>
        <v>0</v>
      </c>
      <c r="DY19" s="3989">
        <f t="shared" si="30"/>
        <v>0</v>
      </c>
      <c r="DZ19" s="3989">
        <f t="shared" si="31"/>
        <v>0</v>
      </c>
      <c r="EA19" s="3989">
        <f t="shared" si="32"/>
        <v>0</v>
      </c>
      <c r="EB19" s="3989">
        <f t="shared" si="33"/>
        <v>0</v>
      </c>
      <c r="EC19" s="3989">
        <f t="shared" si="34"/>
        <v>0</v>
      </c>
    </row>
    <row r="20" spans="1:133" x14ac:dyDescent="0.3">
      <c r="A20" s="3990" t="s">
        <v>1873</v>
      </c>
      <c r="B20" s="3991">
        <f t="shared" si="35"/>
        <v>0</v>
      </c>
      <c r="C20" s="345">
        <f>+O20+Q20+S20+U20+W20+Y20+AA20+AC20+AE20+AG20+AI20+AK20+AM20+AO20+AQ20</f>
        <v>0</v>
      </c>
      <c r="D20" s="3992"/>
      <c r="E20" s="3993"/>
      <c r="F20" s="3992"/>
      <c r="G20" s="3993"/>
      <c r="H20" s="3992"/>
      <c r="I20" s="3993"/>
      <c r="J20" s="3992"/>
      <c r="K20" s="3993"/>
      <c r="L20" s="3992"/>
      <c r="M20" s="3994"/>
      <c r="N20" s="3987"/>
      <c r="O20" s="3995"/>
      <c r="P20" s="3996"/>
      <c r="Q20" s="3995"/>
      <c r="R20" s="3996"/>
      <c r="S20" s="3995"/>
      <c r="T20" s="3996"/>
      <c r="U20" s="3995"/>
      <c r="V20" s="3996"/>
      <c r="W20" s="3995"/>
      <c r="X20" s="3996"/>
      <c r="Y20" s="3995"/>
      <c r="Z20" s="3996"/>
      <c r="AA20" s="3995"/>
      <c r="AB20" s="3996"/>
      <c r="AC20" s="3995"/>
      <c r="AD20" s="3996"/>
      <c r="AE20" s="3995"/>
      <c r="AF20" s="3996"/>
      <c r="AG20" s="3995"/>
      <c r="AH20" s="3996"/>
      <c r="AI20" s="3995"/>
      <c r="AJ20" s="3996"/>
      <c r="AK20" s="3995"/>
      <c r="AL20" s="3996"/>
      <c r="AM20" s="3995"/>
      <c r="AN20" s="3996"/>
      <c r="AO20" s="3995"/>
      <c r="AP20" s="3996"/>
      <c r="AQ20" s="3985"/>
      <c r="AR20" s="3984"/>
      <c r="AS20" s="3985"/>
      <c r="AT20" s="3986"/>
      <c r="AU20" s="3985"/>
      <c r="AV20" s="3987"/>
      <c r="AW20" s="3988"/>
      <c r="AX20" s="1898" t="str">
        <f t="shared" si="0"/>
        <v/>
      </c>
      <c r="CA20" s="1899" t="str">
        <f>IF(B20&lt;&gt;(AS20)," * La suma de las columnas "&amp;AR$10&amp;""&amp;" DEBE SER IGUAL a los Exámenes Procesados. ","")</f>
        <v/>
      </c>
      <c r="CB20" s="1899" t="str">
        <f t="shared" si="1"/>
        <v/>
      </c>
      <c r="CC20" s="1899" t="str">
        <f t="shared" si="2"/>
        <v/>
      </c>
      <c r="CD20" s="1899" t="str">
        <f t="shared" si="3"/>
        <v/>
      </c>
      <c r="CE20" s="1900"/>
      <c r="CF20" s="1900"/>
      <c r="CG20" s="1900"/>
      <c r="CH20" s="1900"/>
      <c r="CI20" s="1900"/>
      <c r="CJ20" s="1899" t="str">
        <f t="shared" si="4"/>
        <v/>
      </c>
      <c r="CK20" s="1899" t="str">
        <f t="shared" si="5"/>
        <v/>
      </c>
      <c r="CL20" s="1899" t="str">
        <f t="shared" si="6"/>
        <v/>
      </c>
      <c r="CM20" s="1899" t="str">
        <f t="shared" si="36"/>
        <v/>
      </c>
      <c r="CN20" s="1899" t="str">
        <f t="shared" si="7"/>
        <v/>
      </c>
      <c r="CO20" s="1899" t="str">
        <f t="shared" si="8"/>
        <v/>
      </c>
      <c r="CP20" s="1899" t="str">
        <f t="shared" si="9"/>
        <v/>
      </c>
      <c r="CQ20" s="1899" t="str">
        <f t="shared" si="10"/>
        <v/>
      </c>
      <c r="CR20" s="1899" t="str">
        <f t="shared" si="11"/>
        <v/>
      </c>
      <c r="CS20" s="1899" t="str">
        <f t="shared" si="12"/>
        <v/>
      </c>
      <c r="CT20" s="1899" t="str">
        <f t="shared" si="13"/>
        <v/>
      </c>
      <c r="CU20" s="1899" t="str">
        <f t="shared" si="14"/>
        <v/>
      </c>
      <c r="CV20" s="1899" t="str">
        <f t="shared" si="15"/>
        <v/>
      </c>
      <c r="CW20" s="1899" t="str">
        <f t="shared" si="16"/>
        <v/>
      </c>
      <c r="CX20" s="1899" t="str">
        <f t="shared" si="17"/>
        <v/>
      </c>
      <c r="DE20" s="1970"/>
      <c r="DF20" s="3989">
        <f>IF(B20&lt;&gt;(AS20),1,0)</f>
        <v>0</v>
      </c>
      <c r="DG20" s="3989">
        <f t="shared" si="18"/>
        <v>0</v>
      </c>
      <c r="DH20" s="3989">
        <f t="shared" si="19"/>
        <v>0</v>
      </c>
      <c r="DI20" s="3989">
        <f t="shared" si="20"/>
        <v>0</v>
      </c>
      <c r="DJ20" s="1900"/>
      <c r="DK20" s="1900"/>
      <c r="DL20" s="1900"/>
      <c r="DM20" s="1900"/>
      <c r="DN20" s="1900"/>
      <c r="DO20" s="3989">
        <f t="shared" si="21"/>
        <v>0</v>
      </c>
      <c r="DP20" s="3989">
        <f t="shared" si="22"/>
        <v>0</v>
      </c>
      <c r="DQ20" s="3989">
        <f t="shared" si="23"/>
        <v>0</v>
      </c>
      <c r="DR20" s="3989">
        <f t="shared" si="37"/>
        <v>0</v>
      </c>
      <c r="DS20" s="3989">
        <f t="shared" si="24"/>
        <v>0</v>
      </c>
      <c r="DT20" s="3989">
        <f t="shared" si="25"/>
        <v>0</v>
      </c>
      <c r="DU20" s="3989">
        <f t="shared" si="26"/>
        <v>0</v>
      </c>
      <c r="DV20" s="3989">
        <f t="shared" si="27"/>
        <v>0</v>
      </c>
      <c r="DW20" s="3989">
        <f t="shared" si="28"/>
        <v>0</v>
      </c>
      <c r="DX20" s="3989">
        <f t="shared" si="29"/>
        <v>0</v>
      </c>
      <c r="DY20" s="3989">
        <f t="shared" si="30"/>
        <v>0</v>
      </c>
      <c r="DZ20" s="3989">
        <f t="shared" si="31"/>
        <v>0</v>
      </c>
      <c r="EA20" s="3989">
        <f t="shared" si="32"/>
        <v>0</v>
      </c>
      <c r="EB20" s="3989">
        <f t="shared" si="33"/>
        <v>0</v>
      </c>
      <c r="EC20" s="3989">
        <f t="shared" si="34"/>
        <v>0</v>
      </c>
    </row>
    <row r="21" spans="1:133" x14ac:dyDescent="0.3">
      <c r="A21" s="3990" t="s">
        <v>1874</v>
      </c>
      <c r="B21" s="3991">
        <f>+D21+F21+H21+J21+L21+N21+P21+R21+T21+V21+X21+Z21+AB21+AD21+AF21+AH21+AJ21+AL21+AN21+AP21</f>
        <v>0</v>
      </c>
      <c r="C21" s="345">
        <f>+E21+G21+I21+K21+M21+O21+Q21+S21+U21+W21+Y21+AA21+AC21+AE21+AG21+AI21+AK21+AM21+AO21+AQ21</f>
        <v>0</v>
      </c>
      <c r="D21" s="3996"/>
      <c r="E21" s="3995"/>
      <c r="F21" s="3996"/>
      <c r="G21" s="3995"/>
      <c r="H21" s="3996"/>
      <c r="I21" s="3988"/>
      <c r="J21" s="3987"/>
      <c r="K21" s="3987"/>
      <c r="L21" s="3996"/>
      <c r="M21" s="3988"/>
      <c r="N21" s="3987"/>
      <c r="O21" s="3995"/>
      <c r="P21" s="3996"/>
      <c r="Q21" s="3995"/>
      <c r="R21" s="3996"/>
      <c r="S21" s="3995"/>
      <c r="T21" s="3996"/>
      <c r="U21" s="3995"/>
      <c r="V21" s="3996"/>
      <c r="W21" s="3995"/>
      <c r="X21" s="3996"/>
      <c r="Y21" s="3995"/>
      <c r="Z21" s="3996"/>
      <c r="AA21" s="3995"/>
      <c r="AB21" s="3996"/>
      <c r="AC21" s="3995"/>
      <c r="AD21" s="3996"/>
      <c r="AE21" s="3995"/>
      <c r="AF21" s="3996"/>
      <c r="AG21" s="3995"/>
      <c r="AH21" s="3996"/>
      <c r="AI21" s="3995"/>
      <c r="AJ21" s="3996"/>
      <c r="AK21" s="3995"/>
      <c r="AL21" s="3996"/>
      <c r="AM21" s="3995"/>
      <c r="AN21" s="3996"/>
      <c r="AO21" s="3995"/>
      <c r="AP21" s="3996"/>
      <c r="AQ21" s="3985"/>
      <c r="AR21" s="3984"/>
      <c r="AS21" s="3985"/>
      <c r="AT21" s="3986"/>
      <c r="AU21" s="3985"/>
      <c r="AV21" s="3987"/>
      <c r="AW21" s="3988"/>
      <c r="AX21" s="1898" t="str">
        <f>$CA21&amp;CB21&amp;CC21&amp;$CD21&amp;CJ21&amp;CE21&amp;CF21&amp;CG21&amp;CH21&amp;CI21&amp;CK21&amp;CL21&amp;CM21&amp;CN21&amp;CO21&amp;CP21&amp;CQ21&amp;CR21&amp;CS21&amp;CT21&amp;CU21&amp;CV21&amp;CW21&amp;CX21</f>
        <v/>
      </c>
      <c r="CA21" s="1899" t="str">
        <f>IF(B21&lt;&gt;(AS21)," * La suma de las columnas "&amp;AR$10&amp;""&amp;" DEBE SER IGUAL a los Exámenes Procesados. ","")</f>
        <v/>
      </c>
      <c r="CB21" s="1899" t="str">
        <f t="shared" si="1"/>
        <v/>
      </c>
      <c r="CC21" s="1899" t="str">
        <f t="shared" si="2"/>
        <v/>
      </c>
      <c r="CD21" s="1899" t="str">
        <f t="shared" si="3"/>
        <v/>
      </c>
      <c r="CE21" s="1899" t="str">
        <f>IF(D21&lt;E21,CONCATENATE("* El total de Procesados debe ser mayor o igual al total de Reactivos en el grupo de edad ",$D$11),"")</f>
        <v/>
      </c>
      <c r="CF21" s="1899" t="str">
        <f>IF(F21&lt;G21,CONCATENATE("* El total de Procesados debe ser mayor o igual al total de Reactivos en el grupo de edad ",$F$11),"")</f>
        <v/>
      </c>
      <c r="CG21" s="1899" t="str">
        <f>IF(H21&lt;I21,CONCATENATE("* El total de Procesados debe ser mayor o igual al total de Reactivos en el grupo de edad ",$H$11),"")</f>
        <v/>
      </c>
      <c r="CH21" s="1899" t="str">
        <f>IF(J21&lt;K21,CONCATENATE("* El total de Procesados debe ser mayor o igual al total de Reactivos en el grupo de edad ",$J$11),"")</f>
        <v/>
      </c>
      <c r="CI21" s="1899" t="str">
        <f>IF(L21&lt;M21,CONCATENATE("* El total de Procesados debe ser mayor o igual al total de Reactivos en el grupo de edad ",$L$11),"")</f>
        <v/>
      </c>
      <c r="CJ21" s="1899" t="str">
        <f t="shared" si="4"/>
        <v/>
      </c>
      <c r="CK21" s="1899" t="str">
        <f t="shared" si="5"/>
        <v/>
      </c>
      <c r="CL21" s="1899" t="str">
        <f t="shared" si="6"/>
        <v/>
      </c>
      <c r="CM21" s="1899" t="str">
        <f>IF($T21&lt;$U21,CONCATENATE("* El total de Procesados debe ser mayor o igual al total de Reactivos en el grupo de edad ",$T$11),"")</f>
        <v/>
      </c>
      <c r="CN21" s="1899" t="str">
        <f t="shared" si="7"/>
        <v/>
      </c>
      <c r="CO21" s="1899" t="str">
        <f t="shared" si="8"/>
        <v/>
      </c>
      <c r="CP21" s="1899" t="str">
        <f t="shared" si="9"/>
        <v/>
      </c>
      <c r="CQ21" s="1899" t="str">
        <f t="shared" si="10"/>
        <v/>
      </c>
      <c r="CR21" s="1899" t="str">
        <f t="shared" si="11"/>
        <v/>
      </c>
      <c r="CS21" s="1899" t="str">
        <f t="shared" si="12"/>
        <v/>
      </c>
      <c r="CT21" s="1899" t="str">
        <f t="shared" si="13"/>
        <v/>
      </c>
      <c r="CU21" s="1899" t="str">
        <f t="shared" si="14"/>
        <v/>
      </c>
      <c r="CV21" s="1899" t="str">
        <f t="shared" si="15"/>
        <v/>
      </c>
      <c r="CW21" s="1899" t="str">
        <f t="shared" si="16"/>
        <v/>
      </c>
      <c r="CX21" s="1899" t="str">
        <f t="shared" si="17"/>
        <v/>
      </c>
      <c r="DE21" s="1970"/>
      <c r="DF21" s="3989">
        <f>IF(B21&lt;&gt;(AS21),1,0)</f>
        <v>0</v>
      </c>
      <c r="DG21" s="3989">
        <f t="shared" si="18"/>
        <v>0</v>
      </c>
      <c r="DH21" s="3989">
        <f t="shared" si="19"/>
        <v>0</v>
      </c>
      <c r="DI21" s="3989">
        <f t="shared" si="20"/>
        <v>0</v>
      </c>
      <c r="DJ21" s="3989">
        <f>IF(D21&lt;E21,1,0)</f>
        <v>0</v>
      </c>
      <c r="DK21" s="3989">
        <f>IF(F21&lt;G21,1,0)</f>
        <v>0</v>
      </c>
      <c r="DL21" s="3989">
        <f>IF(H21&lt;I21,1,0)</f>
        <v>0</v>
      </c>
      <c r="DM21" s="3989">
        <f>IF(J21&lt;K21,1,0)</f>
        <v>0</v>
      </c>
      <c r="DN21" s="3989">
        <f>IF(L21&lt;M21,1,0)</f>
        <v>0</v>
      </c>
      <c r="DO21" s="3989">
        <f t="shared" si="21"/>
        <v>0</v>
      </c>
      <c r="DP21" s="3989">
        <f t="shared" si="22"/>
        <v>0</v>
      </c>
      <c r="DQ21" s="3989">
        <f t="shared" si="23"/>
        <v>0</v>
      </c>
      <c r="DR21" s="3989">
        <f t="shared" si="37"/>
        <v>0</v>
      </c>
      <c r="DS21" s="3989">
        <f t="shared" si="24"/>
        <v>0</v>
      </c>
      <c r="DT21" s="3989">
        <f t="shared" si="25"/>
        <v>0</v>
      </c>
      <c r="DU21" s="3989">
        <f t="shared" si="26"/>
        <v>0</v>
      </c>
      <c r="DV21" s="3989">
        <f t="shared" si="27"/>
        <v>0</v>
      </c>
      <c r="DW21" s="3989">
        <f t="shared" si="28"/>
        <v>0</v>
      </c>
      <c r="DX21" s="3989">
        <f t="shared" si="29"/>
        <v>0</v>
      </c>
      <c r="DY21" s="3989">
        <f t="shared" si="30"/>
        <v>0</v>
      </c>
      <c r="DZ21" s="3989">
        <f t="shared" si="31"/>
        <v>0</v>
      </c>
      <c r="EA21" s="3989">
        <f t="shared" si="32"/>
        <v>0</v>
      </c>
      <c r="EB21" s="3989">
        <f t="shared" si="33"/>
        <v>0</v>
      </c>
      <c r="EC21" s="3989">
        <f t="shared" si="34"/>
        <v>0</v>
      </c>
    </row>
    <row r="22" spans="1:133" ht="20.399999999999999" x14ac:dyDescent="0.3">
      <c r="A22" s="3957" t="s">
        <v>1875</v>
      </c>
      <c r="B22" s="3991">
        <f>+D22+F22+H22</f>
        <v>0</v>
      </c>
      <c r="C22" s="345">
        <f>+E22+G22+I22</f>
        <v>0</v>
      </c>
      <c r="D22" s="3996"/>
      <c r="E22" s="3995"/>
      <c r="F22" s="3996"/>
      <c r="G22" s="3995"/>
      <c r="H22" s="3996"/>
      <c r="I22" s="3988"/>
      <c r="J22" s="3997"/>
      <c r="K22" s="3998"/>
      <c r="L22" s="3997"/>
      <c r="M22" s="3998"/>
      <c r="N22" s="3997"/>
      <c r="O22" s="3998"/>
      <c r="P22" s="3997"/>
      <c r="Q22" s="3998"/>
      <c r="R22" s="3997"/>
      <c r="S22" s="3998"/>
      <c r="T22" s="3997"/>
      <c r="U22" s="3998"/>
      <c r="V22" s="3997"/>
      <c r="W22" s="3998"/>
      <c r="X22" s="3997"/>
      <c r="Y22" s="3998"/>
      <c r="Z22" s="3997"/>
      <c r="AA22" s="3998"/>
      <c r="AB22" s="3997"/>
      <c r="AC22" s="3998"/>
      <c r="AD22" s="3997"/>
      <c r="AE22" s="3998"/>
      <c r="AF22" s="3997"/>
      <c r="AG22" s="3998"/>
      <c r="AH22" s="3997"/>
      <c r="AI22" s="3998"/>
      <c r="AJ22" s="3997"/>
      <c r="AK22" s="3998"/>
      <c r="AL22" s="3997"/>
      <c r="AM22" s="3998"/>
      <c r="AN22" s="3997"/>
      <c r="AO22" s="3998"/>
      <c r="AP22" s="3997"/>
      <c r="AQ22" s="3999"/>
      <c r="AR22" s="3987"/>
      <c r="AS22" s="3985"/>
      <c r="AT22" s="3986"/>
      <c r="AU22" s="3985"/>
      <c r="AV22" s="3987"/>
      <c r="AW22" s="3988"/>
      <c r="AX22" s="1898" t="str">
        <f>$CA22&amp;CB22&amp;CC22&amp;$CD22&amp;CE22&amp;CF22&amp;CG22</f>
        <v/>
      </c>
      <c r="CA22" s="1899" t="str">
        <f t="shared" ref="CA22:CA30" si="38">IF(B22&lt;&gt;(AS22+AR22)," * La suma de las columnas "&amp;AR$10&amp;""&amp;" DEBE SER IGUAL a los Exámenes Procesados. ","")</f>
        <v/>
      </c>
      <c r="CB22" s="1899" t="str">
        <f t="shared" si="1"/>
        <v/>
      </c>
      <c r="CC22" s="1899" t="str">
        <f t="shared" si="2"/>
        <v/>
      </c>
      <c r="CD22" s="1899" t="str">
        <f t="shared" si="3"/>
        <v/>
      </c>
      <c r="CE22" s="1899" t="str">
        <f>IF(D22&lt;E22,CONCATENATE("* El total de Procesados debe ser mayor o igual al total de Reactivos en el grupo de edad ",$D$11),"")</f>
        <v/>
      </c>
      <c r="CF22" s="1899" t="str">
        <f>IF(F22&lt;G22,CONCATENATE("* El total de Procesados debe ser mayor o igual al total de Reactivos en el grupo de edad ",$F$11),"")</f>
        <v/>
      </c>
      <c r="CG22" s="1899" t="str">
        <f>IF(H22&lt;I22,CONCATENATE("* El total de Procesados debe ser mayor o igual al total de Reactivos en el grupo de edad ",$H$11),"")</f>
        <v/>
      </c>
      <c r="CH22" s="1902"/>
      <c r="CI22" s="1902"/>
      <c r="CJ22" s="4000"/>
      <c r="CK22" s="1902"/>
      <c r="CL22" s="1902"/>
      <c r="CM22" s="1902"/>
      <c r="CN22" s="1902"/>
      <c r="CO22" s="1902"/>
      <c r="CP22" s="1902"/>
      <c r="CQ22" s="1902"/>
      <c r="CR22" s="1902"/>
      <c r="CS22" s="1902"/>
      <c r="CT22" s="1902"/>
      <c r="CU22" s="1902"/>
      <c r="CV22" s="1902"/>
      <c r="CW22" s="1902"/>
      <c r="CX22" s="1902"/>
      <c r="DE22" s="1970"/>
      <c r="DF22" s="3989">
        <f t="shared" ref="DF22:DF30" si="39">IF(B22&lt;&gt;(AS22+AR22),1,0)</f>
        <v>0</v>
      </c>
      <c r="DG22" s="3989">
        <f t="shared" si="18"/>
        <v>0</v>
      </c>
      <c r="DH22" s="3989">
        <f t="shared" si="19"/>
        <v>0</v>
      </c>
      <c r="DI22" s="3989">
        <f t="shared" si="20"/>
        <v>0</v>
      </c>
      <c r="DJ22" s="3989">
        <f>IF(D22&lt;E22,1,0)</f>
        <v>0</v>
      </c>
      <c r="DK22" s="3989">
        <f>IF(F22&lt;G22,1,0)</f>
        <v>0</v>
      </c>
      <c r="DL22" s="3989">
        <f>IF(H22&lt;I22,1,0)</f>
        <v>0</v>
      </c>
      <c r="DM22" s="1902"/>
      <c r="DN22" s="1902"/>
      <c r="DO22" s="1900"/>
      <c r="DP22" s="1900"/>
      <c r="DQ22" s="1900"/>
      <c r="DR22" s="1900"/>
      <c r="DS22" s="1900"/>
      <c r="DT22" s="1900"/>
      <c r="DU22" s="1900"/>
      <c r="DV22" s="1900"/>
      <c r="DW22" s="1900"/>
      <c r="DX22" s="1900"/>
      <c r="DY22" s="1900"/>
      <c r="DZ22" s="1900"/>
      <c r="EA22" s="1900"/>
      <c r="EB22" s="1900"/>
      <c r="EC22" s="1900"/>
    </row>
    <row r="23" spans="1:133" x14ac:dyDescent="0.3">
      <c r="A23" s="3957" t="s">
        <v>1876</v>
      </c>
      <c r="B23" s="3991">
        <f>+P23+R23+T23+V23+X23+Z23+AB23+AD23+AF23+AH23+AJ23+AL23+AN23+AP23</f>
        <v>0</v>
      </c>
      <c r="C23" s="345">
        <f>+Q23+S23+U23+W23+Y23+AA23+AC23+AE23+AG23+AI23+AK23+AM23+AO23+AQ23</f>
        <v>0</v>
      </c>
      <c r="D23" s="3992"/>
      <c r="E23" s="3993"/>
      <c r="F23" s="3992"/>
      <c r="G23" s="3993"/>
      <c r="H23" s="3992"/>
      <c r="I23" s="3993"/>
      <c r="J23" s="3992"/>
      <c r="K23" s="3993"/>
      <c r="L23" s="3992"/>
      <c r="M23" s="3994"/>
      <c r="N23" s="4001"/>
      <c r="O23" s="3993"/>
      <c r="P23" s="3996"/>
      <c r="Q23" s="3995"/>
      <c r="R23" s="3996"/>
      <c r="S23" s="3995"/>
      <c r="T23" s="3996"/>
      <c r="U23" s="3995"/>
      <c r="V23" s="3996"/>
      <c r="W23" s="3995"/>
      <c r="X23" s="3996"/>
      <c r="Y23" s="3995"/>
      <c r="Z23" s="3996"/>
      <c r="AA23" s="3995"/>
      <c r="AB23" s="3996"/>
      <c r="AC23" s="3995"/>
      <c r="AD23" s="3996"/>
      <c r="AE23" s="3995"/>
      <c r="AF23" s="3996"/>
      <c r="AG23" s="3995"/>
      <c r="AH23" s="3996"/>
      <c r="AI23" s="3995"/>
      <c r="AJ23" s="3996"/>
      <c r="AK23" s="3995"/>
      <c r="AL23" s="3996"/>
      <c r="AM23" s="3995"/>
      <c r="AN23" s="3996"/>
      <c r="AO23" s="3995"/>
      <c r="AP23" s="3996"/>
      <c r="AQ23" s="3985"/>
      <c r="AR23" s="3987"/>
      <c r="AS23" s="3985"/>
      <c r="AT23" s="3986"/>
      <c r="AU23" s="3985"/>
      <c r="AV23" s="3987"/>
      <c r="AW23" s="3988"/>
      <c r="AX23" s="1898" t="str">
        <f>$CA23&amp;CB23&amp;CC23&amp;$CD23&amp;CK23&amp;CL23&amp;CM23&amp;CN23&amp;CO23&amp;CP23&amp;CQ23&amp;CR23&amp;CS23&amp;CT23&amp;CU23&amp;CV23&amp;CW23&amp;CX23</f>
        <v/>
      </c>
      <c r="CA23" s="1899" t="str">
        <f t="shared" si="38"/>
        <v/>
      </c>
      <c r="CB23" s="1899" t="str">
        <f t="shared" si="1"/>
        <v/>
      </c>
      <c r="CC23" s="1899" t="str">
        <f t="shared" si="2"/>
        <v/>
      </c>
      <c r="CD23" s="1899" t="str">
        <f t="shared" si="3"/>
        <v/>
      </c>
      <c r="CE23" s="4000"/>
      <c r="CF23" s="4000"/>
      <c r="CG23" s="1902"/>
      <c r="CH23" s="1902"/>
      <c r="CI23" s="1902"/>
      <c r="CJ23" s="4000"/>
      <c r="CK23" s="1899" t="str">
        <f t="shared" ref="CK23:CK30" si="40">IF(P23&lt;Q23,CONCATENATE("* El total de Procesados debe ser mayor o igual al total de Reactivos en el grupo de edad ",$P$11),"")</f>
        <v/>
      </c>
      <c r="CL23" s="1899" t="str">
        <f t="shared" ref="CL23:CL30" si="41">IF(R23&lt;S23,CONCATENATE("* El total de Procesados debe ser mayor o igual al total de Reactivos en el grupo de edad ",$R$11),"")</f>
        <v/>
      </c>
      <c r="CM23" s="1899" t="str">
        <f t="shared" si="36"/>
        <v/>
      </c>
      <c r="CN23" s="1899" t="str">
        <f t="shared" ref="CN23:CN30" si="42">IF(V23&lt;W23,CONCATENATE("* El total de Procesados debe ser mayor o igual al total de Reactivos en el grupo de edad ",$V$11),"")</f>
        <v/>
      </c>
      <c r="CO23" s="1899" t="str">
        <f t="shared" ref="CO23:CO30" si="43">IF(X23&lt;Y23,CONCATENATE("* El total de Procesados debe ser mayor o igual al total de Reactivos en el grupo de edad ",$X$11),"")</f>
        <v/>
      </c>
      <c r="CP23" s="1899" t="str">
        <f t="shared" ref="CP23:CP30" si="44">IF(Z23&lt;AA23,CONCATENATE("* El total de Procesados debe ser mayor o igual al total de Reactivos en el grupo de edad ",$Z$11),"")</f>
        <v/>
      </c>
      <c r="CQ23" s="1899" t="str">
        <f t="shared" ref="CQ23:CQ30" si="45">IF(AB23&lt;AC23,CONCATENATE("* El total de Procesados debe ser mayor o igual al total de Reactivos en el grupo de edad ",$AB$11),"")</f>
        <v/>
      </c>
      <c r="CR23" s="1899" t="str">
        <f t="shared" ref="CR23:CR30" si="46">IF(AD23&lt;AE23,CONCATENATE("* El total de Procesados debe ser mayor o igual al total de Reactivos en el grupo de edad ",$AD$11),"")</f>
        <v/>
      </c>
      <c r="CS23" s="1899" t="str">
        <f t="shared" ref="CS23:CS30" si="47">IF(AF23&lt;AG23,CONCATENATE("* El total de Procesados debe ser mayor o igual al total de Reactivos en el grupo de edad ",$AF$11),"")</f>
        <v/>
      </c>
      <c r="CT23" s="1899" t="str">
        <f t="shared" ref="CT23:CT30" si="48">IF(AH23&lt;AI23,CONCATENATE("* El total de Procesados debe ser mayor o igual al total de Reactivos en el grupo de edad ",$AH$11),"")</f>
        <v/>
      </c>
      <c r="CU23" s="1899" t="str">
        <f>IF(AJ23&lt;AK23,CONCATENATE("* El total de Procesados debe ser mayor o igual al total de Reactivos en el grupo de edad ",$AJ$11),"")</f>
        <v/>
      </c>
      <c r="CV23" s="1899" t="str">
        <f>IF(AL23&lt;AM23,CONCATENATE("* El total de Procesados debe ser mayor o igual al total de Reactivos en el grupo de edad ",$AL$11),"")</f>
        <v/>
      </c>
      <c r="CW23" s="1899" t="str">
        <f>IF(AN23&lt;AO23,CONCATENATE("* El total de Procesados debe ser mayor o igual al total de Reactivos en el grupo de edad ",$AN$11),"")</f>
        <v/>
      </c>
      <c r="CX23" s="1899" t="str">
        <f>IF(AP23&lt;AQ23,CONCATENATE("* El total de Procesados debe ser mayor o igual al total de Reactivos en el grupo de edad ",$AP$11),"")</f>
        <v/>
      </c>
      <c r="DE23" s="1970"/>
      <c r="DF23" s="3989">
        <f t="shared" si="39"/>
        <v>0</v>
      </c>
      <c r="DG23" s="3989">
        <f t="shared" si="18"/>
        <v>0</v>
      </c>
      <c r="DH23" s="3989">
        <f t="shared" si="19"/>
        <v>0</v>
      </c>
      <c r="DI23" s="3989">
        <f t="shared" si="20"/>
        <v>0</v>
      </c>
      <c r="DJ23" s="1902"/>
      <c r="DK23" s="1902"/>
      <c r="DL23" s="1902"/>
      <c r="DM23" s="1902"/>
      <c r="DN23" s="1902"/>
      <c r="DO23" s="1900"/>
      <c r="DP23" s="3989">
        <f t="shared" ref="DP23:DP30" si="49">IF(P23&lt;Q23,1,0)</f>
        <v>0</v>
      </c>
      <c r="DQ23" s="3989">
        <f t="shared" ref="DQ23:DQ30" si="50">IF(R23&lt;S23,1,0)</f>
        <v>0</v>
      </c>
      <c r="DR23" s="3989">
        <f t="shared" si="37"/>
        <v>0</v>
      </c>
      <c r="DS23" s="3989">
        <f t="shared" ref="DS23:DS30" si="51">IF(V23&lt;W23,1,0)</f>
        <v>0</v>
      </c>
      <c r="DT23" s="3989">
        <f t="shared" ref="DT23:DT30" si="52">IF(X23&lt;Y23,1,0)</f>
        <v>0</v>
      </c>
      <c r="DU23" s="3989">
        <f t="shared" ref="DU23:DU30" si="53">IF(Z23&lt;AA23,1,0)</f>
        <v>0</v>
      </c>
      <c r="DV23" s="3989">
        <f t="shared" ref="DV23:DV30" si="54">IF(AB23&lt;AC23,1,0)</f>
        <v>0</v>
      </c>
      <c r="DW23" s="3989">
        <f t="shared" ref="DW23:DW30" si="55">IF(AD23&lt;AE23,1,0)</f>
        <v>0</v>
      </c>
      <c r="DX23" s="3989">
        <f t="shared" ref="DX23:DX30" si="56">IF(AF23&lt;AG23,1,0)</f>
        <v>0</v>
      </c>
      <c r="DY23" s="3989">
        <f t="shared" ref="DY23:DY30" si="57">IF(AH23&lt;AI23,1,0)</f>
        <v>0</v>
      </c>
      <c r="DZ23" s="3989">
        <f>IF(AJ23&lt;AK23,1,0)</f>
        <v>0</v>
      </c>
      <c r="EA23" s="3989">
        <f>IF(AL23&lt;AM23,1,0)</f>
        <v>0</v>
      </c>
      <c r="EB23" s="3989">
        <f>IF(AN23&lt;AO23,1,0)</f>
        <v>0</v>
      </c>
      <c r="EC23" s="3989">
        <f>IF(AP23&lt;AQ23,1,0)</f>
        <v>0</v>
      </c>
    </row>
    <row r="24" spans="1:133" x14ac:dyDescent="0.3">
      <c r="A24" s="3990" t="s">
        <v>1877</v>
      </c>
      <c r="B24" s="3991">
        <f>+N24+P24+R24+T24+V24+X24+Z24+AB24+AD24+AF24+AH24+AJ24+AL24+AN24+AP24</f>
        <v>0</v>
      </c>
      <c r="C24" s="345">
        <f>+O24+Q24+S24+U24+W24+Y24+AA24+AC24+AE24+AG24+AI24+AK24+AM24+AO24+AQ24</f>
        <v>0</v>
      </c>
      <c r="D24" s="3997"/>
      <c r="E24" s="3998"/>
      <c r="F24" s="3997"/>
      <c r="G24" s="3998"/>
      <c r="H24" s="3997"/>
      <c r="I24" s="4002"/>
      <c r="J24" s="3984"/>
      <c r="K24" s="3984"/>
      <c r="L24" s="3997"/>
      <c r="M24" s="4002"/>
      <c r="N24" s="3987"/>
      <c r="O24" s="3995"/>
      <c r="P24" s="3996"/>
      <c r="Q24" s="3995"/>
      <c r="R24" s="3996"/>
      <c r="S24" s="3995"/>
      <c r="T24" s="3996"/>
      <c r="U24" s="3995"/>
      <c r="V24" s="3996"/>
      <c r="W24" s="3995"/>
      <c r="X24" s="3996"/>
      <c r="Y24" s="3995"/>
      <c r="Z24" s="3996"/>
      <c r="AA24" s="3995"/>
      <c r="AB24" s="3996"/>
      <c r="AC24" s="3995"/>
      <c r="AD24" s="3996"/>
      <c r="AE24" s="3995"/>
      <c r="AF24" s="3996"/>
      <c r="AG24" s="3995"/>
      <c r="AH24" s="3996"/>
      <c r="AI24" s="3995"/>
      <c r="AJ24" s="3996"/>
      <c r="AK24" s="3995"/>
      <c r="AL24" s="3996"/>
      <c r="AM24" s="3995"/>
      <c r="AN24" s="3996"/>
      <c r="AO24" s="3988"/>
      <c r="AP24" s="3996"/>
      <c r="AQ24" s="3985"/>
      <c r="AR24" s="3987"/>
      <c r="AS24" s="3985"/>
      <c r="AT24" s="3986"/>
      <c r="AU24" s="3985"/>
      <c r="AV24" s="3987"/>
      <c r="AW24" s="3988"/>
      <c r="AX24" s="1898" t="str">
        <f>$CA24&amp;CB24&amp;CC24&amp;$CD24&amp;CJ24&amp;CK24&amp;CL24&amp;CM24&amp;CN24&amp;CO24&amp;CP24&amp;CQ24&amp;CR24&amp;CS24&amp;CT24&amp;CU24&amp;CV24&amp;CW24&amp;CX24</f>
        <v/>
      </c>
      <c r="CA24" s="1899" t="str">
        <f t="shared" si="38"/>
        <v/>
      </c>
      <c r="CB24" s="1899" t="str">
        <f t="shared" si="1"/>
        <v/>
      </c>
      <c r="CC24" s="1899" t="str">
        <f t="shared" si="2"/>
        <v/>
      </c>
      <c r="CD24" s="1899" t="str">
        <f t="shared" si="3"/>
        <v/>
      </c>
      <c r="CE24" s="4000"/>
      <c r="CF24" s="4000"/>
      <c r="CG24" s="1902"/>
      <c r="CH24" s="1902"/>
      <c r="CI24" s="1902"/>
      <c r="CJ24" s="1899" t="str">
        <f>IF(N24&lt;O24,CONCATENATE("* El total de Procesados debe ser mayor o igual al total de Reactivos en el grupo de edad ",$N$11),"")</f>
        <v/>
      </c>
      <c r="CK24" s="1899" t="str">
        <f t="shared" si="40"/>
        <v/>
      </c>
      <c r="CL24" s="1899" t="str">
        <f t="shared" si="41"/>
        <v/>
      </c>
      <c r="CM24" s="1899" t="str">
        <f t="shared" si="36"/>
        <v/>
      </c>
      <c r="CN24" s="1899" t="str">
        <f t="shared" si="42"/>
        <v/>
      </c>
      <c r="CO24" s="1899" t="str">
        <f t="shared" si="43"/>
        <v/>
      </c>
      <c r="CP24" s="1899" t="str">
        <f t="shared" si="44"/>
        <v/>
      </c>
      <c r="CQ24" s="1899" t="str">
        <f t="shared" si="45"/>
        <v/>
      </c>
      <c r="CR24" s="1899" t="str">
        <f t="shared" si="46"/>
        <v/>
      </c>
      <c r="CS24" s="1899" t="str">
        <f t="shared" si="47"/>
        <v/>
      </c>
      <c r="CT24" s="1899" t="str">
        <f t="shared" si="48"/>
        <v/>
      </c>
      <c r="CU24" s="1899" t="str">
        <f>IF(AJ24&lt;AK24,CONCATENATE("* El total de Procesados debe ser mayor o igual al total de Reactivos en el grupo de edad ",$AJ$11),"")</f>
        <v/>
      </c>
      <c r="CV24" s="1899" t="str">
        <f>IF(AL24&lt;AM24,CONCATENATE("* El total de Procesados debe ser mayor o igual al total de Reactivos en el grupo de edad ",$AL$11),"")</f>
        <v/>
      </c>
      <c r="CW24" s="1899" t="str">
        <f>IF(AN24&lt;AO24,CONCATENATE("* El total de Procesados debe ser mayor o igual al total de Reactivos en el grupo de edad ",$AN$11),"")</f>
        <v/>
      </c>
      <c r="CX24" s="1899" t="str">
        <f>IF(AP24&lt;AQ24,CONCATENATE("* El total de Procesados debe ser mayor o igual al total de Reactivos en el grupo de edad ",$AP$11),"")</f>
        <v/>
      </c>
      <c r="DE24" s="1970"/>
      <c r="DF24" s="3989">
        <f t="shared" si="39"/>
        <v>0</v>
      </c>
      <c r="DG24" s="3989">
        <f t="shared" si="18"/>
        <v>0</v>
      </c>
      <c r="DH24" s="3989">
        <f t="shared" si="19"/>
        <v>0</v>
      </c>
      <c r="DI24" s="3989">
        <f t="shared" si="20"/>
        <v>0</v>
      </c>
      <c r="DJ24" s="1902"/>
      <c r="DK24" s="1902"/>
      <c r="DL24" s="1902"/>
      <c r="DM24" s="1902"/>
      <c r="DN24" s="1902"/>
      <c r="DO24" s="3989">
        <f>IF(N24&lt;O24,1,0)</f>
        <v>0</v>
      </c>
      <c r="DP24" s="3989">
        <f t="shared" si="49"/>
        <v>0</v>
      </c>
      <c r="DQ24" s="3989">
        <f t="shared" si="50"/>
        <v>0</v>
      </c>
      <c r="DR24" s="3989">
        <f t="shared" si="37"/>
        <v>0</v>
      </c>
      <c r="DS24" s="3989">
        <f t="shared" si="51"/>
        <v>0</v>
      </c>
      <c r="DT24" s="3989">
        <f t="shared" si="52"/>
        <v>0</v>
      </c>
      <c r="DU24" s="3989">
        <f t="shared" si="53"/>
        <v>0</v>
      </c>
      <c r="DV24" s="3989">
        <f t="shared" si="54"/>
        <v>0</v>
      </c>
      <c r="DW24" s="3989">
        <f t="shared" si="55"/>
        <v>0</v>
      </c>
      <c r="DX24" s="3989">
        <f t="shared" si="56"/>
        <v>0</v>
      </c>
      <c r="DY24" s="3989">
        <f t="shared" si="57"/>
        <v>0</v>
      </c>
      <c r="DZ24" s="3989">
        <f>IF(AJ24&lt;AK24,1,0)</f>
        <v>0</v>
      </c>
      <c r="EA24" s="3989">
        <f>IF(AL24&lt;AM24,1,0)</f>
        <v>0</v>
      </c>
      <c r="EB24" s="3989">
        <f>IF(AN24&lt;AO24,1,0)</f>
        <v>0</v>
      </c>
      <c r="EC24" s="3989">
        <f>IF(AP24&lt;AQ24,1,0)</f>
        <v>0</v>
      </c>
    </row>
    <row r="25" spans="1:133" x14ac:dyDescent="0.3">
      <c r="A25" s="3990" t="s">
        <v>1878</v>
      </c>
      <c r="B25" s="3991">
        <f>+D25+F25+H25+J25+L25+N25+P25+R25+T25+V25+X25+Z25+AB25+AD25+AF25+AH25+AJ25+AL25+AN25+AP25</f>
        <v>0</v>
      </c>
      <c r="C25" s="345">
        <f>+E25+G25+I25+K25+M25+O25+Q25+S25+U25+W25+Y25+AA25+AC25+AE25+AG25+AI25+AK25+AM25+AO25+AQ25</f>
        <v>0</v>
      </c>
      <c r="D25" s="3996"/>
      <c r="E25" s="3995"/>
      <c r="F25" s="3996"/>
      <c r="G25" s="3995"/>
      <c r="H25" s="3996"/>
      <c r="I25" s="3988"/>
      <c r="J25" s="3987"/>
      <c r="K25" s="3987"/>
      <c r="L25" s="3996"/>
      <c r="M25" s="3988"/>
      <c r="N25" s="3987"/>
      <c r="O25" s="3995"/>
      <c r="P25" s="3996"/>
      <c r="Q25" s="3995"/>
      <c r="R25" s="3996"/>
      <c r="S25" s="3995"/>
      <c r="T25" s="3996"/>
      <c r="U25" s="3995"/>
      <c r="V25" s="3996"/>
      <c r="W25" s="3995"/>
      <c r="X25" s="3996"/>
      <c r="Y25" s="3995"/>
      <c r="Z25" s="3996"/>
      <c r="AA25" s="3995"/>
      <c r="AB25" s="3996"/>
      <c r="AC25" s="3995"/>
      <c r="AD25" s="3996"/>
      <c r="AE25" s="3995"/>
      <c r="AF25" s="3996"/>
      <c r="AG25" s="3995"/>
      <c r="AH25" s="3996"/>
      <c r="AI25" s="3995"/>
      <c r="AJ25" s="3996"/>
      <c r="AK25" s="3995"/>
      <c r="AL25" s="3996"/>
      <c r="AM25" s="3995"/>
      <c r="AN25" s="3996"/>
      <c r="AO25" s="3995"/>
      <c r="AP25" s="3996"/>
      <c r="AQ25" s="3985"/>
      <c r="AR25" s="3987"/>
      <c r="AS25" s="3985"/>
      <c r="AT25" s="3986"/>
      <c r="AU25" s="3985"/>
      <c r="AV25" s="3987"/>
      <c r="AW25" s="3988"/>
      <c r="AX25" s="1898" t="str">
        <f>$CA25&amp;CB25&amp;CC25&amp;$CD25&amp;CE25&amp;CF25&amp;CG25&amp;CH25&amp;CI25&amp;CJ25&amp;CK25&amp;CL25&amp;CM25&amp;CN25&amp;CO25&amp;CP25&amp;CQ25&amp;CR25&amp;CS25&amp;CT25&amp;CU25&amp;CV25&amp;CW25&amp;CX25</f>
        <v/>
      </c>
      <c r="CA25" s="1899" t="str">
        <f t="shared" si="38"/>
        <v/>
      </c>
      <c r="CB25" s="1899" t="str">
        <f t="shared" si="1"/>
        <v/>
      </c>
      <c r="CC25" s="1899" t="str">
        <f t="shared" si="2"/>
        <v/>
      </c>
      <c r="CD25" s="1899" t="str">
        <f t="shared" si="3"/>
        <v/>
      </c>
      <c r="CE25" s="1899" t="str">
        <f>IF(D25&lt;E25,CONCATENATE("* El total de Procesados debe ser mayor o igual al total de Reactivos en el grupo de edad ",$D$11),"")</f>
        <v/>
      </c>
      <c r="CF25" s="1899" t="str">
        <f>IF(F25&lt;G25,CONCATENATE("* El total de Procesados debe ser mayor o igual al total de Reactivos en el grupo de edad ",$F$11),"")</f>
        <v/>
      </c>
      <c r="CG25" s="1899" t="str">
        <f>IF(H25&lt;I25,CONCATENATE("* El total de Procesados debe ser mayor o igual al total de Reactivos en el grupo de edad ",$H$11),"")</f>
        <v/>
      </c>
      <c r="CH25" s="1899" t="str">
        <f>IF(J25&lt;K25,CONCATENATE("* El total de Procesados debe ser mayor o igual al total de Reactivos en el grupo de edad ",$J$11),"")</f>
        <v/>
      </c>
      <c r="CI25" s="1899" t="str">
        <f>IF(L25&lt;M25,CONCATENATE("* El total de Procesados debe ser mayor o igual al total de Reactivos en el grupo de edad ",$L$11),"")</f>
        <v/>
      </c>
      <c r="CJ25" s="1899" t="str">
        <f>IF(N25&lt;O25,CONCATENATE("* El total de Procesados debe ser mayor o igual al total de Reactivos en el grupo de edad ",$N$11),"")</f>
        <v/>
      </c>
      <c r="CK25" s="1899" t="str">
        <f t="shared" si="40"/>
        <v/>
      </c>
      <c r="CL25" s="1899" t="str">
        <f t="shared" si="41"/>
        <v/>
      </c>
      <c r="CM25" s="1899" t="str">
        <f t="shared" si="36"/>
        <v/>
      </c>
      <c r="CN25" s="1899" t="str">
        <f t="shared" si="42"/>
        <v/>
      </c>
      <c r="CO25" s="1899" t="str">
        <f t="shared" si="43"/>
        <v/>
      </c>
      <c r="CP25" s="1899" t="str">
        <f t="shared" si="44"/>
        <v/>
      </c>
      <c r="CQ25" s="1899" t="str">
        <f t="shared" si="45"/>
        <v/>
      </c>
      <c r="CR25" s="1899" t="str">
        <f t="shared" si="46"/>
        <v/>
      </c>
      <c r="CS25" s="1899" t="str">
        <f t="shared" si="47"/>
        <v/>
      </c>
      <c r="CT25" s="1899" t="str">
        <f t="shared" si="48"/>
        <v/>
      </c>
      <c r="CU25" s="1899" t="str">
        <f>IF(AJ25&lt;AK25,CONCATENATE("* El total de Procesados debe ser mayor o igual al total de Reactivos en el grupo de edad ",$AJ$11),"")</f>
        <v/>
      </c>
      <c r="CV25" s="1899" t="str">
        <f>IF(AL25&lt;AM25,CONCATENATE("* El total de Procesados debe ser mayor o igual al total de Reactivos en el grupo de edad ",$AL$11),"")</f>
        <v/>
      </c>
      <c r="CW25" s="1899" t="str">
        <f>IF(AN25&lt;AO25,CONCATENATE("* El total de Procesados debe ser mayor o igual al total de Reactivos en el grupo de edad ",$AN$11),"")</f>
        <v/>
      </c>
      <c r="CX25" s="1899" t="str">
        <f>IF(AP25&lt;AQ25,CONCATENATE("* El total de Procesados debe ser mayor o igual al total de Reactivos en el grupo de edad ",$AP$11),"")</f>
        <v/>
      </c>
      <c r="DE25" s="1970"/>
      <c r="DF25" s="3989">
        <f t="shared" si="39"/>
        <v>0</v>
      </c>
      <c r="DG25" s="3989">
        <f t="shared" si="18"/>
        <v>0</v>
      </c>
      <c r="DH25" s="3989">
        <f t="shared" si="19"/>
        <v>0</v>
      </c>
      <c r="DI25" s="3989">
        <f t="shared" si="20"/>
        <v>0</v>
      </c>
      <c r="DJ25" s="3989">
        <f>IF(D25&lt;E25,1,0)</f>
        <v>0</v>
      </c>
      <c r="DK25" s="3989">
        <f>IF(F25&lt;G25,1,0)</f>
        <v>0</v>
      </c>
      <c r="DL25" s="3989">
        <f>IF(H25&lt;I25,1,0)</f>
        <v>0</v>
      </c>
      <c r="DM25" s="3989">
        <f>IF(J25&lt;K25,1,0)</f>
        <v>0</v>
      </c>
      <c r="DN25" s="3989">
        <f>IF(L25&lt;M25,1,0)</f>
        <v>0</v>
      </c>
      <c r="DO25" s="3989">
        <f>IF(N25&lt;O25,1,0)</f>
        <v>0</v>
      </c>
      <c r="DP25" s="3989">
        <f t="shared" si="49"/>
        <v>0</v>
      </c>
      <c r="DQ25" s="3989">
        <f t="shared" si="50"/>
        <v>0</v>
      </c>
      <c r="DR25" s="3989">
        <f t="shared" si="37"/>
        <v>0</v>
      </c>
      <c r="DS25" s="3989">
        <f t="shared" si="51"/>
        <v>0</v>
      </c>
      <c r="DT25" s="3989">
        <f t="shared" si="52"/>
        <v>0</v>
      </c>
      <c r="DU25" s="3989">
        <f t="shared" si="53"/>
        <v>0</v>
      </c>
      <c r="DV25" s="3989">
        <f t="shared" si="54"/>
        <v>0</v>
      </c>
      <c r="DW25" s="3989">
        <f t="shared" si="55"/>
        <v>0</v>
      </c>
      <c r="DX25" s="3989">
        <f t="shared" si="56"/>
        <v>0</v>
      </c>
      <c r="DY25" s="3989">
        <f t="shared" si="57"/>
        <v>0</v>
      </c>
      <c r="DZ25" s="3989">
        <f>IF(AJ25&lt;AK25,1,0)</f>
        <v>0</v>
      </c>
      <c r="EA25" s="3989">
        <f>IF(AL25&lt;AM25,1,0)</f>
        <v>0</v>
      </c>
      <c r="EB25" s="3989">
        <f>IF(AN25&lt;AO25,1,0)</f>
        <v>0</v>
      </c>
      <c r="EC25" s="3989">
        <f>IF(AP25&lt;AQ25,1,0)</f>
        <v>0</v>
      </c>
    </row>
    <row r="26" spans="1:133" x14ac:dyDescent="0.3">
      <c r="A26" s="3990" t="s">
        <v>1879</v>
      </c>
      <c r="B26" s="3991">
        <f>+P26+R26+T26+V26+X26+Z26+AB26+AD26+AF26+AH26+AJ26+AL26+AN26+AP26</f>
        <v>0</v>
      </c>
      <c r="C26" s="345">
        <f>+Q26+S26+U26+W26+Y26+AA26+AC26+AE26+AG26+AI26+AK26+AM26+AO26+AQ26</f>
        <v>0</v>
      </c>
      <c r="D26" s="3992"/>
      <c r="E26" s="3993"/>
      <c r="F26" s="3992"/>
      <c r="G26" s="3993"/>
      <c r="H26" s="3992"/>
      <c r="I26" s="3993"/>
      <c r="J26" s="3992"/>
      <c r="K26" s="3993"/>
      <c r="L26" s="3992"/>
      <c r="M26" s="3994"/>
      <c r="N26" s="4001"/>
      <c r="O26" s="3993"/>
      <c r="P26" s="3996"/>
      <c r="Q26" s="3995"/>
      <c r="R26" s="3996"/>
      <c r="S26" s="3995"/>
      <c r="T26" s="3996"/>
      <c r="U26" s="3995"/>
      <c r="V26" s="3996"/>
      <c r="W26" s="3995"/>
      <c r="X26" s="3996"/>
      <c r="Y26" s="3995"/>
      <c r="Z26" s="3996"/>
      <c r="AA26" s="3995"/>
      <c r="AB26" s="3996"/>
      <c r="AC26" s="3995"/>
      <c r="AD26" s="3996"/>
      <c r="AE26" s="3995"/>
      <c r="AF26" s="3996"/>
      <c r="AG26" s="3995"/>
      <c r="AH26" s="3996"/>
      <c r="AI26" s="3995"/>
      <c r="AJ26" s="3996"/>
      <c r="AK26" s="3995"/>
      <c r="AL26" s="3996"/>
      <c r="AM26" s="3995"/>
      <c r="AN26" s="3996"/>
      <c r="AO26" s="3995"/>
      <c r="AP26" s="3996"/>
      <c r="AQ26" s="3985"/>
      <c r="AR26" s="3987"/>
      <c r="AS26" s="3985"/>
      <c r="AT26" s="3986"/>
      <c r="AU26" s="3985"/>
      <c r="AV26" s="3987"/>
      <c r="AW26" s="3988"/>
      <c r="AX26" s="1898" t="str">
        <f>$CA26&amp;CB26&amp;CC26&amp;$CD26&amp;CJ26&amp;CK26&amp;CL26&amp;CM26&amp;CN26&amp;CO26&amp;CP26&amp;CQ26&amp;CR26&amp;CS26&amp;CT26&amp;CU26&amp;CV26&amp;CW26&amp;CX26</f>
        <v/>
      </c>
      <c r="CA26" s="1899" t="str">
        <f t="shared" si="38"/>
        <v/>
      </c>
      <c r="CB26" s="1899" t="str">
        <f t="shared" si="1"/>
        <v/>
      </c>
      <c r="CC26" s="1899" t="str">
        <f t="shared" si="2"/>
        <v/>
      </c>
      <c r="CD26" s="1899" t="str">
        <f t="shared" si="3"/>
        <v/>
      </c>
      <c r="CE26" s="4000"/>
      <c r="CF26" s="4000"/>
      <c r="CG26" s="1902"/>
      <c r="CH26" s="1902"/>
      <c r="CI26" s="1902"/>
      <c r="CJ26" s="4000"/>
      <c r="CK26" s="1899" t="str">
        <f t="shared" si="40"/>
        <v/>
      </c>
      <c r="CL26" s="1899" t="str">
        <f t="shared" si="41"/>
        <v/>
      </c>
      <c r="CM26" s="1899" t="str">
        <f t="shared" si="36"/>
        <v/>
      </c>
      <c r="CN26" s="1899" t="str">
        <f t="shared" si="42"/>
        <v/>
      </c>
      <c r="CO26" s="1899" t="str">
        <f t="shared" si="43"/>
        <v/>
      </c>
      <c r="CP26" s="1899" t="str">
        <f t="shared" si="44"/>
        <v/>
      </c>
      <c r="CQ26" s="1899" t="str">
        <f t="shared" si="45"/>
        <v/>
      </c>
      <c r="CR26" s="1899" t="str">
        <f t="shared" si="46"/>
        <v/>
      </c>
      <c r="CS26" s="1899" t="str">
        <f t="shared" si="47"/>
        <v/>
      </c>
      <c r="CT26" s="1899" t="str">
        <f t="shared" si="48"/>
        <v/>
      </c>
      <c r="CU26" s="1899" t="str">
        <f>IF(AJ26&lt;AK26,CONCATENATE("* El total de Procesados debe ser mayor o igual al total de Reactivos en el grupo de edad ",$AJ$11),"")</f>
        <v/>
      </c>
      <c r="CV26" s="1899" t="str">
        <f>IF(AL26&lt;AM26,CONCATENATE("* El total de Procesados debe ser mayor o igual al total de Reactivos en el grupo de edad ",$AL$11),"")</f>
        <v/>
      </c>
      <c r="CW26" s="1899" t="str">
        <f>IF(AN26&lt;AO26,CONCATENATE("* El total de Procesados debe ser mayor o igual al total de Reactivos en el grupo de edad ",$AN$11),"")</f>
        <v/>
      </c>
      <c r="CX26" s="1899" t="str">
        <f>IF(AP26&lt;AQ26,CONCATENATE("* El total de Procesados debe ser mayor o igual al total de Reactivos en el grupo de edad ",$AP$11),"")</f>
        <v/>
      </c>
      <c r="DE26" s="1970"/>
      <c r="DF26" s="3989">
        <f t="shared" si="39"/>
        <v>0</v>
      </c>
      <c r="DG26" s="3989">
        <f t="shared" si="18"/>
        <v>0</v>
      </c>
      <c r="DH26" s="3989">
        <f t="shared" si="19"/>
        <v>0</v>
      </c>
      <c r="DI26" s="3989">
        <f t="shared" si="20"/>
        <v>0</v>
      </c>
      <c r="DJ26" s="1902"/>
      <c r="DK26" s="1902"/>
      <c r="DL26" s="1902"/>
      <c r="DM26" s="1902"/>
      <c r="DN26" s="1902"/>
      <c r="DO26" s="1900"/>
      <c r="DP26" s="3989">
        <f t="shared" si="49"/>
        <v>0</v>
      </c>
      <c r="DQ26" s="3989">
        <f t="shared" si="50"/>
        <v>0</v>
      </c>
      <c r="DR26" s="3989">
        <f t="shared" si="37"/>
        <v>0</v>
      </c>
      <c r="DS26" s="3989">
        <f t="shared" si="51"/>
        <v>0</v>
      </c>
      <c r="DT26" s="3989">
        <f t="shared" si="52"/>
        <v>0</v>
      </c>
      <c r="DU26" s="3989">
        <f t="shared" si="53"/>
        <v>0</v>
      </c>
      <c r="DV26" s="3989">
        <f t="shared" si="54"/>
        <v>0</v>
      </c>
      <c r="DW26" s="3989">
        <f t="shared" si="55"/>
        <v>0</v>
      </c>
      <c r="DX26" s="3989">
        <f t="shared" si="56"/>
        <v>0</v>
      </c>
      <c r="DY26" s="3989">
        <f t="shared" si="57"/>
        <v>0</v>
      </c>
      <c r="DZ26" s="3989">
        <f>IF(AJ26&lt;AK26,1,0)</f>
        <v>0</v>
      </c>
      <c r="EA26" s="3989">
        <f>IF(AL26&lt;AM26,1,0)</f>
        <v>0</v>
      </c>
      <c r="EB26" s="3989">
        <f>IF(AN26&lt;AO26,1,0)</f>
        <v>0</v>
      </c>
      <c r="EC26" s="3989">
        <f>IF(AP26&lt;AQ26,1,0)</f>
        <v>0</v>
      </c>
    </row>
    <row r="27" spans="1:133" x14ac:dyDescent="0.3">
      <c r="A27" s="3990" t="s">
        <v>1880</v>
      </c>
      <c r="B27" s="3991">
        <f>+P27+R27+T27+V27+X27+Z27+AB27+AD27+AF27+AH27</f>
        <v>0</v>
      </c>
      <c r="C27" s="345">
        <f>+Q27+S27+U27+W27+Y27+AA27+AC27+AE27+AG27+AI27</f>
        <v>0</v>
      </c>
      <c r="D27" s="3992"/>
      <c r="E27" s="3993"/>
      <c r="F27" s="3992"/>
      <c r="G27" s="3993"/>
      <c r="H27" s="3992"/>
      <c r="I27" s="3993"/>
      <c r="J27" s="3992"/>
      <c r="K27" s="3993"/>
      <c r="L27" s="3992"/>
      <c r="M27" s="3994"/>
      <c r="N27" s="4001"/>
      <c r="O27" s="3993"/>
      <c r="P27" s="3996"/>
      <c r="Q27" s="3995"/>
      <c r="R27" s="3996"/>
      <c r="S27" s="3995"/>
      <c r="T27" s="3996"/>
      <c r="U27" s="3995"/>
      <c r="V27" s="3996"/>
      <c r="W27" s="3995"/>
      <c r="X27" s="3996"/>
      <c r="Y27" s="3995"/>
      <c r="Z27" s="3996"/>
      <c r="AA27" s="3995"/>
      <c r="AB27" s="3996"/>
      <c r="AC27" s="3995"/>
      <c r="AD27" s="3996"/>
      <c r="AE27" s="3995"/>
      <c r="AF27" s="3996"/>
      <c r="AG27" s="3995"/>
      <c r="AH27" s="3996"/>
      <c r="AI27" s="3995"/>
      <c r="AJ27" s="3992"/>
      <c r="AK27" s="3993"/>
      <c r="AL27" s="3992"/>
      <c r="AM27" s="3993"/>
      <c r="AN27" s="3992"/>
      <c r="AO27" s="3993"/>
      <c r="AP27" s="3992"/>
      <c r="AQ27" s="4003"/>
      <c r="AR27" s="3987"/>
      <c r="AS27" s="3985"/>
      <c r="AT27" s="3986"/>
      <c r="AU27" s="3985"/>
      <c r="AV27" s="3987"/>
      <c r="AW27" s="3988"/>
      <c r="AX27" s="1898" t="str">
        <f>$CA27&amp;CB27&amp;CC27&amp;$CD27&amp;CK27&amp;CL27&amp;CM27&amp;CN27&amp;CO27&amp;CP27&amp;CQ27&amp;CR27&amp;CS27&amp;CT27</f>
        <v/>
      </c>
      <c r="CA27" s="1899" t="str">
        <f t="shared" si="38"/>
        <v/>
      </c>
      <c r="CB27" s="1899" t="str">
        <f t="shared" si="1"/>
        <v/>
      </c>
      <c r="CC27" s="1899" t="str">
        <f t="shared" si="2"/>
        <v/>
      </c>
      <c r="CD27" s="1899" t="str">
        <f t="shared" si="3"/>
        <v/>
      </c>
      <c r="CE27" s="4000"/>
      <c r="CF27" s="4000"/>
      <c r="CG27" s="1902"/>
      <c r="CH27" s="1902"/>
      <c r="CI27" s="1902"/>
      <c r="CJ27" s="4000"/>
      <c r="CK27" s="1899" t="str">
        <f t="shared" si="40"/>
        <v/>
      </c>
      <c r="CL27" s="1899" t="str">
        <f t="shared" si="41"/>
        <v/>
      </c>
      <c r="CM27" s="1899" t="str">
        <f t="shared" si="36"/>
        <v/>
      </c>
      <c r="CN27" s="1899" t="str">
        <f t="shared" si="42"/>
        <v/>
      </c>
      <c r="CO27" s="1899" t="str">
        <f t="shared" si="43"/>
        <v/>
      </c>
      <c r="CP27" s="1899" t="str">
        <f t="shared" si="44"/>
        <v/>
      </c>
      <c r="CQ27" s="1899" t="str">
        <f t="shared" si="45"/>
        <v/>
      </c>
      <c r="CR27" s="1899" t="str">
        <f t="shared" si="46"/>
        <v/>
      </c>
      <c r="CS27" s="1899" t="str">
        <f t="shared" si="47"/>
        <v/>
      </c>
      <c r="CT27" s="1899" t="str">
        <f t="shared" si="48"/>
        <v/>
      </c>
      <c r="CU27" s="1900"/>
      <c r="CV27" s="1900"/>
      <c r="CW27" s="1900"/>
      <c r="CX27" s="1900"/>
      <c r="DE27" s="1970"/>
      <c r="DF27" s="3989">
        <f t="shared" si="39"/>
        <v>0</v>
      </c>
      <c r="DG27" s="3989">
        <f t="shared" si="18"/>
        <v>0</v>
      </c>
      <c r="DH27" s="3989">
        <f t="shared" si="19"/>
        <v>0</v>
      </c>
      <c r="DI27" s="3989">
        <f t="shared" si="20"/>
        <v>0</v>
      </c>
      <c r="DJ27" s="1902"/>
      <c r="DK27" s="1902"/>
      <c r="DL27" s="1902"/>
      <c r="DM27" s="1902"/>
      <c r="DN27" s="1902"/>
      <c r="DO27" s="1900"/>
      <c r="DP27" s="3989">
        <f t="shared" si="49"/>
        <v>0</v>
      </c>
      <c r="DQ27" s="3989">
        <f t="shared" si="50"/>
        <v>0</v>
      </c>
      <c r="DR27" s="3989">
        <f t="shared" si="37"/>
        <v>0</v>
      </c>
      <c r="DS27" s="3989">
        <f t="shared" si="51"/>
        <v>0</v>
      </c>
      <c r="DT27" s="3989">
        <f t="shared" si="52"/>
        <v>0</v>
      </c>
      <c r="DU27" s="3989">
        <f t="shared" si="53"/>
        <v>0</v>
      </c>
      <c r="DV27" s="3989">
        <f t="shared" si="54"/>
        <v>0</v>
      </c>
      <c r="DW27" s="3989">
        <f t="shared" si="55"/>
        <v>0</v>
      </c>
      <c r="DX27" s="3989">
        <f t="shared" si="56"/>
        <v>0</v>
      </c>
      <c r="DY27" s="3989">
        <f t="shared" si="57"/>
        <v>0</v>
      </c>
      <c r="DZ27" s="1900"/>
      <c r="EA27" s="1900"/>
      <c r="EB27" s="1900"/>
      <c r="EC27" s="1900"/>
    </row>
    <row r="28" spans="1:133" x14ac:dyDescent="0.3">
      <c r="A28" s="3990" t="s">
        <v>1881</v>
      </c>
      <c r="B28" s="3991">
        <f t="shared" ref="B28:C30" si="58">+D28+F28+H28+J28+L28+N28+P28+R28+T28+V28+X28+Z28+AB28+AD28+AF28+AH28+AJ28+AL28+AN28+AP28</f>
        <v>0</v>
      </c>
      <c r="C28" s="345">
        <f t="shared" si="58"/>
        <v>0</v>
      </c>
      <c r="D28" s="3996"/>
      <c r="E28" s="3995"/>
      <c r="F28" s="3996"/>
      <c r="G28" s="3995"/>
      <c r="H28" s="3996"/>
      <c r="I28" s="3988"/>
      <c r="J28" s="3987"/>
      <c r="K28" s="3987"/>
      <c r="L28" s="3996"/>
      <c r="M28" s="3988"/>
      <c r="N28" s="3987"/>
      <c r="O28" s="3995"/>
      <c r="P28" s="3996"/>
      <c r="Q28" s="3995"/>
      <c r="R28" s="3996"/>
      <c r="S28" s="3995"/>
      <c r="T28" s="3996"/>
      <c r="U28" s="3995"/>
      <c r="V28" s="3996"/>
      <c r="W28" s="3995"/>
      <c r="X28" s="3996"/>
      <c r="Y28" s="3995"/>
      <c r="Z28" s="3996"/>
      <c r="AA28" s="3995"/>
      <c r="AB28" s="3996"/>
      <c r="AC28" s="3995"/>
      <c r="AD28" s="3996"/>
      <c r="AE28" s="3995"/>
      <c r="AF28" s="3996"/>
      <c r="AG28" s="3995"/>
      <c r="AH28" s="3996"/>
      <c r="AI28" s="3995"/>
      <c r="AJ28" s="3996"/>
      <c r="AK28" s="3995"/>
      <c r="AL28" s="3996"/>
      <c r="AM28" s="3995"/>
      <c r="AN28" s="3996"/>
      <c r="AO28" s="3995"/>
      <c r="AP28" s="3996"/>
      <c r="AQ28" s="3985"/>
      <c r="AR28" s="3987"/>
      <c r="AS28" s="3985"/>
      <c r="AT28" s="3986"/>
      <c r="AU28" s="3985"/>
      <c r="AV28" s="3987"/>
      <c r="AW28" s="3988"/>
      <c r="AX28" s="1898" t="str">
        <f>$CA28&amp;CB28&amp;CC28&amp;$CD28&amp;CJ28&amp;CK28&amp;CL28&amp;CM28&amp;CN28&amp;CO28&amp;CP28&amp;CQ28&amp;CR28&amp;CS28&amp;CT28&amp;CU28&amp;CV28&amp;CW28&amp;CX28&amp;CE28&amp;CF28&amp;CG28&amp;CH28&amp;CI28</f>
        <v/>
      </c>
      <c r="CA28" s="1899" t="str">
        <f t="shared" si="38"/>
        <v/>
      </c>
      <c r="CB28" s="1899" t="str">
        <f t="shared" si="1"/>
        <v/>
      </c>
      <c r="CC28" s="1899" t="str">
        <f t="shared" si="2"/>
        <v/>
      </c>
      <c r="CD28" s="1899" t="str">
        <f t="shared" si="3"/>
        <v/>
      </c>
      <c r="CE28" s="1899" t="str">
        <f>IF(D28&lt;E28,CONCATENATE("* El total de Procesados debe ser mayor o igual al total de Reactivos en el grupo de edad ",$D$11),"")</f>
        <v/>
      </c>
      <c r="CF28" s="1899" t="str">
        <f>IF(F28&lt;G28,CONCATENATE("* El total de Procesados debe ser mayor o igual al total de Reactivos en el grupo de edad ",$F$11),"")</f>
        <v/>
      </c>
      <c r="CG28" s="1899" t="str">
        <f>IF(H28&lt;I28,CONCATENATE("* El total de Procesados debe ser mayor o igual al total de Reactivos en el grupo de edad ",$H$11),"")</f>
        <v/>
      </c>
      <c r="CH28" s="1899" t="str">
        <f>IF(J28&lt;K28,CONCATENATE("* El total de Procesados debe ser mayor o igual al total de Reactivos en el grupo de edad ",$J$11),"")</f>
        <v/>
      </c>
      <c r="CI28" s="1899" t="str">
        <f>IF(L28&lt;M28,CONCATENATE("* El total de Procesados debe ser mayor o igual al total de Reactivos en el grupo de edad ",$L$11),"")</f>
        <v/>
      </c>
      <c r="CJ28" s="1899" t="str">
        <f>IF(N28&lt;O28,CONCATENATE("* El total de Procesados debe ser mayor o igual al total de Reactivos en el grupo de edad ",$N$11),"")</f>
        <v/>
      </c>
      <c r="CK28" s="1899" t="str">
        <f t="shared" si="40"/>
        <v/>
      </c>
      <c r="CL28" s="1899" t="str">
        <f t="shared" si="41"/>
        <v/>
      </c>
      <c r="CM28" s="1899" t="str">
        <f t="shared" si="36"/>
        <v/>
      </c>
      <c r="CN28" s="1899" t="str">
        <f t="shared" si="42"/>
        <v/>
      </c>
      <c r="CO28" s="1899" t="str">
        <f t="shared" si="43"/>
        <v/>
      </c>
      <c r="CP28" s="1899" t="str">
        <f t="shared" si="44"/>
        <v/>
      </c>
      <c r="CQ28" s="1899" t="str">
        <f t="shared" si="45"/>
        <v/>
      </c>
      <c r="CR28" s="1899" t="str">
        <f t="shared" si="46"/>
        <v/>
      </c>
      <c r="CS28" s="1899" t="str">
        <f t="shared" si="47"/>
        <v/>
      </c>
      <c r="CT28" s="1899" t="str">
        <f t="shared" si="48"/>
        <v/>
      </c>
      <c r="CU28" s="1899" t="str">
        <f>IF(AJ28&lt;AK28,CONCATENATE("* El total de Procesados debe ser mayor o igual al total de Reactivos en el grupo de edad ",$AJ$11),"")</f>
        <v/>
      </c>
      <c r="CV28" s="1899" t="str">
        <f>IF(AL28&lt;AM28,CONCATENATE("* El total de Procesados debe ser mayor o igual al total de Reactivos en el grupo de edad ",$AL$11),"")</f>
        <v/>
      </c>
      <c r="CW28" s="1899" t="str">
        <f>IF(AN28&lt;AO28,CONCATENATE("* El total de Procesados debe ser mayor o igual al total de Reactivos en el grupo de edad ",$AN$11),"")</f>
        <v/>
      </c>
      <c r="CX28" s="1899" t="str">
        <f>IF(AP28&lt;AQ28,CONCATENATE("* El total de Procesados debe ser mayor o igual al total de Reactivos en el grupo de edad ",$AP$11),"")</f>
        <v/>
      </c>
      <c r="DE28" s="1970"/>
      <c r="DF28" s="3989">
        <f t="shared" si="39"/>
        <v>0</v>
      </c>
      <c r="DG28" s="3989">
        <f t="shared" si="18"/>
        <v>0</v>
      </c>
      <c r="DH28" s="3989">
        <f t="shared" si="19"/>
        <v>0</v>
      </c>
      <c r="DI28" s="3989">
        <f t="shared" si="20"/>
        <v>0</v>
      </c>
      <c r="DJ28" s="3989">
        <f>IF(D28&lt;E28,1,0)</f>
        <v>0</v>
      </c>
      <c r="DK28" s="3989">
        <f>IF(F28&lt;G28,1,0)</f>
        <v>0</v>
      </c>
      <c r="DL28" s="3989">
        <f>IF(H28&lt;I28,1,0)</f>
        <v>0</v>
      </c>
      <c r="DM28" s="3989">
        <f>IF(J28&lt;K28,1,0)</f>
        <v>0</v>
      </c>
      <c r="DN28" s="3989">
        <f>IF(L28&lt;M28,1,0)</f>
        <v>0</v>
      </c>
      <c r="DO28" s="3989">
        <f>IF(N28&lt;O28,1,0)</f>
        <v>0</v>
      </c>
      <c r="DP28" s="3989">
        <f t="shared" si="49"/>
        <v>0</v>
      </c>
      <c r="DQ28" s="3989">
        <f t="shared" si="50"/>
        <v>0</v>
      </c>
      <c r="DR28" s="3989">
        <f t="shared" si="37"/>
        <v>0</v>
      </c>
      <c r="DS28" s="3989">
        <f t="shared" si="51"/>
        <v>0</v>
      </c>
      <c r="DT28" s="3989">
        <f t="shared" si="52"/>
        <v>0</v>
      </c>
      <c r="DU28" s="3989">
        <f t="shared" si="53"/>
        <v>0</v>
      </c>
      <c r="DV28" s="3989">
        <f t="shared" si="54"/>
        <v>0</v>
      </c>
      <c r="DW28" s="3989">
        <f t="shared" si="55"/>
        <v>0</v>
      </c>
      <c r="DX28" s="3989">
        <f t="shared" si="56"/>
        <v>0</v>
      </c>
      <c r="DY28" s="3989">
        <f t="shared" si="57"/>
        <v>0</v>
      </c>
      <c r="DZ28" s="3989">
        <f>IF(AJ28&lt;AK28,1,0)</f>
        <v>0</v>
      </c>
      <c r="EA28" s="3989">
        <f>IF(AL28&lt;AM28,1,0)</f>
        <v>0</v>
      </c>
      <c r="EB28" s="3989">
        <f>IF(AN28&lt;AO28,1,0)</f>
        <v>0</v>
      </c>
      <c r="EC28" s="3989">
        <f>IF(AP28&lt;AQ28,1,0)</f>
        <v>0</v>
      </c>
    </row>
    <row r="29" spans="1:133" x14ac:dyDescent="0.3">
      <c r="A29" s="3990" t="s">
        <v>1882</v>
      </c>
      <c r="B29" s="3991">
        <f t="shared" si="58"/>
        <v>0</v>
      </c>
      <c r="C29" s="345">
        <f t="shared" si="58"/>
        <v>0</v>
      </c>
      <c r="D29" s="3996"/>
      <c r="E29" s="3995"/>
      <c r="F29" s="3996"/>
      <c r="G29" s="3995"/>
      <c r="H29" s="3996"/>
      <c r="I29" s="3988"/>
      <c r="J29" s="3987"/>
      <c r="K29" s="3987"/>
      <c r="L29" s="3996"/>
      <c r="M29" s="3988"/>
      <c r="N29" s="3987"/>
      <c r="O29" s="3995"/>
      <c r="P29" s="3996"/>
      <c r="Q29" s="3995"/>
      <c r="R29" s="3996"/>
      <c r="S29" s="3995"/>
      <c r="T29" s="3996"/>
      <c r="U29" s="3995"/>
      <c r="V29" s="3996"/>
      <c r="W29" s="3995"/>
      <c r="X29" s="3996"/>
      <c r="Y29" s="3995"/>
      <c r="Z29" s="3996"/>
      <c r="AA29" s="3995"/>
      <c r="AB29" s="3996"/>
      <c r="AC29" s="3995"/>
      <c r="AD29" s="3996"/>
      <c r="AE29" s="3995"/>
      <c r="AF29" s="3996"/>
      <c r="AG29" s="3995"/>
      <c r="AH29" s="3996"/>
      <c r="AI29" s="3995"/>
      <c r="AJ29" s="3996"/>
      <c r="AK29" s="3995"/>
      <c r="AL29" s="3996"/>
      <c r="AM29" s="3995"/>
      <c r="AN29" s="3996"/>
      <c r="AO29" s="3995"/>
      <c r="AP29" s="3996"/>
      <c r="AQ29" s="3985"/>
      <c r="AR29" s="3987"/>
      <c r="AS29" s="3985"/>
      <c r="AT29" s="3986"/>
      <c r="AU29" s="3985"/>
      <c r="AV29" s="3987"/>
      <c r="AW29" s="3988"/>
      <c r="AX29" s="1898" t="str">
        <f>$CA29&amp;CB29&amp;CC29&amp;$CD29&amp;CJ29&amp;CK29&amp;CL29&amp;CM29&amp;CN29&amp;CO29&amp;CP29&amp;CQ29&amp;CR29&amp;CS29&amp;CT29&amp;CU29&amp;CV29&amp;CW29&amp;CX29&amp;CE29&amp;CF29&amp;CG29&amp;CH29&amp;CI29</f>
        <v/>
      </c>
      <c r="CA29" s="1899" t="str">
        <f t="shared" si="38"/>
        <v/>
      </c>
      <c r="CB29" s="1899" t="str">
        <f t="shared" si="1"/>
        <v/>
      </c>
      <c r="CC29" s="1899" t="str">
        <f t="shared" si="2"/>
        <v/>
      </c>
      <c r="CD29" s="1899" t="str">
        <f t="shared" si="3"/>
        <v/>
      </c>
      <c r="CE29" s="1899" t="str">
        <f>IF(D29&lt;E29,CONCATENATE("* El total de Procesados debe ser mayor o igual al total de Reactivos en el grupo de edad ",$D$11),"")</f>
        <v/>
      </c>
      <c r="CF29" s="1899" t="str">
        <f>IF(F29&lt;G29,CONCATENATE("* El total de Procesados debe ser mayor o igual al total de Reactivos en el grupo de edad ",$F$11),"")</f>
        <v/>
      </c>
      <c r="CG29" s="1899" t="str">
        <f>IF(H29&lt;I29,CONCATENATE("* El total de Procesados debe ser mayor o igual al total de Reactivos en el grupo de edad ",$H$11),"")</f>
        <v/>
      </c>
      <c r="CH29" s="1899" t="str">
        <f>IF(J29&lt;K29,CONCATENATE("* El total de Procesados debe ser mayor o igual al total de Reactivos en el grupo de edad ",$J$11),"")</f>
        <v/>
      </c>
      <c r="CI29" s="1899" t="str">
        <f>IF(L29&lt;M29,CONCATENATE("* El total de Procesados debe ser mayor o igual al total de Reactivos en el grupo de edad ",$L$11),"")</f>
        <v/>
      </c>
      <c r="CJ29" s="1899" t="str">
        <f>IF(N29&lt;O29,CONCATENATE("* El total de Procesados debe ser mayor o igual al total de Reactivos en el grupo de edad ",$N$11),"")</f>
        <v/>
      </c>
      <c r="CK29" s="1899" t="str">
        <f t="shared" si="40"/>
        <v/>
      </c>
      <c r="CL29" s="1899" t="str">
        <f t="shared" si="41"/>
        <v/>
      </c>
      <c r="CM29" s="1899" t="str">
        <f t="shared" si="36"/>
        <v/>
      </c>
      <c r="CN29" s="1899" t="str">
        <f t="shared" si="42"/>
        <v/>
      </c>
      <c r="CO29" s="1899" t="str">
        <f t="shared" si="43"/>
        <v/>
      </c>
      <c r="CP29" s="1899" t="str">
        <f t="shared" si="44"/>
        <v/>
      </c>
      <c r="CQ29" s="1899" t="str">
        <f t="shared" si="45"/>
        <v/>
      </c>
      <c r="CR29" s="1899" t="str">
        <f t="shared" si="46"/>
        <v/>
      </c>
      <c r="CS29" s="1899" t="str">
        <f t="shared" si="47"/>
        <v/>
      </c>
      <c r="CT29" s="1899" t="str">
        <f t="shared" si="48"/>
        <v/>
      </c>
      <c r="CU29" s="1899" t="str">
        <f>IF(AJ29&lt;AK29,CONCATENATE("* El total de Procesados debe ser mayor o igual al total de Reactivos en el grupo de edad ",$AJ$11),"")</f>
        <v/>
      </c>
      <c r="CV29" s="1899" t="str">
        <f>IF(AL29&lt;AM29,CONCATENATE("* El total de Procesados debe ser mayor o igual al total de Reactivos en el grupo de edad ",$AL$11),"")</f>
        <v/>
      </c>
      <c r="CW29" s="1899" t="str">
        <f>IF(AN29&lt;AO29,CONCATENATE("* El total de Procesados debe ser mayor o igual al total de Reactivos en el grupo de edad ",$AN$11),"")</f>
        <v/>
      </c>
      <c r="CX29" s="1899" t="str">
        <f>IF(AP29&lt;AQ29,CONCATENATE("* El total de Procesados debe ser mayor o igual al total de Reactivos en el grupo de edad ",$AP$11),"")</f>
        <v/>
      </c>
      <c r="DE29" s="1970"/>
      <c r="DF29" s="3989">
        <f t="shared" si="39"/>
        <v>0</v>
      </c>
      <c r="DG29" s="3989">
        <f t="shared" si="18"/>
        <v>0</v>
      </c>
      <c r="DH29" s="3989">
        <f t="shared" si="19"/>
        <v>0</v>
      </c>
      <c r="DI29" s="3989">
        <f t="shared" si="20"/>
        <v>0</v>
      </c>
      <c r="DJ29" s="3989">
        <f>IF(D29&lt;E29,1,0)</f>
        <v>0</v>
      </c>
      <c r="DK29" s="3989">
        <f>IF(F29&lt;G29,1,0)</f>
        <v>0</v>
      </c>
      <c r="DL29" s="3989">
        <f>IF(H29&lt;I29,1,0)</f>
        <v>0</v>
      </c>
      <c r="DM29" s="3989">
        <f>IF(J29&lt;K29,1,0)</f>
        <v>0</v>
      </c>
      <c r="DN29" s="3989">
        <f>IF(L29&lt;M29,1,0)</f>
        <v>0</v>
      </c>
      <c r="DO29" s="3989">
        <f>IF(N29&lt;O29,1,0)</f>
        <v>0</v>
      </c>
      <c r="DP29" s="3989">
        <f t="shared" si="49"/>
        <v>0</v>
      </c>
      <c r="DQ29" s="3989">
        <f t="shared" si="50"/>
        <v>0</v>
      </c>
      <c r="DR29" s="3989">
        <f t="shared" si="37"/>
        <v>0</v>
      </c>
      <c r="DS29" s="3989">
        <f t="shared" si="51"/>
        <v>0</v>
      </c>
      <c r="DT29" s="3989">
        <f t="shared" si="52"/>
        <v>0</v>
      </c>
      <c r="DU29" s="3989">
        <f t="shared" si="53"/>
        <v>0</v>
      </c>
      <c r="DV29" s="3989">
        <f t="shared" si="54"/>
        <v>0</v>
      </c>
      <c r="DW29" s="3989">
        <f t="shared" si="55"/>
        <v>0</v>
      </c>
      <c r="DX29" s="3989">
        <f t="shared" si="56"/>
        <v>0</v>
      </c>
      <c r="DY29" s="3989">
        <f t="shared" si="57"/>
        <v>0</v>
      </c>
      <c r="DZ29" s="3989">
        <f>IF(AJ29&lt;AK29,1,0)</f>
        <v>0</v>
      </c>
      <c r="EA29" s="3989">
        <f>IF(AL29&lt;AM29,1,0)</f>
        <v>0</v>
      </c>
      <c r="EB29" s="3989">
        <f>IF(AN29&lt;AO29,1,0)</f>
        <v>0</v>
      </c>
      <c r="EC29" s="3989">
        <f>IF(AP29&lt;AQ29,1,0)</f>
        <v>0</v>
      </c>
    </row>
    <row r="30" spans="1:133" x14ac:dyDescent="0.3">
      <c r="A30" s="3428" t="s">
        <v>1883</v>
      </c>
      <c r="B30" s="1083">
        <f t="shared" si="58"/>
        <v>0</v>
      </c>
      <c r="C30" s="3429">
        <f t="shared" si="58"/>
        <v>0</v>
      </c>
      <c r="D30" s="876"/>
      <c r="E30" s="1907"/>
      <c r="F30" s="876"/>
      <c r="G30" s="1907"/>
      <c r="H30" s="876"/>
      <c r="I30" s="2009"/>
      <c r="J30" s="1911"/>
      <c r="K30" s="1911"/>
      <c r="L30" s="876"/>
      <c r="M30" s="2009"/>
      <c r="N30" s="1911"/>
      <c r="O30" s="1907"/>
      <c r="P30" s="876"/>
      <c r="Q30" s="1907"/>
      <c r="R30" s="876"/>
      <c r="S30" s="1907"/>
      <c r="T30" s="876"/>
      <c r="U30" s="1907"/>
      <c r="V30" s="876"/>
      <c r="W30" s="1907"/>
      <c r="X30" s="876"/>
      <c r="Y30" s="1907"/>
      <c r="Z30" s="876"/>
      <c r="AA30" s="1907"/>
      <c r="AB30" s="876"/>
      <c r="AC30" s="1907"/>
      <c r="AD30" s="876"/>
      <c r="AE30" s="1907"/>
      <c r="AF30" s="876"/>
      <c r="AG30" s="1907"/>
      <c r="AH30" s="876"/>
      <c r="AI30" s="1907"/>
      <c r="AJ30" s="876"/>
      <c r="AK30" s="1907"/>
      <c r="AL30" s="876"/>
      <c r="AM30" s="1907"/>
      <c r="AN30" s="876"/>
      <c r="AO30" s="1907"/>
      <c r="AP30" s="876"/>
      <c r="AQ30" s="1953"/>
      <c r="AR30" s="1911"/>
      <c r="AS30" s="1953"/>
      <c r="AT30" s="1913"/>
      <c r="AU30" s="1953"/>
      <c r="AV30" s="1911"/>
      <c r="AW30" s="2009"/>
      <c r="AX30" s="1898" t="str">
        <f>$CA30&amp;CB30&amp;CC30&amp;$CD30&amp;CJ30&amp;CK30&amp;CL30&amp;CM30&amp;CN30&amp;CO30&amp;CP30&amp;CQ30&amp;CR30&amp;CS30&amp;CT30&amp;CU30&amp;CV30&amp;CW30&amp;CX30&amp;CE30&amp;CF30&amp;CG30&amp;CH30&amp;CI30</f>
        <v/>
      </c>
      <c r="CA30" s="1899" t="str">
        <f t="shared" si="38"/>
        <v/>
      </c>
      <c r="CB30" s="1899" t="str">
        <f t="shared" si="1"/>
        <v/>
      </c>
      <c r="CC30" s="1899" t="str">
        <f t="shared" si="2"/>
        <v/>
      </c>
      <c r="CD30" s="1899" t="str">
        <f t="shared" si="3"/>
        <v/>
      </c>
      <c r="CE30" s="1899" t="str">
        <f>IF(D30&lt;E30,CONCATENATE("* El total de Procesados debe ser mayor o igual al total de Reactivos en el grupo de edad ",$D$11),"")</f>
        <v/>
      </c>
      <c r="CF30" s="1899" t="str">
        <f>IF(F30&lt;G30,CONCATENATE("* El total de Procesados debe ser mayor o igual al total de Reactivos en el grupo de edad ",$F$11),"")</f>
        <v/>
      </c>
      <c r="CG30" s="1899" t="str">
        <f>IF(H30&lt;I30,CONCATENATE("* El total de Procesados debe ser mayor o igual al total de Reactivos en el grupo de edad ",$H$11),"")</f>
        <v/>
      </c>
      <c r="CH30" s="1899" t="str">
        <f>IF(J30&lt;K30,CONCATENATE("* El total de Procesados debe ser mayor o igual al total de Reactivos en el grupo de edad ",$J$11),"")</f>
        <v/>
      </c>
      <c r="CI30" s="1899" t="str">
        <f>IF(L30&lt;M30,CONCATENATE("* El total de Procesados debe ser mayor o igual al total de Reactivos en el grupo de edad ",$L$11),"")</f>
        <v/>
      </c>
      <c r="CJ30" s="1899" t="str">
        <f>IF(N30&lt;O30,CONCATENATE("* El total de Procesados debe ser mayor o igual al total de Reactivos en el grupo de edad ",$N$11),"")</f>
        <v/>
      </c>
      <c r="CK30" s="1899" t="str">
        <f t="shared" si="40"/>
        <v/>
      </c>
      <c r="CL30" s="1899" t="str">
        <f t="shared" si="41"/>
        <v/>
      </c>
      <c r="CM30" s="1899" t="str">
        <f t="shared" si="36"/>
        <v/>
      </c>
      <c r="CN30" s="1899" t="str">
        <f t="shared" si="42"/>
        <v/>
      </c>
      <c r="CO30" s="1899" t="str">
        <f t="shared" si="43"/>
        <v/>
      </c>
      <c r="CP30" s="1899" t="str">
        <f t="shared" si="44"/>
        <v/>
      </c>
      <c r="CQ30" s="1899" t="str">
        <f t="shared" si="45"/>
        <v/>
      </c>
      <c r="CR30" s="1899" t="str">
        <f t="shared" si="46"/>
        <v/>
      </c>
      <c r="CS30" s="1899" t="str">
        <f t="shared" si="47"/>
        <v/>
      </c>
      <c r="CT30" s="1899" t="str">
        <f t="shared" si="48"/>
        <v/>
      </c>
      <c r="CU30" s="1899" t="str">
        <f>IF(AJ30&lt;AK30,CONCATENATE("* El total de Procesados debe ser mayor o igual al total de Reactivos en el grupo de edad ",$AJ$11),"")</f>
        <v/>
      </c>
      <c r="CV30" s="1899" t="str">
        <f>IF(AL30&lt;AM30,CONCATENATE("* El total de Procesados debe ser mayor o igual al total de Reactivos en el grupo de edad ",$AL$11),"")</f>
        <v/>
      </c>
      <c r="CW30" s="1899" t="str">
        <f>IF(AN30&lt;AO30,CONCATENATE("* El total de Procesados debe ser mayor o igual al total de Reactivos en el grupo de edad ",$AN$11),"")</f>
        <v/>
      </c>
      <c r="CX30" s="1899" t="str">
        <f>IF(AP30&lt;AQ30,CONCATENATE("* El total de Procesados debe ser mayor o igual al total de Reactivos en el grupo de edad ",$AP$11),"")</f>
        <v/>
      </c>
      <c r="DE30" s="1970"/>
      <c r="DF30" s="3989">
        <f t="shared" si="39"/>
        <v>0</v>
      </c>
      <c r="DG30" s="3989">
        <f t="shared" si="18"/>
        <v>0</v>
      </c>
      <c r="DH30" s="3989">
        <f t="shared" si="19"/>
        <v>0</v>
      </c>
      <c r="DI30" s="3989">
        <f t="shared" si="20"/>
        <v>0</v>
      </c>
      <c r="DJ30" s="3989">
        <f>IF(D30&lt;E30,1,0)</f>
        <v>0</v>
      </c>
      <c r="DK30" s="3989">
        <f>IF(F30&lt;G30,1,0)</f>
        <v>0</v>
      </c>
      <c r="DL30" s="3989">
        <f>IF(H30&lt;I30,1,0)</f>
        <v>0</v>
      </c>
      <c r="DM30" s="3989">
        <f>IF(J30&lt;K30,1,0)</f>
        <v>0</v>
      </c>
      <c r="DN30" s="3989">
        <f>IF(L30&lt;M30,1,0)</f>
        <v>0</v>
      </c>
      <c r="DO30" s="3989">
        <f>IF(N30&lt;O30,1,0)</f>
        <v>0</v>
      </c>
      <c r="DP30" s="3989">
        <f t="shared" si="49"/>
        <v>0</v>
      </c>
      <c r="DQ30" s="3989">
        <f t="shared" si="50"/>
        <v>0</v>
      </c>
      <c r="DR30" s="3989">
        <f t="shared" si="37"/>
        <v>0</v>
      </c>
      <c r="DS30" s="3989">
        <f t="shared" si="51"/>
        <v>0</v>
      </c>
      <c r="DT30" s="3989">
        <f t="shared" si="52"/>
        <v>0</v>
      </c>
      <c r="DU30" s="3989">
        <f t="shared" si="53"/>
        <v>0</v>
      </c>
      <c r="DV30" s="3989">
        <f t="shared" si="54"/>
        <v>0</v>
      </c>
      <c r="DW30" s="3989">
        <f t="shared" si="55"/>
        <v>0</v>
      </c>
      <c r="DX30" s="3989">
        <f t="shared" si="56"/>
        <v>0</v>
      </c>
      <c r="DY30" s="3989">
        <f t="shared" si="57"/>
        <v>0</v>
      </c>
      <c r="DZ30" s="3989">
        <f>IF(AJ30&lt;AK30,1,0)</f>
        <v>0</v>
      </c>
      <c r="EA30" s="3989">
        <f>IF(AL30&lt;AM30,1,0)</f>
        <v>0</v>
      </c>
      <c r="EB30" s="3989">
        <f>IF(AN30&lt;AO30,1,0)</f>
        <v>0</v>
      </c>
      <c r="EC30" s="3989">
        <f>IF(AP30&lt;AQ30,1,0)</f>
        <v>0</v>
      </c>
    </row>
    <row r="31" spans="1:133" ht="18" customHeight="1" x14ac:dyDescent="0.3">
      <c r="A31" s="4004" t="s">
        <v>1884</v>
      </c>
      <c r="B31" s="4004"/>
      <c r="C31" s="4004"/>
      <c r="D31" s="4004"/>
      <c r="E31" s="4004"/>
      <c r="F31" s="4004"/>
      <c r="G31" s="4004"/>
      <c r="H31" s="4004"/>
      <c r="I31" s="4004"/>
      <c r="J31" s="4004"/>
      <c r="K31" s="4004"/>
      <c r="L31" s="4004"/>
      <c r="M31" s="4004"/>
      <c r="N31" s="4004"/>
      <c r="O31" s="4004"/>
      <c r="P31" s="4004"/>
      <c r="Q31" s="4004"/>
      <c r="R31" s="4004"/>
      <c r="S31" s="4004"/>
      <c r="T31" s="4004"/>
      <c r="U31" s="4004"/>
      <c r="V31" s="4004"/>
      <c r="W31" s="4004"/>
      <c r="X31" s="4004"/>
      <c r="Y31" s="4004"/>
      <c r="Z31" s="4004"/>
      <c r="AA31" s="4004"/>
      <c r="AB31" s="4004"/>
      <c r="AC31" s="4004"/>
      <c r="AD31" s="4004"/>
      <c r="AE31" s="4004"/>
      <c r="AF31" s="4004"/>
      <c r="AG31" s="4004"/>
      <c r="AH31" s="4004"/>
      <c r="AI31" s="4004"/>
      <c r="AJ31" s="4004"/>
      <c r="AK31" s="4004"/>
      <c r="AL31" s="4004"/>
      <c r="AM31" s="4004"/>
      <c r="AN31" s="4004"/>
      <c r="AO31" s="4004"/>
      <c r="AP31" s="4004"/>
      <c r="AQ31" s="4004"/>
      <c r="AR31" s="1971"/>
      <c r="AS31" s="1971"/>
      <c r="AT31" s="1971"/>
      <c r="AU31" s="1971"/>
      <c r="AV31" s="1971"/>
      <c r="AW31" s="1971"/>
    </row>
    <row r="32" spans="1:133" x14ac:dyDescent="0.3">
      <c r="A32" s="6837" t="s">
        <v>1860</v>
      </c>
      <c r="B32" s="6223" t="s">
        <v>77</v>
      </c>
      <c r="C32" s="6308"/>
      <c r="D32" s="6839" t="s">
        <v>29</v>
      </c>
      <c r="E32" s="6840"/>
      <c r="F32" s="6840"/>
      <c r="G32" s="6840"/>
      <c r="H32" s="6840"/>
      <c r="I32" s="6840"/>
      <c r="J32" s="6840"/>
      <c r="K32" s="6840"/>
      <c r="L32" s="6840"/>
      <c r="M32" s="6840"/>
      <c r="N32" s="6840"/>
      <c r="O32" s="6840"/>
      <c r="P32" s="6840"/>
      <c r="Q32" s="6840"/>
      <c r="R32" s="6840"/>
      <c r="S32" s="6840"/>
      <c r="T32" s="6840"/>
      <c r="U32" s="6840"/>
      <c r="V32" s="6840"/>
      <c r="W32" s="6840"/>
      <c r="X32" s="6840"/>
      <c r="Y32" s="6840"/>
      <c r="Z32" s="6840"/>
      <c r="AA32" s="6840"/>
      <c r="AB32" s="6840"/>
      <c r="AC32" s="6840"/>
      <c r="AD32" s="6840"/>
      <c r="AE32" s="6840"/>
      <c r="AF32" s="6840"/>
      <c r="AG32" s="6840"/>
      <c r="AH32" s="6840"/>
      <c r="AI32" s="6840"/>
      <c r="AJ32" s="6840"/>
      <c r="AK32" s="6840"/>
      <c r="AL32" s="6840"/>
      <c r="AM32" s="6840"/>
      <c r="AN32" s="6840"/>
      <c r="AO32" s="6840"/>
      <c r="AP32" s="6840"/>
      <c r="AQ32" s="6841"/>
      <c r="AR32" s="6842" t="s">
        <v>1861</v>
      </c>
      <c r="AS32" s="6843"/>
      <c r="AT32" s="6844" t="s">
        <v>457</v>
      </c>
      <c r="AU32" s="6845"/>
      <c r="AV32" s="6224" t="s">
        <v>36</v>
      </c>
      <c r="AW32" s="6243" t="s">
        <v>37</v>
      </c>
    </row>
    <row r="33" spans="1:133" x14ac:dyDescent="0.3">
      <c r="A33" s="5755"/>
      <c r="B33" s="6481"/>
      <c r="C33" s="6645"/>
      <c r="D33" s="6848" t="s">
        <v>1862</v>
      </c>
      <c r="E33" s="6842"/>
      <c r="F33" s="6848" t="s">
        <v>935</v>
      </c>
      <c r="G33" s="6842"/>
      <c r="H33" s="6848" t="s">
        <v>1863</v>
      </c>
      <c r="I33" s="6849"/>
      <c r="J33" s="6842" t="s">
        <v>937</v>
      </c>
      <c r="K33" s="6842"/>
      <c r="L33" s="6848" t="s">
        <v>326</v>
      </c>
      <c r="M33" s="6842"/>
      <c r="N33" s="6848" t="s">
        <v>94</v>
      </c>
      <c r="O33" s="6842"/>
      <c r="P33" s="6848" t="s">
        <v>44</v>
      </c>
      <c r="Q33" s="6842"/>
      <c r="R33" s="6848" t="s">
        <v>45</v>
      </c>
      <c r="S33" s="6842"/>
      <c r="T33" s="6848" t="s">
        <v>46</v>
      </c>
      <c r="U33" s="6849"/>
      <c r="V33" s="6848" t="s">
        <v>47</v>
      </c>
      <c r="W33" s="6849"/>
      <c r="X33" s="6848" t="s">
        <v>48</v>
      </c>
      <c r="Y33" s="6849"/>
      <c r="Z33" s="6848" t="s">
        <v>49</v>
      </c>
      <c r="AA33" s="6849"/>
      <c r="AB33" s="6848" t="s">
        <v>50</v>
      </c>
      <c r="AC33" s="6849"/>
      <c r="AD33" s="6848" t="s">
        <v>51</v>
      </c>
      <c r="AE33" s="6849"/>
      <c r="AF33" s="6848" t="s">
        <v>52</v>
      </c>
      <c r="AG33" s="6849"/>
      <c r="AH33" s="6848" t="s">
        <v>53</v>
      </c>
      <c r="AI33" s="6849"/>
      <c r="AJ33" s="6848" t="s">
        <v>54</v>
      </c>
      <c r="AK33" s="6849"/>
      <c r="AL33" s="6848" t="s">
        <v>55</v>
      </c>
      <c r="AM33" s="6849"/>
      <c r="AN33" s="6848" t="s">
        <v>56</v>
      </c>
      <c r="AO33" s="6849"/>
      <c r="AP33" s="6848" t="s">
        <v>57</v>
      </c>
      <c r="AQ33" s="6843"/>
      <c r="AR33" s="6224" t="s">
        <v>58</v>
      </c>
      <c r="AS33" s="6851" t="s">
        <v>59</v>
      </c>
      <c r="AT33" s="6846"/>
      <c r="AU33" s="6847"/>
      <c r="AV33" s="6850"/>
      <c r="AW33" s="5759"/>
    </row>
    <row r="34" spans="1:133" x14ac:dyDescent="0.3">
      <c r="A34" s="6471"/>
      <c r="B34" s="3980" t="s">
        <v>1864</v>
      </c>
      <c r="C34" s="3979" t="s">
        <v>1865</v>
      </c>
      <c r="D34" s="3977" t="s">
        <v>1864</v>
      </c>
      <c r="E34" s="3978" t="s">
        <v>1865</v>
      </c>
      <c r="F34" s="3977" t="s">
        <v>1864</v>
      </c>
      <c r="G34" s="3978" t="s">
        <v>1865</v>
      </c>
      <c r="H34" s="3977" t="s">
        <v>1864</v>
      </c>
      <c r="I34" s="3979" t="s">
        <v>1865</v>
      </c>
      <c r="J34" s="3980" t="s">
        <v>1864</v>
      </c>
      <c r="K34" s="3978" t="s">
        <v>1865</v>
      </c>
      <c r="L34" s="3977" t="s">
        <v>1864</v>
      </c>
      <c r="M34" s="3978" t="s">
        <v>1865</v>
      </c>
      <c r="N34" s="3977" t="s">
        <v>1864</v>
      </c>
      <c r="O34" s="3978" t="s">
        <v>1865</v>
      </c>
      <c r="P34" s="3977" t="s">
        <v>1864</v>
      </c>
      <c r="Q34" s="3978" t="s">
        <v>1865</v>
      </c>
      <c r="R34" s="3977" t="s">
        <v>1864</v>
      </c>
      <c r="S34" s="3978" t="s">
        <v>1865</v>
      </c>
      <c r="T34" s="3977" t="s">
        <v>1864</v>
      </c>
      <c r="U34" s="3978" t="s">
        <v>1865</v>
      </c>
      <c r="V34" s="3977" t="s">
        <v>1864</v>
      </c>
      <c r="W34" s="3978" t="s">
        <v>1865</v>
      </c>
      <c r="X34" s="3977" t="s">
        <v>1864</v>
      </c>
      <c r="Y34" s="3978" t="s">
        <v>1865</v>
      </c>
      <c r="Z34" s="3977" t="s">
        <v>1864</v>
      </c>
      <c r="AA34" s="3978" t="s">
        <v>1865</v>
      </c>
      <c r="AB34" s="3977" t="s">
        <v>1864</v>
      </c>
      <c r="AC34" s="3978" t="s">
        <v>1865</v>
      </c>
      <c r="AD34" s="3977" t="s">
        <v>1864</v>
      </c>
      <c r="AE34" s="3978" t="s">
        <v>1865</v>
      </c>
      <c r="AF34" s="3977" t="s">
        <v>1864</v>
      </c>
      <c r="AG34" s="3978" t="s">
        <v>1865</v>
      </c>
      <c r="AH34" s="3977" t="s">
        <v>1864</v>
      </c>
      <c r="AI34" s="3978" t="s">
        <v>1865</v>
      </c>
      <c r="AJ34" s="3977" t="s">
        <v>1864</v>
      </c>
      <c r="AK34" s="3978" t="s">
        <v>1865</v>
      </c>
      <c r="AL34" s="3977" t="s">
        <v>1864</v>
      </c>
      <c r="AM34" s="3978" t="s">
        <v>1865</v>
      </c>
      <c r="AN34" s="3977" t="s">
        <v>1864</v>
      </c>
      <c r="AO34" s="3978" t="s">
        <v>1865</v>
      </c>
      <c r="AP34" s="3977" t="s">
        <v>1864</v>
      </c>
      <c r="AQ34" s="3981" t="s">
        <v>1865</v>
      </c>
      <c r="AR34" s="6626"/>
      <c r="AS34" s="5956"/>
      <c r="AT34" s="1784" t="s">
        <v>462</v>
      </c>
      <c r="AU34" s="1831" t="s">
        <v>463</v>
      </c>
      <c r="AV34" s="6626"/>
      <c r="AW34" s="6687"/>
    </row>
    <row r="35" spans="1:133" x14ac:dyDescent="0.3">
      <c r="A35" s="934" t="s">
        <v>1866</v>
      </c>
      <c r="B35" s="3308">
        <f t="shared" ref="B35:C42" si="59">+N35+P35+R35+T35+V35+X35+Z35+AB35+AD35+AF35+AH35+AJ35+AL35+AN35+AP35</f>
        <v>0</v>
      </c>
      <c r="C35" s="3983">
        <f t="shared" si="59"/>
        <v>0</v>
      </c>
      <c r="D35" s="4001"/>
      <c r="E35" s="3993"/>
      <c r="F35" s="3992"/>
      <c r="G35" s="3993"/>
      <c r="H35" s="3992"/>
      <c r="I35" s="3993"/>
      <c r="J35" s="3992"/>
      <c r="K35" s="3993"/>
      <c r="L35" s="3992"/>
      <c r="M35" s="3994"/>
      <c r="N35" s="3987"/>
      <c r="O35" s="3995"/>
      <c r="P35" s="3996"/>
      <c r="Q35" s="3995"/>
      <c r="R35" s="3996"/>
      <c r="S35" s="3995"/>
      <c r="T35" s="3996"/>
      <c r="U35" s="3995"/>
      <c r="V35" s="3996"/>
      <c r="W35" s="3995"/>
      <c r="X35" s="3996"/>
      <c r="Y35" s="3995"/>
      <c r="Z35" s="3996"/>
      <c r="AA35" s="3995"/>
      <c r="AB35" s="3996"/>
      <c r="AC35" s="3995"/>
      <c r="AD35" s="3996"/>
      <c r="AE35" s="3995"/>
      <c r="AF35" s="3996"/>
      <c r="AG35" s="3995"/>
      <c r="AH35" s="3996"/>
      <c r="AI35" s="3995"/>
      <c r="AJ35" s="3996"/>
      <c r="AK35" s="3995"/>
      <c r="AL35" s="3996"/>
      <c r="AM35" s="3995"/>
      <c r="AN35" s="3996"/>
      <c r="AO35" s="3995"/>
      <c r="AP35" s="3996"/>
      <c r="AQ35" s="3985"/>
      <c r="AR35" s="3984"/>
      <c r="AS35" s="3985"/>
      <c r="AT35" s="3986"/>
      <c r="AU35" s="3985"/>
      <c r="AV35" s="3987"/>
      <c r="AW35" s="3988"/>
      <c r="AX35" s="1898" t="str">
        <f t="shared" ref="AX35:AX42" si="60">$CA35&amp;CB35&amp;CC35&amp;$CD35&amp;CJ35&amp;CK35&amp;CL35&amp;CM35&amp;CN35&amp;CO35&amp;CP35&amp;CQ35&amp;CR35&amp;CS35&amp;CT35&amp;CU35&amp;CV35&amp;CW35&amp;CX35</f>
        <v/>
      </c>
      <c r="CA35" s="1899" t="str">
        <f>IF(B35&lt;&gt;(AS35)," * La suma de las columnas "&amp;AR$10&amp;""&amp;" DEBE SER IGUAL a los Exámenes Procesados. ","")</f>
        <v/>
      </c>
      <c r="CB35" s="1899" t="str">
        <f t="shared" ref="CB35:CB51" si="61">IF(AND($B35&gt;0,AND(AT35="",AU35="")),"* No olvide ingresar las columnas Trans Masculino o Femenino (*Digite CERO si no tiene). ",IF((AT35+AU35)&gt;$B35,"* El Número de Trans Masculino o Femenino no puede superar el Total Procesados. ",""))</f>
        <v/>
      </c>
      <c r="CC35" s="1899" t="str">
        <f t="shared" ref="CC35:CC51" si="62">IF(AND($B35&gt;0,AV35=""),"* No olvide ingresar la columna "&amp;AV$10&amp;""&amp;" *(Digite CERO si no tiene). ",IF(AV35&gt;$B35," *El Número de "&amp;AV$10&amp;""&amp;" no puede superar el Total Procesados. ",""))</f>
        <v/>
      </c>
      <c r="CD35" s="1899" t="str">
        <f t="shared" ref="CD35:CD51" si="63">IF(AND($B35&gt;0,AW35=""),"* No olvide ingresar la columna "&amp;AW$10&amp;""&amp;" *(Digite CERO si no tiene). ",IF(AW35&gt;$B35," *El Número de "&amp;AW$10&amp;""&amp;" no puede superar el Total Procesados. ",""))</f>
        <v/>
      </c>
      <c r="CE35" s="1900"/>
      <c r="CF35" s="1900"/>
      <c r="CG35" s="1900"/>
      <c r="CH35" s="1900"/>
      <c r="CI35" s="1900"/>
      <c r="CJ35" s="1899" t="str">
        <f t="shared" ref="CJ35:CJ43" si="64">IF(N35&lt;O35,CONCATENATE("* El total de Procesados debe ser mayor o igual al total de Reactivos en el grupo de edad ",$N$11),"")</f>
        <v/>
      </c>
      <c r="CK35" s="1899" t="str">
        <f t="shared" ref="CK35:CK43" si="65">IF(P35&lt;Q35,CONCATENATE("* El total de Procesados debe ser mayor o igual al total de Reactivos en el grupo de edad ",$P$11),"")</f>
        <v/>
      </c>
      <c r="CL35" s="1899" t="str">
        <f t="shared" ref="CL35:CL43" si="66">IF(R35&lt;S35,CONCATENATE("* El total de Procesados debe ser mayor o igual al total de Reactivos en el grupo de edad ",$R$11),"")</f>
        <v/>
      </c>
      <c r="CM35" s="1899" t="str">
        <f t="shared" ref="CM35:CM43" si="67">IF($T35&lt;$U35,CONCATENATE("* El total de Procesados debe ser mayor o igual al total de Reactivos en el grupo de edad ",$T$11),"")</f>
        <v/>
      </c>
      <c r="CN35" s="1899" t="str">
        <f t="shared" ref="CN35:CN43" si="68">IF(V35&lt;W35,CONCATENATE("* El total de Procesados debe ser mayor o igual al total de Reactivos en el grupo de edad ",$V$11),"")</f>
        <v/>
      </c>
      <c r="CO35" s="1899" t="str">
        <f t="shared" ref="CO35:CO43" si="69">IF(X35&lt;Y35,CONCATENATE("* El total de Procesados debe ser mayor o igual al total de Reactivos en el grupo de edad ",$X$11),"")</f>
        <v/>
      </c>
      <c r="CP35" s="1899" t="str">
        <f t="shared" ref="CP35:CP43" si="70">IF(Z35&lt;AA35,CONCATENATE("* El total de Procesados debe ser mayor o igual al total de Reactivos en el grupo de edad ",$Z$11),"")</f>
        <v/>
      </c>
      <c r="CQ35" s="1899" t="str">
        <f t="shared" ref="CQ35:CQ43" si="71">IF(AB35&lt;AC35,CONCATENATE("* El total de Procesados debe ser mayor o igual al total de Reactivos en el grupo de edad ",$AB$11),"")</f>
        <v/>
      </c>
      <c r="CR35" s="1899" t="str">
        <f t="shared" ref="CR35:CR43" si="72">IF(AD35&lt;AE35,CONCATENATE("* El total de Procesados debe ser mayor o igual al total de Reactivos en el grupo de edad ",$AD$11),"")</f>
        <v/>
      </c>
      <c r="CS35" s="1899" t="str">
        <f t="shared" ref="CS35:CS43" si="73">IF(AF35&lt;AG35,CONCATENATE("* El total de Procesados debe ser mayor o igual al total de Reactivos en el grupo de edad ",$AF$11),"")</f>
        <v/>
      </c>
      <c r="CT35" s="1899" t="str">
        <f t="shared" ref="CT35:CT43" si="74">IF(AH35&lt;AI35,CONCATENATE("* El total de Procesados debe ser mayor o igual al total de Reactivos en el grupo de edad ",$AH$11),"")</f>
        <v/>
      </c>
      <c r="CU35" s="1899" t="str">
        <f t="shared" ref="CU35:CU43" si="75">IF(AJ35&lt;AK35,CONCATENATE("* El total de Procesados debe ser mayor o igual al total de Reactivos en el grupo de edad ",$AJ$11),"")</f>
        <v/>
      </c>
      <c r="CV35" s="1899" t="str">
        <f t="shared" ref="CV35:CV43" si="76">IF(AL35&lt;AM35,CONCATENATE("* El total de Procesados debe ser mayor o igual al total de Reactivos en el grupo de edad ",$AL$11),"")</f>
        <v/>
      </c>
      <c r="CW35" s="1899" t="str">
        <f t="shared" ref="CW35:CW43" si="77">IF(AN35&lt;AO35,CONCATENATE("* El total de Procesados debe ser mayor o igual al total de Reactivos en el grupo de edad ",$AN$11),"")</f>
        <v/>
      </c>
      <c r="CX35" s="1899" t="str">
        <f t="shared" ref="CX35:CX43" si="78">IF(AP35&lt;AQ35,CONCATENATE("* El total de Procesados debe ser mayor o igual al total de Reactivos en el grupo de edad ",$AP$11),"")</f>
        <v/>
      </c>
      <c r="DE35" s="1970"/>
      <c r="DF35" s="4005">
        <f>IF(B35&lt;&gt;(AS35),1,0)</f>
        <v>0</v>
      </c>
      <c r="DG35" s="3989">
        <f t="shared" ref="DG35:DG51" si="79">IF(AND($B35&gt;0,AND(AT35="",AU35="")),1,IF((AT35+AU35)&gt;$B35,1,0))</f>
        <v>0</v>
      </c>
      <c r="DH35" s="3989">
        <f t="shared" ref="DH35:DH51" si="80">IF(AND($B35&gt;0,AV35=""),1,IF(AV35&gt;$B35,1,0))</f>
        <v>0</v>
      </c>
      <c r="DI35" s="3989">
        <f t="shared" ref="DI35:DI51" si="81">IF(AND($B35&gt;0,AW35=""),1,IF(AW35&gt;$B35,1,0))</f>
        <v>0</v>
      </c>
      <c r="DJ35" s="1900"/>
      <c r="DK35" s="1900"/>
      <c r="DL35" s="1900"/>
      <c r="DM35" s="1900"/>
      <c r="DN35" s="1900"/>
      <c r="DO35" s="3989">
        <f t="shared" ref="DO35:DO43" si="82">IF(N35&lt;O35,1,0)</f>
        <v>0</v>
      </c>
      <c r="DP35" s="3989">
        <f t="shared" ref="DP35:DP43" si="83">IF(P35&lt;Q35,1,0)</f>
        <v>0</v>
      </c>
      <c r="DQ35" s="3989">
        <f t="shared" ref="DQ35:DQ43" si="84">IF(R35&lt;S35,1,0)</f>
        <v>0</v>
      </c>
      <c r="DR35" s="3989">
        <f t="shared" ref="DR35:DR43" si="85">IF($T35&lt;$U35,1,0)</f>
        <v>0</v>
      </c>
      <c r="DS35" s="3989">
        <f t="shared" ref="DS35:DS43" si="86">IF(V35&lt;W35,1,0)</f>
        <v>0</v>
      </c>
      <c r="DT35" s="3989">
        <f t="shared" ref="DT35:DT43" si="87">IF(X35&lt;Y35,1,0)</f>
        <v>0</v>
      </c>
      <c r="DU35" s="3989">
        <f t="shared" ref="DU35:DU43" si="88">IF(Z35&lt;AA35,1,0)</f>
        <v>0</v>
      </c>
      <c r="DV35" s="3989">
        <f t="shared" ref="DV35:DV43" si="89">IF(AB35&lt;AC35,1,0)</f>
        <v>0</v>
      </c>
      <c r="DW35" s="3989">
        <f t="shared" ref="DW35:DW43" si="90">IF(AD35&lt;AE35,1,0)</f>
        <v>0</v>
      </c>
      <c r="DX35" s="3989">
        <f t="shared" ref="DX35:DX43" si="91">IF(AF35&lt;AG35,1,0)</f>
        <v>0</v>
      </c>
      <c r="DY35" s="3989">
        <f t="shared" ref="DY35:DY43" si="92">IF(AH35&lt;AI35,1,0)</f>
        <v>0</v>
      </c>
      <c r="DZ35" s="3989">
        <f t="shared" ref="DZ35:DZ43" si="93">IF(AJ35&lt;AK35,1,0)</f>
        <v>0</v>
      </c>
      <c r="EA35" s="3989">
        <f t="shared" ref="EA35:EA43" si="94">IF(AL35&lt;AM35,1,0)</f>
        <v>0</v>
      </c>
      <c r="EB35" s="3989">
        <f t="shared" ref="EB35:EB43" si="95">IF(AN35&lt;AO35,1,0)</f>
        <v>0</v>
      </c>
      <c r="EC35" s="3989">
        <f t="shared" ref="EC35:EC43" si="96">IF(AP35&lt;AQ35,1,0)</f>
        <v>0</v>
      </c>
    </row>
    <row r="36" spans="1:133" x14ac:dyDescent="0.3">
      <c r="A36" s="4006" t="s">
        <v>1867</v>
      </c>
      <c r="B36" s="3991">
        <f t="shared" si="59"/>
        <v>0</v>
      </c>
      <c r="C36" s="345">
        <f t="shared" si="59"/>
        <v>0</v>
      </c>
      <c r="D36" s="4001"/>
      <c r="E36" s="3993"/>
      <c r="F36" s="3992"/>
      <c r="G36" s="3993"/>
      <c r="H36" s="3992"/>
      <c r="I36" s="3993"/>
      <c r="J36" s="3992"/>
      <c r="K36" s="3993"/>
      <c r="L36" s="3992"/>
      <c r="M36" s="3994"/>
      <c r="N36" s="3987"/>
      <c r="O36" s="3995"/>
      <c r="P36" s="3996"/>
      <c r="Q36" s="3995"/>
      <c r="R36" s="3996"/>
      <c r="S36" s="3995"/>
      <c r="T36" s="3996"/>
      <c r="U36" s="3995"/>
      <c r="V36" s="3996"/>
      <c r="W36" s="3995"/>
      <c r="X36" s="3996"/>
      <c r="Y36" s="3995"/>
      <c r="Z36" s="3996"/>
      <c r="AA36" s="3995"/>
      <c r="AB36" s="3996"/>
      <c r="AC36" s="3995"/>
      <c r="AD36" s="3996"/>
      <c r="AE36" s="3995"/>
      <c r="AF36" s="3996"/>
      <c r="AG36" s="3995"/>
      <c r="AH36" s="3996"/>
      <c r="AI36" s="3995"/>
      <c r="AJ36" s="3996"/>
      <c r="AK36" s="3995"/>
      <c r="AL36" s="3996"/>
      <c r="AM36" s="3995"/>
      <c r="AN36" s="3996"/>
      <c r="AO36" s="3995"/>
      <c r="AP36" s="3996"/>
      <c r="AQ36" s="3985"/>
      <c r="AR36" s="3984"/>
      <c r="AS36" s="3985"/>
      <c r="AT36" s="3986"/>
      <c r="AU36" s="3985"/>
      <c r="AV36" s="3987"/>
      <c r="AW36" s="3988"/>
      <c r="AX36" s="1898" t="str">
        <f t="shared" si="60"/>
        <v/>
      </c>
      <c r="CA36" s="1899" t="str">
        <f>IF(B36&lt;&gt;(AS36)," * La suma de las columnas "&amp;AR$10&amp;""&amp;" DEBE SER IGUAL a los Exámenes Procesados. ","")</f>
        <v/>
      </c>
      <c r="CB36" s="1899" t="str">
        <f t="shared" si="61"/>
        <v/>
      </c>
      <c r="CC36" s="1899" t="str">
        <f t="shared" si="62"/>
        <v/>
      </c>
      <c r="CD36" s="1899" t="str">
        <f t="shared" si="63"/>
        <v/>
      </c>
      <c r="CE36" s="1900"/>
      <c r="CF36" s="1900"/>
      <c r="CG36" s="1900"/>
      <c r="CH36" s="1900"/>
      <c r="CI36" s="1900"/>
      <c r="CJ36" s="1899" t="str">
        <f t="shared" si="64"/>
        <v/>
      </c>
      <c r="CK36" s="1899" t="str">
        <f t="shared" si="65"/>
        <v/>
      </c>
      <c r="CL36" s="1899" t="str">
        <f t="shared" si="66"/>
        <v/>
      </c>
      <c r="CM36" s="1899" t="str">
        <f t="shared" si="67"/>
        <v/>
      </c>
      <c r="CN36" s="1899" t="str">
        <f t="shared" si="68"/>
        <v/>
      </c>
      <c r="CO36" s="1899" t="str">
        <f t="shared" si="69"/>
        <v/>
      </c>
      <c r="CP36" s="1899" t="str">
        <f t="shared" si="70"/>
        <v/>
      </c>
      <c r="CQ36" s="1899" t="str">
        <f t="shared" si="71"/>
        <v/>
      </c>
      <c r="CR36" s="1899" t="str">
        <f t="shared" si="72"/>
        <v/>
      </c>
      <c r="CS36" s="1899" t="str">
        <f t="shared" si="73"/>
        <v/>
      </c>
      <c r="CT36" s="1899" t="str">
        <f t="shared" si="74"/>
        <v/>
      </c>
      <c r="CU36" s="1899" t="str">
        <f t="shared" si="75"/>
        <v/>
      </c>
      <c r="CV36" s="1899" t="str">
        <f t="shared" si="76"/>
        <v/>
      </c>
      <c r="CW36" s="1899" t="str">
        <f t="shared" si="77"/>
        <v/>
      </c>
      <c r="CX36" s="1899" t="str">
        <f t="shared" si="78"/>
        <v/>
      </c>
      <c r="DE36" s="1970"/>
      <c r="DF36" s="4005">
        <f>IF(B36&lt;&gt;(AS36),1,0)</f>
        <v>0</v>
      </c>
      <c r="DG36" s="3989">
        <f t="shared" si="79"/>
        <v>0</v>
      </c>
      <c r="DH36" s="3989">
        <f t="shared" si="80"/>
        <v>0</v>
      </c>
      <c r="DI36" s="3989">
        <f t="shared" si="81"/>
        <v>0</v>
      </c>
      <c r="DJ36" s="1900"/>
      <c r="DK36" s="1900"/>
      <c r="DL36" s="1900"/>
      <c r="DM36" s="1900"/>
      <c r="DN36" s="1900"/>
      <c r="DO36" s="3989">
        <f t="shared" si="82"/>
        <v>0</v>
      </c>
      <c r="DP36" s="3989">
        <f t="shared" si="83"/>
        <v>0</v>
      </c>
      <c r="DQ36" s="3989">
        <f t="shared" si="84"/>
        <v>0</v>
      </c>
      <c r="DR36" s="3989">
        <f t="shared" si="85"/>
        <v>0</v>
      </c>
      <c r="DS36" s="3989">
        <f t="shared" si="86"/>
        <v>0</v>
      </c>
      <c r="DT36" s="3989">
        <f t="shared" si="87"/>
        <v>0</v>
      </c>
      <c r="DU36" s="3989">
        <f t="shared" si="88"/>
        <v>0</v>
      </c>
      <c r="DV36" s="3989">
        <f t="shared" si="89"/>
        <v>0</v>
      </c>
      <c r="DW36" s="3989">
        <f t="shared" si="90"/>
        <v>0</v>
      </c>
      <c r="DX36" s="3989">
        <f t="shared" si="91"/>
        <v>0</v>
      </c>
      <c r="DY36" s="3989">
        <f t="shared" si="92"/>
        <v>0</v>
      </c>
      <c r="DZ36" s="3989">
        <f t="shared" si="93"/>
        <v>0</v>
      </c>
      <c r="EA36" s="3989">
        <f t="shared" si="94"/>
        <v>0</v>
      </c>
      <c r="EB36" s="3989">
        <f t="shared" si="95"/>
        <v>0</v>
      </c>
      <c r="EC36" s="3989">
        <f t="shared" si="96"/>
        <v>0</v>
      </c>
    </row>
    <row r="37" spans="1:133" x14ac:dyDescent="0.3">
      <c r="A37" s="4006" t="s">
        <v>1868</v>
      </c>
      <c r="B37" s="3991">
        <f t="shared" si="59"/>
        <v>0</v>
      </c>
      <c r="C37" s="345">
        <f t="shared" si="59"/>
        <v>0</v>
      </c>
      <c r="D37" s="4001"/>
      <c r="E37" s="3993"/>
      <c r="F37" s="3992"/>
      <c r="G37" s="3993"/>
      <c r="H37" s="3992"/>
      <c r="I37" s="3993"/>
      <c r="J37" s="3992"/>
      <c r="K37" s="3993"/>
      <c r="L37" s="3992"/>
      <c r="M37" s="3994"/>
      <c r="N37" s="3987"/>
      <c r="O37" s="3995"/>
      <c r="P37" s="3996"/>
      <c r="Q37" s="3995"/>
      <c r="R37" s="3996"/>
      <c r="S37" s="3995"/>
      <c r="T37" s="3996"/>
      <c r="U37" s="3995"/>
      <c r="V37" s="3996"/>
      <c r="W37" s="3995"/>
      <c r="X37" s="3996"/>
      <c r="Y37" s="3995"/>
      <c r="Z37" s="3996"/>
      <c r="AA37" s="3995"/>
      <c r="AB37" s="3996"/>
      <c r="AC37" s="3995"/>
      <c r="AD37" s="3996"/>
      <c r="AE37" s="3995"/>
      <c r="AF37" s="3996"/>
      <c r="AG37" s="3995"/>
      <c r="AH37" s="3996"/>
      <c r="AI37" s="3995"/>
      <c r="AJ37" s="3996"/>
      <c r="AK37" s="3995"/>
      <c r="AL37" s="3996"/>
      <c r="AM37" s="3995"/>
      <c r="AN37" s="3996"/>
      <c r="AO37" s="3995"/>
      <c r="AP37" s="3996"/>
      <c r="AQ37" s="3985"/>
      <c r="AR37" s="3984"/>
      <c r="AS37" s="3985"/>
      <c r="AT37" s="3986"/>
      <c r="AU37" s="3985"/>
      <c r="AV37" s="3987"/>
      <c r="AW37" s="3988"/>
      <c r="AX37" s="1898" t="str">
        <f t="shared" si="60"/>
        <v/>
      </c>
      <c r="CA37" s="1899" t="str">
        <f>IF(B37&lt;&gt;(AS37)," * La suma de las columnas "&amp;AR$10&amp;""&amp;" DEBE SER IGUAL a los Exámenes Procesados. ","")</f>
        <v/>
      </c>
      <c r="CB37" s="1899" t="str">
        <f t="shared" si="61"/>
        <v/>
      </c>
      <c r="CC37" s="1899" t="str">
        <f t="shared" si="62"/>
        <v/>
      </c>
      <c r="CD37" s="1899" t="str">
        <f t="shared" si="63"/>
        <v/>
      </c>
      <c r="CE37" s="1900"/>
      <c r="CF37" s="1900"/>
      <c r="CG37" s="1900"/>
      <c r="CH37" s="1900"/>
      <c r="CI37" s="1900"/>
      <c r="CJ37" s="1899" t="str">
        <f t="shared" si="64"/>
        <v/>
      </c>
      <c r="CK37" s="1899" t="str">
        <f t="shared" si="65"/>
        <v/>
      </c>
      <c r="CL37" s="1899" t="str">
        <f t="shared" si="66"/>
        <v/>
      </c>
      <c r="CM37" s="1899" t="str">
        <f t="shared" si="67"/>
        <v/>
      </c>
      <c r="CN37" s="1899" t="str">
        <f t="shared" si="68"/>
        <v/>
      </c>
      <c r="CO37" s="1899" t="str">
        <f t="shared" si="69"/>
        <v/>
      </c>
      <c r="CP37" s="1899" t="str">
        <f t="shared" si="70"/>
        <v/>
      </c>
      <c r="CQ37" s="1899" t="str">
        <f t="shared" si="71"/>
        <v/>
      </c>
      <c r="CR37" s="1899" t="str">
        <f t="shared" si="72"/>
        <v/>
      </c>
      <c r="CS37" s="1899" t="str">
        <f t="shared" si="73"/>
        <v/>
      </c>
      <c r="CT37" s="1899" t="str">
        <f t="shared" si="74"/>
        <v/>
      </c>
      <c r="CU37" s="1899" t="str">
        <f t="shared" si="75"/>
        <v/>
      </c>
      <c r="CV37" s="1899" t="str">
        <f t="shared" si="76"/>
        <v/>
      </c>
      <c r="CW37" s="1899" t="str">
        <f t="shared" si="77"/>
        <v/>
      </c>
      <c r="CX37" s="1899" t="str">
        <f t="shared" si="78"/>
        <v/>
      </c>
      <c r="DE37" s="1970"/>
      <c r="DF37" s="4005">
        <f>IF(B37&lt;&gt;(AS37),1,0)</f>
        <v>0</v>
      </c>
      <c r="DG37" s="3989">
        <f t="shared" si="79"/>
        <v>0</v>
      </c>
      <c r="DH37" s="3989">
        <f t="shared" si="80"/>
        <v>0</v>
      </c>
      <c r="DI37" s="3989">
        <f t="shared" si="81"/>
        <v>0</v>
      </c>
      <c r="DJ37" s="1900"/>
      <c r="DK37" s="1900"/>
      <c r="DL37" s="1900"/>
      <c r="DM37" s="1900"/>
      <c r="DN37" s="1900"/>
      <c r="DO37" s="3989">
        <f t="shared" si="82"/>
        <v>0</v>
      </c>
      <c r="DP37" s="3989">
        <f t="shared" si="83"/>
        <v>0</v>
      </c>
      <c r="DQ37" s="3989">
        <f t="shared" si="84"/>
        <v>0</v>
      </c>
      <c r="DR37" s="3989">
        <f t="shared" si="85"/>
        <v>0</v>
      </c>
      <c r="DS37" s="3989">
        <f t="shared" si="86"/>
        <v>0</v>
      </c>
      <c r="DT37" s="3989">
        <f t="shared" si="87"/>
        <v>0</v>
      </c>
      <c r="DU37" s="3989">
        <f t="shared" si="88"/>
        <v>0</v>
      </c>
      <c r="DV37" s="3989">
        <f t="shared" si="89"/>
        <v>0</v>
      </c>
      <c r="DW37" s="3989">
        <f t="shared" si="90"/>
        <v>0</v>
      </c>
      <c r="DX37" s="3989">
        <f t="shared" si="91"/>
        <v>0</v>
      </c>
      <c r="DY37" s="3989">
        <f t="shared" si="92"/>
        <v>0</v>
      </c>
      <c r="DZ37" s="3989">
        <f t="shared" si="93"/>
        <v>0</v>
      </c>
      <c r="EA37" s="3989">
        <f t="shared" si="94"/>
        <v>0</v>
      </c>
      <c r="EB37" s="3989">
        <f t="shared" si="95"/>
        <v>0</v>
      </c>
      <c r="EC37" s="3989">
        <f t="shared" si="96"/>
        <v>0</v>
      </c>
    </row>
    <row r="38" spans="1:133" x14ac:dyDescent="0.3">
      <c r="A38" s="4006" t="s">
        <v>1869</v>
      </c>
      <c r="B38" s="3991">
        <f t="shared" si="59"/>
        <v>0</v>
      </c>
      <c r="C38" s="345">
        <f t="shared" si="59"/>
        <v>0</v>
      </c>
      <c r="D38" s="4001"/>
      <c r="E38" s="3993"/>
      <c r="F38" s="3992"/>
      <c r="G38" s="3993"/>
      <c r="H38" s="3992"/>
      <c r="I38" s="3993"/>
      <c r="J38" s="3992"/>
      <c r="K38" s="3993"/>
      <c r="L38" s="3992"/>
      <c r="M38" s="3994"/>
      <c r="N38" s="3987"/>
      <c r="O38" s="3995"/>
      <c r="P38" s="3996"/>
      <c r="Q38" s="3995"/>
      <c r="R38" s="3996"/>
      <c r="S38" s="3995"/>
      <c r="T38" s="3996"/>
      <c r="U38" s="3995"/>
      <c r="V38" s="3996"/>
      <c r="W38" s="3995"/>
      <c r="X38" s="3996"/>
      <c r="Y38" s="3995"/>
      <c r="Z38" s="3996"/>
      <c r="AA38" s="3995"/>
      <c r="AB38" s="3996"/>
      <c r="AC38" s="3995"/>
      <c r="AD38" s="3996"/>
      <c r="AE38" s="3995"/>
      <c r="AF38" s="3996"/>
      <c r="AG38" s="3995"/>
      <c r="AH38" s="3996"/>
      <c r="AI38" s="3995"/>
      <c r="AJ38" s="3996"/>
      <c r="AK38" s="3995"/>
      <c r="AL38" s="3996"/>
      <c r="AM38" s="3995"/>
      <c r="AN38" s="3996"/>
      <c r="AO38" s="3995"/>
      <c r="AP38" s="3996"/>
      <c r="AQ38" s="3985"/>
      <c r="AR38" s="3984"/>
      <c r="AS38" s="3985"/>
      <c r="AT38" s="3986"/>
      <c r="AU38" s="3985"/>
      <c r="AV38" s="3987"/>
      <c r="AW38" s="3988"/>
      <c r="AX38" s="1898" t="str">
        <f t="shared" si="60"/>
        <v/>
      </c>
      <c r="CA38" s="1899" t="str">
        <f>IF(B38&lt;&gt;(AS38)," * La suma de las columnas "&amp;AR$10&amp;""&amp;" DEBE SER IGUAL a los Exámenes Procesados. ","")</f>
        <v/>
      </c>
      <c r="CB38" s="1899" t="str">
        <f t="shared" si="61"/>
        <v/>
      </c>
      <c r="CC38" s="1899" t="str">
        <f t="shared" si="62"/>
        <v/>
      </c>
      <c r="CD38" s="1899" t="str">
        <f t="shared" si="63"/>
        <v/>
      </c>
      <c r="CE38" s="1900"/>
      <c r="CF38" s="1900"/>
      <c r="CG38" s="1900"/>
      <c r="CH38" s="1900"/>
      <c r="CI38" s="1900"/>
      <c r="CJ38" s="1899" t="str">
        <f t="shared" si="64"/>
        <v/>
      </c>
      <c r="CK38" s="1899" t="str">
        <f t="shared" si="65"/>
        <v/>
      </c>
      <c r="CL38" s="1899" t="str">
        <f t="shared" si="66"/>
        <v/>
      </c>
      <c r="CM38" s="1899" t="str">
        <f t="shared" si="67"/>
        <v/>
      </c>
      <c r="CN38" s="1899" t="str">
        <f t="shared" si="68"/>
        <v/>
      </c>
      <c r="CO38" s="1899" t="str">
        <f t="shared" si="69"/>
        <v/>
      </c>
      <c r="CP38" s="1899" t="str">
        <f t="shared" si="70"/>
        <v/>
      </c>
      <c r="CQ38" s="1899" t="str">
        <f t="shared" si="71"/>
        <v/>
      </c>
      <c r="CR38" s="1899" t="str">
        <f t="shared" si="72"/>
        <v/>
      </c>
      <c r="CS38" s="1899" t="str">
        <f t="shared" si="73"/>
        <v/>
      </c>
      <c r="CT38" s="1899" t="str">
        <f t="shared" si="74"/>
        <v/>
      </c>
      <c r="CU38" s="1899" t="str">
        <f t="shared" si="75"/>
        <v/>
      </c>
      <c r="CV38" s="1899" t="str">
        <f t="shared" si="76"/>
        <v/>
      </c>
      <c r="CW38" s="1899" t="str">
        <f t="shared" si="77"/>
        <v/>
      </c>
      <c r="CX38" s="1899" t="str">
        <f t="shared" si="78"/>
        <v/>
      </c>
      <c r="DE38" s="1970"/>
      <c r="DF38" s="4005">
        <f>IF(B38&lt;&gt;(AS38),1,0)</f>
        <v>0</v>
      </c>
      <c r="DG38" s="3989">
        <f t="shared" si="79"/>
        <v>0</v>
      </c>
      <c r="DH38" s="3989">
        <f t="shared" si="80"/>
        <v>0</v>
      </c>
      <c r="DI38" s="3989">
        <f t="shared" si="81"/>
        <v>0</v>
      </c>
      <c r="DJ38" s="1900"/>
      <c r="DK38" s="1900"/>
      <c r="DL38" s="1900"/>
      <c r="DM38" s="1900"/>
      <c r="DN38" s="1900"/>
      <c r="DO38" s="3989">
        <f t="shared" si="82"/>
        <v>0</v>
      </c>
      <c r="DP38" s="3989">
        <f t="shared" si="83"/>
        <v>0</v>
      </c>
      <c r="DQ38" s="3989">
        <f t="shared" si="84"/>
        <v>0</v>
      </c>
      <c r="DR38" s="3989">
        <f t="shared" si="85"/>
        <v>0</v>
      </c>
      <c r="DS38" s="3989">
        <f t="shared" si="86"/>
        <v>0</v>
      </c>
      <c r="DT38" s="3989">
        <f t="shared" si="87"/>
        <v>0</v>
      </c>
      <c r="DU38" s="3989">
        <f t="shared" si="88"/>
        <v>0</v>
      </c>
      <c r="DV38" s="3989">
        <f t="shared" si="89"/>
        <v>0</v>
      </c>
      <c r="DW38" s="3989">
        <f t="shared" si="90"/>
        <v>0</v>
      </c>
      <c r="DX38" s="3989">
        <f t="shared" si="91"/>
        <v>0</v>
      </c>
      <c r="DY38" s="3989">
        <f t="shared" si="92"/>
        <v>0</v>
      </c>
      <c r="DZ38" s="3989">
        <f t="shared" si="93"/>
        <v>0</v>
      </c>
      <c r="EA38" s="3989">
        <f t="shared" si="94"/>
        <v>0</v>
      </c>
      <c r="EB38" s="3989">
        <f t="shared" si="95"/>
        <v>0</v>
      </c>
      <c r="EC38" s="3989">
        <f t="shared" si="96"/>
        <v>0</v>
      </c>
    </row>
    <row r="39" spans="1:133" x14ac:dyDescent="0.3">
      <c r="A39" s="4007" t="s">
        <v>1870</v>
      </c>
      <c r="B39" s="3991">
        <f t="shared" si="59"/>
        <v>0</v>
      </c>
      <c r="C39" s="345">
        <f t="shared" si="59"/>
        <v>0</v>
      </c>
      <c r="D39" s="4001"/>
      <c r="E39" s="3993"/>
      <c r="F39" s="3992"/>
      <c r="G39" s="3993"/>
      <c r="H39" s="3992"/>
      <c r="I39" s="3993"/>
      <c r="J39" s="3992"/>
      <c r="K39" s="3993"/>
      <c r="L39" s="3992"/>
      <c r="M39" s="3994"/>
      <c r="N39" s="3987"/>
      <c r="O39" s="3995"/>
      <c r="P39" s="3996"/>
      <c r="Q39" s="3995"/>
      <c r="R39" s="3996"/>
      <c r="S39" s="3995"/>
      <c r="T39" s="3996"/>
      <c r="U39" s="3995"/>
      <c r="V39" s="3996"/>
      <c r="W39" s="3995"/>
      <c r="X39" s="3996"/>
      <c r="Y39" s="3995"/>
      <c r="Z39" s="3996"/>
      <c r="AA39" s="3995"/>
      <c r="AB39" s="3996"/>
      <c r="AC39" s="3995"/>
      <c r="AD39" s="3996"/>
      <c r="AE39" s="3995"/>
      <c r="AF39" s="3996"/>
      <c r="AG39" s="3995"/>
      <c r="AH39" s="3996"/>
      <c r="AI39" s="3995"/>
      <c r="AJ39" s="3996"/>
      <c r="AK39" s="3995"/>
      <c r="AL39" s="3996"/>
      <c r="AM39" s="3995"/>
      <c r="AN39" s="3996"/>
      <c r="AO39" s="3995"/>
      <c r="AP39" s="3996"/>
      <c r="AQ39" s="3985"/>
      <c r="AR39" s="3984"/>
      <c r="AS39" s="3985"/>
      <c r="AT39" s="3986"/>
      <c r="AU39" s="3985"/>
      <c r="AV39" s="3987"/>
      <c r="AW39" s="3988"/>
      <c r="AX39" s="1898" t="str">
        <f t="shared" si="60"/>
        <v/>
      </c>
      <c r="CA39" s="1899" t="str">
        <f>IF(B39&lt;&gt;(AS39)," * La suma de las columnas "&amp;AR$10&amp;""&amp;" DEBE SER IGUAL a los Exámenes Procesados. ","")</f>
        <v/>
      </c>
      <c r="CB39" s="1899" t="str">
        <f t="shared" si="61"/>
        <v/>
      </c>
      <c r="CC39" s="1899" t="str">
        <f t="shared" si="62"/>
        <v/>
      </c>
      <c r="CD39" s="1899" t="str">
        <f t="shared" si="63"/>
        <v/>
      </c>
      <c r="CE39" s="1900"/>
      <c r="CF39" s="1900"/>
      <c r="CG39" s="1900"/>
      <c r="CH39" s="1900"/>
      <c r="CI39" s="1900"/>
      <c r="CJ39" s="1899" t="str">
        <f t="shared" si="64"/>
        <v/>
      </c>
      <c r="CK39" s="1899" t="str">
        <f t="shared" si="65"/>
        <v/>
      </c>
      <c r="CL39" s="1899" t="str">
        <f t="shared" si="66"/>
        <v/>
      </c>
      <c r="CM39" s="1899" t="str">
        <f t="shared" si="67"/>
        <v/>
      </c>
      <c r="CN39" s="1899" t="str">
        <f t="shared" si="68"/>
        <v/>
      </c>
      <c r="CO39" s="1899" t="str">
        <f t="shared" si="69"/>
        <v/>
      </c>
      <c r="CP39" s="1899" t="str">
        <f t="shared" si="70"/>
        <v/>
      </c>
      <c r="CQ39" s="1899" t="str">
        <f t="shared" si="71"/>
        <v/>
      </c>
      <c r="CR39" s="1899" t="str">
        <f t="shared" si="72"/>
        <v/>
      </c>
      <c r="CS39" s="1899" t="str">
        <f t="shared" si="73"/>
        <v/>
      </c>
      <c r="CT39" s="1899" t="str">
        <f t="shared" si="74"/>
        <v/>
      </c>
      <c r="CU39" s="1899" t="str">
        <f t="shared" si="75"/>
        <v/>
      </c>
      <c r="CV39" s="1899" t="str">
        <f t="shared" si="76"/>
        <v/>
      </c>
      <c r="CW39" s="1899" t="str">
        <f t="shared" si="77"/>
        <v/>
      </c>
      <c r="CX39" s="1899" t="str">
        <f t="shared" si="78"/>
        <v/>
      </c>
      <c r="DE39" s="1970"/>
      <c r="DF39" s="4005">
        <f>IF(B39&lt;&gt;(AS39),1,0)</f>
        <v>0</v>
      </c>
      <c r="DG39" s="3989">
        <f t="shared" si="79"/>
        <v>0</v>
      </c>
      <c r="DH39" s="3989">
        <f t="shared" si="80"/>
        <v>0</v>
      </c>
      <c r="DI39" s="3989">
        <f t="shared" si="81"/>
        <v>0</v>
      </c>
      <c r="DJ39" s="1900"/>
      <c r="DK39" s="1900"/>
      <c r="DL39" s="1900"/>
      <c r="DM39" s="1900"/>
      <c r="DN39" s="1900"/>
      <c r="DO39" s="3989">
        <f t="shared" si="82"/>
        <v>0</v>
      </c>
      <c r="DP39" s="3989">
        <f t="shared" si="83"/>
        <v>0</v>
      </c>
      <c r="DQ39" s="3989">
        <f t="shared" si="84"/>
        <v>0</v>
      </c>
      <c r="DR39" s="3989">
        <f t="shared" si="85"/>
        <v>0</v>
      </c>
      <c r="DS39" s="3989">
        <f t="shared" si="86"/>
        <v>0</v>
      </c>
      <c r="DT39" s="3989">
        <f t="shared" si="87"/>
        <v>0</v>
      </c>
      <c r="DU39" s="3989">
        <f t="shared" si="88"/>
        <v>0</v>
      </c>
      <c r="DV39" s="3989">
        <f t="shared" si="89"/>
        <v>0</v>
      </c>
      <c r="DW39" s="3989">
        <f t="shared" si="90"/>
        <v>0</v>
      </c>
      <c r="DX39" s="3989">
        <f t="shared" si="91"/>
        <v>0</v>
      </c>
      <c r="DY39" s="3989">
        <f t="shared" si="92"/>
        <v>0</v>
      </c>
      <c r="DZ39" s="3989">
        <f t="shared" si="93"/>
        <v>0</v>
      </c>
      <c r="EA39" s="3989">
        <f t="shared" si="94"/>
        <v>0</v>
      </c>
      <c r="EB39" s="3989">
        <f t="shared" si="95"/>
        <v>0</v>
      </c>
      <c r="EC39" s="3989">
        <f t="shared" si="96"/>
        <v>0</v>
      </c>
    </row>
    <row r="40" spans="1:133" x14ac:dyDescent="0.3">
      <c r="A40" s="4007" t="s">
        <v>1871</v>
      </c>
      <c r="B40" s="3991">
        <f t="shared" si="59"/>
        <v>0</v>
      </c>
      <c r="C40" s="345">
        <f t="shared" si="59"/>
        <v>0</v>
      </c>
      <c r="D40" s="4001"/>
      <c r="E40" s="3993"/>
      <c r="F40" s="3992"/>
      <c r="G40" s="3993"/>
      <c r="H40" s="3992"/>
      <c r="I40" s="3993"/>
      <c r="J40" s="3992"/>
      <c r="K40" s="3993"/>
      <c r="L40" s="3992"/>
      <c r="M40" s="3994"/>
      <c r="N40" s="3987"/>
      <c r="O40" s="3995"/>
      <c r="P40" s="3996"/>
      <c r="Q40" s="3995"/>
      <c r="R40" s="3996"/>
      <c r="S40" s="3995"/>
      <c r="T40" s="3996"/>
      <c r="U40" s="3995"/>
      <c r="V40" s="3996"/>
      <c r="W40" s="3995"/>
      <c r="X40" s="3996"/>
      <c r="Y40" s="3995"/>
      <c r="Z40" s="3996"/>
      <c r="AA40" s="3995"/>
      <c r="AB40" s="3996"/>
      <c r="AC40" s="3995"/>
      <c r="AD40" s="3996"/>
      <c r="AE40" s="3995"/>
      <c r="AF40" s="3996"/>
      <c r="AG40" s="3995"/>
      <c r="AH40" s="3996"/>
      <c r="AI40" s="3995"/>
      <c r="AJ40" s="3996"/>
      <c r="AK40" s="3995"/>
      <c r="AL40" s="3996"/>
      <c r="AM40" s="3995"/>
      <c r="AN40" s="3996"/>
      <c r="AO40" s="3995"/>
      <c r="AP40" s="3996"/>
      <c r="AQ40" s="3985"/>
      <c r="AR40" s="3987"/>
      <c r="AS40" s="3985"/>
      <c r="AT40" s="3986"/>
      <c r="AU40" s="3985"/>
      <c r="AV40" s="3987"/>
      <c r="AW40" s="3988"/>
      <c r="AX40" s="1898" t="str">
        <f t="shared" si="60"/>
        <v/>
      </c>
      <c r="CA40" s="1899" t="str">
        <f>IF(B40&lt;&gt;(AS40+AR40)," * La suma de las columnas "&amp;AR$10&amp;""&amp;" DEBE SER IGUAL a los Exámenes Procesados. ","")</f>
        <v/>
      </c>
      <c r="CB40" s="1899" t="str">
        <f t="shared" si="61"/>
        <v/>
      </c>
      <c r="CC40" s="1899" t="str">
        <f t="shared" si="62"/>
        <v/>
      </c>
      <c r="CD40" s="1899" t="str">
        <f t="shared" si="63"/>
        <v/>
      </c>
      <c r="CE40" s="1900"/>
      <c r="CF40" s="1900"/>
      <c r="CG40" s="1900"/>
      <c r="CH40" s="1900"/>
      <c r="CI40" s="1900"/>
      <c r="CJ40" s="1899" t="str">
        <f t="shared" si="64"/>
        <v/>
      </c>
      <c r="CK40" s="1899" t="str">
        <f t="shared" si="65"/>
        <v/>
      </c>
      <c r="CL40" s="1899" t="str">
        <f t="shared" si="66"/>
        <v/>
      </c>
      <c r="CM40" s="1899" t="str">
        <f t="shared" si="67"/>
        <v/>
      </c>
      <c r="CN40" s="1899" t="str">
        <f t="shared" si="68"/>
        <v/>
      </c>
      <c r="CO40" s="1899" t="str">
        <f t="shared" si="69"/>
        <v/>
      </c>
      <c r="CP40" s="1899" t="str">
        <f t="shared" si="70"/>
        <v/>
      </c>
      <c r="CQ40" s="1899" t="str">
        <f t="shared" si="71"/>
        <v/>
      </c>
      <c r="CR40" s="1899" t="str">
        <f t="shared" si="72"/>
        <v/>
      </c>
      <c r="CS40" s="1899" t="str">
        <f t="shared" si="73"/>
        <v/>
      </c>
      <c r="CT40" s="1899" t="str">
        <f t="shared" si="74"/>
        <v/>
      </c>
      <c r="CU40" s="1899" t="str">
        <f t="shared" si="75"/>
        <v/>
      </c>
      <c r="CV40" s="1899" t="str">
        <f t="shared" si="76"/>
        <v/>
      </c>
      <c r="CW40" s="1899" t="str">
        <f t="shared" si="77"/>
        <v/>
      </c>
      <c r="CX40" s="1899" t="str">
        <f t="shared" si="78"/>
        <v/>
      </c>
      <c r="DE40" s="1970"/>
      <c r="DF40" s="4005">
        <f>IF(B40&lt;&gt;(AS40+AR40),1,0)</f>
        <v>0</v>
      </c>
      <c r="DG40" s="3989">
        <f t="shared" si="79"/>
        <v>0</v>
      </c>
      <c r="DH40" s="3989">
        <f t="shared" si="80"/>
        <v>0</v>
      </c>
      <c r="DI40" s="3989">
        <f t="shared" si="81"/>
        <v>0</v>
      </c>
      <c r="DJ40" s="1900"/>
      <c r="DK40" s="1900"/>
      <c r="DL40" s="1900"/>
      <c r="DM40" s="1900"/>
      <c r="DN40" s="1900"/>
      <c r="DO40" s="3989">
        <f t="shared" si="82"/>
        <v>0</v>
      </c>
      <c r="DP40" s="3989">
        <f t="shared" si="83"/>
        <v>0</v>
      </c>
      <c r="DQ40" s="3989">
        <f t="shared" si="84"/>
        <v>0</v>
      </c>
      <c r="DR40" s="3989">
        <f t="shared" si="85"/>
        <v>0</v>
      </c>
      <c r="DS40" s="3989">
        <f t="shared" si="86"/>
        <v>0</v>
      </c>
      <c r="DT40" s="3989">
        <f t="shared" si="87"/>
        <v>0</v>
      </c>
      <c r="DU40" s="3989">
        <f t="shared" si="88"/>
        <v>0</v>
      </c>
      <c r="DV40" s="3989">
        <f t="shared" si="89"/>
        <v>0</v>
      </c>
      <c r="DW40" s="3989">
        <f t="shared" si="90"/>
        <v>0</v>
      </c>
      <c r="DX40" s="3989">
        <f t="shared" si="91"/>
        <v>0</v>
      </c>
      <c r="DY40" s="3989">
        <f t="shared" si="92"/>
        <v>0</v>
      </c>
      <c r="DZ40" s="3989">
        <f t="shared" si="93"/>
        <v>0</v>
      </c>
      <c r="EA40" s="3989">
        <f t="shared" si="94"/>
        <v>0</v>
      </c>
      <c r="EB40" s="3989">
        <f t="shared" si="95"/>
        <v>0</v>
      </c>
      <c r="EC40" s="3989">
        <f t="shared" si="96"/>
        <v>0</v>
      </c>
    </row>
    <row r="41" spans="1:133" x14ac:dyDescent="0.3">
      <c r="A41" s="4007" t="s">
        <v>1872</v>
      </c>
      <c r="B41" s="3991">
        <f t="shared" si="59"/>
        <v>0</v>
      </c>
      <c r="C41" s="345">
        <f t="shared" si="59"/>
        <v>0</v>
      </c>
      <c r="D41" s="4001"/>
      <c r="E41" s="3993"/>
      <c r="F41" s="3992"/>
      <c r="G41" s="3993"/>
      <c r="H41" s="3992"/>
      <c r="I41" s="3993"/>
      <c r="J41" s="3992"/>
      <c r="K41" s="3993"/>
      <c r="L41" s="3992"/>
      <c r="M41" s="3994"/>
      <c r="N41" s="3987"/>
      <c r="O41" s="3995"/>
      <c r="P41" s="3996"/>
      <c r="Q41" s="3995"/>
      <c r="R41" s="3996"/>
      <c r="S41" s="3995"/>
      <c r="T41" s="3996"/>
      <c r="U41" s="3995"/>
      <c r="V41" s="3996"/>
      <c r="W41" s="3995"/>
      <c r="X41" s="3996"/>
      <c r="Y41" s="3995"/>
      <c r="Z41" s="3996"/>
      <c r="AA41" s="3995"/>
      <c r="AB41" s="3996"/>
      <c r="AC41" s="3995"/>
      <c r="AD41" s="3996"/>
      <c r="AE41" s="3995"/>
      <c r="AF41" s="3996"/>
      <c r="AG41" s="3995"/>
      <c r="AH41" s="3996"/>
      <c r="AI41" s="3995"/>
      <c r="AJ41" s="3996"/>
      <c r="AK41" s="3995"/>
      <c r="AL41" s="3996"/>
      <c r="AM41" s="3995"/>
      <c r="AN41" s="3996"/>
      <c r="AO41" s="3995"/>
      <c r="AP41" s="3996"/>
      <c r="AQ41" s="3985"/>
      <c r="AR41" s="3984"/>
      <c r="AS41" s="3985"/>
      <c r="AT41" s="3986"/>
      <c r="AU41" s="3985"/>
      <c r="AV41" s="3987"/>
      <c r="AW41" s="3988"/>
      <c r="AX41" s="1898" t="str">
        <f t="shared" si="60"/>
        <v/>
      </c>
      <c r="CA41" s="1899" t="str">
        <f>IF(B41&lt;&gt;(AS41)," * La suma de las columnas "&amp;AR$10&amp;""&amp;" DEBE SER IGUAL a los Exámenes Procesados. ","")</f>
        <v/>
      </c>
      <c r="CB41" s="1899" t="str">
        <f t="shared" si="61"/>
        <v/>
      </c>
      <c r="CC41" s="1899" t="str">
        <f t="shared" si="62"/>
        <v/>
      </c>
      <c r="CD41" s="1899" t="str">
        <f t="shared" si="63"/>
        <v/>
      </c>
      <c r="CE41" s="1900"/>
      <c r="CF41" s="1900"/>
      <c r="CG41" s="1900"/>
      <c r="CH41" s="1900"/>
      <c r="CI41" s="1900"/>
      <c r="CJ41" s="1899" t="str">
        <f t="shared" si="64"/>
        <v/>
      </c>
      <c r="CK41" s="1899" t="str">
        <f t="shared" si="65"/>
        <v/>
      </c>
      <c r="CL41" s="1899" t="str">
        <f t="shared" si="66"/>
        <v/>
      </c>
      <c r="CM41" s="1899" t="str">
        <f t="shared" si="67"/>
        <v/>
      </c>
      <c r="CN41" s="1899" t="str">
        <f t="shared" si="68"/>
        <v/>
      </c>
      <c r="CO41" s="1899" t="str">
        <f t="shared" si="69"/>
        <v/>
      </c>
      <c r="CP41" s="1899" t="str">
        <f t="shared" si="70"/>
        <v/>
      </c>
      <c r="CQ41" s="1899" t="str">
        <f t="shared" si="71"/>
        <v/>
      </c>
      <c r="CR41" s="1899" t="str">
        <f t="shared" si="72"/>
        <v/>
      </c>
      <c r="CS41" s="1899" t="str">
        <f t="shared" si="73"/>
        <v/>
      </c>
      <c r="CT41" s="1899" t="str">
        <f t="shared" si="74"/>
        <v/>
      </c>
      <c r="CU41" s="1899" t="str">
        <f t="shared" si="75"/>
        <v/>
      </c>
      <c r="CV41" s="1899" t="str">
        <f t="shared" si="76"/>
        <v/>
      </c>
      <c r="CW41" s="1899" t="str">
        <f t="shared" si="77"/>
        <v/>
      </c>
      <c r="CX41" s="1899" t="str">
        <f t="shared" si="78"/>
        <v/>
      </c>
      <c r="DE41" s="1970"/>
      <c r="DF41" s="4005">
        <f>IF(B41&lt;&gt;(AS41),1,0)</f>
        <v>0</v>
      </c>
      <c r="DG41" s="3989">
        <f t="shared" si="79"/>
        <v>0</v>
      </c>
      <c r="DH41" s="3989">
        <f t="shared" si="80"/>
        <v>0</v>
      </c>
      <c r="DI41" s="3989">
        <f t="shared" si="81"/>
        <v>0</v>
      </c>
      <c r="DJ41" s="1900"/>
      <c r="DK41" s="1900"/>
      <c r="DL41" s="1900"/>
      <c r="DM41" s="1900"/>
      <c r="DN41" s="1900"/>
      <c r="DO41" s="3989">
        <f t="shared" si="82"/>
        <v>0</v>
      </c>
      <c r="DP41" s="3989">
        <f t="shared" si="83"/>
        <v>0</v>
      </c>
      <c r="DQ41" s="3989">
        <f t="shared" si="84"/>
        <v>0</v>
      </c>
      <c r="DR41" s="3989">
        <f t="shared" si="85"/>
        <v>0</v>
      </c>
      <c r="DS41" s="3989">
        <f t="shared" si="86"/>
        <v>0</v>
      </c>
      <c r="DT41" s="3989">
        <f t="shared" si="87"/>
        <v>0</v>
      </c>
      <c r="DU41" s="3989">
        <f t="shared" si="88"/>
        <v>0</v>
      </c>
      <c r="DV41" s="3989">
        <f t="shared" si="89"/>
        <v>0</v>
      </c>
      <c r="DW41" s="3989">
        <f t="shared" si="90"/>
        <v>0</v>
      </c>
      <c r="DX41" s="3989">
        <f t="shared" si="91"/>
        <v>0</v>
      </c>
      <c r="DY41" s="3989">
        <f t="shared" si="92"/>
        <v>0</v>
      </c>
      <c r="DZ41" s="3989">
        <f t="shared" si="93"/>
        <v>0</v>
      </c>
      <c r="EA41" s="3989">
        <f t="shared" si="94"/>
        <v>0</v>
      </c>
      <c r="EB41" s="3989">
        <f t="shared" si="95"/>
        <v>0</v>
      </c>
      <c r="EC41" s="3989">
        <f t="shared" si="96"/>
        <v>0</v>
      </c>
    </row>
    <row r="42" spans="1:133" x14ac:dyDescent="0.3">
      <c r="A42" s="4006" t="s">
        <v>1873</v>
      </c>
      <c r="B42" s="3991">
        <f t="shared" si="59"/>
        <v>0</v>
      </c>
      <c r="C42" s="345">
        <f t="shared" si="59"/>
        <v>0</v>
      </c>
      <c r="D42" s="4001"/>
      <c r="E42" s="3993"/>
      <c r="F42" s="3992"/>
      <c r="G42" s="3993"/>
      <c r="H42" s="3992"/>
      <c r="I42" s="3993"/>
      <c r="J42" s="3992"/>
      <c r="K42" s="3993"/>
      <c r="L42" s="3992"/>
      <c r="M42" s="3994"/>
      <c r="N42" s="3987"/>
      <c r="O42" s="3995"/>
      <c r="P42" s="3996"/>
      <c r="Q42" s="3995"/>
      <c r="R42" s="3996"/>
      <c r="S42" s="3995"/>
      <c r="T42" s="3996"/>
      <c r="U42" s="3995"/>
      <c r="V42" s="3996"/>
      <c r="W42" s="3995"/>
      <c r="X42" s="3996"/>
      <c r="Y42" s="3995"/>
      <c r="Z42" s="3996"/>
      <c r="AA42" s="3995"/>
      <c r="AB42" s="3996"/>
      <c r="AC42" s="3995"/>
      <c r="AD42" s="3996"/>
      <c r="AE42" s="3995"/>
      <c r="AF42" s="3996"/>
      <c r="AG42" s="3995"/>
      <c r="AH42" s="3996"/>
      <c r="AI42" s="3995"/>
      <c r="AJ42" s="3996"/>
      <c r="AK42" s="3995"/>
      <c r="AL42" s="3996"/>
      <c r="AM42" s="3995"/>
      <c r="AN42" s="3996"/>
      <c r="AO42" s="3995"/>
      <c r="AP42" s="3996"/>
      <c r="AQ42" s="3985"/>
      <c r="AR42" s="3984"/>
      <c r="AS42" s="3985"/>
      <c r="AT42" s="3986"/>
      <c r="AU42" s="3985"/>
      <c r="AV42" s="3987"/>
      <c r="AW42" s="3988"/>
      <c r="AX42" s="1898" t="str">
        <f t="shared" si="60"/>
        <v/>
      </c>
      <c r="CA42" s="1899" t="str">
        <f>IF(B42&lt;&gt;(AS42)," * La suma de las columnas "&amp;AR$10&amp;""&amp;" DEBE SER IGUAL a los Exámenes Procesados. ","")</f>
        <v/>
      </c>
      <c r="CB42" s="1899" t="str">
        <f t="shared" si="61"/>
        <v/>
      </c>
      <c r="CC42" s="1899" t="str">
        <f t="shared" si="62"/>
        <v/>
      </c>
      <c r="CD42" s="1899" t="str">
        <f t="shared" si="63"/>
        <v/>
      </c>
      <c r="CE42" s="1900"/>
      <c r="CF42" s="1900"/>
      <c r="CG42" s="1900"/>
      <c r="CH42" s="1900"/>
      <c r="CI42" s="1900"/>
      <c r="CJ42" s="1899" t="str">
        <f t="shared" si="64"/>
        <v/>
      </c>
      <c r="CK42" s="1899" t="str">
        <f t="shared" si="65"/>
        <v/>
      </c>
      <c r="CL42" s="1899" t="str">
        <f t="shared" si="66"/>
        <v/>
      </c>
      <c r="CM42" s="1899" t="str">
        <f t="shared" si="67"/>
        <v/>
      </c>
      <c r="CN42" s="1899" t="str">
        <f t="shared" si="68"/>
        <v/>
      </c>
      <c r="CO42" s="1899" t="str">
        <f t="shared" si="69"/>
        <v/>
      </c>
      <c r="CP42" s="1899" t="str">
        <f t="shared" si="70"/>
        <v/>
      </c>
      <c r="CQ42" s="1899" t="str">
        <f t="shared" si="71"/>
        <v/>
      </c>
      <c r="CR42" s="1899" t="str">
        <f t="shared" si="72"/>
        <v/>
      </c>
      <c r="CS42" s="1899" t="str">
        <f t="shared" si="73"/>
        <v/>
      </c>
      <c r="CT42" s="1899" t="str">
        <f t="shared" si="74"/>
        <v/>
      </c>
      <c r="CU42" s="1899" t="str">
        <f t="shared" si="75"/>
        <v/>
      </c>
      <c r="CV42" s="1899" t="str">
        <f t="shared" si="76"/>
        <v/>
      </c>
      <c r="CW42" s="1899" t="str">
        <f t="shared" si="77"/>
        <v/>
      </c>
      <c r="CX42" s="1899" t="str">
        <f t="shared" si="78"/>
        <v/>
      </c>
      <c r="DE42" s="1970"/>
      <c r="DF42" s="4005">
        <f>IF(B42&lt;&gt;(AS42),1,0)</f>
        <v>0</v>
      </c>
      <c r="DG42" s="3989">
        <f t="shared" si="79"/>
        <v>0</v>
      </c>
      <c r="DH42" s="3989">
        <f t="shared" si="80"/>
        <v>0</v>
      </c>
      <c r="DI42" s="3989">
        <f t="shared" si="81"/>
        <v>0</v>
      </c>
      <c r="DJ42" s="1900"/>
      <c r="DK42" s="1900"/>
      <c r="DL42" s="1900"/>
      <c r="DM42" s="1900"/>
      <c r="DN42" s="1900"/>
      <c r="DO42" s="3989">
        <f t="shared" si="82"/>
        <v>0</v>
      </c>
      <c r="DP42" s="3989">
        <f t="shared" si="83"/>
        <v>0</v>
      </c>
      <c r="DQ42" s="3989">
        <f t="shared" si="84"/>
        <v>0</v>
      </c>
      <c r="DR42" s="3989">
        <f t="shared" si="85"/>
        <v>0</v>
      </c>
      <c r="DS42" s="3989">
        <f t="shared" si="86"/>
        <v>0</v>
      </c>
      <c r="DT42" s="3989">
        <f t="shared" si="87"/>
        <v>0</v>
      </c>
      <c r="DU42" s="3989">
        <f t="shared" si="88"/>
        <v>0</v>
      </c>
      <c r="DV42" s="3989">
        <f t="shared" si="89"/>
        <v>0</v>
      </c>
      <c r="DW42" s="3989">
        <f t="shared" si="90"/>
        <v>0</v>
      </c>
      <c r="DX42" s="3989">
        <f t="shared" si="91"/>
        <v>0</v>
      </c>
      <c r="DY42" s="3989">
        <f t="shared" si="92"/>
        <v>0</v>
      </c>
      <c r="DZ42" s="3989">
        <f t="shared" si="93"/>
        <v>0</v>
      </c>
      <c r="EA42" s="3989">
        <f t="shared" si="94"/>
        <v>0</v>
      </c>
      <c r="EB42" s="3989">
        <f t="shared" si="95"/>
        <v>0</v>
      </c>
      <c r="EC42" s="3989">
        <f t="shared" si="96"/>
        <v>0</v>
      </c>
    </row>
    <row r="43" spans="1:133" x14ac:dyDescent="0.3">
      <c r="A43" s="4006" t="s">
        <v>1874</v>
      </c>
      <c r="B43" s="3991">
        <f>+D43+F43+H43+J43+L43+N43+P43+R43+T43+V43+X43+Z43+AB43+AD43+AF43+AH43+AJ43+AL43+AN43+AP43</f>
        <v>0</v>
      </c>
      <c r="C43" s="345">
        <f>+E43+G43+I43+K43+M43+O43+Q43+S43+U43+W43+Y43+AA43+AC43+AE43+AG43+AI43+AK43+AM43+AO43+AQ43</f>
        <v>0</v>
      </c>
      <c r="D43" s="3987"/>
      <c r="E43" s="3995"/>
      <c r="F43" s="3996"/>
      <c r="G43" s="3995"/>
      <c r="H43" s="3996"/>
      <c r="I43" s="3988"/>
      <c r="J43" s="3987"/>
      <c r="K43" s="3987"/>
      <c r="L43" s="3996"/>
      <c r="M43" s="3988"/>
      <c r="N43" s="3987"/>
      <c r="O43" s="3995"/>
      <c r="P43" s="3996"/>
      <c r="Q43" s="3995"/>
      <c r="R43" s="3996"/>
      <c r="S43" s="3995"/>
      <c r="T43" s="3996"/>
      <c r="U43" s="3995"/>
      <c r="V43" s="3996"/>
      <c r="W43" s="3995"/>
      <c r="X43" s="3996"/>
      <c r="Y43" s="3995"/>
      <c r="Z43" s="3996"/>
      <c r="AA43" s="3995"/>
      <c r="AB43" s="3996"/>
      <c r="AC43" s="3995"/>
      <c r="AD43" s="3996"/>
      <c r="AE43" s="3995"/>
      <c r="AF43" s="3996"/>
      <c r="AG43" s="3995"/>
      <c r="AH43" s="3996"/>
      <c r="AI43" s="3995"/>
      <c r="AJ43" s="3996"/>
      <c r="AK43" s="3995"/>
      <c r="AL43" s="3996"/>
      <c r="AM43" s="3995"/>
      <c r="AN43" s="3996"/>
      <c r="AO43" s="3995"/>
      <c r="AP43" s="3996"/>
      <c r="AQ43" s="3985"/>
      <c r="AR43" s="3984"/>
      <c r="AS43" s="3985"/>
      <c r="AT43" s="3986"/>
      <c r="AU43" s="3985"/>
      <c r="AV43" s="3987"/>
      <c r="AW43" s="3988"/>
      <c r="AX43" s="1898" t="str">
        <f>$CA43&amp;CB43&amp;CC43&amp;$CD43&amp;CJ43&amp;CE43&amp;CF43&amp;CG43&amp;CH43&amp;CI43&amp;CK43&amp;CL43&amp;CM43&amp;CN43&amp;CO43&amp;CP43&amp;CQ43&amp;CR43&amp;CS43&amp;CT43&amp;CU43&amp;CV43&amp;CW43&amp;CX43</f>
        <v/>
      </c>
      <c r="CA43" s="1899" t="str">
        <f>IF(B43&lt;&gt;(AS43)," * La suma de las columnas "&amp;AR$10&amp;""&amp;" DEBE SER IGUAL a los Exámenes Procesados. ","")</f>
        <v/>
      </c>
      <c r="CB43" s="1899" t="str">
        <f t="shared" si="61"/>
        <v/>
      </c>
      <c r="CC43" s="1899" t="str">
        <f t="shared" si="62"/>
        <v/>
      </c>
      <c r="CD43" s="1899" t="str">
        <f t="shared" si="63"/>
        <v/>
      </c>
      <c r="CE43" s="1899" t="str">
        <f>IF(D43&lt;E43,CONCATENATE("* El total de Procesados debe ser mayor o igual al total de Reactivos en el grupo de edad ",$D$11),"")</f>
        <v/>
      </c>
      <c r="CF43" s="1899" t="str">
        <f>IF(F43&lt;G43,CONCATENATE("* El total de Procesados debe ser mayor o igual al total de Reactivos en el grupo de edad ",$F$11),"")</f>
        <v/>
      </c>
      <c r="CG43" s="1899" t="str">
        <f>IF(H43&lt;I43,CONCATENATE("* El total de Procesados debe ser mayor o igual al total de Reactivos en el grupo de edad ",$H$11),"")</f>
        <v/>
      </c>
      <c r="CH43" s="1899" t="str">
        <f>IF(J43&lt;K43,CONCATENATE("* El total de Procesados debe ser mayor o igual al total de Reactivos en el grupo de edad ",$J$11),"")</f>
        <v/>
      </c>
      <c r="CI43" s="1899" t="str">
        <f>IF(L43&lt;M43,CONCATENATE("* El total de Procesados debe ser mayor o igual al total de Reactivos en el grupo de edad ",$L$11),"")</f>
        <v/>
      </c>
      <c r="CJ43" s="1899" t="str">
        <f t="shared" si="64"/>
        <v/>
      </c>
      <c r="CK43" s="1899" t="str">
        <f t="shared" si="65"/>
        <v/>
      </c>
      <c r="CL43" s="1899" t="str">
        <f t="shared" si="66"/>
        <v/>
      </c>
      <c r="CM43" s="1899" t="str">
        <f t="shared" si="67"/>
        <v/>
      </c>
      <c r="CN43" s="1899" t="str">
        <f t="shared" si="68"/>
        <v/>
      </c>
      <c r="CO43" s="1899" t="str">
        <f t="shared" si="69"/>
        <v/>
      </c>
      <c r="CP43" s="1899" t="str">
        <f t="shared" si="70"/>
        <v/>
      </c>
      <c r="CQ43" s="1899" t="str">
        <f t="shared" si="71"/>
        <v/>
      </c>
      <c r="CR43" s="1899" t="str">
        <f t="shared" si="72"/>
        <v/>
      </c>
      <c r="CS43" s="1899" t="str">
        <f t="shared" si="73"/>
        <v/>
      </c>
      <c r="CT43" s="1899" t="str">
        <f t="shared" si="74"/>
        <v/>
      </c>
      <c r="CU43" s="1899" t="str">
        <f t="shared" si="75"/>
        <v/>
      </c>
      <c r="CV43" s="1899" t="str">
        <f t="shared" si="76"/>
        <v/>
      </c>
      <c r="CW43" s="1899" t="str">
        <f t="shared" si="77"/>
        <v/>
      </c>
      <c r="CX43" s="1899" t="str">
        <f t="shared" si="78"/>
        <v/>
      </c>
      <c r="DE43" s="1970"/>
      <c r="DF43" s="4005">
        <f>IF(B43&lt;&gt;(AS43),1,0)</f>
        <v>0</v>
      </c>
      <c r="DG43" s="3989">
        <f t="shared" si="79"/>
        <v>0</v>
      </c>
      <c r="DH43" s="3989">
        <f t="shared" si="80"/>
        <v>0</v>
      </c>
      <c r="DI43" s="3989">
        <f t="shared" si="81"/>
        <v>0</v>
      </c>
      <c r="DJ43" s="3989">
        <f>IF(D43&lt;E43,1,0)</f>
        <v>0</v>
      </c>
      <c r="DK43" s="3989">
        <f>IF(F43&lt;G43,1,0)</f>
        <v>0</v>
      </c>
      <c r="DL43" s="3989">
        <f>IF(H43&lt;I43,1,0)</f>
        <v>0</v>
      </c>
      <c r="DM43" s="3989">
        <f>IF(J43&lt;K43,1,0)</f>
        <v>0</v>
      </c>
      <c r="DN43" s="3989">
        <f>IF(L43&lt;M43,1,0)</f>
        <v>0</v>
      </c>
      <c r="DO43" s="3989">
        <f t="shared" si="82"/>
        <v>0</v>
      </c>
      <c r="DP43" s="3989">
        <f t="shared" si="83"/>
        <v>0</v>
      </c>
      <c r="DQ43" s="3989">
        <f t="shared" si="84"/>
        <v>0</v>
      </c>
      <c r="DR43" s="3989">
        <f t="shared" si="85"/>
        <v>0</v>
      </c>
      <c r="DS43" s="3989">
        <f t="shared" si="86"/>
        <v>0</v>
      </c>
      <c r="DT43" s="3989">
        <f t="shared" si="87"/>
        <v>0</v>
      </c>
      <c r="DU43" s="3989">
        <f t="shared" si="88"/>
        <v>0</v>
      </c>
      <c r="DV43" s="3989">
        <f t="shared" si="89"/>
        <v>0</v>
      </c>
      <c r="DW43" s="3989">
        <f t="shared" si="90"/>
        <v>0</v>
      </c>
      <c r="DX43" s="3989">
        <f t="shared" si="91"/>
        <v>0</v>
      </c>
      <c r="DY43" s="3989">
        <f t="shared" si="92"/>
        <v>0</v>
      </c>
      <c r="DZ43" s="3989">
        <f t="shared" si="93"/>
        <v>0</v>
      </c>
      <c r="EA43" s="3989">
        <f t="shared" si="94"/>
        <v>0</v>
      </c>
      <c r="EB43" s="3989">
        <f t="shared" si="95"/>
        <v>0</v>
      </c>
      <c r="EC43" s="3989">
        <f t="shared" si="96"/>
        <v>0</v>
      </c>
    </row>
    <row r="44" spans="1:133" ht="20.399999999999999" x14ac:dyDescent="0.3">
      <c r="A44" s="4007" t="s">
        <v>1875</v>
      </c>
      <c r="B44" s="3991">
        <f>+D44+F44+H44</f>
        <v>0</v>
      </c>
      <c r="C44" s="345">
        <f>+E44+G44+I44</f>
        <v>0</v>
      </c>
      <c r="D44" s="3987"/>
      <c r="E44" s="3995"/>
      <c r="F44" s="3996"/>
      <c r="G44" s="3995"/>
      <c r="H44" s="3996"/>
      <c r="I44" s="3988"/>
      <c r="J44" s="3997"/>
      <c r="K44" s="3998"/>
      <c r="L44" s="3997"/>
      <c r="M44" s="3998"/>
      <c r="N44" s="3997"/>
      <c r="O44" s="3998"/>
      <c r="P44" s="3997"/>
      <c r="Q44" s="3998"/>
      <c r="R44" s="3997"/>
      <c r="S44" s="3998"/>
      <c r="T44" s="3997"/>
      <c r="U44" s="3998"/>
      <c r="V44" s="3997"/>
      <c r="W44" s="3998"/>
      <c r="X44" s="3997"/>
      <c r="Y44" s="3998"/>
      <c r="Z44" s="3997"/>
      <c r="AA44" s="3998"/>
      <c r="AB44" s="3997"/>
      <c r="AC44" s="3998"/>
      <c r="AD44" s="3997"/>
      <c r="AE44" s="3998"/>
      <c r="AF44" s="3997"/>
      <c r="AG44" s="3998"/>
      <c r="AH44" s="3997"/>
      <c r="AI44" s="3998"/>
      <c r="AJ44" s="3997"/>
      <c r="AK44" s="3998"/>
      <c r="AL44" s="3997"/>
      <c r="AM44" s="3998"/>
      <c r="AN44" s="3997"/>
      <c r="AO44" s="3998"/>
      <c r="AP44" s="3997"/>
      <c r="AQ44" s="3999"/>
      <c r="AR44" s="3987"/>
      <c r="AS44" s="3985"/>
      <c r="AT44" s="3986"/>
      <c r="AU44" s="3985"/>
      <c r="AV44" s="3987"/>
      <c r="AW44" s="3988"/>
      <c r="AX44" s="1898" t="str">
        <f>$CA44&amp;CB44&amp;CC44&amp;$CD44&amp;CE44&amp;CF44&amp;CG44</f>
        <v/>
      </c>
      <c r="CA44" s="1899" t="str">
        <f t="shared" ref="CA44:CA51" si="97">IF(B44&lt;&gt;(AS44+AR44)," * La suma de las columnas "&amp;AR$10&amp;""&amp;" DEBE SER IGUAL a los Exámenes Procesados. ","")</f>
        <v/>
      </c>
      <c r="CB44" s="1899" t="str">
        <f t="shared" si="61"/>
        <v/>
      </c>
      <c r="CC44" s="1899" t="str">
        <f t="shared" si="62"/>
        <v/>
      </c>
      <c r="CD44" s="1899" t="str">
        <f t="shared" si="63"/>
        <v/>
      </c>
      <c r="CE44" s="1899" t="str">
        <f>IF(D44&lt;E44,CONCATENATE("* El total de Procesados debe ser mayor o igual al total de Reactivos en el grupo de edad ",$D$11),"")</f>
        <v/>
      </c>
      <c r="CF44" s="1899" t="str">
        <f>IF(F44&lt;G44,CONCATENATE("* El total de Procesados debe ser mayor o igual al total de Reactivos en el grupo de edad ",$F$11),"")</f>
        <v/>
      </c>
      <c r="CG44" s="1899" t="str">
        <f>IF(H44&lt;I44,CONCATENATE("* El total de Procesados debe ser mayor o igual al total de Reactivos en el grupo de edad ",$H$11),"")</f>
        <v/>
      </c>
      <c r="CH44" s="1902"/>
      <c r="CI44" s="1902"/>
      <c r="CJ44" s="4000"/>
      <c r="CK44" s="1902"/>
      <c r="CL44" s="1902"/>
      <c r="CM44" s="1902"/>
      <c r="CN44" s="1902"/>
      <c r="CO44" s="1902"/>
      <c r="CP44" s="1902"/>
      <c r="CQ44" s="1902"/>
      <c r="CR44" s="1902"/>
      <c r="CS44" s="1902"/>
      <c r="CT44" s="1902"/>
      <c r="CU44" s="1902"/>
      <c r="CV44" s="1902"/>
      <c r="CW44" s="1902"/>
      <c r="CX44" s="1902"/>
      <c r="DE44" s="1970"/>
      <c r="DF44" s="4005">
        <f t="shared" ref="DF44:DF51" si="98">IF(B44&lt;&gt;(AS44+AR44),1,0)</f>
        <v>0</v>
      </c>
      <c r="DG44" s="3989">
        <f t="shared" si="79"/>
        <v>0</v>
      </c>
      <c r="DH44" s="3989">
        <f t="shared" si="80"/>
        <v>0</v>
      </c>
      <c r="DI44" s="3989">
        <f t="shared" si="81"/>
        <v>0</v>
      </c>
      <c r="DJ44" s="3989">
        <f>IF(D44&lt;E44,1,0)</f>
        <v>0</v>
      </c>
      <c r="DK44" s="3989">
        <f>IF(F44&lt;G44,1,0)</f>
        <v>0</v>
      </c>
      <c r="DL44" s="3989">
        <f>IF(H44&lt;I44,1,0)</f>
        <v>0</v>
      </c>
      <c r="DM44" s="1902"/>
      <c r="DN44" s="1902"/>
      <c r="DO44" s="1900"/>
      <c r="DP44" s="1900"/>
      <c r="DQ44" s="1900"/>
      <c r="DR44" s="1900"/>
      <c r="DS44" s="1900"/>
      <c r="DT44" s="1900"/>
      <c r="DU44" s="1900"/>
      <c r="DV44" s="1900"/>
      <c r="DW44" s="1900"/>
      <c r="DX44" s="1900"/>
      <c r="DY44" s="1900"/>
      <c r="DZ44" s="1900"/>
      <c r="EA44" s="1900"/>
      <c r="EB44" s="1900"/>
      <c r="EC44" s="1900"/>
    </row>
    <row r="45" spans="1:133" x14ac:dyDescent="0.3">
      <c r="A45" s="4007" t="s">
        <v>1876</v>
      </c>
      <c r="B45" s="3991">
        <f>+P45+R45+T45+V45+X45+Z45+AB45+AD45+AF45+AH45+AJ45+AL45+AN45+AP45</f>
        <v>0</v>
      </c>
      <c r="C45" s="345">
        <f>+Q45+S45+U45+W45+Y45+AA45+AC45+AE45+AG45+AI45+AK45+AM45+AO45+AQ45</f>
        <v>0</v>
      </c>
      <c r="D45" s="4001"/>
      <c r="E45" s="3993"/>
      <c r="F45" s="3992"/>
      <c r="G45" s="3993"/>
      <c r="H45" s="3992"/>
      <c r="I45" s="3993"/>
      <c r="J45" s="3992"/>
      <c r="K45" s="3993"/>
      <c r="L45" s="3992"/>
      <c r="M45" s="3994"/>
      <c r="N45" s="4001"/>
      <c r="O45" s="3993"/>
      <c r="P45" s="3996"/>
      <c r="Q45" s="3995"/>
      <c r="R45" s="3996"/>
      <c r="S45" s="3995"/>
      <c r="T45" s="3996"/>
      <c r="U45" s="3995"/>
      <c r="V45" s="3996"/>
      <c r="W45" s="3995"/>
      <c r="X45" s="3996"/>
      <c r="Y45" s="3995"/>
      <c r="Z45" s="3996"/>
      <c r="AA45" s="3995"/>
      <c r="AB45" s="3996"/>
      <c r="AC45" s="3995"/>
      <c r="AD45" s="3996"/>
      <c r="AE45" s="3995"/>
      <c r="AF45" s="3996"/>
      <c r="AG45" s="3995"/>
      <c r="AH45" s="3996"/>
      <c r="AI45" s="3995"/>
      <c r="AJ45" s="3996"/>
      <c r="AK45" s="3995"/>
      <c r="AL45" s="3996"/>
      <c r="AM45" s="3995"/>
      <c r="AN45" s="3996"/>
      <c r="AO45" s="3995"/>
      <c r="AP45" s="3996"/>
      <c r="AQ45" s="3985"/>
      <c r="AR45" s="3987"/>
      <c r="AS45" s="3985"/>
      <c r="AT45" s="3986"/>
      <c r="AU45" s="3985"/>
      <c r="AV45" s="3987"/>
      <c r="AW45" s="3988"/>
      <c r="AX45" s="1898" t="str">
        <f>$CA45&amp;CB45&amp;CC45&amp;$CD45&amp;CK45&amp;CL45&amp;CM45&amp;CN45&amp;CO45&amp;CP45&amp;CQ45&amp;CR45&amp;CS45&amp;CT45&amp;CU45&amp;CV45&amp;CW45&amp;CX45</f>
        <v/>
      </c>
      <c r="CA45" s="1899" t="str">
        <f t="shared" si="97"/>
        <v/>
      </c>
      <c r="CB45" s="1899" t="str">
        <f t="shared" si="61"/>
        <v/>
      </c>
      <c r="CC45" s="1899" t="str">
        <f t="shared" si="62"/>
        <v/>
      </c>
      <c r="CD45" s="1899" t="str">
        <f t="shared" si="63"/>
        <v/>
      </c>
      <c r="CE45" s="4000"/>
      <c r="CF45" s="4000"/>
      <c r="CG45" s="1902"/>
      <c r="CH45" s="1902"/>
      <c r="CI45" s="1902"/>
      <c r="CJ45" s="4000"/>
      <c r="CK45" s="1899" t="str">
        <f t="shared" ref="CK45:CK51" si="99">IF(P45&lt;Q45,CONCATENATE("* El total de Procesados debe ser mayor o igual al total de Reactivos en el grupo de edad ",$P$11),"")</f>
        <v/>
      </c>
      <c r="CL45" s="1899" t="str">
        <f t="shared" ref="CL45:CL51" si="100">IF(R45&lt;S45,CONCATENATE("* El total de Procesados debe ser mayor o igual al total de Reactivos en el grupo de edad ",$R$11),"")</f>
        <v/>
      </c>
      <c r="CM45" s="1899" t="str">
        <f t="shared" ref="CM45:CM51" si="101">IF($T45&lt;$U45,CONCATENATE("* El total de Procesados debe ser mayor o igual al total de Reactivos en el grupo de edad ",$T$11),"")</f>
        <v/>
      </c>
      <c r="CN45" s="1899" t="str">
        <f t="shared" ref="CN45:CN51" si="102">IF(V45&lt;W45,CONCATENATE("* El total de Procesados debe ser mayor o igual al total de Reactivos en el grupo de edad ",$V$11),"")</f>
        <v/>
      </c>
      <c r="CO45" s="1899" t="str">
        <f t="shared" ref="CO45:CO51" si="103">IF(X45&lt;Y45,CONCATENATE("* El total de Procesados debe ser mayor o igual al total de Reactivos en el grupo de edad ",$X$11),"")</f>
        <v/>
      </c>
      <c r="CP45" s="1899" t="str">
        <f t="shared" ref="CP45:CP51" si="104">IF(Z45&lt;AA45,CONCATENATE("* El total de Procesados debe ser mayor o igual al total de Reactivos en el grupo de edad ",$Z$11),"")</f>
        <v/>
      </c>
      <c r="CQ45" s="1899" t="str">
        <f t="shared" ref="CQ45:CQ51" si="105">IF(AB45&lt;AC45,CONCATENATE("* El total de Procesados debe ser mayor o igual al total de Reactivos en el grupo de edad ",$AB$11),"")</f>
        <v/>
      </c>
      <c r="CR45" s="1899" t="str">
        <f t="shared" ref="CR45:CR51" si="106">IF(AD45&lt;AE45,CONCATENATE("* El total de Procesados debe ser mayor o igual al total de Reactivos en el grupo de edad ",$AD$11),"")</f>
        <v/>
      </c>
      <c r="CS45" s="1899" t="str">
        <f t="shared" ref="CS45:CS51" si="107">IF(AF45&lt;AG45,CONCATENATE("* El total de Procesados debe ser mayor o igual al total de Reactivos en el grupo de edad ",$AF$11),"")</f>
        <v/>
      </c>
      <c r="CT45" s="1899" t="str">
        <f t="shared" ref="CT45:CT51" si="108">IF(AH45&lt;AI45,CONCATENATE("* El total de Procesados debe ser mayor o igual al total de Reactivos en el grupo de edad ",$AH$11),"")</f>
        <v/>
      </c>
      <c r="CU45" s="1899" t="str">
        <f>IF(AJ45&lt;AK45,CONCATENATE("* El total de Procesados debe ser mayor o igual al total de Reactivos en el grupo de edad ",$AJ$11),"")</f>
        <v/>
      </c>
      <c r="CV45" s="1899" t="str">
        <f>IF(AL45&lt;AM45,CONCATENATE("* El total de Procesados debe ser mayor o igual al total de Reactivos en el grupo de edad ",$AL$11),"")</f>
        <v/>
      </c>
      <c r="CW45" s="1899" t="str">
        <f>IF(AN45&lt;AO45,CONCATENATE("* El total de Procesados debe ser mayor o igual al total de Reactivos en el grupo de edad ",$AN$11),"")</f>
        <v/>
      </c>
      <c r="CX45" s="1899" t="str">
        <f>IF(AP45&lt;AQ45,CONCATENATE("* El total de Procesados debe ser mayor o igual al total de Reactivos en el grupo de edad ",$AP$11),"")</f>
        <v/>
      </c>
      <c r="DE45" s="1970"/>
      <c r="DF45" s="4005">
        <f t="shared" si="98"/>
        <v>0</v>
      </c>
      <c r="DG45" s="3989">
        <f t="shared" si="79"/>
        <v>0</v>
      </c>
      <c r="DH45" s="3989">
        <f t="shared" si="80"/>
        <v>0</v>
      </c>
      <c r="DI45" s="3989">
        <f t="shared" si="81"/>
        <v>0</v>
      </c>
      <c r="DJ45" s="1902"/>
      <c r="DK45" s="1902"/>
      <c r="DL45" s="1902"/>
      <c r="DM45" s="1902"/>
      <c r="DN45" s="1902"/>
      <c r="DO45" s="1900"/>
      <c r="DP45" s="3989">
        <f t="shared" ref="DP45:DP51" si="109">IF(P45&lt;Q45,1,0)</f>
        <v>0</v>
      </c>
      <c r="DQ45" s="3989">
        <f t="shared" ref="DQ45:DQ51" si="110">IF(R45&lt;S45,1,0)</f>
        <v>0</v>
      </c>
      <c r="DR45" s="3989">
        <f t="shared" ref="DR45:DR51" si="111">IF($T45&lt;$U45,1,0)</f>
        <v>0</v>
      </c>
      <c r="DS45" s="3989">
        <f t="shared" ref="DS45:DS51" si="112">IF(V45&lt;W45,1,0)</f>
        <v>0</v>
      </c>
      <c r="DT45" s="3989">
        <f t="shared" ref="DT45:DT51" si="113">IF(X45&lt;Y45,1,0)</f>
        <v>0</v>
      </c>
      <c r="DU45" s="3989">
        <f t="shared" ref="DU45:DU51" si="114">IF(Z45&lt;AA45,1,0)</f>
        <v>0</v>
      </c>
      <c r="DV45" s="3989">
        <f t="shared" ref="DV45:DV51" si="115">IF(AB45&lt;AC45,1,0)</f>
        <v>0</v>
      </c>
      <c r="DW45" s="3989">
        <f t="shared" ref="DW45:DW51" si="116">IF(AD45&lt;AE45,1,0)</f>
        <v>0</v>
      </c>
      <c r="DX45" s="3989">
        <f t="shared" ref="DX45:DX51" si="117">IF(AF45&lt;AG45,1,0)</f>
        <v>0</v>
      </c>
      <c r="DY45" s="3989">
        <f t="shared" ref="DY45:DY51" si="118">IF(AH45&lt;AI45,1,0)</f>
        <v>0</v>
      </c>
      <c r="DZ45" s="3989">
        <f>IF(AJ45&lt;AK45,1,0)</f>
        <v>0</v>
      </c>
      <c r="EA45" s="3989">
        <f>IF(AL45&lt;AM45,1,0)</f>
        <v>0</v>
      </c>
      <c r="EB45" s="3989">
        <f>IF(AN45&lt;AO45,1,0)</f>
        <v>0</v>
      </c>
      <c r="EC45" s="3989">
        <f>IF(AP45&lt;AQ45,1,0)</f>
        <v>0</v>
      </c>
    </row>
    <row r="46" spans="1:133" x14ac:dyDescent="0.3">
      <c r="A46" s="4006" t="s">
        <v>1877</v>
      </c>
      <c r="B46" s="3991">
        <f>+N46+P46+R46+T46+V46+X46+Z46+AB46+AD46+AF46+AH46+AJ46+AL46+AN46+AP46</f>
        <v>0</v>
      </c>
      <c r="C46" s="345">
        <f>+O46+Q46+S46+U46+W46+Y46+AA46+AC46+AE46+AG46+AI46+AK46+AM46+AO46+AQ46</f>
        <v>0</v>
      </c>
      <c r="D46" s="3984"/>
      <c r="E46" s="3998"/>
      <c r="F46" s="3997"/>
      <c r="G46" s="3998"/>
      <c r="H46" s="3997"/>
      <c r="I46" s="4002"/>
      <c r="J46" s="3984"/>
      <c r="K46" s="3984"/>
      <c r="L46" s="3997"/>
      <c r="M46" s="4002"/>
      <c r="N46" s="3987"/>
      <c r="O46" s="3995"/>
      <c r="P46" s="3996"/>
      <c r="Q46" s="3995"/>
      <c r="R46" s="3996"/>
      <c r="S46" s="3995"/>
      <c r="T46" s="3996"/>
      <c r="U46" s="3995"/>
      <c r="V46" s="3996"/>
      <c r="W46" s="3995"/>
      <c r="X46" s="3996"/>
      <c r="Y46" s="3995"/>
      <c r="Z46" s="3996"/>
      <c r="AA46" s="3995"/>
      <c r="AB46" s="3996"/>
      <c r="AC46" s="3995"/>
      <c r="AD46" s="3996"/>
      <c r="AE46" s="3995"/>
      <c r="AF46" s="3996"/>
      <c r="AG46" s="3995"/>
      <c r="AH46" s="3996"/>
      <c r="AI46" s="3995"/>
      <c r="AJ46" s="3996"/>
      <c r="AK46" s="3995"/>
      <c r="AL46" s="3996"/>
      <c r="AM46" s="3995"/>
      <c r="AN46" s="3996"/>
      <c r="AO46" s="3995"/>
      <c r="AP46" s="3996"/>
      <c r="AQ46" s="3985"/>
      <c r="AR46" s="3987"/>
      <c r="AS46" s="3985"/>
      <c r="AT46" s="3986"/>
      <c r="AU46" s="3985"/>
      <c r="AV46" s="3987"/>
      <c r="AW46" s="3988"/>
      <c r="AX46" s="1898" t="str">
        <f>$CA46&amp;CB46&amp;CC46&amp;$CD46&amp;CJ46&amp;CK46&amp;CL46&amp;CM46&amp;CN46&amp;CO46&amp;CP46&amp;CQ46&amp;CR46&amp;CS46&amp;CT46&amp;CU46&amp;CV46&amp;CW46&amp;CX46</f>
        <v/>
      </c>
      <c r="CA46" s="1899" t="str">
        <f t="shared" si="97"/>
        <v/>
      </c>
      <c r="CB46" s="1899" t="str">
        <f t="shared" si="61"/>
        <v/>
      </c>
      <c r="CC46" s="1899" t="str">
        <f t="shared" si="62"/>
        <v/>
      </c>
      <c r="CD46" s="1899" t="str">
        <f t="shared" si="63"/>
        <v/>
      </c>
      <c r="CE46" s="4000"/>
      <c r="CF46" s="4000"/>
      <c r="CG46" s="1902"/>
      <c r="CH46" s="1902"/>
      <c r="CI46" s="1902"/>
      <c r="CJ46" s="1899" t="str">
        <f>IF(N46&lt;O46,CONCATENATE("* El total de Procesados debe ser mayor o igual al total de Reactivos en el grupo de edad ",$N$11),"")</f>
        <v/>
      </c>
      <c r="CK46" s="1899" t="str">
        <f t="shared" si="99"/>
        <v/>
      </c>
      <c r="CL46" s="1899" t="str">
        <f t="shared" si="100"/>
        <v/>
      </c>
      <c r="CM46" s="1899" t="str">
        <f t="shared" si="101"/>
        <v/>
      </c>
      <c r="CN46" s="1899" t="str">
        <f t="shared" si="102"/>
        <v/>
      </c>
      <c r="CO46" s="1899" t="str">
        <f t="shared" si="103"/>
        <v/>
      </c>
      <c r="CP46" s="1899" t="str">
        <f t="shared" si="104"/>
        <v/>
      </c>
      <c r="CQ46" s="1899" t="str">
        <f t="shared" si="105"/>
        <v/>
      </c>
      <c r="CR46" s="1899" t="str">
        <f t="shared" si="106"/>
        <v/>
      </c>
      <c r="CS46" s="1899" t="str">
        <f t="shared" si="107"/>
        <v/>
      </c>
      <c r="CT46" s="1899" t="str">
        <f t="shared" si="108"/>
        <v/>
      </c>
      <c r="CU46" s="1899" t="str">
        <f>IF(AJ46&lt;AK46,CONCATENATE("* El total de Procesados debe ser mayor o igual al total de Reactivos en el grupo de edad ",$AJ$11),"")</f>
        <v/>
      </c>
      <c r="CV46" s="1899" t="str">
        <f>IF(AL46&lt;AM46,CONCATENATE("* El total de Procesados debe ser mayor o igual al total de Reactivos en el grupo de edad ",$AL$11),"")</f>
        <v/>
      </c>
      <c r="CW46" s="1899" t="str">
        <f>IF(AN46&lt;AO46,CONCATENATE("* El total de Procesados debe ser mayor o igual al total de Reactivos en el grupo de edad ",$AN$11),"")</f>
        <v/>
      </c>
      <c r="CX46" s="1899" t="str">
        <f>IF(AP46&lt;AQ46,CONCATENATE("* El total de Procesados debe ser mayor o igual al total de Reactivos en el grupo de edad ",$AP$11),"")</f>
        <v/>
      </c>
      <c r="DE46" s="1970"/>
      <c r="DF46" s="4005">
        <f t="shared" si="98"/>
        <v>0</v>
      </c>
      <c r="DG46" s="3989">
        <f t="shared" si="79"/>
        <v>0</v>
      </c>
      <c r="DH46" s="3989">
        <f t="shared" si="80"/>
        <v>0</v>
      </c>
      <c r="DI46" s="3989">
        <f t="shared" si="81"/>
        <v>0</v>
      </c>
      <c r="DJ46" s="1902"/>
      <c r="DK46" s="1902"/>
      <c r="DL46" s="1902"/>
      <c r="DM46" s="1902"/>
      <c r="DN46" s="1902"/>
      <c r="DO46" s="3989">
        <f>IF(N46&lt;O46,1,0)</f>
        <v>0</v>
      </c>
      <c r="DP46" s="3989">
        <f t="shared" si="109"/>
        <v>0</v>
      </c>
      <c r="DQ46" s="3989">
        <f t="shared" si="110"/>
        <v>0</v>
      </c>
      <c r="DR46" s="3989">
        <f t="shared" si="111"/>
        <v>0</v>
      </c>
      <c r="DS46" s="3989">
        <f t="shared" si="112"/>
        <v>0</v>
      </c>
      <c r="DT46" s="3989">
        <f t="shared" si="113"/>
        <v>0</v>
      </c>
      <c r="DU46" s="3989">
        <f t="shared" si="114"/>
        <v>0</v>
      </c>
      <c r="DV46" s="3989">
        <f t="shared" si="115"/>
        <v>0</v>
      </c>
      <c r="DW46" s="3989">
        <f t="shared" si="116"/>
        <v>0</v>
      </c>
      <c r="DX46" s="3989">
        <f t="shared" si="117"/>
        <v>0</v>
      </c>
      <c r="DY46" s="3989">
        <f t="shared" si="118"/>
        <v>0</v>
      </c>
      <c r="DZ46" s="3989">
        <f>IF(AJ46&lt;AK46,1,0)</f>
        <v>0</v>
      </c>
      <c r="EA46" s="3989">
        <f>IF(AL46&lt;AM46,1,0)</f>
        <v>0</v>
      </c>
      <c r="EB46" s="3989">
        <f>IF(AN46&lt;AO46,1,0)</f>
        <v>0</v>
      </c>
      <c r="EC46" s="3989">
        <f>IF(AP46&lt;AQ46,1,0)</f>
        <v>0</v>
      </c>
    </row>
    <row r="47" spans="1:133" x14ac:dyDescent="0.3">
      <c r="A47" s="4006" t="s">
        <v>1878</v>
      </c>
      <c r="B47" s="3991">
        <f>+D47+F47+H47+J47+L47+N47+P47+R47+T47+V47+X47+Z47+AB47+AD47+AF47+AH47+AJ47+AL47+AN47+AP47</f>
        <v>0</v>
      </c>
      <c r="C47" s="345">
        <f>+E47+G47+I47+K47+M47+O47+Q47+S47+U47+W47+Y47+AA47+AC47+AE47+AG47+AI47+AK47+AM47+AO47+AQ47</f>
        <v>0</v>
      </c>
      <c r="D47" s="3987"/>
      <c r="E47" s="3995"/>
      <c r="F47" s="3996"/>
      <c r="G47" s="3995"/>
      <c r="H47" s="3996"/>
      <c r="I47" s="3988"/>
      <c r="J47" s="3987"/>
      <c r="K47" s="3987"/>
      <c r="L47" s="3996"/>
      <c r="M47" s="3988"/>
      <c r="N47" s="3987"/>
      <c r="O47" s="3995"/>
      <c r="P47" s="3996"/>
      <c r="Q47" s="3995"/>
      <c r="R47" s="3996"/>
      <c r="S47" s="3995"/>
      <c r="T47" s="3996"/>
      <c r="U47" s="3995"/>
      <c r="V47" s="3996"/>
      <c r="W47" s="3995"/>
      <c r="X47" s="3996"/>
      <c r="Y47" s="3995"/>
      <c r="Z47" s="3996"/>
      <c r="AA47" s="3995"/>
      <c r="AB47" s="3996"/>
      <c r="AC47" s="3995"/>
      <c r="AD47" s="3996"/>
      <c r="AE47" s="3995"/>
      <c r="AF47" s="3996"/>
      <c r="AG47" s="3995"/>
      <c r="AH47" s="3996"/>
      <c r="AI47" s="3995"/>
      <c r="AJ47" s="3996"/>
      <c r="AK47" s="3995"/>
      <c r="AL47" s="3996"/>
      <c r="AM47" s="3995"/>
      <c r="AN47" s="3996"/>
      <c r="AO47" s="3995"/>
      <c r="AP47" s="3996"/>
      <c r="AQ47" s="3985"/>
      <c r="AR47" s="3987"/>
      <c r="AS47" s="3985"/>
      <c r="AT47" s="3986"/>
      <c r="AU47" s="3985"/>
      <c r="AV47" s="3987"/>
      <c r="AW47" s="3988"/>
      <c r="AX47" s="1898" t="str">
        <f>$CA47&amp;CB47&amp;CC47&amp;$CD47&amp;CE47&amp;CF47&amp;CG47&amp;CH47&amp;CI47&amp;CJ47&amp;CK47&amp;CL47&amp;CM47&amp;CN47&amp;CO47&amp;CP47&amp;CQ47&amp;CR47&amp;CS47&amp;CT47&amp;CU47&amp;CV47&amp;CW47&amp;CX47</f>
        <v/>
      </c>
      <c r="CA47" s="1899" t="str">
        <f t="shared" si="97"/>
        <v/>
      </c>
      <c r="CB47" s="1899" t="str">
        <f t="shared" si="61"/>
        <v/>
      </c>
      <c r="CC47" s="1899" t="str">
        <f t="shared" si="62"/>
        <v/>
      </c>
      <c r="CD47" s="1899" t="str">
        <f t="shared" si="63"/>
        <v/>
      </c>
      <c r="CE47" s="1899" t="str">
        <f>IF(D47&lt;E47,CONCATENATE("* El total de Procesados debe ser mayor o igual al total de Reactivos en el grupo de edad ",$D$11),"")</f>
        <v/>
      </c>
      <c r="CF47" s="1899" t="str">
        <f>IF(F47&lt;G47,CONCATENATE("* El total de Procesados debe ser mayor o igual al total de Reactivos en el grupo de edad ",$F$11),"")</f>
        <v/>
      </c>
      <c r="CG47" s="1899" t="str">
        <f>IF(H47&lt;I47,CONCATENATE("* El total de Procesados debe ser mayor o igual al total de Reactivos en el grupo de edad ",$H$11),"")</f>
        <v/>
      </c>
      <c r="CH47" s="1899" t="str">
        <f>IF(J47&lt;K47,CONCATENATE("* El total de Procesados debe ser mayor o igual al total de Reactivos en el grupo de edad ",$J$11),"")</f>
        <v/>
      </c>
      <c r="CI47" s="1899" t="str">
        <f>IF(L47&lt;M47,CONCATENATE("* El total de Procesados debe ser mayor o igual al total de Reactivos en el grupo de edad ",$L$11),"")</f>
        <v/>
      </c>
      <c r="CJ47" s="1899" t="str">
        <f>IF(N47&lt;O47,CONCATENATE("* El total de Procesados debe ser mayor o igual al total de Reactivos en el grupo de edad ",$N$11),"")</f>
        <v/>
      </c>
      <c r="CK47" s="1899" t="str">
        <f t="shared" si="99"/>
        <v/>
      </c>
      <c r="CL47" s="1899" t="str">
        <f t="shared" si="100"/>
        <v/>
      </c>
      <c r="CM47" s="1899" t="str">
        <f t="shared" si="101"/>
        <v/>
      </c>
      <c r="CN47" s="1899" t="str">
        <f t="shared" si="102"/>
        <v/>
      </c>
      <c r="CO47" s="1899" t="str">
        <f t="shared" si="103"/>
        <v/>
      </c>
      <c r="CP47" s="1899" t="str">
        <f t="shared" si="104"/>
        <v/>
      </c>
      <c r="CQ47" s="1899" t="str">
        <f t="shared" si="105"/>
        <v/>
      </c>
      <c r="CR47" s="1899" t="str">
        <f t="shared" si="106"/>
        <v/>
      </c>
      <c r="CS47" s="1899" t="str">
        <f t="shared" si="107"/>
        <v/>
      </c>
      <c r="CT47" s="1899" t="str">
        <f t="shared" si="108"/>
        <v/>
      </c>
      <c r="CU47" s="1899" t="str">
        <f>IF(AJ47&lt;AK47,CONCATENATE("* El total de Procesados debe ser mayor o igual al total de Reactivos en el grupo de edad ",$AJ$11),"")</f>
        <v/>
      </c>
      <c r="CV47" s="1899" t="str">
        <f>IF(AL47&lt;AM47,CONCATENATE("* El total de Procesados debe ser mayor o igual al total de Reactivos en el grupo de edad ",$AL$11),"")</f>
        <v/>
      </c>
      <c r="CW47" s="1899" t="str">
        <f>IF(AN47&lt;AO47,CONCATENATE("* El total de Procesados debe ser mayor o igual al total de Reactivos en el grupo de edad ",$AN$11),"")</f>
        <v/>
      </c>
      <c r="CX47" s="1899" t="str">
        <f>IF(AP47&lt;AQ47,CONCATENATE("* El total de Procesados debe ser mayor o igual al total de Reactivos en el grupo de edad ",$AP$11),"")</f>
        <v/>
      </c>
      <c r="DE47" s="1970"/>
      <c r="DF47" s="4005">
        <f t="shared" si="98"/>
        <v>0</v>
      </c>
      <c r="DG47" s="3989">
        <f t="shared" si="79"/>
        <v>0</v>
      </c>
      <c r="DH47" s="3989">
        <f t="shared" si="80"/>
        <v>0</v>
      </c>
      <c r="DI47" s="3989">
        <f t="shared" si="81"/>
        <v>0</v>
      </c>
      <c r="DJ47" s="3989">
        <f>IF(D47&lt;E47,1,0)</f>
        <v>0</v>
      </c>
      <c r="DK47" s="3989">
        <f>IF(F47&lt;G47,1,0)</f>
        <v>0</v>
      </c>
      <c r="DL47" s="3989">
        <f>IF(H47&lt;I47,1,0)</f>
        <v>0</v>
      </c>
      <c r="DM47" s="3989">
        <f>IF(J47&lt;K47,1,0)</f>
        <v>0</v>
      </c>
      <c r="DN47" s="3989">
        <f>IF(L47&lt;M47,1,0)</f>
        <v>0</v>
      </c>
      <c r="DO47" s="3989">
        <f>IF(N47&lt;O47,1,0)</f>
        <v>0</v>
      </c>
      <c r="DP47" s="3989">
        <f t="shared" si="109"/>
        <v>0</v>
      </c>
      <c r="DQ47" s="3989">
        <f t="shared" si="110"/>
        <v>0</v>
      </c>
      <c r="DR47" s="3989">
        <f t="shared" si="111"/>
        <v>0</v>
      </c>
      <c r="DS47" s="3989">
        <f t="shared" si="112"/>
        <v>0</v>
      </c>
      <c r="DT47" s="3989">
        <f t="shared" si="113"/>
        <v>0</v>
      </c>
      <c r="DU47" s="3989">
        <f t="shared" si="114"/>
        <v>0</v>
      </c>
      <c r="DV47" s="3989">
        <f t="shared" si="115"/>
        <v>0</v>
      </c>
      <c r="DW47" s="3989">
        <f t="shared" si="116"/>
        <v>0</v>
      </c>
      <c r="DX47" s="3989">
        <f t="shared" si="117"/>
        <v>0</v>
      </c>
      <c r="DY47" s="3989">
        <f t="shared" si="118"/>
        <v>0</v>
      </c>
      <c r="DZ47" s="3989">
        <f>IF(AJ47&lt;AK47,1,0)</f>
        <v>0</v>
      </c>
      <c r="EA47" s="3989">
        <f>IF(AL47&lt;AM47,1,0)</f>
        <v>0</v>
      </c>
      <c r="EB47" s="3989">
        <f>IF(AN47&lt;AO47,1,0)</f>
        <v>0</v>
      </c>
      <c r="EC47" s="3989">
        <f>IF(AP47&lt;AQ47,1,0)</f>
        <v>0</v>
      </c>
    </row>
    <row r="48" spans="1:133" x14ac:dyDescent="0.3">
      <c r="A48" s="3990" t="s">
        <v>1879</v>
      </c>
      <c r="B48" s="3991">
        <f>+P48+R48+T48+V48+X48+Z48+AB48+AD48+AF48+AH48+AJ48+AL48+AN48+AP48</f>
        <v>0</v>
      </c>
      <c r="C48" s="345">
        <f>+Q48+S48+U48+W48+Y48+AA48+AC48+AE48+AG48+AI48+AK48+AM48+AO48+AQ48</f>
        <v>0</v>
      </c>
      <c r="D48" s="4001"/>
      <c r="E48" s="3993"/>
      <c r="F48" s="3992"/>
      <c r="G48" s="3993"/>
      <c r="H48" s="3992"/>
      <c r="I48" s="3993"/>
      <c r="J48" s="3992"/>
      <c r="K48" s="3993"/>
      <c r="L48" s="3992"/>
      <c r="M48" s="3994"/>
      <c r="N48" s="4001"/>
      <c r="O48" s="3993"/>
      <c r="P48" s="3996"/>
      <c r="Q48" s="3995"/>
      <c r="R48" s="3996"/>
      <c r="S48" s="3995"/>
      <c r="T48" s="3996"/>
      <c r="U48" s="3995"/>
      <c r="V48" s="3996"/>
      <c r="W48" s="3995"/>
      <c r="X48" s="3996"/>
      <c r="Y48" s="3995"/>
      <c r="Z48" s="3996"/>
      <c r="AA48" s="3995"/>
      <c r="AB48" s="3996"/>
      <c r="AC48" s="3995"/>
      <c r="AD48" s="3996"/>
      <c r="AE48" s="3995"/>
      <c r="AF48" s="3996"/>
      <c r="AG48" s="3995"/>
      <c r="AH48" s="3996"/>
      <c r="AI48" s="3995"/>
      <c r="AJ48" s="3996"/>
      <c r="AK48" s="3995"/>
      <c r="AL48" s="3996"/>
      <c r="AM48" s="3995"/>
      <c r="AN48" s="3996"/>
      <c r="AO48" s="3995"/>
      <c r="AP48" s="3996"/>
      <c r="AQ48" s="3985"/>
      <c r="AR48" s="3987"/>
      <c r="AS48" s="3985"/>
      <c r="AT48" s="3986"/>
      <c r="AU48" s="3985"/>
      <c r="AV48" s="3987"/>
      <c r="AW48" s="3988"/>
      <c r="AX48" s="1898" t="str">
        <f>$CA48&amp;CB48&amp;CC48&amp;$CD48&amp;CJ48&amp;CK48&amp;CL48&amp;CM48&amp;CN48&amp;CO48&amp;CP48&amp;CQ48&amp;CR48&amp;CS48&amp;CT48&amp;CU48&amp;CV48&amp;CW48&amp;CX48</f>
        <v/>
      </c>
      <c r="CA48" s="1899" t="str">
        <f t="shared" si="97"/>
        <v/>
      </c>
      <c r="CB48" s="1899" t="str">
        <f t="shared" si="61"/>
        <v/>
      </c>
      <c r="CC48" s="1899" t="str">
        <f t="shared" si="62"/>
        <v/>
      </c>
      <c r="CD48" s="1899" t="str">
        <f t="shared" si="63"/>
        <v/>
      </c>
      <c r="CE48" s="4000"/>
      <c r="CF48" s="4000"/>
      <c r="CG48" s="1902"/>
      <c r="CH48" s="1902"/>
      <c r="CI48" s="1902"/>
      <c r="CJ48" s="4000"/>
      <c r="CK48" s="1899" t="str">
        <f t="shared" si="99"/>
        <v/>
      </c>
      <c r="CL48" s="1899" t="str">
        <f t="shared" si="100"/>
        <v/>
      </c>
      <c r="CM48" s="1899" t="str">
        <f t="shared" si="101"/>
        <v/>
      </c>
      <c r="CN48" s="1899" t="str">
        <f t="shared" si="102"/>
        <v/>
      </c>
      <c r="CO48" s="1899" t="str">
        <f t="shared" si="103"/>
        <v/>
      </c>
      <c r="CP48" s="1899" t="str">
        <f t="shared" si="104"/>
        <v/>
      </c>
      <c r="CQ48" s="1899" t="str">
        <f t="shared" si="105"/>
        <v/>
      </c>
      <c r="CR48" s="1899" t="str">
        <f t="shared" si="106"/>
        <v/>
      </c>
      <c r="CS48" s="1899" t="str">
        <f t="shared" si="107"/>
        <v/>
      </c>
      <c r="CT48" s="1899" t="str">
        <f t="shared" si="108"/>
        <v/>
      </c>
      <c r="CU48" s="1899" t="str">
        <f>IF(AJ48&lt;AK48,CONCATENATE("* El total de Procesados debe ser mayor o igual al total de Reactivos en el grupo de edad ",$AJ$11),"")</f>
        <v/>
      </c>
      <c r="CV48" s="1899" t="str">
        <f>IF(AL48&lt;AM48,CONCATENATE("* El total de Procesados debe ser mayor o igual al total de Reactivos en el grupo de edad ",$AL$11),"")</f>
        <v/>
      </c>
      <c r="CW48" s="1899" t="str">
        <f>IF(AN48&lt;AO48,CONCATENATE("* El total de Procesados debe ser mayor o igual al total de Reactivos en el grupo de edad ",$AN$11),"")</f>
        <v/>
      </c>
      <c r="CX48" s="1899" t="str">
        <f>IF(AP48&lt;AQ48,CONCATENATE("* El total de Procesados debe ser mayor o igual al total de Reactivos en el grupo de edad ",$AP$11),"")</f>
        <v/>
      </c>
      <c r="DE48" s="1970"/>
      <c r="DF48" s="4005">
        <f t="shared" si="98"/>
        <v>0</v>
      </c>
      <c r="DG48" s="3989">
        <f t="shared" si="79"/>
        <v>0</v>
      </c>
      <c r="DH48" s="3989">
        <f t="shared" si="80"/>
        <v>0</v>
      </c>
      <c r="DI48" s="3989">
        <f t="shared" si="81"/>
        <v>0</v>
      </c>
      <c r="DJ48" s="1902"/>
      <c r="DK48" s="1902"/>
      <c r="DL48" s="1902"/>
      <c r="DM48" s="1902"/>
      <c r="DN48" s="1902"/>
      <c r="DO48" s="1900"/>
      <c r="DP48" s="3989">
        <f t="shared" si="109"/>
        <v>0</v>
      </c>
      <c r="DQ48" s="3989">
        <f t="shared" si="110"/>
        <v>0</v>
      </c>
      <c r="DR48" s="3989">
        <f t="shared" si="111"/>
        <v>0</v>
      </c>
      <c r="DS48" s="3989">
        <f t="shared" si="112"/>
        <v>0</v>
      </c>
      <c r="DT48" s="3989">
        <f t="shared" si="113"/>
        <v>0</v>
      </c>
      <c r="DU48" s="3989">
        <f t="shared" si="114"/>
        <v>0</v>
      </c>
      <c r="DV48" s="3989">
        <f t="shared" si="115"/>
        <v>0</v>
      </c>
      <c r="DW48" s="3989">
        <f t="shared" si="116"/>
        <v>0</v>
      </c>
      <c r="DX48" s="3989">
        <f t="shared" si="117"/>
        <v>0</v>
      </c>
      <c r="DY48" s="3989">
        <f t="shared" si="118"/>
        <v>0</v>
      </c>
      <c r="DZ48" s="3989">
        <f>IF(AJ48&lt;AK48,1,0)</f>
        <v>0</v>
      </c>
      <c r="EA48" s="3989">
        <f>IF(AL48&lt;AM48,1,0)</f>
        <v>0</v>
      </c>
      <c r="EB48" s="3989">
        <f>IF(AN48&lt;AO48,1,0)</f>
        <v>0</v>
      </c>
      <c r="EC48" s="3989">
        <f>IF(AP48&lt;AQ48,1,0)</f>
        <v>0</v>
      </c>
    </row>
    <row r="49" spans="1:133" x14ac:dyDescent="0.3">
      <c r="A49" s="4006" t="s">
        <v>1880</v>
      </c>
      <c r="B49" s="3991">
        <f>+P49+R49+T49+V49+X49+Z49+AB49+AD49+AF49+AH49</f>
        <v>0</v>
      </c>
      <c r="C49" s="345">
        <f>+Q49+S49+U49+W49+Y49+AA49+AC49+AE49+AG49+AI49</f>
        <v>0</v>
      </c>
      <c r="D49" s="4001"/>
      <c r="E49" s="3993"/>
      <c r="F49" s="3992"/>
      <c r="G49" s="3993"/>
      <c r="H49" s="3992"/>
      <c r="I49" s="3993"/>
      <c r="J49" s="3992"/>
      <c r="K49" s="3993"/>
      <c r="L49" s="3992"/>
      <c r="M49" s="3994"/>
      <c r="N49" s="4001"/>
      <c r="O49" s="3993"/>
      <c r="P49" s="3996"/>
      <c r="Q49" s="3995"/>
      <c r="R49" s="3996"/>
      <c r="S49" s="3995"/>
      <c r="T49" s="3996"/>
      <c r="U49" s="3995"/>
      <c r="V49" s="3996"/>
      <c r="W49" s="3995"/>
      <c r="X49" s="3996"/>
      <c r="Y49" s="3995"/>
      <c r="Z49" s="3996"/>
      <c r="AA49" s="3995"/>
      <c r="AB49" s="3996"/>
      <c r="AC49" s="3995"/>
      <c r="AD49" s="3996"/>
      <c r="AE49" s="3995"/>
      <c r="AF49" s="3996"/>
      <c r="AG49" s="3995"/>
      <c r="AH49" s="3996"/>
      <c r="AI49" s="3995"/>
      <c r="AJ49" s="3992"/>
      <c r="AK49" s="3993"/>
      <c r="AL49" s="3992"/>
      <c r="AM49" s="3993"/>
      <c r="AN49" s="3992"/>
      <c r="AO49" s="3993"/>
      <c r="AP49" s="3992"/>
      <c r="AQ49" s="4003"/>
      <c r="AR49" s="3987"/>
      <c r="AS49" s="3985"/>
      <c r="AT49" s="3986"/>
      <c r="AU49" s="3985"/>
      <c r="AV49" s="3987"/>
      <c r="AW49" s="3988"/>
      <c r="AX49" s="1898" t="str">
        <f>$CA49&amp;CB49&amp;CC49&amp;$CD49&amp;CK49&amp;CL49&amp;CM49&amp;CN49&amp;CO49&amp;CP49&amp;CQ49&amp;CR49&amp;CS49&amp;CT49</f>
        <v/>
      </c>
      <c r="CA49" s="1899" t="str">
        <f t="shared" si="97"/>
        <v/>
      </c>
      <c r="CB49" s="1899" t="str">
        <f t="shared" si="61"/>
        <v/>
      </c>
      <c r="CC49" s="1899" t="str">
        <f t="shared" si="62"/>
        <v/>
      </c>
      <c r="CD49" s="1899" t="str">
        <f t="shared" si="63"/>
        <v/>
      </c>
      <c r="CE49" s="4000"/>
      <c r="CF49" s="4000"/>
      <c r="CG49" s="1902"/>
      <c r="CH49" s="1902"/>
      <c r="CI49" s="1902"/>
      <c r="CJ49" s="4000"/>
      <c r="CK49" s="1899" t="str">
        <f t="shared" si="99"/>
        <v/>
      </c>
      <c r="CL49" s="1899" t="str">
        <f t="shared" si="100"/>
        <v/>
      </c>
      <c r="CM49" s="1899" t="str">
        <f t="shared" si="101"/>
        <v/>
      </c>
      <c r="CN49" s="1899" t="str">
        <f t="shared" si="102"/>
        <v/>
      </c>
      <c r="CO49" s="1899" t="str">
        <f t="shared" si="103"/>
        <v/>
      </c>
      <c r="CP49" s="1899" t="str">
        <f t="shared" si="104"/>
        <v/>
      </c>
      <c r="CQ49" s="1899" t="str">
        <f t="shared" si="105"/>
        <v/>
      </c>
      <c r="CR49" s="1899" t="str">
        <f t="shared" si="106"/>
        <v/>
      </c>
      <c r="CS49" s="1899" t="str">
        <f t="shared" si="107"/>
        <v/>
      </c>
      <c r="CT49" s="1899" t="str">
        <f t="shared" si="108"/>
        <v/>
      </c>
      <c r="CU49" s="1900"/>
      <c r="CV49" s="1900"/>
      <c r="CW49" s="1900"/>
      <c r="CX49" s="1900"/>
      <c r="DE49" s="1970"/>
      <c r="DF49" s="4005">
        <f t="shared" si="98"/>
        <v>0</v>
      </c>
      <c r="DG49" s="3989">
        <f t="shared" si="79"/>
        <v>0</v>
      </c>
      <c r="DH49" s="3989">
        <f t="shared" si="80"/>
        <v>0</v>
      </c>
      <c r="DI49" s="3989">
        <f t="shared" si="81"/>
        <v>0</v>
      </c>
      <c r="DJ49" s="1902"/>
      <c r="DK49" s="1902"/>
      <c r="DL49" s="1902"/>
      <c r="DM49" s="1902"/>
      <c r="DN49" s="1902"/>
      <c r="DO49" s="1900"/>
      <c r="DP49" s="3989">
        <f t="shared" si="109"/>
        <v>0</v>
      </c>
      <c r="DQ49" s="3989">
        <f t="shared" si="110"/>
        <v>0</v>
      </c>
      <c r="DR49" s="3989">
        <f t="shared" si="111"/>
        <v>0</v>
      </c>
      <c r="DS49" s="3989">
        <f t="shared" si="112"/>
        <v>0</v>
      </c>
      <c r="DT49" s="3989">
        <f t="shared" si="113"/>
        <v>0</v>
      </c>
      <c r="DU49" s="3989">
        <f t="shared" si="114"/>
        <v>0</v>
      </c>
      <c r="DV49" s="3989">
        <f t="shared" si="115"/>
        <v>0</v>
      </c>
      <c r="DW49" s="3989">
        <f t="shared" si="116"/>
        <v>0</v>
      </c>
      <c r="DX49" s="3989">
        <f t="shared" si="117"/>
        <v>0</v>
      </c>
      <c r="DY49" s="3989">
        <f t="shared" si="118"/>
        <v>0</v>
      </c>
      <c r="DZ49" s="1900"/>
      <c r="EA49" s="1900"/>
      <c r="EB49" s="1900"/>
      <c r="EC49" s="1900"/>
    </row>
    <row r="50" spans="1:133" x14ac:dyDescent="0.3">
      <c r="A50" s="4006" t="s">
        <v>1881</v>
      </c>
      <c r="B50" s="3991">
        <f>+D50+F50+H50+J50+L50+N50+P50+R50+T50+V50+X50+Z50+AB50+AD50+AF50+AH50+AJ50+AL50+AN50+AP50</f>
        <v>0</v>
      </c>
      <c r="C50" s="345">
        <f>+E50+G50+I50+K50+M50+O50+Q50+S50+U50+W50+Y50+AA50+AC50+AE50+AG50+AI50+AK50+AM50+AO50+AQ50</f>
        <v>0</v>
      </c>
      <c r="D50" s="3987"/>
      <c r="E50" s="3995"/>
      <c r="F50" s="3996"/>
      <c r="G50" s="3995"/>
      <c r="H50" s="3996"/>
      <c r="I50" s="3988"/>
      <c r="J50" s="3987"/>
      <c r="K50" s="3987"/>
      <c r="L50" s="3996"/>
      <c r="M50" s="3988"/>
      <c r="N50" s="3987"/>
      <c r="O50" s="3995"/>
      <c r="P50" s="3996"/>
      <c r="Q50" s="3995"/>
      <c r="R50" s="3996"/>
      <c r="S50" s="3995"/>
      <c r="T50" s="3996"/>
      <c r="U50" s="3995"/>
      <c r="V50" s="3996"/>
      <c r="W50" s="3995"/>
      <c r="X50" s="3996"/>
      <c r="Y50" s="3995"/>
      <c r="Z50" s="3996"/>
      <c r="AA50" s="3995"/>
      <c r="AB50" s="3996"/>
      <c r="AC50" s="3995"/>
      <c r="AD50" s="3996"/>
      <c r="AE50" s="3995"/>
      <c r="AF50" s="3996"/>
      <c r="AG50" s="3995"/>
      <c r="AH50" s="3996"/>
      <c r="AI50" s="3995"/>
      <c r="AJ50" s="3996"/>
      <c r="AK50" s="3995"/>
      <c r="AL50" s="3996"/>
      <c r="AM50" s="3995"/>
      <c r="AN50" s="3996"/>
      <c r="AO50" s="3995"/>
      <c r="AP50" s="3996"/>
      <c r="AQ50" s="3985"/>
      <c r="AR50" s="3987"/>
      <c r="AS50" s="3985"/>
      <c r="AT50" s="3986"/>
      <c r="AU50" s="3985"/>
      <c r="AV50" s="3987"/>
      <c r="AW50" s="3988"/>
      <c r="AX50" s="1898" t="str">
        <f>$CA50&amp;CB50&amp;CC50&amp;$CD50&amp;CJ50&amp;CK50&amp;CL50&amp;CM50&amp;CN50&amp;CO50&amp;CP50&amp;CQ50&amp;CR50&amp;CS50&amp;CT50&amp;CU50&amp;CV50&amp;CW50&amp;CX50&amp;CE50&amp;CF50&amp;CG50&amp;CH50&amp;CI50</f>
        <v/>
      </c>
      <c r="CA50" s="1899" t="str">
        <f t="shared" si="97"/>
        <v/>
      </c>
      <c r="CB50" s="1899" t="str">
        <f t="shared" si="61"/>
        <v/>
      </c>
      <c r="CC50" s="1899" t="str">
        <f t="shared" si="62"/>
        <v/>
      </c>
      <c r="CD50" s="1899" t="str">
        <f t="shared" si="63"/>
        <v/>
      </c>
      <c r="CE50" s="1899" t="str">
        <f>IF(D50&lt;E50,CONCATENATE("* El total de Procesados debe ser mayor o igual al total de Reactivos en el grupo de edad ",$D$11),"")</f>
        <v/>
      </c>
      <c r="CF50" s="1899" t="str">
        <f>IF(F50&lt;G50,CONCATENATE("* El total de Procesados debe ser mayor o igual al total de Reactivos en el grupo de edad ",$F$11),"")</f>
        <v/>
      </c>
      <c r="CG50" s="1899" t="str">
        <f>IF(H50&lt;I50,CONCATENATE("* El total de Procesados debe ser mayor o igual al total de Reactivos en el grupo de edad ",$H$11),"")</f>
        <v/>
      </c>
      <c r="CH50" s="1899" t="str">
        <f>IF(J50&lt;K50,CONCATENATE("* El total de Procesados debe ser mayor o igual al total de Reactivos en el grupo de edad ",$J$11),"")</f>
        <v/>
      </c>
      <c r="CI50" s="1899" t="str">
        <f>IF(L50&lt;M50,CONCATENATE("* El total de Procesados debe ser mayor o igual al total de Reactivos en el grupo de edad ",$L$11),"")</f>
        <v/>
      </c>
      <c r="CJ50" s="1899" t="str">
        <f>IF(N50&lt;O50,CONCATENATE("* El total de Procesados debe ser mayor o igual al total de Reactivos en el grupo de edad ",$N$11),"")</f>
        <v/>
      </c>
      <c r="CK50" s="1899" t="str">
        <f t="shared" si="99"/>
        <v/>
      </c>
      <c r="CL50" s="1899" t="str">
        <f t="shared" si="100"/>
        <v/>
      </c>
      <c r="CM50" s="1899" t="str">
        <f t="shared" si="101"/>
        <v/>
      </c>
      <c r="CN50" s="1899" t="str">
        <f t="shared" si="102"/>
        <v/>
      </c>
      <c r="CO50" s="1899" t="str">
        <f t="shared" si="103"/>
        <v/>
      </c>
      <c r="CP50" s="1899" t="str">
        <f t="shared" si="104"/>
        <v/>
      </c>
      <c r="CQ50" s="1899" t="str">
        <f t="shared" si="105"/>
        <v/>
      </c>
      <c r="CR50" s="1899" t="str">
        <f t="shared" si="106"/>
        <v/>
      </c>
      <c r="CS50" s="1899" t="str">
        <f t="shared" si="107"/>
        <v/>
      </c>
      <c r="CT50" s="1899" t="str">
        <f t="shared" si="108"/>
        <v/>
      </c>
      <c r="CU50" s="1899" t="str">
        <f>IF(AJ50&lt;AK50,CONCATENATE("* El total de Procesados debe ser mayor o igual al total de Reactivos en el grupo de edad ",$AJ$11),"")</f>
        <v/>
      </c>
      <c r="CV50" s="1899" t="str">
        <f>IF(AL50&lt;AM50,CONCATENATE("* El total de Procesados debe ser mayor o igual al total de Reactivos en el grupo de edad ",$AL$11),"")</f>
        <v/>
      </c>
      <c r="CW50" s="1899" t="str">
        <f>IF(AN50&lt;AO50,CONCATENATE("* El total de Procesados debe ser mayor o igual al total de Reactivos en el grupo de edad ",$AN$11),"")</f>
        <v/>
      </c>
      <c r="CX50" s="1899" t="str">
        <f>IF(AP50&lt;AQ50,CONCATENATE("* El total de Procesados debe ser mayor o igual al total de Reactivos en el grupo de edad ",$AP$11),"")</f>
        <v/>
      </c>
      <c r="DE50" s="1970"/>
      <c r="DF50" s="4005">
        <f t="shared" si="98"/>
        <v>0</v>
      </c>
      <c r="DG50" s="3989">
        <f t="shared" si="79"/>
        <v>0</v>
      </c>
      <c r="DH50" s="3989">
        <f t="shared" si="80"/>
        <v>0</v>
      </c>
      <c r="DI50" s="3989">
        <f t="shared" si="81"/>
        <v>0</v>
      </c>
      <c r="DJ50" s="3989">
        <f>IF(D50&lt;E50,1,0)</f>
        <v>0</v>
      </c>
      <c r="DK50" s="3989">
        <f>IF(F50&lt;G50,1,0)</f>
        <v>0</v>
      </c>
      <c r="DL50" s="3989">
        <f>IF(H50&lt;I50,1,0)</f>
        <v>0</v>
      </c>
      <c r="DM50" s="3989">
        <f>IF(J50&lt;K50,1,0)</f>
        <v>0</v>
      </c>
      <c r="DN50" s="3989">
        <f>IF(L50&lt;M50,1,0)</f>
        <v>0</v>
      </c>
      <c r="DO50" s="3989">
        <f>IF(N50&lt;O50,1,0)</f>
        <v>0</v>
      </c>
      <c r="DP50" s="3989">
        <f t="shared" si="109"/>
        <v>0</v>
      </c>
      <c r="DQ50" s="3989">
        <f t="shared" si="110"/>
        <v>0</v>
      </c>
      <c r="DR50" s="3989">
        <f t="shared" si="111"/>
        <v>0</v>
      </c>
      <c r="DS50" s="3989">
        <f t="shared" si="112"/>
        <v>0</v>
      </c>
      <c r="DT50" s="3989">
        <f t="shared" si="113"/>
        <v>0</v>
      </c>
      <c r="DU50" s="3989">
        <f t="shared" si="114"/>
        <v>0</v>
      </c>
      <c r="DV50" s="3989">
        <f t="shared" si="115"/>
        <v>0</v>
      </c>
      <c r="DW50" s="3989">
        <f t="shared" si="116"/>
        <v>0</v>
      </c>
      <c r="DX50" s="3989">
        <f t="shared" si="117"/>
        <v>0</v>
      </c>
      <c r="DY50" s="3989">
        <f t="shared" si="118"/>
        <v>0</v>
      </c>
      <c r="DZ50" s="3989">
        <f>IF(AJ50&lt;AK50,1,0)</f>
        <v>0</v>
      </c>
      <c r="EA50" s="3989">
        <f>IF(AL50&lt;AM50,1,0)</f>
        <v>0</v>
      </c>
      <c r="EB50" s="3989">
        <f>IF(AN50&lt;AO50,1,0)</f>
        <v>0</v>
      </c>
      <c r="EC50" s="3989">
        <f>IF(AP50&lt;AQ50,1,0)</f>
        <v>0</v>
      </c>
    </row>
    <row r="51" spans="1:133" x14ac:dyDescent="0.3">
      <c r="A51" s="4006" t="s">
        <v>1882</v>
      </c>
      <c r="B51" s="3991">
        <f>+D51+F51+H51+J51+L51+N51+P51+R51+T51+V51+X51+Z51+AB51+AD51+AF51+AH51+AJ51+AL51+AN51+AP51</f>
        <v>0</v>
      </c>
      <c r="C51" s="345">
        <f>+E51+G51+I51+K51+M51+O51+Q51+S51+U51+W51+Y51+AA51+AC51+AE51+AG51+AI51+AK51+AM51+AO51+AQ51</f>
        <v>0</v>
      </c>
      <c r="D51" s="3987"/>
      <c r="E51" s="3995"/>
      <c r="F51" s="3996"/>
      <c r="G51" s="3995"/>
      <c r="H51" s="3996"/>
      <c r="I51" s="3988"/>
      <c r="J51" s="3987"/>
      <c r="K51" s="3987"/>
      <c r="L51" s="3996"/>
      <c r="M51" s="3988"/>
      <c r="N51" s="3987"/>
      <c r="O51" s="3995"/>
      <c r="P51" s="3996"/>
      <c r="Q51" s="3995"/>
      <c r="R51" s="3996"/>
      <c r="S51" s="3995"/>
      <c r="T51" s="3996"/>
      <c r="U51" s="3995"/>
      <c r="V51" s="3996"/>
      <c r="W51" s="3995"/>
      <c r="X51" s="3996"/>
      <c r="Y51" s="3995"/>
      <c r="Z51" s="3996"/>
      <c r="AA51" s="3995"/>
      <c r="AB51" s="3996"/>
      <c r="AC51" s="3995"/>
      <c r="AD51" s="3996"/>
      <c r="AE51" s="3995"/>
      <c r="AF51" s="3996"/>
      <c r="AG51" s="3995"/>
      <c r="AH51" s="3996"/>
      <c r="AI51" s="3995"/>
      <c r="AJ51" s="3996"/>
      <c r="AK51" s="3995"/>
      <c r="AL51" s="3996"/>
      <c r="AM51" s="3995"/>
      <c r="AN51" s="3996"/>
      <c r="AO51" s="3995"/>
      <c r="AP51" s="3996"/>
      <c r="AQ51" s="3985"/>
      <c r="AR51" s="3987"/>
      <c r="AS51" s="3985"/>
      <c r="AT51" s="3986"/>
      <c r="AU51" s="3985"/>
      <c r="AV51" s="3987"/>
      <c r="AW51" s="3988"/>
      <c r="AX51" s="1898" t="str">
        <f>$CA51&amp;CB51&amp;CC51&amp;$CD51&amp;CJ51&amp;CK51&amp;CL51&amp;CM51&amp;CN51&amp;CO51&amp;CP51&amp;CQ51&amp;CR51&amp;CS51&amp;CT51&amp;CU51&amp;CV51&amp;CW51&amp;CX51&amp;CE51&amp;CF51&amp;CG51&amp;CH51&amp;CI51</f>
        <v/>
      </c>
      <c r="CA51" s="1899" t="str">
        <f t="shared" si="97"/>
        <v/>
      </c>
      <c r="CB51" s="1899" t="str">
        <f t="shared" si="61"/>
        <v/>
      </c>
      <c r="CC51" s="1899" t="str">
        <f t="shared" si="62"/>
        <v/>
      </c>
      <c r="CD51" s="1899" t="str">
        <f t="shared" si="63"/>
        <v/>
      </c>
      <c r="CE51" s="1899" t="str">
        <f>IF(D51&lt;E51,CONCATENATE("* El total de Procesados debe ser mayor o igual al total de Reactivos en el grupo de edad ",$D$11),"")</f>
        <v/>
      </c>
      <c r="CF51" s="1899" t="str">
        <f>IF(F51&lt;G51,CONCATENATE("* El total de Procesados debe ser mayor o igual al total de Reactivos en el grupo de edad ",$F$11),"")</f>
        <v/>
      </c>
      <c r="CG51" s="1899" t="str">
        <f>IF(H51&lt;I51,CONCATENATE("* El total de Procesados debe ser mayor o igual al total de Reactivos en el grupo de edad ",$H$11),"")</f>
        <v/>
      </c>
      <c r="CH51" s="1899" t="str">
        <f>IF(J51&lt;K51,CONCATENATE("* El total de Procesados debe ser mayor o igual al total de Reactivos en el grupo de edad ",$J$11),"")</f>
        <v/>
      </c>
      <c r="CI51" s="1899" t="str">
        <f>IF(L51&lt;M51,CONCATENATE("* El total de Procesados debe ser mayor o igual al total de Reactivos en el grupo de edad ",$L$11),"")</f>
        <v/>
      </c>
      <c r="CJ51" s="1899" t="str">
        <f>IF(N51&lt;O51,CONCATENATE("* El total de Procesados debe ser mayor o igual al total de Reactivos en el grupo de edad ",$N$11),"")</f>
        <v/>
      </c>
      <c r="CK51" s="1899" t="str">
        <f t="shared" si="99"/>
        <v/>
      </c>
      <c r="CL51" s="1899" t="str">
        <f t="shared" si="100"/>
        <v/>
      </c>
      <c r="CM51" s="1899" t="str">
        <f t="shared" si="101"/>
        <v/>
      </c>
      <c r="CN51" s="1899" t="str">
        <f t="shared" si="102"/>
        <v/>
      </c>
      <c r="CO51" s="1899" t="str">
        <f t="shared" si="103"/>
        <v/>
      </c>
      <c r="CP51" s="1899" t="str">
        <f t="shared" si="104"/>
        <v/>
      </c>
      <c r="CQ51" s="1899" t="str">
        <f t="shared" si="105"/>
        <v/>
      </c>
      <c r="CR51" s="1899" t="str">
        <f t="shared" si="106"/>
        <v/>
      </c>
      <c r="CS51" s="1899" t="str">
        <f t="shared" si="107"/>
        <v/>
      </c>
      <c r="CT51" s="1899" t="str">
        <f t="shared" si="108"/>
        <v/>
      </c>
      <c r="CU51" s="1899" t="str">
        <f>IF(AJ51&lt;AK51,CONCATENATE("* El total de Procesados debe ser mayor o igual al total de Reactivos en el grupo de edad ",$AJ$11),"")</f>
        <v/>
      </c>
      <c r="CV51" s="1899" t="str">
        <f>IF(AL51&lt;AM51,CONCATENATE("* El total de Procesados debe ser mayor o igual al total de Reactivos en el grupo de edad ",$AL$11),"")</f>
        <v/>
      </c>
      <c r="CW51" s="1899" t="str">
        <f>IF(AN51&lt;AO51,CONCATENATE("* El total de Procesados debe ser mayor o igual al total de Reactivos en el grupo de edad ",$AN$11),"")</f>
        <v/>
      </c>
      <c r="CX51" s="1899" t="str">
        <f>IF(AP51&lt;AQ51,CONCATENATE("* El total de Procesados debe ser mayor o igual al total de Reactivos en el grupo de edad ",$AP$11),"")</f>
        <v/>
      </c>
      <c r="DE51" s="1970"/>
      <c r="DF51" s="4005">
        <f t="shared" si="98"/>
        <v>0</v>
      </c>
      <c r="DG51" s="3989">
        <f t="shared" si="79"/>
        <v>0</v>
      </c>
      <c r="DH51" s="3989">
        <f t="shared" si="80"/>
        <v>0</v>
      </c>
      <c r="DI51" s="3989">
        <f t="shared" si="81"/>
        <v>0</v>
      </c>
      <c r="DJ51" s="3989">
        <f>IF(D51&lt;E51,1,0)</f>
        <v>0</v>
      </c>
      <c r="DK51" s="3989">
        <f>IF(F51&lt;G51,1,0)</f>
        <v>0</v>
      </c>
      <c r="DL51" s="3989">
        <f>IF(H51&lt;I51,1,0)</f>
        <v>0</v>
      </c>
      <c r="DM51" s="3989">
        <f>IF(J51&lt;K51,1,0)</f>
        <v>0</v>
      </c>
      <c r="DN51" s="3989">
        <f>IF(L51&lt;M51,1,0)</f>
        <v>0</v>
      </c>
      <c r="DO51" s="3989">
        <f>IF(N51&lt;O51,1,0)</f>
        <v>0</v>
      </c>
      <c r="DP51" s="3989">
        <f t="shared" si="109"/>
        <v>0</v>
      </c>
      <c r="DQ51" s="3989">
        <f t="shared" si="110"/>
        <v>0</v>
      </c>
      <c r="DR51" s="3989">
        <f t="shared" si="111"/>
        <v>0</v>
      </c>
      <c r="DS51" s="3989">
        <f t="shared" si="112"/>
        <v>0</v>
      </c>
      <c r="DT51" s="3989">
        <f t="shared" si="113"/>
        <v>0</v>
      </c>
      <c r="DU51" s="3989">
        <f t="shared" si="114"/>
        <v>0</v>
      </c>
      <c r="DV51" s="3989">
        <f t="shared" si="115"/>
        <v>0</v>
      </c>
      <c r="DW51" s="3989">
        <f t="shared" si="116"/>
        <v>0</v>
      </c>
      <c r="DX51" s="3989">
        <f t="shared" si="117"/>
        <v>0</v>
      </c>
      <c r="DY51" s="3989">
        <f t="shared" si="118"/>
        <v>0</v>
      </c>
      <c r="DZ51" s="3989">
        <f>IF(AJ51&lt;AK51,1,0)</f>
        <v>0</v>
      </c>
      <c r="EA51" s="3989">
        <f>IF(AL51&lt;AM51,1,0)</f>
        <v>0</v>
      </c>
      <c r="EB51" s="3989">
        <f>IF(AN51&lt;AO51,1,0)</f>
        <v>0</v>
      </c>
      <c r="EC51" s="3989">
        <f>IF(AP51&lt;AQ51,1,0)</f>
        <v>0</v>
      </c>
    </row>
    <row r="52" spans="1:133" x14ac:dyDescent="0.3">
      <c r="A52" s="1027" t="s">
        <v>1883</v>
      </c>
      <c r="B52" s="1083">
        <f t="shared" ref="B52:C52" si="119">+D52+F52+H52+J52+L52+N52+P52+R52+T52+V52+X52+Z52+AB52+AD52+AF52+AH52+AJ52+AL52+AN52+AP52</f>
        <v>0</v>
      </c>
      <c r="C52" s="3429">
        <f t="shared" si="119"/>
        <v>0</v>
      </c>
      <c r="D52" s="1911"/>
      <c r="E52" s="1907"/>
      <c r="F52" s="876"/>
      <c r="G52" s="1907"/>
      <c r="H52" s="876"/>
      <c r="I52" s="2009"/>
      <c r="J52" s="1911"/>
      <c r="K52" s="1911"/>
      <c r="L52" s="876"/>
      <c r="M52" s="2009"/>
      <c r="N52" s="1911"/>
      <c r="O52" s="1907"/>
      <c r="P52" s="876"/>
      <c r="Q52" s="1907"/>
      <c r="R52" s="876"/>
      <c r="S52" s="1907"/>
      <c r="T52" s="876"/>
      <c r="U52" s="1907"/>
      <c r="V52" s="876"/>
      <c r="W52" s="1907"/>
      <c r="X52" s="876"/>
      <c r="Y52" s="1907"/>
      <c r="Z52" s="876"/>
      <c r="AA52" s="1907"/>
      <c r="AB52" s="876"/>
      <c r="AC52" s="1907"/>
      <c r="AD52" s="876"/>
      <c r="AE52" s="1907"/>
      <c r="AF52" s="876"/>
      <c r="AG52" s="1907"/>
      <c r="AH52" s="876"/>
      <c r="AI52" s="1907"/>
      <c r="AJ52" s="876"/>
      <c r="AK52" s="1907"/>
      <c r="AL52" s="876"/>
      <c r="AM52" s="1907"/>
      <c r="AN52" s="876"/>
      <c r="AO52" s="1907"/>
      <c r="AP52" s="876"/>
      <c r="AQ52" s="1953"/>
      <c r="AR52" s="1911"/>
      <c r="AS52" s="1953"/>
      <c r="AT52" s="1913"/>
      <c r="AU52" s="1953"/>
      <c r="AV52" s="1911"/>
      <c r="AW52" s="2009"/>
      <c r="AX52" s="1898" t="str">
        <f>$CA52&amp;CB52&amp;CC52&amp;$CD52&amp;CJ52&amp;CK52&amp;CL52&amp;CM52&amp;CN52&amp;CO52&amp;CP52&amp;CQ52&amp;CR52&amp;CS52&amp;CT52&amp;CU52&amp;CV52&amp;CW52&amp;CX52&amp;CE52&amp;CF52&amp;CG52&amp;CH52&amp;CI52</f>
        <v/>
      </c>
      <c r="CA52" s="1899" t="str">
        <f t="shared" ref="CA52" si="120">IF(B52&lt;&gt;(AS52+AR52)," * La suma de las columnas "&amp;AR$10&amp;""&amp;" DEBE SER IGUAL a los Exámenes Procesados. ","")</f>
        <v/>
      </c>
      <c r="CB52" s="1899" t="str">
        <f t="shared" ref="CB52" si="121">IF(AND($B52&gt;0,AND(AT52="",AU52="")),"* No olvide ingresar las columnas Trans Masculino o Femenino (*Digite CERO si no tiene). ",IF((AT52+AU52)&gt;$B52,"* El Número de Trans Masculino o Femenino no puede superar el Total Procesados. ",""))</f>
        <v/>
      </c>
      <c r="CC52" s="1899" t="str">
        <f t="shared" ref="CC52" si="122">IF(AND($B52&gt;0,AV52=""),"* No olvide ingresar la columna "&amp;AV$10&amp;""&amp;" *(Digite CERO si no tiene). ",IF(AV52&gt;$B52," *El Número de "&amp;AV$10&amp;""&amp;" no puede superar el Total Procesados. ",""))</f>
        <v/>
      </c>
      <c r="CD52" s="1899" t="str">
        <f t="shared" ref="CD52" si="123">IF(AND($B52&gt;0,AW52=""),"* No olvide ingresar la columna "&amp;AW$10&amp;""&amp;" *(Digite CERO si no tiene). ",IF(AW52&gt;$B52," *El Número de "&amp;AW$10&amp;""&amp;" no puede superar el Total Procesados. ",""))</f>
        <v/>
      </c>
      <c r="CE52" s="1899" t="str">
        <f>IF(D52&lt;E52,CONCATENATE("* El total de Procesados debe ser mayor o igual al total de Reactivos en el grupo de edad ",$D$11),"")</f>
        <v/>
      </c>
      <c r="CF52" s="1899" t="str">
        <f>IF(F52&lt;G52,CONCATENATE("* El total de Procesados debe ser mayor o igual al total de Reactivos en el grupo de edad ",$F$11),"")</f>
        <v/>
      </c>
      <c r="CG52" s="1899" t="str">
        <f>IF(H52&lt;I52,CONCATENATE("* El total de Procesados debe ser mayor o igual al total de Reactivos en el grupo de edad ",$H$11),"")</f>
        <v/>
      </c>
      <c r="CH52" s="1899" t="str">
        <f>IF(J52&lt;K52,CONCATENATE("* El total de Procesados debe ser mayor o igual al total de Reactivos en el grupo de edad ",$J$11),"")</f>
        <v/>
      </c>
      <c r="CI52" s="1899" t="str">
        <f>IF(L52&lt;M52,CONCATENATE("* El total de Procesados debe ser mayor o igual al total de Reactivos en el grupo de edad ",$L$11),"")</f>
        <v/>
      </c>
      <c r="CJ52" s="1899" t="str">
        <f>IF(N52&lt;O52,CONCATENATE("* El total de Procesados debe ser mayor o igual al total de Reactivos en el grupo de edad ",$N$11),"")</f>
        <v/>
      </c>
      <c r="CK52" s="1899" t="str">
        <f t="shared" ref="CK52" si="124">IF(P52&lt;Q52,CONCATENATE("* El total de Procesados debe ser mayor o igual al total de Reactivos en el grupo de edad ",$P$11),"")</f>
        <v/>
      </c>
      <c r="CL52" s="1899" t="str">
        <f t="shared" ref="CL52" si="125">IF(R52&lt;S52,CONCATENATE("* El total de Procesados debe ser mayor o igual al total de Reactivos en el grupo de edad ",$R$11),"")</f>
        <v/>
      </c>
      <c r="CM52" s="1899" t="str">
        <f t="shared" ref="CM52" si="126">IF($T52&lt;$U52,CONCATENATE("* El total de Procesados debe ser mayor o igual al total de Reactivos en el grupo de edad ",$T$11),"")</f>
        <v/>
      </c>
      <c r="CN52" s="1899" t="str">
        <f t="shared" ref="CN52" si="127">IF(V52&lt;W52,CONCATENATE("* El total de Procesados debe ser mayor o igual al total de Reactivos en el grupo de edad ",$V$11),"")</f>
        <v/>
      </c>
      <c r="CO52" s="1899" t="str">
        <f t="shared" ref="CO52" si="128">IF(X52&lt;Y52,CONCATENATE("* El total de Procesados debe ser mayor o igual al total de Reactivos en el grupo de edad ",$X$11),"")</f>
        <v/>
      </c>
      <c r="CP52" s="1899" t="str">
        <f t="shared" ref="CP52" si="129">IF(Z52&lt;AA52,CONCATENATE("* El total de Procesados debe ser mayor o igual al total de Reactivos en el grupo de edad ",$Z$11),"")</f>
        <v/>
      </c>
      <c r="CQ52" s="1899" t="str">
        <f t="shared" ref="CQ52" si="130">IF(AB52&lt;AC52,CONCATENATE("* El total de Procesados debe ser mayor o igual al total de Reactivos en el grupo de edad ",$AB$11),"")</f>
        <v/>
      </c>
      <c r="CR52" s="1899" t="str">
        <f t="shared" ref="CR52" si="131">IF(AD52&lt;AE52,CONCATENATE("* El total de Procesados debe ser mayor o igual al total de Reactivos en el grupo de edad ",$AD$11),"")</f>
        <v/>
      </c>
      <c r="CS52" s="1899" t="str">
        <f t="shared" ref="CS52" si="132">IF(AF52&lt;AG52,CONCATENATE("* El total de Procesados debe ser mayor o igual al total de Reactivos en el grupo de edad ",$AF$11),"")</f>
        <v/>
      </c>
      <c r="CT52" s="1899" t="str">
        <f t="shared" ref="CT52" si="133">IF(AH52&lt;AI52,CONCATENATE("* El total de Procesados debe ser mayor o igual al total de Reactivos en el grupo de edad ",$AH$11),"")</f>
        <v/>
      </c>
      <c r="CU52" s="1899" t="str">
        <f>IF(AJ52&lt;AK52,CONCATENATE("* El total de Procesados debe ser mayor o igual al total de Reactivos en el grupo de edad ",$AJ$11),"")</f>
        <v/>
      </c>
      <c r="CV52" s="1899" t="str">
        <f>IF(AL52&lt;AM52,CONCATENATE("* El total de Procesados debe ser mayor o igual al total de Reactivos en el grupo de edad ",$AL$11),"")</f>
        <v/>
      </c>
      <c r="CW52" s="1899" t="str">
        <f>IF(AN52&lt;AO52,CONCATENATE("* El total de Procesados debe ser mayor o igual al total de Reactivos en el grupo de edad ",$AN$11),"")</f>
        <v/>
      </c>
      <c r="CX52" s="1899" t="str">
        <f>IF(AP52&lt;AQ52,CONCATENATE("* El total de Procesados debe ser mayor o igual al total de Reactivos en el grupo de edad ",$AP$11),"")</f>
        <v/>
      </c>
      <c r="DE52" s="1970"/>
      <c r="DF52" s="4005">
        <f t="shared" ref="DF52" si="134">IF(B52&lt;&gt;(AS52+AR52),1,0)</f>
        <v>0</v>
      </c>
      <c r="DG52" s="3989">
        <f t="shared" ref="DG52" si="135">IF(AND($B52&gt;0,AND(AT52="",AU52="")),1,IF((AT52+AU52)&gt;$B52,1,0))</f>
        <v>0</v>
      </c>
      <c r="DH52" s="3989">
        <f t="shared" ref="DH52" si="136">IF(AND($B52&gt;0,AV52=""),1,IF(AV52&gt;$B52,1,0))</f>
        <v>0</v>
      </c>
      <c r="DI52" s="3989">
        <f t="shared" ref="DI52" si="137">IF(AND($B52&gt;0,AW52=""),1,IF(AW52&gt;$B52,1,0))</f>
        <v>0</v>
      </c>
      <c r="DJ52" s="3989">
        <f>IF(D52&lt;E52,1,0)</f>
        <v>0</v>
      </c>
      <c r="DK52" s="3989">
        <f>IF(F52&lt;G52,1,0)</f>
        <v>0</v>
      </c>
      <c r="DL52" s="3989">
        <f>IF(H52&lt;I52,1,0)</f>
        <v>0</v>
      </c>
      <c r="DM52" s="3989">
        <f>IF(J52&lt;K52,1,0)</f>
        <v>0</v>
      </c>
      <c r="DN52" s="3989">
        <f>IF(L52&lt;M52,1,0)</f>
        <v>0</v>
      </c>
      <c r="DO52" s="3989">
        <f>IF(N52&lt;O52,1,0)</f>
        <v>0</v>
      </c>
      <c r="DP52" s="3989">
        <f t="shared" ref="DP52" si="138">IF(P52&lt;Q52,1,0)</f>
        <v>0</v>
      </c>
      <c r="DQ52" s="3989">
        <f t="shared" ref="DQ52" si="139">IF(R52&lt;S52,1,0)</f>
        <v>0</v>
      </c>
      <c r="DR52" s="3989">
        <f t="shared" ref="DR52" si="140">IF($T52&lt;$U52,1,0)</f>
        <v>0</v>
      </c>
      <c r="DS52" s="3989">
        <f t="shared" ref="DS52" si="141">IF(V52&lt;W52,1,0)</f>
        <v>0</v>
      </c>
      <c r="DT52" s="3989">
        <f t="shared" ref="DT52" si="142">IF(X52&lt;Y52,1,0)</f>
        <v>0</v>
      </c>
      <c r="DU52" s="3989">
        <f t="shared" ref="DU52" si="143">IF(Z52&lt;AA52,1,0)</f>
        <v>0</v>
      </c>
      <c r="DV52" s="3989">
        <f t="shared" ref="DV52" si="144">IF(AB52&lt;AC52,1,0)</f>
        <v>0</v>
      </c>
      <c r="DW52" s="3989">
        <f t="shared" ref="DW52" si="145">IF(AD52&lt;AE52,1,0)</f>
        <v>0</v>
      </c>
      <c r="DX52" s="3989">
        <f t="shared" ref="DX52" si="146">IF(AF52&lt;AG52,1,0)</f>
        <v>0</v>
      </c>
      <c r="DY52" s="3989">
        <f t="shared" ref="DY52" si="147">IF(AH52&lt;AI52,1,0)</f>
        <v>0</v>
      </c>
      <c r="DZ52" s="3989">
        <f>IF(AJ52&lt;AK52,1,0)</f>
        <v>0</v>
      </c>
      <c r="EA52" s="3989">
        <f>IF(AL52&lt;AM52,1,0)</f>
        <v>0</v>
      </c>
      <c r="EB52" s="3989">
        <f>IF(AN52&lt;AO52,1,0)</f>
        <v>0</v>
      </c>
      <c r="EC52" s="3989">
        <f>IF(AP52&lt;AQ52,1,0)</f>
        <v>0</v>
      </c>
    </row>
    <row r="53" spans="1:133" ht="18" customHeight="1" x14ac:dyDescent="0.3">
      <c r="A53" s="4004" t="s">
        <v>1885</v>
      </c>
      <c r="B53" s="4004"/>
      <c r="C53" s="4004"/>
      <c r="D53" s="4004"/>
      <c r="E53" s="4004"/>
      <c r="F53" s="4004"/>
      <c r="G53" s="4004"/>
      <c r="H53" s="4004"/>
      <c r="I53" s="4004"/>
      <c r="J53" s="4004"/>
      <c r="K53" s="4004"/>
      <c r="L53" s="4004"/>
      <c r="M53" s="4004"/>
      <c r="N53" s="4004"/>
      <c r="O53" s="4004"/>
      <c r="P53" s="4004"/>
      <c r="Q53" s="4004"/>
      <c r="R53" s="4004"/>
      <c r="S53" s="4004"/>
      <c r="T53" s="4004"/>
      <c r="U53" s="4004"/>
      <c r="V53" s="4004"/>
      <c r="W53" s="4004"/>
      <c r="X53" s="4004"/>
      <c r="Y53" s="4004"/>
      <c r="Z53" s="4004"/>
      <c r="AA53" s="4004"/>
      <c r="AB53" s="4004"/>
      <c r="AC53" s="4004"/>
      <c r="AD53" s="4004"/>
      <c r="AE53" s="4004"/>
      <c r="AF53" s="4004"/>
      <c r="AG53" s="4004"/>
      <c r="AH53" s="4004"/>
      <c r="AI53" s="4004"/>
      <c r="AJ53" s="4004"/>
      <c r="AK53" s="4004"/>
      <c r="AL53" s="4004"/>
      <c r="AM53" s="4004"/>
      <c r="AN53" s="4004"/>
      <c r="AO53" s="4004"/>
      <c r="AP53" s="4004"/>
      <c r="AQ53" s="4004"/>
      <c r="AR53" s="1971"/>
      <c r="AS53" s="1971"/>
      <c r="AT53" s="1971"/>
      <c r="AU53" s="1971"/>
      <c r="AV53" s="1971"/>
      <c r="AW53" s="1971"/>
    </row>
    <row r="54" spans="1:133" x14ac:dyDescent="0.3">
      <c r="A54" s="6837" t="s">
        <v>1860</v>
      </c>
      <c r="B54" s="6223" t="s">
        <v>77</v>
      </c>
      <c r="C54" s="6308"/>
      <c r="D54" s="6839" t="s">
        <v>29</v>
      </c>
      <c r="E54" s="6840"/>
      <c r="F54" s="6840"/>
      <c r="G54" s="6840"/>
      <c r="H54" s="6840"/>
      <c r="I54" s="6840"/>
      <c r="J54" s="6840"/>
      <c r="K54" s="6840"/>
      <c r="L54" s="6840"/>
      <c r="M54" s="6840"/>
      <c r="N54" s="6840"/>
      <c r="O54" s="6840"/>
      <c r="P54" s="6840"/>
      <c r="Q54" s="6840"/>
      <c r="R54" s="6840"/>
      <c r="S54" s="6840"/>
      <c r="T54" s="6840"/>
      <c r="U54" s="6840"/>
      <c r="V54" s="6840"/>
      <c r="W54" s="6840"/>
      <c r="X54" s="6840"/>
      <c r="Y54" s="6840"/>
      <c r="Z54" s="6840"/>
      <c r="AA54" s="6840"/>
      <c r="AB54" s="6840"/>
      <c r="AC54" s="6840"/>
      <c r="AD54" s="6840"/>
      <c r="AE54" s="6840"/>
      <c r="AF54" s="6840"/>
      <c r="AG54" s="6840"/>
      <c r="AH54" s="6840"/>
      <c r="AI54" s="6840"/>
      <c r="AJ54" s="6840"/>
      <c r="AK54" s="6840"/>
      <c r="AL54" s="6840"/>
      <c r="AM54" s="6840"/>
      <c r="AN54" s="6840"/>
      <c r="AO54" s="6840"/>
      <c r="AP54" s="6840"/>
      <c r="AQ54" s="6841"/>
      <c r="AR54" s="6842" t="s">
        <v>1861</v>
      </c>
      <c r="AS54" s="6843"/>
      <c r="AT54" s="6844" t="s">
        <v>457</v>
      </c>
      <c r="AU54" s="6845"/>
      <c r="AV54" s="6224" t="s">
        <v>36</v>
      </c>
      <c r="AW54" s="6243" t="s">
        <v>37</v>
      </c>
    </row>
    <row r="55" spans="1:133" x14ac:dyDescent="0.3">
      <c r="A55" s="5755"/>
      <c r="B55" s="6481"/>
      <c r="C55" s="6645"/>
      <c r="D55" s="6848" t="s">
        <v>1862</v>
      </c>
      <c r="E55" s="6842"/>
      <c r="F55" s="6848" t="s">
        <v>935</v>
      </c>
      <c r="G55" s="6842"/>
      <c r="H55" s="6848" t="s">
        <v>1863</v>
      </c>
      <c r="I55" s="6849"/>
      <c r="J55" s="6842" t="s">
        <v>937</v>
      </c>
      <c r="K55" s="6842"/>
      <c r="L55" s="6848" t="s">
        <v>326</v>
      </c>
      <c r="M55" s="6842"/>
      <c r="N55" s="6848" t="s">
        <v>94</v>
      </c>
      <c r="O55" s="6842"/>
      <c r="P55" s="6848" t="s">
        <v>44</v>
      </c>
      <c r="Q55" s="6842"/>
      <c r="R55" s="6848" t="s">
        <v>45</v>
      </c>
      <c r="S55" s="6842"/>
      <c r="T55" s="6848" t="s">
        <v>46</v>
      </c>
      <c r="U55" s="6849"/>
      <c r="V55" s="6848" t="s">
        <v>47</v>
      </c>
      <c r="W55" s="6849"/>
      <c r="X55" s="6848" t="s">
        <v>48</v>
      </c>
      <c r="Y55" s="6849"/>
      <c r="Z55" s="6848" t="s">
        <v>49</v>
      </c>
      <c r="AA55" s="6849"/>
      <c r="AB55" s="6848" t="s">
        <v>50</v>
      </c>
      <c r="AC55" s="6849"/>
      <c r="AD55" s="6848" t="s">
        <v>51</v>
      </c>
      <c r="AE55" s="6849"/>
      <c r="AF55" s="6848" t="s">
        <v>52</v>
      </c>
      <c r="AG55" s="6849"/>
      <c r="AH55" s="6848" t="s">
        <v>53</v>
      </c>
      <c r="AI55" s="6849"/>
      <c r="AJ55" s="6848" t="s">
        <v>54</v>
      </c>
      <c r="AK55" s="6849"/>
      <c r="AL55" s="6848" t="s">
        <v>55</v>
      </c>
      <c r="AM55" s="6849"/>
      <c r="AN55" s="6848" t="s">
        <v>56</v>
      </c>
      <c r="AO55" s="6849"/>
      <c r="AP55" s="6848" t="s">
        <v>57</v>
      </c>
      <c r="AQ55" s="6843"/>
      <c r="AR55" s="6224" t="s">
        <v>58</v>
      </c>
      <c r="AS55" s="6851" t="s">
        <v>59</v>
      </c>
      <c r="AT55" s="6846"/>
      <c r="AU55" s="6847"/>
      <c r="AV55" s="6850"/>
      <c r="AW55" s="5759"/>
    </row>
    <row r="56" spans="1:133" x14ac:dyDescent="0.3">
      <c r="A56" s="6471"/>
      <c r="B56" s="3980" t="s">
        <v>1864</v>
      </c>
      <c r="C56" s="3979" t="s">
        <v>1865</v>
      </c>
      <c r="D56" s="3977" t="s">
        <v>1864</v>
      </c>
      <c r="E56" s="3978" t="s">
        <v>1865</v>
      </c>
      <c r="F56" s="3977" t="s">
        <v>1864</v>
      </c>
      <c r="G56" s="3978" t="s">
        <v>1865</v>
      </c>
      <c r="H56" s="3977" t="s">
        <v>1864</v>
      </c>
      <c r="I56" s="3979" t="s">
        <v>1865</v>
      </c>
      <c r="J56" s="3980" t="s">
        <v>1864</v>
      </c>
      <c r="K56" s="3978" t="s">
        <v>1865</v>
      </c>
      <c r="L56" s="3977" t="s">
        <v>1864</v>
      </c>
      <c r="M56" s="3978" t="s">
        <v>1865</v>
      </c>
      <c r="N56" s="3977" t="s">
        <v>1864</v>
      </c>
      <c r="O56" s="3978" t="s">
        <v>1865</v>
      </c>
      <c r="P56" s="3977" t="s">
        <v>1864</v>
      </c>
      <c r="Q56" s="3978" t="s">
        <v>1865</v>
      </c>
      <c r="R56" s="3977" t="s">
        <v>1864</v>
      </c>
      <c r="S56" s="3978" t="s">
        <v>1865</v>
      </c>
      <c r="T56" s="3977" t="s">
        <v>1864</v>
      </c>
      <c r="U56" s="3978" t="s">
        <v>1865</v>
      </c>
      <c r="V56" s="3977" t="s">
        <v>1864</v>
      </c>
      <c r="W56" s="3978" t="s">
        <v>1865</v>
      </c>
      <c r="X56" s="3977" t="s">
        <v>1864</v>
      </c>
      <c r="Y56" s="3978" t="s">
        <v>1865</v>
      </c>
      <c r="Z56" s="3977" t="s">
        <v>1864</v>
      </c>
      <c r="AA56" s="3978" t="s">
        <v>1865</v>
      </c>
      <c r="AB56" s="3977" t="s">
        <v>1864</v>
      </c>
      <c r="AC56" s="3978" t="s">
        <v>1865</v>
      </c>
      <c r="AD56" s="3977" t="s">
        <v>1864</v>
      </c>
      <c r="AE56" s="3978" t="s">
        <v>1865</v>
      </c>
      <c r="AF56" s="3977" t="s">
        <v>1864</v>
      </c>
      <c r="AG56" s="3978" t="s">
        <v>1865</v>
      </c>
      <c r="AH56" s="3977" t="s">
        <v>1864</v>
      </c>
      <c r="AI56" s="3978" t="s">
        <v>1865</v>
      </c>
      <c r="AJ56" s="3977" t="s">
        <v>1864</v>
      </c>
      <c r="AK56" s="3978" t="s">
        <v>1865</v>
      </c>
      <c r="AL56" s="3977" t="s">
        <v>1864</v>
      </c>
      <c r="AM56" s="3978" t="s">
        <v>1865</v>
      </c>
      <c r="AN56" s="3977" t="s">
        <v>1864</v>
      </c>
      <c r="AO56" s="3978" t="s">
        <v>1865</v>
      </c>
      <c r="AP56" s="3977" t="s">
        <v>1864</v>
      </c>
      <c r="AQ56" s="3981" t="s">
        <v>1865</v>
      </c>
      <c r="AR56" s="6626"/>
      <c r="AS56" s="5956"/>
      <c r="AT56" s="1784" t="s">
        <v>462</v>
      </c>
      <c r="AU56" s="1831" t="s">
        <v>463</v>
      </c>
      <c r="AV56" s="6626"/>
      <c r="AW56" s="6687"/>
    </row>
    <row r="57" spans="1:133" x14ac:dyDescent="0.3">
      <c r="A57" s="934" t="s">
        <v>1866</v>
      </c>
      <c r="B57" s="3308">
        <f t="shared" ref="B57:C64" si="148">+N57+P57+R57+T57+V57+X57+Z57+AB57+AD57+AF57+AH57+AJ57+AL57+AN57+AP57</f>
        <v>0</v>
      </c>
      <c r="C57" s="3983">
        <f t="shared" si="148"/>
        <v>0</v>
      </c>
      <c r="D57" s="4001"/>
      <c r="E57" s="3993"/>
      <c r="F57" s="3992"/>
      <c r="G57" s="3993"/>
      <c r="H57" s="3992"/>
      <c r="I57" s="3993"/>
      <c r="J57" s="3992"/>
      <c r="K57" s="3993"/>
      <c r="L57" s="3992"/>
      <c r="M57" s="3994"/>
      <c r="N57" s="3987"/>
      <c r="O57" s="3995"/>
      <c r="P57" s="3996"/>
      <c r="Q57" s="3995"/>
      <c r="R57" s="3996"/>
      <c r="S57" s="3995"/>
      <c r="T57" s="3996"/>
      <c r="U57" s="3995"/>
      <c r="V57" s="3996"/>
      <c r="W57" s="3995"/>
      <c r="X57" s="3996"/>
      <c r="Y57" s="3995"/>
      <c r="Z57" s="3996"/>
      <c r="AA57" s="3995"/>
      <c r="AB57" s="3996"/>
      <c r="AC57" s="3995"/>
      <c r="AD57" s="3996"/>
      <c r="AE57" s="3995"/>
      <c r="AF57" s="3996"/>
      <c r="AG57" s="3995"/>
      <c r="AH57" s="3996"/>
      <c r="AI57" s="3995"/>
      <c r="AJ57" s="3996"/>
      <c r="AK57" s="3995"/>
      <c r="AL57" s="3996"/>
      <c r="AM57" s="3995"/>
      <c r="AN57" s="3996"/>
      <c r="AO57" s="3995"/>
      <c r="AP57" s="3996"/>
      <c r="AQ57" s="3985"/>
      <c r="AR57" s="3984"/>
      <c r="AS57" s="3985"/>
      <c r="AT57" s="3986"/>
      <c r="AU57" s="3985"/>
      <c r="AV57" s="3987"/>
      <c r="AW57" s="3988"/>
      <c r="AX57" s="1898" t="str">
        <f t="shared" ref="AX57:AX64" si="149">$CA57&amp;CB57&amp;CC57&amp;$CD57&amp;CJ57&amp;CK57&amp;CL57&amp;CM57&amp;CN57&amp;CO57&amp;CP57&amp;CQ57&amp;CR57&amp;CS57&amp;CT57&amp;CU57&amp;CV57&amp;CW57&amp;CX57</f>
        <v/>
      </c>
      <c r="CA57" s="1899" t="str">
        <f>IF(B57&lt;&gt;(AS57)," * La suma de las columnas "&amp;AR$10&amp;""&amp;" DEBE SER IGUAL a los Exámenes Procesados. ","")</f>
        <v/>
      </c>
      <c r="CB57" s="1899" t="str">
        <f t="shared" ref="CB57:CB74" si="150">IF(AND($B57&gt;0,AND(AT57="",AU57="")),"* No olvide ingresar las columnas Trans Masculino o Femenino (*Digite CERO si no tiene). ",IF((AT57+AU57)&gt;$B57,"* El Número de Trans Masculino o Femenino no puede superar el Total Procesados. ",""))</f>
        <v/>
      </c>
      <c r="CC57" s="1899" t="str">
        <f t="shared" ref="CC57:CC74" si="151">IF(AND($B57&gt;0,AV57=""),"* No olvide ingresar la columna "&amp;AV$10&amp;""&amp;" *(Digite CERO si no tiene). ",IF(AV57&gt;$B57," *El Número de "&amp;AV$10&amp;""&amp;" no puede superar el Total Procesados. ",""))</f>
        <v/>
      </c>
      <c r="CD57" s="1899" t="str">
        <f t="shared" ref="CD57:CD74" si="152">IF(AND($B57&gt;0,AW57=""),"* No olvide ingresar la columna "&amp;AW$10&amp;""&amp;" *(Digite CERO si no tiene). ",IF(AW57&gt;$B57," *El Número de "&amp;AW$10&amp;""&amp;" no puede superar el Total Procesados. ",""))</f>
        <v/>
      </c>
      <c r="CE57" s="1900"/>
      <c r="CF57" s="1900"/>
      <c r="CG57" s="1900"/>
      <c r="CH57" s="1900"/>
      <c r="CI57" s="1900"/>
      <c r="CJ57" s="1899" t="str">
        <f t="shared" ref="CJ57:CJ65" si="153">IF(N57&lt;O57,CONCATENATE("* El total de Procesados debe ser mayor o igual al total de Reactivos en el grupo de edad ",$N$11),"")</f>
        <v/>
      </c>
      <c r="CK57" s="1899" t="str">
        <f t="shared" ref="CK57:CK65" si="154">IF(P57&lt;Q57,CONCATENATE("* El total de Procesados debe ser mayor o igual al total de Reactivos en el grupo de edad ",$P$11),"")</f>
        <v/>
      </c>
      <c r="CL57" s="1899" t="str">
        <f t="shared" ref="CL57:CL65" si="155">IF(R57&lt;S57,CONCATENATE("* El total de Procesados debe ser mayor o igual al total de Reactivos en el grupo de edad ",$R$11),"")</f>
        <v/>
      </c>
      <c r="CM57" s="1899" t="str">
        <f>IF($T57&lt;$U57,CONCATENATE("* El total de Procesados debe ser mayor o igual al total de Reactivos en el grupo de edad ",$T$11),"")</f>
        <v/>
      </c>
      <c r="CN57" s="1899" t="str">
        <f t="shared" ref="CN57:CN65" si="156">IF(V57&lt;W57,CONCATENATE("* El total de Procesados debe ser mayor o igual al total de Reactivos en el grupo de edad ",$V$11),"")</f>
        <v/>
      </c>
      <c r="CO57" s="1899" t="str">
        <f t="shared" ref="CO57:CO65" si="157">IF(X57&lt;Y57,CONCATENATE("* El total de Procesados debe ser mayor o igual al total de Reactivos en el grupo de edad ",$X$11),"")</f>
        <v/>
      </c>
      <c r="CP57" s="1899" t="str">
        <f t="shared" ref="CP57:CP65" si="158">IF(Z57&lt;AA57,CONCATENATE("* El total de Procesados debe ser mayor o igual al total de Reactivos en el grupo de edad ",$Z$11),"")</f>
        <v/>
      </c>
      <c r="CQ57" s="1899" t="str">
        <f t="shared" ref="CQ57:CQ65" si="159">IF(AB57&lt;AC57,CONCATENATE("* El total de Procesados debe ser mayor o igual al total de Reactivos en el grupo de edad ",$AB$11),"")</f>
        <v/>
      </c>
      <c r="CR57" s="1899" t="str">
        <f t="shared" ref="CR57:CR65" si="160">IF(AD57&lt;AE57,CONCATENATE("* El total de Procesados debe ser mayor o igual al total de Reactivos en el grupo de edad ",$AD$11),"")</f>
        <v/>
      </c>
      <c r="CS57" s="1899" t="str">
        <f t="shared" ref="CS57:CS65" si="161">IF(AF57&lt;AG57,CONCATENATE("* El total de Procesados debe ser mayor o igual al total de Reactivos en el grupo de edad ",$AF$11),"")</f>
        <v/>
      </c>
      <c r="CT57" s="1899" t="str">
        <f t="shared" ref="CT57:CT65" si="162">IF(AH57&lt;AI57,CONCATENATE("* El total de Procesados debe ser mayor o igual al total de Reactivos en el grupo de edad ",$AH$11),"")</f>
        <v/>
      </c>
      <c r="CU57" s="1899" t="str">
        <f t="shared" ref="CU57:CU65" si="163">IF(AJ57&lt;AK57,CONCATENATE("* El total de Procesados debe ser mayor o igual al total de Reactivos en el grupo de edad ",$AJ$11),"")</f>
        <v/>
      </c>
      <c r="CV57" s="1899" t="str">
        <f t="shared" ref="CV57:CV65" si="164">IF(AL57&lt;AM57,CONCATENATE("* El total de Procesados debe ser mayor o igual al total de Reactivos en el grupo de edad ",$AL$11),"")</f>
        <v/>
      </c>
      <c r="CW57" s="1899" t="str">
        <f t="shared" ref="CW57:CW65" si="165">IF(AN57&lt;AO57,CONCATENATE("* El total de Procesados debe ser mayor o igual al total de Reactivos en el grupo de edad ",$AN$11),"")</f>
        <v/>
      </c>
      <c r="CX57" s="1899" t="str">
        <f t="shared" ref="CX57:CX65" si="166">IF(AP57&lt;AQ57,CONCATENATE("* El total de Procesados debe ser mayor o igual al total de Reactivos en el grupo de edad ",$AP$11),"")</f>
        <v/>
      </c>
      <c r="DE57" s="1970"/>
      <c r="DF57" s="4005">
        <f>IF(B57&lt;&gt;(AS57),1,0)</f>
        <v>0</v>
      </c>
      <c r="DG57" s="3989">
        <f t="shared" ref="DG57:DG74" si="167">IF(AND($B57&gt;0,AND(AT57="",AU57="")),1,IF((AT57+AU57)&gt;$B57,1,0))</f>
        <v>0</v>
      </c>
      <c r="DH57" s="3989">
        <f t="shared" ref="DH57:DH74" si="168">IF(AND($B57&gt;0,AV57=""),1,IF(AV57&gt;$B57,1,0))</f>
        <v>0</v>
      </c>
      <c r="DI57" s="3989">
        <f t="shared" ref="DI57:DI74" si="169">IF(AND($B57&gt;0,AW57=""),1,IF(AW57&gt;$B57,1,0))</f>
        <v>0</v>
      </c>
      <c r="DJ57" s="1900"/>
      <c r="DK57" s="1900"/>
      <c r="DL57" s="1900"/>
      <c r="DM57" s="1900"/>
      <c r="DN57" s="1900"/>
      <c r="DO57" s="3989">
        <f t="shared" ref="DO57:DO65" si="170">IF(N57&lt;O57,1,0)</f>
        <v>0</v>
      </c>
      <c r="DP57" s="3989">
        <f t="shared" ref="DP57:DP65" si="171">IF(P57&lt;Q57,1,0)</f>
        <v>0</v>
      </c>
      <c r="DQ57" s="3989">
        <f t="shared" ref="DQ57:DQ65" si="172">IF(R57&lt;S57,1,0)</f>
        <v>0</v>
      </c>
      <c r="DR57" s="3989">
        <f>IF($T57&lt;$U57,1,0)</f>
        <v>0</v>
      </c>
      <c r="DS57" s="3989">
        <f t="shared" ref="DS57:DS65" si="173">IF(V57&lt;W57,1,0)</f>
        <v>0</v>
      </c>
      <c r="DT57" s="3989">
        <f t="shared" ref="DT57:DT65" si="174">IF(X57&lt;Y57,1,0)</f>
        <v>0</v>
      </c>
      <c r="DU57" s="3989">
        <f t="shared" ref="DU57:DU65" si="175">IF(Z57&lt;AA57,1,0)</f>
        <v>0</v>
      </c>
      <c r="DV57" s="3989">
        <f>IF(AB57&lt;AC57,1,0)</f>
        <v>0</v>
      </c>
      <c r="DW57" s="3989">
        <f t="shared" ref="DW57:DW65" si="176">IF(AD57&lt;AE57,1,0)</f>
        <v>0</v>
      </c>
      <c r="DX57" s="3989">
        <f t="shared" ref="DX57:DX65" si="177">IF(AF57&lt;AG57,1,0)</f>
        <v>0</v>
      </c>
      <c r="DY57" s="3989">
        <f t="shared" ref="DY57:DY65" si="178">IF(AH57&lt;AI57,1,0)</f>
        <v>0</v>
      </c>
      <c r="DZ57" s="3989">
        <f t="shared" ref="DZ57:DZ65" si="179">IF(AJ57&lt;AK57,1,0)</f>
        <v>0</v>
      </c>
      <c r="EA57" s="3989">
        <f t="shared" ref="EA57:EA65" si="180">IF(AL57&lt;AM57,1,0)</f>
        <v>0</v>
      </c>
      <c r="EB57" s="3989">
        <f t="shared" ref="EB57:EB65" si="181">IF(AN57&lt;AO57,1,0)</f>
        <v>0</v>
      </c>
      <c r="EC57" s="3989">
        <f t="shared" ref="EC57:EC65" si="182">IF(AP57&lt;AQ57,1,0)</f>
        <v>0</v>
      </c>
    </row>
    <row r="58" spans="1:133" x14ac:dyDescent="0.3">
      <c r="A58" s="4006" t="s">
        <v>1867</v>
      </c>
      <c r="B58" s="3991">
        <f t="shared" si="148"/>
        <v>0</v>
      </c>
      <c r="C58" s="345">
        <f t="shared" si="148"/>
        <v>0</v>
      </c>
      <c r="D58" s="4001"/>
      <c r="E58" s="3993"/>
      <c r="F58" s="3992"/>
      <c r="G58" s="3993"/>
      <c r="H58" s="3992"/>
      <c r="I58" s="3993"/>
      <c r="J58" s="3992"/>
      <c r="K58" s="3993"/>
      <c r="L58" s="3992"/>
      <c r="M58" s="3994"/>
      <c r="N58" s="3987"/>
      <c r="O58" s="3995"/>
      <c r="P58" s="3996"/>
      <c r="Q58" s="3995"/>
      <c r="R58" s="3996"/>
      <c r="S58" s="3995"/>
      <c r="T58" s="3996"/>
      <c r="U58" s="3995"/>
      <c r="V58" s="3996"/>
      <c r="W58" s="3995"/>
      <c r="X58" s="3996"/>
      <c r="Y58" s="3995"/>
      <c r="Z58" s="3996"/>
      <c r="AA58" s="3995"/>
      <c r="AB58" s="3996"/>
      <c r="AC58" s="3995"/>
      <c r="AD58" s="3996"/>
      <c r="AE58" s="3995"/>
      <c r="AF58" s="3996"/>
      <c r="AG58" s="3995"/>
      <c r="AH58" s="3996"/>
      <c r="AI58" s="3995"/>
      <c r="AJ58" s="3996"/>
      <c r="AK58" s="3995"/>
      <c r="AL58" s="3996"/>
      <c r="AM58" s="3995"/>
      <c r="AN58" s="3996"/>
      <c r="AO58" s="3995"/>
      <c r="AP58" s="3996"/>
      <c r="AQ58" s="3985"/>
      <c r="AR58" s="3984"/>
      <c r="AS58" s="3985"/>
      <c r="AT58" s="3986"/>
      <c r="AU58" s="3985"/>
      <c r="AV58" s="3987"/>
      <c r="AW58" s="3988"/>
      <c r="AX58" s="1898" t="str">
        <f t="shared" si="149"/>
        <v/>
      </c>
      <c r="CA58" s="1899" t="str">
        <f>IF(B58&lt;&gt;(AS58)," * La suma de las columnas "&amp;AR$10&amp;""&amp;" DEBE SER IGUAL a los Exámenes Procesados. ","")</f>
        <v/>
      </c>
      <c r="CB58" s="1899" t="str">
        <f t="shared" si="150"/>
        <v/>
      </c>
      <c r="CC58" s="1899" t="str">
        <f t="shared" si="151"/>
        <v/>
      </c>
      <c r="CD58" s="1899" t="str">
        <f t="shared" si="152"/>
        <v/>
      </c>
      <c r="CE58" s="1900"/>
      <c r="CF58" s="1900"/>
      <c r="CG58" s="1900"/>
      <c r="CH58" s="1900"/>
      <c r="CI58" s="1900"/>
      <c r="CJ58" s="1899" t="str">
        <f t="shared" si="153"/>
        <v/>
      </c>
      <c r="CK58" s="1899" t="str">
        <f t="shared" si="154"/>
        <v/>
      </c>
      <c r="CL58" s="1899" t="str">
        <f t="shared" si="155"/>
        <v/>
      </c>
      <c r="CM58" s="1899" t="str">
        <f t="shared" ref="CM58:CM74" si="183">IF($T58&lt;$U58,CONCATENATE("* El total de Procesados debe ser mayor o igual al total de Reactivos en el grupo de edad ",$T$11),"")</f>
        <v/>
      </c>
      <c r="CN58" s="1899" t="str">
        <f t="shared" si="156"/>
        <v/>
      </c>
      <c r="CO58" s="1899" t="str">
        <f t="shared" si="157"/>
        <v/>
      </c>
      <c r="CP58" s="1899" t="str">
        <f t="shared" si="158"/>
        <v/>
      </c>
      <c r="CQ58" s="1899" t="str">
        <f t="shared" si="159"/>
        <v/>
      </c>
      <c r="CR58" s="1899" t="str">
        <f t="shared" si="160"/>
        <v/>
      </c>
      <c r="CS58" s="1899" t="str">
        <f t="shared" si="161"/>
        <v/>
      </c>
      <c r="CT58" s="1899" t="str">
        <f t="shared" si="162"/>
        <v/>
      </c>
      <c r="CU58" s="1899" t="str">
        <f t="shared" si="163"/>
        <v/>
      </c>
      <c r="CV58" s="1899" t="str">
        <f t="shared" si="164"/>
        <v/>
      </c>
      <c r="CW58" s="1899" t="str">
        <f t="shared" si="165"/>
        <v/>
      </c>
      <c r="CX58" s="1899" t="str">
        <f t="shared" si="166"/>
        <v/>
      </c>
      <c r="DE58" s="1970"/>
      <c r="DF58" s="4005">
        <f>IF(B58&lt;&gt;(AS58),1,0)</f>
        <v>0</v>
      </c>
      <c r="DG58" s="3989">
        <f t="shared" si="167"/>
        <v>0</v>
      </c>
      <c r="DH58" s="3989">
        <f t="shared" si="168"/>
        <v>0</v>
      </c>
      <c r="DI58" s="3989">
        <f t="shared" si="169"/>
        <v>0</v>
      </c>
      <c r="DJ58" s="1900"/>
      <c r="DK58" s="1900"/>
      <c r="DL58" s="1900"/>
      <c r="DM58" s="1900"/>
      <c r="DN58" s="1900"/>
      <c r="DO58" s="3989">
        <f t="shared" si="170"/>
        <v>0</v>
      </c>
      <c r="DP58" s="3989">
        <f t="shared" si="171"/>
        <v>0</v>
      </c>
      <c r="DQ58" s="3989">
        <f t="shared" si="172"/>
        <v>0</v>
      </c>
      <c r="DR58" s="3989">
        <f t="shared" ref="DR58:DR74" si="184">IF($T58&lt;$U58,1,0)</f>
        <v>0</v>
      </c>
      <c r="DS58" s="3989">
        <f t="shared" si="173"/>
        <v>0</v>
      </c>
      <c r="DT58" s="3989">
        <f t="shared" si="174"/>
        <v>0</v>
      </c>
      <c r="DU58" s="3989">
        <f t="shared" si="175"/>
        <v>0</v>
      </c>
      <c r="DV58" s="3989">
        <f t="shared" ref="DV58:DV74" si="185">IF(AB58&lt;AC58,1,0)</f>
        <v>0</v>
      </c>
      <c r="DW58" s="3989">
        <f t="shared" si="176"/>
        <v>0</v>
      </c>
      <c r="DX58" s="3989">
        <f t="shared" si="177"/>
        <v>0</v>
      </c>
      <c r="DY58" s="3989">
        <f t="shared" si="178"/>
        <v>0</v>
      </c>
      <c r="DZ58" s="3989">
        <f t="shared" si="179"/>
        <v>0</v>
      </c>
      <c r="EA58" s="3989">
        <f t="shared" si="180"/>
        <v>0</v>
      </c>
      <c r="EB58" s="3989">
        <f t="shared" si="181"/>
        <v>0</v>
      </c>
      <c r="EC58" s="3989">
        <f t="shared" si="182"/>
        <v>0</v>
      </c>
    </row>
    <row r="59" spans="1:133" x14ac:dyDescent="0.3">
      <c r="A59" s="4006" t="s">
        <v>1868</v>
      </c>
      <c r="B59" s="3991">
        <f t="shared" si="148"/>
        <v>0</v>
      </c>
      <c r="C59" s="345">
        <f t="shared" si="148"/>
        <v>0</v>
      </c>
      <c r="D59" s="4001"/>
      <c r="E59" s="3993"/>
      <c r="F59" s="3992"/>
      <c r="G59" s="3993"/>
      <c r="H59" s="3992"/>
      <c r="I59" s="3993"/>
      <c r="J59" s="3992"/>
      <c r="K59" s="3993"/>
      <c r="L59" s="3992"/>
      <c r="M59" s="3994"/>
      <c r="N59" s="3987"/>
      <c r="O59" s="3995"/>
      <c r="P59" s="3996"/>
      <c r="Q59" s="3995"/>
      <c r="R59" s="3996"/>
      <c r="S59" s="3995"/>
      <c r="T59" s="3996"/>
      <c r="U59" s="3995"/>
      <c r="V59" s="3996"/>
      <c r="W59" s="3995"/>
      <c r="X59" s="3996"/>
      <c r="Y59" s="3995"/>
      <c r="Z59" s="3996"/>
      <c r="AA59" s="3995"/>
      <c r="AB59" s="3996"/>
      <c r="AC59" s="3995"/>
      <c r="AD59" s="3996"/>
      <c r="AE59" s="3995"/>
      <c r="AF59" s="3996"/>
      <c r="AG59" s="3995"/>
      <c r="AH59" s="3996"/>
      <c r="AI59" s="3995"/>
      <c r="AJ59" s="3996"/>
      <c r="AK59" s="3995"/>
      <c r="AL59" s="3996"/>
      <c r="AM59" s="3995"/>
      <c r="AN59" s="3996"/>
      <c r="AO59" s="3995"/>
      <c r="AP59" s="3996"/>
      <c r="AQ59" s="3985"/>
      <c r="AR59" s="3984"/>
      <c r="AS59" s="3985"/>
      <c r="AT59" s="3986"/>
      <c r="AU59" s="3985"/>
      <c r="AV59" s="3987"/>
      <c r="AW59" s="3988"/>
      <c r="AX59" s="1898" t="str">
        <f t="shared" si="149"/>
        <v/>
      </c>
      <c r="CA59" s="1899" t="str">
        <f>IF(B59&lt;&gt;(AS59)," * La suma de las columnas "&amp;AR$10&amp;""&amp;" DEBE SER IGUAL a los Exámenes Procesados. ","")</f>
        <v/>
      </c>
      <c r="CB59" s="1899" t="str">
        <f t="shared" si="150"/>
        <v/>
      </c>
      <c r="CC59" s="1899" t="str">
        <f t="shared" si="151"/>
        <v/>
      </c>
      <c r="CD59" s="1899" t="str">
        <f t="shared" si="152"/>
        <v/>
      </c>
      <c r="CE59" s="1900"/>
      <c r="CF59" s="1900"/>
      <c r="CG59" s="1900"/>
      <c r="CH59" s="1900"/>
      <c r="CI59" s="1900"/>
      <c r="CJ59" s="1899" t="str">
        <f t="shared" si="153"/>
        <v/>
      </c>
      <c r="CK59" s="1899" t="str">
        <f t="shared" si="154"/>
        <v/>
      </c>
      <c r="CL59" s="1899" t="str">
        <f t="shared" si="155"/>
        <v/>
      </c>
      <c r="CM59" s="1899" t="str">
        <f t="shared" si="183"/>
        <v/>
      </c>
      <c r="CN59" s="1899" t="str">
        <f t="shared" si="156"/>
        <v/>
      </c>
      <c r="CO59" s="1899" t="str">
        <f t="shared" si="157"/>
        <v/>
      </c>
      <c r="CP59" s="1899" t="str">
        <f t="shared" si="158"/>
        <v/>
      </c>
      <c r="CQ59" s="1899" t="str">
        <f t="shared" si="159"/>
        <v/>
      </c>
      <c r="CR59" s="1899" t="str">
        <f t="shared" si="160"/>
        <v/>
      </c>
      <c r="CS59" s="1899" t="str">
        <f t="shared" si="161"/>
        <v/>
      </c>
      <c r="CT59" s="1899" t="str">
        <f t="shared" si="162"/>
        <v/>
      </c>
      <c r="CU59" s="1899" t="str">
        <f t="shared" si="163"/>
        <v/>
      </c>
      <c r="CV59" s="1899" t="str">
        <f t="shared" si="164"/>
        <v/>
      </c>
      <c r="CW59" s="1899" t="str">
        <f t="shared" si="165"/>
        <v/>
      </c>
      <c r="CX59" s="1899" t="str">
        <f t="shared" si="166"/>
        <v/>
      </c>
      <c r="DE59" s="1970"/>
      <c r="DF59" s="4005">
        <f>IF(B59&lt;&gt;(AS59),1,0)</f>
        <v>0</v>
      </c>
      <c r="DG59" s="3989">
        <f t="shared" si="167"/>
        <v>0</v>
      </c>
      <c r="DH59" s="3989">
        <f t="shared" si="168"/>
        <v>0</v>
      </c>
      <c r="DI59" s="3989">
        <f t="shared" si="169"/>
        <v>0</v>
      </c>
      <c r="DJ59" s="1900"/>
      <c r="DK59" s="1900"/>
      <c r="DL59" s="1900"/>
      <c r="DM59" s="1900"/>
      <c r="DN59" s="1900"/>
      <c r="DO59" s="3989">
        <f t="shared" si="170"/>
        <v>0</v>
      </c>
      <c r="DP59" s="3989">
        <f t="shared" si="171"/>
        <v>0</v>
      </c>
      <c r="DQ59" s="3989">
        <f t="shared" si="172"/>
        <v>0</v>
      </c>
      <c r="DR59" s="3989">
        <f t="shared" si="184"/>
        <v>0</v>
      </c>
      <c r="DS59" s="3989">
        <f t="shared" si="173"/>
        <v>0</v>
      </c>
      <c r="DT59" s="3989">
        <f t="shared" si="174"/>
        <v>0</v>
      </c>
      <c r="DU59" s="3989">
        <f t="shared" si="175"/>
        <v>0</v>
      </c>
      <c r="DV59" s="3989">
        <f t="shared" si="185"/>
        <v>0</v>
      </c>
      <c r="DW59" s="3989">
        <f t="shared" si="176"/>
        <v>0</v>
      </c>
      <c r="DX59" s="3989">
        <f t="shared" si="177"/>
        <v>0</v>
      </c>
      <c r="DY59" s="3989">
        <f t="shared" si="178"/>
        <v>0</v>
      </c>
      <c r="DZ59" s="3989">
        <f t="shared" si="179"/>
        <v>0</v>
      </c>
      <c r="EA59" s="3989">
        <f t="shared" si="180"/>
        <v>0</v>
      </c>
      <c r="EB59" s="3989">
        <f t="shared" si="181"/>
        <v>0</v>
      </c>
      <c r="EC59" s="3989">
        <f t="shared" si="182"/>
        <v>0</v>
      </c>
    </row>
    <row r="60" spans="1:133" x14ac:dyDescent="0.3">
      <c r="A60" s="4006" t="s">
        <v>1869</v>
      </c>
      <c r="B60" s="3991">
        <f t="shared" si="148"/>
        <v>0</v>
      </c>
      <c r="C60" s="345">
        <f t="shared" si="148"/>
        <v>0</v>
      </c>
      <c r="D60" s="4001"/>
      <c r="E60" s="3993"/>
      <c r="F60" s="3992"/>
      <c r="G60" s="3993"/>
      <c r="H60" s="3992"/>
      <c r="I60" s="3993"/>
      <c r="J60" s="3992"/>
      <c r="K60" s="3993"/>
      <c r="L60" s="3992"/>
      <c r="M60" s="3994"/>
      <c r="N60" s="3987"/>
      <c r="O60" s="3995"/>
      <c r="P60" s="3996"/>
      <c r="Q60" s="3995"/>
      <c r="R60" s="3996"/>
      <c r="S60" s="3995"/>
      <c r="T60" s="3996"/>
      <c r="U60" s="3995"/>
      <c r="V60" s="3996"/>
      <c r="W60" s="3995"/>
      <c r="X60" s="3996"/>
      <c r="Y60" s="3995"/>
      <c r="Z60" s="3996"/>
      <c r="AA60" s="3995"/>
      <c r="AB60" s="3996"/>
      <c r="AC60" s="3995"/>
      <c r="AD60" s="3996"/>
      <c r="AE60" s="3995"/>
      <c r="AF60" s="3996"/>
      <c r="AG60" s="3995"/>
      <c r="AH60" s="3996"/>
      <c r="AI60" s="3995"/>
      <c r="AJ60" s="3996"/>
      <c r="AK60" s="3995"/>
      <c r="AL60" s="3996"/>
      <c r="AM60" s="3995"/>
      <c r="AN60" s="3996"/>
      <c r="AO60" s="3995"/>
      <c r="AP60" s="3996"/>
      <c r="AQ60" s="3985"/>
      <c r="AR60" s="3984"/>
      <c r="AS60" s="3985"/>
      <c r="AT60" s="3986"/>
      <c r="AU60" s="3985"/>
      <c r="AV60" s="3987"/>
      <c r="AW60" s="3988"/>
      <c r="AX60" s="1898" t="str">
        <f t="shared" si="149"/>
        <v/>
      </c>
      <c r="CA60" s="1899" t="str">
        <f>IF(B60&lt;&gt;(AS60)," * La suma de las columnas "&amp;AR$10&amp;""&amp;" DEBE SER IGUAL a los Exámenes Procesados. ","")</f>
        <v/>
      </c>
      <c r="CB60" s="1899" t="str">
        <f t="shared" si="150"/>
        <v/>
      </c>
      <c r="CC60" s="1899" t="str">
        <f t="shared" si="151"/>
        <v/>
      </c>
      <c r="CD60" s="1899" t="str">
        <f t="shared" si="152"/>
        <v/>
      </c>
      <c r="CE60" s="1900"/>
      <c r="CF60" s="1900"/>
      <c r="CG60" s="1900"/>
      <c r="CH60" s="1900"/>
      <c r="CI60" s="1900"/>
      <c r="CJ60" s="1899" t="str">
        <f t="shared" si="153"/>
        <v/>
      </c>
      <c r="CK60" s="1899" t="str">
        <f t="shared" si="154"/>
        <v/>
      </c>
      <c r="CL60" s="1899" t="str">
        <f t="shared" si="155"/>
        <v/>
      </c>
      <c r="CM60" s="1899" t="str">
        <f t="shared" si="183"/>
        <v/>
      </c>
      <c r="CN60" s="1899" t="str">
        <f t="shared" si="156"/>
        <v/>
      </c>
      <c r="CO60" s="1899" t="str">
        <f t="shared" si="157"/>
        <v/>
      </c>
      <c r="CP60" s="1899" t="str">
        <f t="shared" si="158"/>
        <v/>
      </c>
      <c r="CQ60" s="1899" t="str">
        <f t="shared" si="159"/>
        <v/>
      </c>
      <c r="CR60" s="1899" t="str">
        <f t="shared" si="160"/>
        <v/>
      </c>
      <c r="CS60" s="1899" t="str">
        <f t="shared" si="161"/>
        <v/>
      </c>
      <c r="CT60" s="1899" t="str">
        <f t="shared" si="162"/>
        <v/>
      </c>
      <c r="CU60" s="1899" t="str">
        <f t="shared" si="163"/>
        <v/>
      </c>
      <c r="CV60" s="1899" t="str">
        <f t="shared" si="164"/>
        <v/>
      </c>
      <c r="CW60" s="1899" t="str">
        <f t="shared" si="165"/>
        <v/>
      </c>
      <c r="CX60" s="1899" t="str">
        <f t="shared" si="166"/>
        <v/>
      </c>
      <c r="DE60" s="1970"/>
      <c r="DF60" s="4005">
        <f>IF(B60&lt;&gt;(AS60),1,0)</f>
        <v>0</v>
      </c>
      <c r="DG60" s="3989">
        <f t="shared" si="167"/>
        <v>0</v>
      </c>
      <c r="DH60" s="3989">
        <f t="shared" si="168"/>
        <v>0</v>
      </c>
      <c r="DI60" s="3989">
        <f t="shared" si="169"/>
        <v>0</v>
      </c>
      <c r="DJ60" s="1900"/>
      <c r="DK60" s="1900"/>
      <c r="DL60" s="1900"/>
      <c r="DM60" s="1900"/>
      <c r="DN60" s="1900"/>
      <c r="DO60" s="3989">
        <f t="shared" si="170"/>
        <v>0</v>
      </c>
      <c r="DP60" s="3989">
        <f t="shared" si="171"/>
        <v>0</v>
      </c>
      <c r="DQ60" s="3989">
        <f t="shared" si="172"/>
        <v>0</v>
      </c>
      <c r="DR60" s="3989">
        <f t="shared" si="184"/>
        <v>0</v>
      </c>
      <c r="DS60" s="3989">
        <f t="shared" si="173"/>
        <v>0</v>
      </c>
      <c r="DT60" s="3989">
        <f t="shared" si="174"/>
        <v>0</v>
      </c>
      <c r="DU60" s="3989">
        <f t="shared" si="175"/>
        <v>0</v>
      </c>
      <c r="DV60" s="3989">
        <f t="shared" si="185"/>
        <v>0</v>
      </c>
      <c r="DW60" s="3989">
        <f t="shared" si="176"/>
        <v>0</v>
      </c>
      <c r="DX60" s="3989">
        <f t="shared" si="177"/>
        <v>0</v>
      </c>
      <c r="DY60" s="3989">
        <f t="shared" si="178"/>
        <v>0</v>
      </c>
      <c r="DZ60" s="3989">
        <f t="shared" si="179"/>
        <v>0</v>
      </c>
      <c r="EA60" s="3989">
        <f t="shared" si="180"/>
        <v>0</v>
      </c>
      <c r="EB60" s="3989">
        <f t="shared" si="181"/>
        <v>0</v>
      </c>
      <c r="EC60" s="3989">
        <f t="shared" si="182"/>
        <v>0</v>
      </c>
    </row>
    <row r="61" spans="1:133" x14ac:dyDescent="0.3">
      <c r="A61" s="4007" t="s">
        <v>1870</v>
      </c>
      <c r="B61" s="3991">
        <f t="shared" si="148"/>
        <v>0</v>
      </c>
      <c r="C61" s="345">
        <f t="shared" si="148"/>
        <v>0</v>
      </c>
      <c r="D61" s="4001"/>
      <c r="E61" s="3993"/>
      <c r="F61" s="3992"/>
      <c r="G61" s="3993"/>
      <c r="H61" s="3992"/>
      <c r="I61" s="3993"/>
      <c r="J61" s="3992"/>
      <c r="K61" s="3993"/>
      <c r="L61" s="3992"/>
      <c r="M61" s="3994"/>
      <c r="N61" s="3987"/>
      <c r="O61" s="3995"/>
      <c r="P61" s="3996"/>
      <c r="Q61" s="3995"/>
      <c r="R61" s="3996"/>
      <c r="S61" s="3995"/>
      <c r="T61" s="3996"/>
      <c r="U61" s="3995"/>
      <c r="V61" s="3996"/>
      <c r="W61" s="3995"/>
      <c r="X61" s="3996"/>
      <c r="Y61" s="3995"/>
      <c r="Z61" s="3996"/>
      <c r="AA61" s="3995"/>
      <c r="AB61" s="3996"/>
      <c r="AC61" s="3995"/>
      <c r="AD61" s="3996"/>
      <c r="AE61" s="3995"/>
      <c r="AF61" s="3996"/>
      <c r="AG61" s="3995"/>
      <c r="AH61" s="3996"/>
      <c r="AI61" s="3995"/>
      <c r="AJ61" s="3996"/>
      <c r="AK61" s="3995"/>
      <c r="AL61" s="3996"/>
      <c r="AM61" s="3995"/>
      <c r="AN61" s="3996"/>
      <c r="AO61" s="3995"/>
      <c r="AP61" s="3996"/>
      <c r="AQ61" s="3985"/>
      <c r="AR61" s="3984"/>
      <c r="AS61" s="3985"/>
      <c r="AT61" s="3986"/>
      <c r="AU61" s="3985"/>
      <c r="AV61" s="3987"/>
      <c r="AW61" s="3988"/>
      <c r="AX61" s="1898" t="str">
        <f t="shared" si="149"/>
        <v/>
      </c>
      <c r="CA61" s="1899" t="str">
        <f>IF(B61&lt;&gt;(AS61)," * La suma de las columnas "&amp;AR$10&amp;""&amp;" DEBE SER IGUAL a los Exámenes Procesados. ","")</f>
        <v/>
      </c>
      <c r="CB61" s="1899" t="str">
        <f t="shared" si="150"/>
        <v/>
      </c>
      <c r="CC61" s="1899" t="str">
        <f t="shared" si="151"/>
        <v/>
      </c>
      <c r="CD61" s="1899" t="str">
        <f t="shared" si="152"/>
        <v/>
      </c>
      <c r="CE61" s="1900"/>
      <c r="CF61" s="1900"/>
      <c r="CG61" s="1900"/>
      <c r="CH61" s="1900"/>
      <c r="CI61" s="1900"/>
      <c r="CJ61" s="1899" t="str">
        <f t="shared" si="153"/>
        <v/>
      </c>
      <c r="CK61" s="1899" t="str">
        <f t="shared" si="154"/>
        <v/>
      </c>
      <c r="CL61" s="1899" t="str">
        <f t="shared" si="155"/>
        <v/>
      </c>
      <c r="CM61" s="1899" t="str">
        <f t="shared" si="183"/>
        <v/>
      </c>
      <c r="CN61" s="1899" t="str">
        <f t="shared" si="156"/>
        <v/>
      </c>
      <c r="CO61" s="1899" t="str">
        <f t="shared" si="157"/>
        <v/>
      </c>
      <c r="CP61" s="1899" t="str">
        <f t="shared" si="158"/>
        <v/>
      </c>
      <c r="CQ61" s="1899" t="str">
        <f t="shared" si="159"/>
        <v/>
      </c>
      <c r="CR61" s="1899" t="str">
        <f t="shared" si="160"/>
        <v/>
      </c>
      <c r="CS61" s="1899" t="str">
        <f t="shared" si="161"/>
        <v/>
      </c>
      <c r="CT61" s="1899" t="str">
        <f t="shared" si="162"/>
        <v/>
      </c>
      <c r="CU61" s="1899" t="str">
        <f t="shared" si="163"/>
        <v/>
      </c>
      <c r="CV61" s="1899" t="str">
        <f t="shared" si="164"/>
        <v/>
      </c>
      <c r="CW61" s="1899" t="str">
        <f t="shared" si="165"/>
        <v/>
      </c>
      <c r="CX61" s="1899" t="str">
        <f t="shared" si="166"/>
        <v/>
      </c>
      <c r="DE61" s="1970"/>
      <c r="DF61" s="4005">
        <f>IF(B61&lt;&gt;(AS61),1,0)</f>
        <v>0</v>
      </c>
      <c r="DG61" s="3989">
        <f t="shared" si="167"/>
        <v>0</v>
      </c>
      <c r="DH61" s="3989">
        <f t="shared" si="168"/>
        <v>0</v>
      </c>
      <c r="DI61" s="3989">
        <f t="shared" si="169"/>
        <v>0</v>
      </c>
      <c r="DJ61" s="1900"/>
      <c r="DK61" s="1900"/>
      <c r="DL61" s="1900"/>
      <c r="DM61" s="1900"/>
      <c r="DN61" s="1900"/>
      <c r="DO61" s="3989">
        <f t="shared" si="170"/>
        <v>0</v>
      </c>
      <c r="DP61" s="3989">
        <f t="shared" si="171"/>
        <v>0</v>
      </c>
      <c r="DQ61" s="3989">
        <f t="shared" si="172"/>
        <v>0</v>
      </c>
      <c r="DR61" s="3989">
        <f t="shared" si="184"/>
        <v>0</v>
      </c>
      <c r="DS61" s="3989">
        <f t="shared" si="173"/>
        <v>0</v>
      </c>
      <c r="DT61" s="3989">
        <f t="shared" si="174"/>
        <v>0</v>
      </c>
      <c r="DU61" s="3989">
        <f t="shared" si="175"/>
        <v>0</v>
      </c>
      <c r="DV61" s="3989">
        <f t="shared" si="185"/>
        <v>0</v>
      </c>
      <c r="DW61" s="3989">
        <f t="shared" si="176"/>
        <v>0</v>
      </c>
      <c r="DX61" s="3989">
        <f t="shared" si="177"/>
        <v>0</v>
      </c>
      <c r="DY61" s="3989">
        <f t="shared" si="178"/>
        <v>0</v>
      </c>
      <c r="DZ61" s="3989">
        <f t="shared" si="179"/>
        <v>0</v>
      </c>
      <c r="EA61" s="3989">
        <f t="shared" si="180"/>
        <v>0</v>
      </c>
      <c r="EB61" s="3989">
        <f t="shared" si="181"/>
        <v>0</v>
      </c>
      <c r="EC61" s="3989">
        <f t="shared" si="182"/>
        <v>0</v>
      </c>
    </row>
    <row r="62" spans="1:133" x14ac:dyDescent="0.3">
      <c r="A62" s="4007" t="s">
        <v>1871</v>
      </c>
      <c r="B62" s="3991">
        <f t="shared" si="148"/>
        <v>0</v>
      </c>
      <c r="C62" s="345">
        <f t="shared" si="148"/>
        <v>0</v>
      </c>
      <c r="D62" s="4001"/>
      <c r="E62" s="3993"/>
      <c r="F62" s="3992"/>
      <c r="G62" s="3993"/>
      <c r="H62" s="3992"/>
      <c r="I62" s="3993"/>
      <c r="J62" s="3992"/>
      <c r="K62" s="3993"/>
      <c r="L62" s="3992"/>
      <c r="M62" s="3994"/>
      <c r="N62" s="3987"/>
      <c r="O62" s="3995"/>
      <c r="P62" s="3996"/>
      <c r="Q62" s="3995"/>
      <c r="R62" s="3996"/>
      <c r="S62" s="3995"/>
      <c r="T62" s="3996"/>
      <c r="U62" s="3995"/>
      <c r="V62" s="3996"/>
      <c r="W62" s="3995"/>
      <c r="X62" s="3996"/>
      <c r="Y62" s="3995"/>
      <c r="Z62" s="3996"/>
      <c r="AA62" s="3995"/>
      <c r="AB62" s="3996"/>
      <c r="AC62" s="3995"/>
      <c r="AD62" s="3996"/>
      <c r="AE62" s="3995"/>
      <c r="AF62" s="3996"/>
      <c r="AG62" s="3995"/>
      <c r="AH62" s="3996"/>
      <c r="AI62" s="3995"/>
      <c r="AJ62" s="3996"/>
      <c r="AK62" s="3995"/>
      <c r="AL62" s="3996"/>
      <c r="AM62" s="3995"/>
      <c r="AN62" s="3996"/>
      <c r="AO62" s="3995"/>
      <c r="AP62" s="3996"/>
      <c r="AQ62" s="3985"/>
      <c r="AR62" s="3987"/>
      <c r="AS62" s="3985"/>
      <c r="AT62" s="3986"/>
      <c r="AU62" s="3985"/>
      <c r="AV62" s="3987"/>
      <c r="AW62" s="3988"/>
      <c r="AX62" s="1898" t="str">
        <f t="shared" si="149"/>
        <v/>
      </c>
      <c r="CA62" s="1899" t="str">
        <f>IF(B62&lt;&gt;(AS62+AR62)," * La suma de las columnas "&amp;AR$10&amp;""&amp;" DEBE SER IGUAL a los Exámenes Procesados. ","")</f>
        <v/>
      </c>
      <c r="CB62" s="1899" t="str">
        <f t="shared" si="150"/>
        <v/>
      </c>
      <c r="CC62" s="1899" t="str">
        <f t="shared" si="151"/>
        <v/>
      </c>
      <c r="CD62" s="1899" t="str">
        <f t="shared" si="152"/>
        <v/>
      </c>
      <c r="CE62" s="1900"/>
      <c r="CF62" s="1900"/>
      <c r="CG62" s="1900"/>
      <c r="CH62" s="1900"/>
      <c r="CI62" s="1900"/>
      <c r="CJ62" s="1899" t="str">
        <f t="shared" si="153"/>
        <v/>
      </c>
      <c r="CK62" s="1899" t="str">
        <f t="shared" si="154"/>
        <v/>
      </c>
      <c r="CL62" s="1899" t="str">
        <f t="shared" si="155"/>
        <v/>
      </c>
      <c r="CM62" s="1899" t="str">
        <f t="shared" si="183"/>
        <v/>
      </c>
      <c r="CN62" s="1899" t="str">
        <f t="shared" si="156"/>
        <v/>
      </c>
      <c r="CO62" s="1899" t="str">
        <f t="shared" si="157"/>
        <v/>
      </c>
      <c r="CP62" s="1899" t="str">
        <f t="shared" si="158"/>
        <v/>
      </c>
      <c r="CQ62" s="1899" t="str">
        <f t="shared" si="159"/>
        <v/>
      </c>
      <c r="CR62" s="1899" t="str">
        <f t="shared" si="160"/>
        <v/>
      </c>
      <c r="CS62" s="1899" t="str">
        <f t="shared" si="161"/>
        <v/>
      </c>
      <c r="CT62" s="1899" t="str">
        <f t="shared" si="162"/>
        <v/>
      </c>
      <c r="CU62" s="1899" t="str">
        <f t="shared" si="163"/>
        <v/>
      </c>
      <c r="CV62" s="1899" t="str">
        <f t="shared" si="164"/>
        <v/>
      </c>
      <c r="CW62" s="1899" t="str">
        <f t="shared" si="165"/>
        <v/>
      </c>
      <c r="CX62" s="1899" t="str">
        <f t="shared" si="166"/>
        <v/>
      </c>
      <c r="DE62" s="1970"/>
      <c r="DF62" s="4005">
        <f>IF(B62&lt;&gt;(AS62+AR62),1,0)</f>
        <v>0</v>
      </c>
      <c r="DG62" s="3989">
        <f t="shared" si="167"/>
        <v>0</v>
      </c>
      <c r="DH62" s="3989">
        <f t="shared" si="168"/>
        <v>0</v>
      </c>
      <c r="DI62" s="3989">
        <f t="shared" si="169"/>
        <v>0</v>
      </c>
      <c r="DJ62" s="1900"/>
      <c r="DK62" s="1900"/>
      <c r="DL62" s="1900"/>
      <c r="DM62" s="1900"/>
      <c r="DN62" s="1900"/>
      <c r="DO62" s="3989">
        <f t="shared" si="170"/>
        <v>0</v>
      </c>
      <c r="DP62" s="3989">
        <f t="shared" si="171"/>
        <v>0</v>
      </c>
      <c r="DQ62" s="3989">
        <f t="shared" si="172"/>
        <v>0</v>
      </c>
      <c r="DR62" s="3989">
        <f t="shared" si="184"/>
        <v>0</v>
      </c>
      <c r="DS62" s="3989">
        <f t="shared" si="173"/>
        <v>0</v>
      </c>
      <c r="DT62" s="3989">
        <f t="shared" si="174"/>
        <v>0</v>
      </c>
      <c r="DU62" s="3989">
        <f t="shared" si="175"/>
        <v>0</v>
      </c>
      <c r="DV62" s="3989">
        <f t="shared" si="185"/>
        <v>0</v>
      </c>
      <c r="DW62" s="3989">
        <f t="shared" si="176"/>
        <v>0</v>
      </c>
      <c r="DX62" s="3989">
        <f t="shared" si="177"/>
        <v>0</v>
      </c>
      <c r="DY62" s="3989">
        <f t="shared" si="178"/>
        <v>0</v>
      </c>
      <c r="DZ62" s="3989">
        <f t="shared" si="179"/>
        <v>0</v>
      </c>
      <c r="EA62" s="3989">
        <f t="shared" si="180"/>
        <v>0</v>
      </c>
      <c r="EB62" s="3989">
        <f t="shared" si="181"/>
        <v>0</v>
      </c>
      <c r="EC62" s="3989">
        <f t="shared" si="182"/>
        <v>0</v>
      </c>
    </row>
    <row r="63" spans="1:133" x14ac:dyDescent="0.3">
      <c r="A63" s="4007" t="s">
        <v>1872</v>
      </c>
      <c r="B63" s="3991">
        <f t="shared" si="148"/>
        <v>0</v>
      </c>
      <c r="C63" s="345">
        <f t="shared" si="148"/>
        <v>0</v>
      </c>
      <c r="D63" s="4001"/>
      <c r="E63" s="3993"/>
      <c r="F63" s="3992"/>
      <c r="G63" s="3993"/>
      <c r="H63" s="3992"/>
      <c r="I63" s="3993"/>
      <c r="J63" s="3992"/>
      <c r="K63" s="3993"/>
      <c r="L63" s="3992"/>
      <c r="M63" s="3994"/>
      <c r="N63" s="3987"/>
      <c r="O63" s="3995"/>
      <c r="P63" s="3996"/>
      <c r="Q63" s="3995"/>
      <c r="R63" s="3996"/>
      <c r="S63" s="3995"/>
      <c r="T63" s="3996"/>
      <c r="U63" s="3995"/>
      <c r="V63" s="3996"/>
      <c r="W63" s="3995"/>
      <c r="X63" s="3996"/>
      <c r="Y63" s="3995"/>
      <c r="Z63" s="3996"/>
      <c r="AA63" s="3995"/>
      <c r="AB63" s="3996"/>
      <c r="AC63" s="3995"/>
      <c r="AD63" s="3996"/>
      <c r="AE63" s="3995"/>
      <c r="AF63" s="3996"/>
      <c r="AG63" s="3995"/>
      <c r="AH63" s="3996"/>
      <c r="AI63" s="3995"/>
      <c r="AJ63" s="3996"/>
      <c r="AK63" s="3995"/>
      <c r="AL63" s="3996"/>
      <c r="AM63" s="3995"/>
      <c r="AN63" s="3996"/>
      <c r="AO63" s="3995"/>
      <c r="AP63" s="3996"/>
      <c r="AQ63" s="3985"/>
      <c r="AR63" s="3984"/>
      <c r="AS63" s="3985"/>
      <c r="AT63" s="3986"/>
      <c r="AU63" s="3985"/>
      <c r="AV63" s="3987"/>
      <c r="AW63" s="3988"/>
      <c r="AX63" s="1898" t="str">
        <f t="shared" si="149"/>
        <v/>
      </c>
      <c r="CA63" s="1899" t="str">
        <f>IF(B63&lt;&gt;(AS63)," * La suma de las columnas "&amp;AR$10&amp;""&amp;" DEBE SER IGUAL a los Exámenes Procesados. ","")</f>
        <v/>
      </c>
      <c r="CB63" s="1899" t="str">
        <f t="shared" si="150"/>
        <v/>
      </c>
      <c r="CC63" s="1899" t="str">
        <f t="shared" si="151"/>
        <v/>
      </c>
      <c r="CD63" s="1899" t="str">
        <f t="shared" si="152"/>
        <v/>
      </c>
      <c r="CE63" s="1900"/>
      <c r="CF63" s="1900"/>
      <c r="CG63" s="1900"/>
      <c r="CH63" s="1900"/>
      <c r="CI63" s="1900"/>
      <c r="CJ63" s="1899" t="str">
        <f t="shared" si="153"/>
        <v/>
      </c>
      <c r="CK63" s="1899" t="str">
        <f t="shared" si="154"/>
        <v/>
      </c>
      <c r="CL63" s="1899" t="str">
        <f t="shared" si="155"/>
        <v/>
      </c>
      <c r="CM63" s="1899" t="str">
        <f t="shared" si="183"/>
        <v/>
      </c>
      <c r="CN63" s="1899" t="str">
        <f t="shared" si="156"/>
        <v/>
      </c>
      <c r="CO63" s="1899" t="str">
        <f t="shared" si="157"/>
        <v/>
      </c>
      <c r="CP63" s="1899" t="str">
        <f t="shared" si="158"/>
        <v/>
      </c>
      <c r="CQ63" s="1899" t="str">
        <f t="shared" si="159"/>
        <v/>
      </c>
      <c r="CR63" s="1899" t="str">
        <f t="shared" si="160"/>
        <v/>
      </c>
      <c r="CS63" s="1899" t="str">
        <f t="shared" si="161"/>
        <v/>
      </c>
      <c r="CT63" s="1899" t="str">
        <f t="shared" si="162"/>
        <v/>
      </c>
      <c r="CU63" s="1899" t="str">
        <f t="shared" si="163"/>
        <v/>
      </c>
      <c r="CV63" s="1899" t="str">
        <f t="shared" si="164"/>
        <v/>
      </c>
      <c r="CW63" s="1899" t="str">
        <f t="shared" si="165"/>
        <v/>
      </c>
      <c r="CX63" s="1899" t="str">
        <f t="shared" si="166"/>
        <v/>
      </c>
      <c r="DE63" s="1970"/>
      <c r="DF63" s="4005">
        <f>IF(B63&lt;&gt;(AS63),1,0)</f>
        <v>0</v>
      </c>
      <c r="DG63" s="3989">
        <f t="shared" si="167"/>
        <v>0</v>
      </c>
      <c r="DH63" s="3989">
        <f t="shared" si="168"/>
        <v>0</v>
      </c>
      <c r="DI63" s="3989">
        <f t="shared" si="169"/>
        <v>0</v>
      </c>
      <c r="DJ63" s="1900"/>
      <c r="DK63" s="1900"/>
      <c r="DL63" s="1900"/>
      <c r="DM63" s="1900"/>
      <c r="DN63" s="1900"/>
      <c r="DO63" s="3989">
        <f t="shared" si="170"/>
        <v>0</v>
      </c>
      <c r="DP63" s="3989">
        <f t="shared" si="171"/>
        <v>0</v>
      </c>
      <c r="DQ63" s="3989">
        <f t="shared" si="172"/>
        <v>0</v>
      </c>
      <c r="DR63" s="3989">
        <f t="shared" si="184"/>
        <v>0</v>
      </c>
      <c r="DS63" s="3989">
        <f t="shared" si="173"/>
        <v>0</v>
      </c>
      <c r="DT63" s="3989">
        <f t="shared" si="174"/>
        <v>0</v>
      </c>
      <c r="DU63" s="3989">
        <f t="shared" si="175"/>
        <v>0</v>
      </c>
      <c r="DV63" s="3989">
        <f t="shared" si="185"/>
        <v>0</v>
      </c>
      <c r="DW63" s="3989">
        <f t="shared" si="176"/>
        <v>0</v>
      </c>
      <c r="DX63" s="3989">
        <f t="shared" si="177"/>
        <v>0</v>
      </c>
      <c r="DY63" s="3989">
        <f t="shared" si="178"/>
        <v>0</v>
      </c>
      <c r="DZ63" s="3989">
        <f t="shared" si="179"/>
        <v>0</v>
      </c>
      <c r="EA63" s="3989">
        <f t="shared" si="180"/>
        <v>0</v>
      </c>
      <c r="EB63" s="3989">
        <f t="shared" si="181"/>
        <v>0</v>
      </c>
      <c r="EC63" s="3989">
        <f t="shared" si="182"/>
        <v>0</v>
      </c>
    </row>
    <row r="64" spans="1:133" x14ac:dyDescent="0.3">
      <c r="A64" s="4006" t="s">
        <v>1873</v>
      </c>
      <c r="B64" s="3991">
        <f t="shared" si="148"/>
        <v>0</v>
      </c>
      <c r="C64" s="345">
        <f t="shared" si="148"/>
        <v>0</v>
      </c>
      <c r="D64" s="4001"/>
      <c r="E64" s="3993"/>
      <c r="F64" s="3992"/>
      <c r="G64" s="3993"/>
      <c r="H64" s="3992"/>
      <c r="I64" s="3993"/>
      <c r="J64" s="3992"/>
      <c r="K64" s="3993"/>
      <c r="L64" s="3992"/>
      <c r="M64" s="3994"/>
      <c r="N64" s="3987"/>
      <c r="O64" s="3995"/>
      <c r="P64" s="3996"/>
      <c r="Q64" s="3995"/>
      <c r="R64" s="3996"/>
      <c r="S64" s="3995"/>
      <c r="T64" s="3996"/>
      <c r="U64" s="3995"/>
      <c r="V64" s="3996"/>
      <c r="W64" s="3995"/>
      <c r="X64" s="3996"/>
      <c r="Y64" s="3995"/>
      <c r="Z64" s="3996"/>
      <c r="AA64" s="3995"/>
      <c r="AB64" s="3996"/>
      <c r="AC64" s="3995"/>
      <c r="AD64" s="3996"/>
      <c r="AE64" s="3995"/>
      <c r="AF64" s="3996"/>
      <c r="AG64" s="3995"/>
      <c r="AH64" s="3996"/>
      <c r="AI64" s="3995"/>
      <c r="AJ64" s="3996"/>
      <c r="AK64" s="3995"/>
      <c r="AL64" s="3996"/>
      <c r="AM64" s="3995"/>
      <c r="AN64" s="3996"/>
      <c r="AO64" s="3995"/>
      <c r="AP64" s="3996"/>
      <c r="AQ64" s="3985"/>
      <c r="AR64" s="3984"/>
      <c r="AS64" s="3985"/>
      <c r="AT64" s="3986"/>
      <c r="AU64" s="3985"/>
      <c r="AV64" s="3987"/>
      <c r="AW64" s="3988"/>
      <c r="AX64" s="1898" t="str">
        <f t="shared" si="149"/>
        <v/>
      </c>
      <c r="CA64" s="1899" t="str">
        <f>IF(B64&lt;&gt;(AS64)," * La suma de las columnas "&amp;AR$10&amp;""&amp;" DEBE SER IGUAL a los Exámenes Procesados. ","")</f>
        <v/>
      </c>
      <c r="CB64" s="1899" t="str">
        <f t="shared" si="150"/>
        <v/>
      </c>
      <c r="CC64" s="1899" t="str">
        <f t="shared" si="151"/>
        <v/>
      </c>
      <c r="CD64" s="1899" t="str">
        <f t="shared" si="152"/>
        <v/>
      </c>
      <c r="CE64" s="1900"/>
      <c r="CF64" s="1900"/>
      <c r="CG64" s="1900"/>
      <c r="CH64" s="1900"/>
      <c r="CI64" s="1900"/>
      <c r="CJ64" s="1899" t="str">
        <f t="shared" si="153"/>
        <v/>
      </c>
      <c r="CK64" s="1899" t="str">
        <f t="shared" si="154"/>
        <v/>
      </c>
      <c r="CL64" s="1899" t="str">
        <f t="shared" si="155"/>
        <v/>
      </c>
      <c r="CM64" s="1899" t="str">
        <f t="shared" si="183"/>
        <v/>
      </c>
      <c r="CN64" s="1899" t="str">
        <f t="shared" si="156"/>
        <v/>
      </c>
      <c r="CO64" s="1899" t="str">
        <f t="shared" si="157"/>
        <v/>
      </c>
      <c r="CP64" s="1899" t="str">
        <f t="shared" si="158"/>
        <v/>
      </c>
      <c r="CQ64" s="1899" t="str">
        <f t="shared" si="159"/>
        <v/>
      </c>
      <c r="CR64" s="1899" t="str">
        <f t="shared" si="160"/>
        <v/>
      </c>
      <c r="CS64" s="1899" t="str">
        <f t="shared" si="161"/>
        <v/>
      </c>
      <c r="CT64" s="1899" t="str">
        <f t="shared" si="162"/>
        <v/>
      </c>
      <c r="CU64" s="1899" t="str">
        <f t="shared" si="163"/>
        <v/>
      </c>
      <c r="CV64" s="1899" t="str">
        <f t="shared" si="164"/>
        <v/>
      </c>
      <c r="CW64" s="1899" t="str">
        <f t="shared" si="165"/>
        <v/>
      </c>
      <c r="CX64" s="1899" t="str">
        <f t="shared" si="166"/>
        <v/>
      </c>
      <c r="DE64" s="1970"/>
      <c r="DF64" s="4005">
        <f>IF(B64&lt;&gt;(AS64),1,0)</f>
        <v>0</v>
      </c>
      <c r="DG64" s="3989">
        <f t="shared" si="167"/>
        <v>0</v>
      </c>
      <c r="DH64" s="3989">
        <f t="shared" si="168"/>
        <v>0</v>
      </c>
      <c r="DI64" s="3989">
        <f t="shared" si="169"/>
        <v>0</v>
      </c>
      <c r="DJ64" s="1900"/>
      <c r="DK64" s="1900"/>
      <c r="DL64" s="1900"/>
      <c r="DM64" s="1900"/>
      <c r="DN64" s="1900"/>
      <c r="DO64" s="3989">
        <f t="shared" si="170"/>
        <v>0</v>
      </c>
      <c r="DP64" s="3989">
        <f t="shared" si="171"/>
        <v>0</v>
      </c>
      <c r="DQ64" s="3989">
        <f t="shared" si="172"/>
        <v>0</v>
      </c>
      <c r="DR64" s="3989">
        <f t="shared" si="184"/>
        <v>0</v>
      </c>
      <c r="DS64" s="3989">
        <f t="shared" si="173"/>
        <v>0</v>
      </c>
      <c r="DT64" s="3989">
        <f t="shared" si="174"/>
        <v>0</v>
      </c>
      <c r="DU64" s="3989">
        <f t="shared" si="175"/>
        <v>0</v>
      </c>
      <c r="DV64" s="3989">
        <f t="shared" si="185"/>
        <v>0</v>
      </c>
      <c r="DW64" s="3989">
        <f t="shared" si="176"/>
        <v>0</v>
      </c>
      <c r="DX64" s="3989">
        <f t="shared" si="177"/>
        <v>0</v>
      </c>
      <c r="DY64" s="3989">
        <f t="shared" si="178"/>
        <v>0</v>
      </c>
      <c r="DZ64" s="3989">
        <f t="shared" si="179"/>
        <v>0</v>
      </c>
      <c r="EA64" s="3989">
        <f t="shared" si="180"/>
        <v>0</v>
      </c>
      <c r="EB64" s="3989">
        <f t="shared" si="181"/>
        <v>0</v>
      </c>
      <c r="EC64" s="3989">
        <f t="shared" si="182"/>
        <v>0</v>
      </c>
    </row>
    <row r="65" spans="1:133" x14ac:dyDescent="0.3">
      <c r="A65" s="4006" t="s">
        <v>1874</v>
      </c>
      <c r="B65" s="3991">
        <f>+D65+F65+H65+J65+L65+N65+P65+R65+T65+V65+X65+Z65+AB65+AD65+AF65+AH65+AJ65+AL65+AN65+AP65</f>
        <v>0</v>
      </c>
      <c r="C65" s="345">
        <f>+E65+G65+I65+K65+M65+O65+Q65+S65+U65+W65+Y65+AA65+AC65+AE65+AG65+AI65+AK65+AM65+AO65+AQ65</f>
        <v>0</v>
      </c>
      <c r="D65" s="3987"/>
      <c r="E65" s="3995"/>
      <c r="F65" s="3996"/>
      <c r="G65" s="3995"/>
      <c r="H65" s="3996"/>
      <c r="I65" s="3988"/>
      <c r="J65" s="3987"/>
      <c r="K65" s="3987"/>
      <c r="L65" s="3996"/>
      <c r="M65" s="3988"/>
      <c r="N65" s="3987"/>
      <c r="O65" s="3995"/>
      <c r="P65" s="3996"/>
      <c r="Q65" s="3995"/>
      <c r="R65" s="3996"/>
      <c r="S65" s="3995"/>
      <c r="T65" s="3996"/>
      <c r="U65" s="3995"/>
      <c r="V65" s="3996"/>
      <c r="W65" s="3995"/>
      <c r="X65" s="3996"/>
      <c r="Y65" s="3995"/>
      <c r="Z65" s="3996"/>
      <c r="AA65" s="3995"/>
      <c r="AB65" s="3996"/>
      <c r="AC65" s="3995"/>
      <c r="AD65" s="3996"/>
      <c r="AE65" s="3995"/>
      <c r="AF65" s="3996"/>
      <c r="AG65" s="3995"/>
      <c r="AH65" s="3996"/>
      <c r="AI65" s="3995"/>
      <c r="AJ65" s="3996"/>
      <c r="AK65" s="3995"/>
      <c r="AL65" s="3996"/>
      <c r="AM65" s="3995"/>
      <c r="AN65" s="3996"/>
      <c r="AO65" s="3995"/>
      <c r="AP65" s="3996"/>
      <c r="AQ65" s="3985"/>
      <c r="AR65" s="3984"/>
      <c r="AS65" s="3985"/>
      <c r="AT65" s="3986"/>
      <c r="AU65" s="3985"/>
      <c r="AV65" s="3987"/>
      <c r="AW65" s="3988"/>
      <c r="AX65" s="1898" t="str">
        <f>$CA65&amp;CB65&amp;CC65&amp;$CD65&amp;CJ65&amp;CE65&amp;CF65&amp;CG65&amp;CH65&amp;CI65&amp;CK65&amp;CL65&amp;CM65&amp;CN65&amp;CO65&amp;CP65&amp;CQ65&amp;CR65&amp;CS65&amp;CT65&amp;CU65&amp;CV65&amp;CW65&amp;CX65</f>
        <v/>
      </c>
      <c r="CA65" s="1899" t="str">
        <f>IF(B65&lt;&gt;(AS65)," * La suma de las columnas "&amp;AR$10&amp;""&amp;" DEBE SER IGUAL a los Exámenes Procesados. ","")</f>
        <v/>
      </c>
      <c r="CB65" s="1899" t="str">
        <f t="shared" si="150"/>
        <v/>
      </c>
      <c r="CC65" s="1899" t="str">
        <f t="shared" si="151"/>
        <v/>
      </c>
      <c r="CD65" s="1899" t="str">
        <f t="shared" si="152"/>
        <v/>
      </c>
      <c r="CE65" s="1899" t="str">
        <f>IF(D65&lt;E65,CONCATENATE("* El total de Procesados debe ser mayor o igual al total de Reactivos en el grupo de edad ",$D$11),"")</f>
        <v/>
      </c>
      <c r="CF65" s="1899" t="str">
        <f>IF(F65&lt;G65,CONCATENATE("* El total de Procesados debe ser mayor o igual al total de Reactivos en el grupo de edad ",$F$11),"")</f>
        <v/>
      </c>
      <c r="CG65" s="1899" t="str">
        <f>IF(H65&lt;I65,CONCATENATE("* El total de Procesados debe ser mayor o igual al total de Reactivos en el grupo de edad ",$H$11),"")</f>
        <v/>
      </c>
      <c r="CH65" s="1899" t="str">
        <f>IF(J65&lt;K65,CONCATENATE("* El total de Procesados debe ser mayor o igual al total de Reactivos en el grupo de edad ",$J$11),"")</f>
        <v/>
      </c>
      <c r="CI65" s="1899" t="str">
        <f>IF(L65&lt;M65,CONCATENATE("* El total de Procesados debe ser mayor o igual al total de Reactivos en el grupo de edad ",$L$11),"")</f>
        <v/>
      </c>
      <c r="CJ65" s="1899" t="str">
        <f t="shared" si="153"/>
        <v/>
      </c>
      <c r="CK65" s="1899" t="str">
        <f t="shared" si="154"/>
        <v/>
      </c>
      <c r="CL65" s="1899" t="str">
        <f t="shared" si="155"/>
        <v/>
      </c>
      <c r="CM65" s="1899" t="str">
        <f t="shared" si="183"/>
        <v/>
      </c>
      <c r="CN65" s="1899" t="str">
        <f t="shared" si="156"/>
        <v/>
      </c>
      <c r="CO65" s="1899" t="str">
        <f t="shared" si="157"/>
        <v/>
      </c>
      <c r="CP65" s="1899" t="str">
        <f t="shared" si="158"/>
        <v/>
      </c>
      <c r="CQ65" s="1899" t="str">
        <f t="shared" si="159"/>
        <v/>
      </c>
      <c r="CR65" s="1899" t="str">
        <f t="shared" si="160"/>
        <v/>
      </c>
      <c r="CS65" s="1899" t="str">
        <f t="shared" si="161"/>
        <v/>
      </c>
      <c r="CT65" s="1899" t="str">
        <f t="shared" si="162"/>
        <v/>
      </c>
      <c r="CU65" s="1899" t="str">
        <f t="shared" si="163"/>
        <v/>
      </c>
      <c r="CV65" s="1899" t="str">
        <f t="shared" si="164"/>
        <v/>
      </c>
      <c r="CW65" s="1899" t="str">
        <f t="shared" si="165"/>
        <v/>
      </c>
      <c r="CX65" s="1899" t="str">
        <f t="shared" si="166"/>
        <v/>
      </c>
      <c r="DE65" s="1970"/>
      <c r="DF65" s="4005">
        <f>IF(B65&lt;&gt;(AS65),1,0)</f>
        <v>0</v>
      </c>
      <c r="DG65" s="3989">
        <f t="shared" si="167"/>
        <v>0</v>
      </c>
      <c r="DH65" s="3989">
        <f t="shared" si="168"/>
        <v>0</v>
      </c>
      <c r="DI65" s="3989">
        <f t="shared" si="169"/>
        <v>0</v>
      </c>
      <c r="DJ65" s="3989">
        <f>IF(D65&lt;E65,1,0)</f>
        <v>0</v>
      </c>
      <c r="DK65" s="3989">
        <f>IF(F65&lt;G65,1,0)</f>
        <v>0</v>
      </c>
      <c r="DL65" s="3989">
        <f>IF(H65&lt;I65,1,0)</f>
        <v>0</v>
      </c>
      <c r="DM65" s="3989">
        <f>IF(J65&lt;K65,1,0)</f>
        <v>0</v>
      </c>
      <c r="DN65" s="3989">
        <f>IF(L65&lt;M65,1,0)</f>
        <v>0</v>
      </c>
      <c r="DO65" s="3989">
        <f t="shared" si="170"/>
        <v>0</v>
      </c>
      <c r="DP65" s="3989">
        <f t="shared" si="171"/>
        <v>0</v>
      </c>
      <c r="DQ65" s="3989">
        <f t="shared" si="172"/>
        <v>0</v>
      </c>
      <c r="DR65" s="3989">
        <f t="shared" si="184"/>
        <v>0</v>
      </c>
      <c r="DS65" s="3989">
        <f t="shared" si="173"/>
        <v>0</v>
      </c>
      <c r="DT65" s="3989">
        <f t="shared" si="174"/>
        <v>0</v>
      </c>
      <c r="DU65" s="3989">
        <f t="shared" si="175"/>
        <v>0</v>
      </c>
      <c r="DV65" s="3989">
        <f t="shared" si="185"/>
        <v>0</v>
      </c>
      <c r="DW65" s="3989">
        <f t="shared" si="176"/>
        <v>0</v>
      </c>
      <c r="DX65" s="3989">
        <f t="shared" si="177"/>
        <v>0</v>
      </c>
      <c r="DY65" s="3989">
        <f t="shared" si="178"/>
        <v>0</v>
      </c>
      <c r="DZ65" s="3989">
        <f t="shared" si="179"/>
        <v>0</v>
      </c>
      <c r="EA65" s="3989">
        <f t="shared" si="180"/>
        <v>0</v>
      </c>
      <c r="EB65" s="3989">
        <f t="shared" si="181"/>
        <v>0</v>
      </c>
      <c r="EC65" s="3989">
        <f t="shared" si="182"/>
        <v>0</v>
      </c>
    </row>
    <row r="66" spans="1:133" ht="20.399999999999999" x14ac:dyDescent="0.3">
      <c r="A66" s="4007" t="s">
        <v>1875</v>
      </c>
      <c r="B66" s="3991">
        <f>+D66+F66+H66</f>
        <v>0</v>
      </c>
      <c r="C66" s="345">
        <f>+E66+G66+I66</f>
        <v>0</v>
      </c>
      <c r="D66" s="3987"/>
      <c r="E66" s="3995"/>
      <c r="F66" s="3996"/>
      <c r="G66" s="3995"/>
      <c r="H66" s="3996"/>
      <c r="I66" s="3988"/>
      <c r="J66" s="3997"/>
      <c r="K66" s="3998"/>
      <c r="L66" s="3997"/>
      <c r="M66" s="3998"/>
      <c r="N66" s="3997"/>
      <c r="O66" s="3998"/>
      <c r="P66" s="3997"/>
      <c r="Q66" s="3998"/>
      <c r="R66" s="3997"/>
      <c r="S66" s="3998"/>
      <c r="T66" s="3997"/>
      <c r="U66" s="3998"/>
      <c r="V66" s="3997"/>
      <c r="W66" s="3998"/>
      <c r="X66" s="3997"/>
      <c r="Y66" s="3998"/>
      <c r="Z66" s="3997"/>
      <c r="AA66" s="3998"/>
      <c r="AB66" s="3997"/>
      <c r="AC66" s="3998"/>
      <c r="AD66" s="3997"/>
      <c r="AE66" s="3998"/>
      <c r="AF66" s="3997"/>
      <c r="AG66" s="3998"/>
      <c r="AH66" s="3997"/>
      <c r="AI66" s="3998"/>
      <c r="AJ66" s="3997"/>
      <c r="AK66" s="3998"/>
      <c r="AL66" s="3997"/>
      <c r="AM66" s="3998"/>
      <c r="AN66" s="3997"/>
      <c r="AO66" s="3998"/>
      <c r="AP66" s="3997"/>
      <c r="AQ66" s="3999"/>
      <c r="AR66" s="3987"/>
      <c r="AS66" s="3985"/>
      <c r="AT66" s="3986"/>
      <c r="AU66" s="3985"/>
      <c r="AV66" s="3987"/>
      <c r="AW66" s="3988"/>
      <c r="AX66" s="1898" t="str">
        <f>$CA66&amp;CB66&amp;CC66&amp;$CD66&amp;CE66&amp;CF66&amp;CG66</f>
        <v/>
      </c>
      <c r="CA66" s="1899" t="str">
        <f t="shared" ref="CA66:CA74" si="186">IF(B66&lt;&gt;(AS66+AR66)," * La suma de las columnas "&amp;AR$10&amp;""&amp;" DEBE SER IGUAL a los Exámenes Procesados. ","")</f>
        <v/>
      </c>
      <c r="CB66" s="1899" t="str">
        <f t="shared" si="150"/>
        <v/>
      </c>
      <c r="CC66" s="1899" t="str">
        <f t="shared" si="151"/>
        <v/>
      </c>
      <c r="CD66" s="1899" t="str">
        <f t="shared" si="152"/>
        <v/>
      </c>
      <c r="CE66" s="1899" t="str">
        <f>IF(D66&lt;E66,CONCATENATE("* El total de Procesados debe ser mayor o igual al total de Reactivos en el grupo de edad ",$D$11),"")</f>
        <v/>
      </c>
      <c r="CF66" s="1899" t="str">
        <f>IF(F66&lt;G66,CONCATENATE("* El total de Procesados debe ser mayor o igual al total de Reactivos en el grupo de edad ",$F$11),"")</f>
        <v/>
      </c>
      <c r="CG66" s="1899" t="str">
        <f>IF(H66&lt;I66,CONCATENATE("* El total de Procesados debe ser mayor o igual al total de Reactivos en el grupo de edad ",$H$11),"")</f>
        <v/>
      </c>
      <c r="CH66" s="1902"/>
      <c r="CI66" s="1902"/>
      <c r="CJ66" s="4000"/>
      <c r="CK66" s="1902"/>
      <c r="CL66" s="1902"/>
      <c r="CM66" s="1902"/>
      <c r="CN66" s="1902"/>
      <c r="CO66" s="1902"/>
      <c r="CP66" s="1902"/>
      <c r="CQ66" s="1902"/>
      <c r="CR66" s="1902"/>
      <c r="CS66" s="1902"/>
      <c r="CT66" s="1902"/>
      <c r="CU66" s="1902"/>
      <c r="CV66" s="1902"/>
      <c r="CW66" s="1902"/>
      <c r="CX66" s="1902"/>
      <c r="DE66" s="1970"/>
      <c r="DF66" s="4005">
        <f t="shared" ref="DF66:DF74" si="187">IF(B66&lt;&gt;(AS66+AR66),1,0)</f>
        <v>0</v>
      </c>
      <c r="DG66" s="3989">
        <f t="shared" si="167"/>
        <v>0</v>
      </c>
      <c r="DH66" s="3989">
        <f t="shared" si="168"/>
        <v>0</v>
      </c>
      <c r="DI66" s="3989">
        <f t="shared" si="169"/>
        <v>0</v>
      </c>
      <c r="DJ66" s="3989">
        <f>IF(D66&lt;E66,1,0)</f>
        <v>0</v>
      </c>
      <c r="DK66" s="3989">
        <f>IF(F66&lt;G66,1,0)</f>
        <v>0</v>
      </c>
      <c r="DL66" s="3989">
        <f>IF(H66&lt;I66,1,0)</f>
        <v>0</v>
      </c>
      <c r="DM66" s="1902"/>
      <c r="DN66" s="1902"/>
      <c r="DO66" s="1900"/>
      <c r="DP66" s="1900"/>
      <c r="DQ66" s="1900"/>
      <c r="DR66" s="1900"/>
      <c r="DS66" s="1900"/>
      <c r="DT66" s="1900"/>
      <c r="DU66" s="1900"/>
      <c r="DV66" s="1900"/>
      <c r="DW66" s="1900"/>
      <c r="DX66" s="1900"/>
      <c r="DY66" s="1900"/>
      <c r="DZ66" s="1900"/>
      <c r="EA66" s="1900"/>
      <c r="EB66" s="1900"/>
      <c r="EC66" s="1900"/>
    </row>
    <row r="67" spans="1:133" x14ac:dyDescent="0.3">
      <c r="A67" s="4007" t="s">
        <v>1876</v>
      </c>
      <c r="B67" s="3991">
        <f>+P67+R67+T67+V67+X67+Z67+AB67+AD67+AF67+AH67+AJ67+AL67+AN67+AP67</f>
        <v>0</v>
      </c>
      <c r="C67" s="345">
        <f>+Q67+S67+U67+W67+Y67+AA67+AC67+AE67+AG67+AI67+AK67+AM67+AO67+AQ67</f>
        <v>0</v>
      </c>
      <c r="D67" s="4001"/>
      <c r="E67" s="3993"/>
      <c r="F67" s="3992"/>
      <c r="G67" s="3993"/>
      <c r="H67" s="3992"/>
      <c r="I67" s="3993"/>
      <c r="J67" s="3992"/>
      <c r="K67" s="3993"/>
      <c r="L67" s="3992"/>
      <c r="M67" s="3994"/>
      <c r="N67" s="4001"/>
      <c r="O67" s="3993"/>
      <c r="P67" s="3996"/>
      <c r="Q67" s="3995"/>
      <c r="R67" s="3996"/>
      <c r="S67" s="3995"/>
      <c r="T67" s="3996"/>
      <c r="U67" s="3995"/>
      <c r="V67" s="3996"/>
      <c r="W67" s="3995"/>
      <c r="X67" s="3996"/>
      <c r="Y67" s="3995"/>
      <c r="Z67" s="3996"/>
      <c r="AA67" s="3995"/>
      <c r="AB67" s="3996"/>
      <c r="AC67" s="3995"/>
      <c r="AD67" s="3996"/>
      <c r="AE67" s="3995"/>
      <c r="AF67" s="3996"/>
      <c r="AG67" s="3995"/>
      <c r="AH67" s="3996"/>
      <c r="AI67" s="3995"/>
      <c r="AJ67" s="3996"/>
      <c r="AK67" s="3995"/>
      <c r="AL67" s="3996"/>
      <c r="AM67" s="3995"/>
      <c r="AN67" s="3996"/>
      <c r="AO67" s="3995"/>
      <c r="AP67" s="3996"/>
      <c r="AQ67" s="3985"/>
      <c r="AR67" s="3987"/>
      <c r="AS67" s="3985"/>
      <c r="AT67" s="3986"/>
      <c r="AU67" s="3985"/>
      <c r="AV67" s="3987"/>
      <c r="AW67" s="3988"/>
      <c r="AX67" s="1898" t="str">
        <f>$CA67&amp;CB67&amp;CC67&amp;$CD67&amp;CK67&amp;CL67&amp;CM67&amp;CN67&amp;CO67&amp;CP67&amp;CQ67&amp;CR67&amp;CS67&amp;CT67&amp;CU67&amp;CV67&amp;CW67&amp;CX67</f>
        <v/>
      </c>
      <c r="CA67" s="1899" t="str">
        <f t="shared" si="186"/>
        <v/>
      </c>
      <c r="CB67" s="1899" t="str">
        <f t="shared" si="150"/>
        <v/>
      </c>
      <c r="CC67" s="1899" t="str">
        <f t="shared" si="151"/>
        <v/>
      </c>
      <c r="CD67" s="1899" t="str">
        <f t="shared" si="152"/>
        <v/>
      </c>
      <c r="CE67" s="4000"/>
      <c r="CF67" s="4000"/>
      <c r="CG67" s="1902"/>
      <c r="CH67" s="1902"/>
      <c r="CI67" s="1902"/>
      <c r="CJ67" s="4000"/>
      <c r="CK67" s="1899" t="str">
        <f t="shared" ref="CK67:CK74" si="188">IF(P67&lt;Q67,CONCATENATE("* El total de Procesados debe ser mayor o igual al total de Reactivos en el grupo de edad ",$P$11),"")</f>
        <v/>
      </c>
      <c r="CL67" s="1899" t="str">
        <f t="shared" ref="CL67:CL74" si="189">IF(R67&lt;S67,CONCATENATE("* El total de Procesados debe ser mayor o igual al total de Reactivos en el grupo de edad ",$R$11),"")</f>
        <v/>
      </c>
      <c r="CM67" s="1899" t="str">
        <f t="shared" si="183"/>
        <v/>
      </c>
      <c r="CN67" s="1899" t="str">
        <f t="shared" ref="CN67:CN74" si="190">IF(V67&lt;W67,CONCATENATE("* El total de Procesados debe ser mayor o igual al total de Reactivos en el grupo de edad ",$V$11),"")</f>
        <v/>
      </c>
      <c r="CO67" s="1899" t="str">
        <f t="shared" ref="CO67:CO74" si="191">IF(X67&lt;Y67,CONCATENATE("* El total de Procesados debe ser mayor o igual al total de Reactivos en el grupo de edad ",$X$11),"")</f>
        <v/>
      </c>
      <c r="CP67" s="1899" t="str">
        <f t="shared" ref="CP67:CP74" si="192">IF(Z67&lt;AA67,CONCATENATE("* El total de Procesados debe ser mayor o igual al total de Reactivos en el grupo de edad ",$Z$11),"")</f>
        <v/>
      </c>
      <c r="CQ67" s="1899" t="str">
        <f t="shared" ref="CQ67:CQ74" si="193">IF(AB67&lt;AC67,CONCATENATE("* El total de Procesados debe ser mayor o igual al total de Reactivos en el grupo de edad ",$AB$11),"")</f>
        <v/>
      </c>
      <c r="CR67" s="1899" t="str">
        <f t="shared" ref="CR67:CR74" si="194">IF(AD67&lt;AE67,CONCATENATE("* El total de Procesados debe ser mayor o igual al total de Reactivos en el grupo de edad ",$AD$11),"")</f>
        <v/>
      </c>
      <c r="CS67" s="1899" t="str">
        <f t="shared" ref="CS67:CS74" si="195">IF(AF67&lt;AG67,CONCATENATE("* El total de Procesados debe ser mayor o igual al total de Reactivos en el grupo de edad ",$AF$11),"")</f>
        <v/>
      </c>
      <c r="CT67" s="1899" t="str">
        <f t="shared" ref="CT67:CT74" si="196">IF(AH67&lt;AI67,CONCATENATE("* El total de Procesados debe ser mayor o igual al total de Reactivos en el grupo de edad ",$AH$11),"")</f>
        <v/>
      </c>
      <c r="CU67" s="1899" t="str">
        <f>IF(AJ67&lt;AK67,CONCATENATE("* El total de Procesados debe ser mayor o igual al total de Reactivos en el grupo de edad ",$AJ$11),"")</f>
        <v/>
      </c>
      <c r="CV67" s="1899" t="str">
        <f>IF(AL67&lt;AM67,CONCATENATE("* El total de Procesados debe ser mayor o igual al total de Reactivos en el grupo de edad ",$AL$11),"")</f>
        <v/>
      </c>
      <c r="CW67" s="1899" t="str">
        <f>IF(AN67&lt;AO67,CONCATENATE("* El total de Procesados debe ser mayor o igual al total de Reactivos en el grupo de edad ",$AN$11),"")</f>
        <v/>
      </c>
      <c r="CX67" s="1899" t="str">
        <f>IF(AP67&lt;AQ67,CONCATENATE("* El total de Procesados debe ser mayor o igual al total de Reactivos en el grupo de edad ",$AP$11),"")</f>
        <v/>
      </c>
      <c r="DE67" s="1970"/>
      <c r="DF67" s="4005">
        <f t="shared" si="187"/>
        <v>0</v>
      </c>
      <c r="DG67" s="3989">
        <f t="shared" si="167"/>
        <v>0</v>
      </c>
      <c r="DH67" s="3989">
        <f t="shared" si="168"/>
        <v>0</v>
      </c>
      <c r="DI67" s="3989">
        <f t="shared" si="169"/>
        <v>0</v>
      </c>
      <c r="DJ67" s="1902"/>
      <c r="DK67" s="1902"/>
      <c r="DL67" s="1902"/>
      <c r="DM67" s="1902"/>
      <c r="DN67" s="1902"/>
      <c r="DO67" s="1900"/>
      <c r="DP67" s="3989">
        <f t="shared" ref="DP67:DP74" si="197">IF(P67&lt;Q67,1,0)</f>
        <v>0</v>
      </c>
      <c r="DQ67" s="3989">
        <f t="shared" ref="DQ67:DQ74" si="198">IF(R67&lt;S67,1,0)</f>
        <v>0</v>
      </c>
      <c r="DR67" s="3989">
        <f t="shared" si="184"/>
        <v>0</v>
      </c>
      <c r="DS67" s="3989">
        <f t="shared" ref="DS67:DS74" si="199">IF(V67&lt;W67,1,0)</f>
        <v>0</v>
      </c>
      <c r="DT67" s="3989">
        <f t="shared" ref="DT67:DT74" si="200">IF(X67&lt;Y67,1,0)</f>
        <v>0</v>
      </c>
      <c r="DU67" s="3989">
        <f t="shared" ref="DU67:DU74" si="201">IF(Z67&lt;AA67,1,0)</f>
        <v>0</v>
      </c>
      <c r="DV67" s="3989">
        <f t="shared" si="185"/>
        <v>0</v>
      </c>
      <c r="DW67" s="3989">
        <f t="shared" ref="DW67:DW74" si="202">IF(AD67&lt;AE67,1,0)</f>
        <v>0</v>
      </c>
      <c r="DX67" s="3989">
        <f t="shared" ref="DX67:DX74" si="203">IF(AF67&lt;AG67,1,0)</f>
        <v>0</v>
      </c>
      <c r="DY67" s="3989">
        <f t="shared" ref="DY67:DY74" si="204">IF(AH67&lt;AI67,1,0)</f>
        <v>0</v>
      </c>
      <c r="DZ67" s="3989">
        <f>IF(AJ67&lt;AK67,1,0)</f>
        <v>0</v>
      </c>
      <c r="EA67" s="3989">
        <f>IF(AL67&lt;AM67,1,0)</f>
        <v>0</v>
      </c>
      <c r="EB67" s="3989">
        <f>IF(AN67&lt;AO67,1,0)</f>
        <v>0</v>
      </c>
      <c r="EC67" s="3989">
        <f>IF(AP67&lt;AQ67,1,0)</f>
        <v>0</v>
      </c>
    </row>
    <row r="68" spans="1:133" x14ac:dyDescent="0.3">
      <c r="A68" s="4006" t="s">
        <v>1877</v>
      </c>
      <c r="B68" s="3991">
        <f>+N68+P68+R68+T68+V68+X68+Z68+AB68+AD68+AF68+AH68+AJ68+AL68+AN68+AP68</f>
        <v>0</v>
      </c>
      <c r="C68" s="345">
        <f>+O68+Q68+S68+U68+W68+Y68+AA68+AC68+AE68+AG68+AI68+AK68+AM68+AO68+AQ68</f>
        <v>0</v>
      </c>
      <c r="D68" s="3984"/>
      <c r="E68" s="3998"/>
      <c r="F68" s="3997"/>
      <c r="G68" s="3998"/>
      <c r="H68" s="3997"/>
      <c r="I68" s="4002"/>
      <c r="J68" s="3984"/>
      <c r="K68" s="3984"/>
      <c r="L68" s="3997"/>
      <c r="M68" s="4002"/>
      <c r="N68" s="3987"/>
      <c r="O68" s="3995"/>
      <c r="P68" s="3996"/>
      <c r="Q68" s="3995"/>
      <c r="R68" s="3996"/>
      <c r="S68" s="3995"/>
      <c r="T68" s="3996"/>
      <c r="U68" s="3995"/>
      <c r="V68" s="3996"/>
      <c r="W68" s="3995"/>
      <c r="X68" s="3996"/>
      <c r="Y68" s="3995"/>
      <c r="Z68" s="3996"/>
      <c r="AA68" s="3995"/>
      <c r="AB68" s="3996"/>
      <c r="AC68" s="3995"/>
      <c r="AD68" s="3996"/>
      <c r="AE68" s="3995"/>
      <c r="AF68" s="3996"/>
      <c r="AG68" s="3995"/>
      <c r="AH68" s="3996"/>
      <c r="AI68" s="3995"/>
      <c r="AJ68" s="3996"/>
      <c r="AK68" s="3995"/>
      <c r="AL68" s="3996"/>
      <c r="AM68" s="3995"/>
      <c r="AN68" s="3996"/>
      <c r="AO68" s="3995"/>
      <c r="AP68" s="3996"/>
      <c r="AQ68" s="3985"/>
      <c r="AR68" s="3987"/>
      <c r="AS68" s="3985"/>
      <c r="AT68" s="3986"/>
      <c r="AU68" s="3985"/>
      <c r="AV68" s="3987"/>
      <c r="AW68" s="3988"/>
      <c r="AX68" s="1898" t="str">
        <f>$CA68&amp;CB68&amp;CC68&amp;$CD68&amp;CJ68&amp;CK68&amp;CL68&amp;CM68&amp;CN68&amp;CO68&amp;CP68&amp;CQ68&amp;CR68&amp;CS68&amp;CT68&amp;CU68&amp;CV68&amp;CW68&amp;CX68</f>
        <v/>
      </c>
      <c r="CA68" s="1899" t="str">
        <f t="shared" si="186"/>
        <v/>
      </c>
      <c r="CB68" s="1899" t="str">
        <f t="shared" si="150"/>
        <v/>
      </c>
      <c r="CC68" s="1899" t="str">
        <f t="shared" si="151"/>
        <v/>
      </c>
      <c r="CD68" s="1899" t="str">
        <f t="shared" si="152"/>
        <v/>
      </c>
      <c r="CE68" s="4000"/>
      <c r="CF68" s="4000"/>
      <c r="CG68" s="1902"/>
      <c r="CH68" s="1902"/>
      <c r="CI68" s="1902"/>
      <c r="CJ68" s="1899" t="str">
        <f>IF(N68&lt;O68,CONCATENATE("* El total de Procesados debe ser mayor o igual al total de Reactivos en el grupo de edad ",$N$11),"")</f>
        <v/>
      </c>
      <c r="CK68" s="1899" t="str">
        <f t="shared" si="188"/>
        <v/>
      </c>
      <c r="CL68" s="1899" t="str">
        <f t="shared" si="189"/>
        <v/>
      </c>
      <c r="CM68" s="1899" t="str">
        <f t="shared" si="183"/>
        <v/>
      </c>
      <c r="CN68" s="1899" t="str">
        <f t="shared" si="190"/>
        <v/>
      </c>
      <c r="CO68" s="1899" t="str">
        <f t="shared" si="191"/>
        <v/>
      </c>
      <c r="CP68" s="1899" t="str">
        <f t="shared" si="192"/>
        <v/>
      </c>
      <c r="CQ68" s="1899" t="str">
        <f t="shared" si="193"/>
        <v/>
      </c>
      <c r="CR68" s="1899" t="str">
        <f t="shared" si="194"/>
        <v/>
      </c>
      <c r="CS68" s="1899" t="str">
        <f t="shared" si="195"/>
        <v/>
      </c>
      <c r="CT68" s="1899" t="str">
        <f t="shared" si="196"/>
        <v/>
      </c>
      <c r="CU68" s="1899" t="str">
        <f>IF(AJ68&lt;AK68,CONCATENATE("* El total de Procesados debe ser mayor o igual al total de Reactivos en el grupo de edad ",$AJ$11),"")</f>
        <v/>
      </c>
      <c r="CV68" s="1899" t="str">
        <f>IF(AL68&lt;AM68,CONCATENATE("* El total de Procesados debe ser mayor o igual al total de Reactivos en el grupo de edad ",$AL$11),"")</f>
        <v/>
      </c>
      <c r="CW68" s="1899" t="str">
        <f>IF(AN68&lt;AO68,CONCATENATE("* El total de Procesados debe ser mayor o igual al total de Reactivos en el grupo de edad ",$AN$11),"")</f>
        <v/>
      </c>
      <c r="CX68" s="1899" t="str">
        <f>IF(AP68&lt;AQ68,CONCATENATE("* El total de Procesados debe ser mayor o igual al total de Reactivos en el grupo de edad ",$AP$11),"")</f>
        <v/>
      </c>
      <c r="DE68" s="1970"/>
      <c r="DF68" s="4005">
        <f t="shared" si="187"/>
        <v>0</v>
      </c>
      <c r="DG68" s="3989">
        <f t="shared" si="167"/>
        <v>0</v>
      </c>
      <c r="DH68" s="3989">
        <f t="shared" si="168"/>
        <v>0</v>
      </c>
      <c r="DI68" s="3989">
        <f t="shared" si="169"/>
        <v>0</v>
      </c>
      <c r="DJ68" s="1902"/>
      <c r="DK68" s="1902"/>
      <c r="DL68" s="1902"/>
      <c r="DM68" s="1902"/>
      <c r="DN68" s="1902"/>
      <c r="DO68" s="3989">
        <f>IF(N68&lt;O68,1,0)</f>
        <v>0</v>
      </c>
      <c r="DP68" s="3989">
        <f t="shared" si="197"/>
        <v>0</v>
      </c>
      <c r="DQ68" s="3989">
        <f t="shared" si="198"/>
        <v>0</v>
      </c>
      <c r="DR68" s="3989">
        <f t="shared" si="184"/>
        <v>0</v>
      </c>
      <c r="DS68" s="3989">
        <f t="shared" si="199"/>
        <v>0</v>
      </c>
      <c r="DT68" s="3989">
        <f t="shared" si="200"/>
        <v>0</v>
      </c>
      <c r="DU68" s="3989">
        <f t="shared" si="201"/>
        <v>0</v>
      </c>
      <c r="DV68" s="3989">
        <f t="shared" si="185"/>
        <v>0</v>
      </c>
      <c r="DW68" s="3989">
        <f t="shared" si="202"/>
        <v>0</v>
      </c>
      <c r="DX68" s="3989">
        <f t="shared" si="203"/>
        <v>0</v>
      </c>
      <c r="DY68" s="3989">
        <f t="shared" si="204"/>
        <v>0</v>
      </c>
      <c r="DZ68" s="3989">
        <f>IF(AJ68&lt;AK68,1,0)</f>
        <v>0</v>
      </c>
      <c r="EA68" s="3989">
        <f>IF(AL68&lt;AM68,1,0)</f>
        <v>0</v>
      </c>
      <c r="EB68" s="3989">
        <f>IF(AN68&lt;AO68,1,0)</f>
        <v>0</v>
      </c>
      <c r="EC68" s="3989">
        <f>IF(AP68&lt;AQ68,1,0)</f>
        <v>0</v>
      </c>
    </row>
    <row r="69" spans="1:133" x14ac:dyDescent="0.3">
      <c r="A69" s="4006" t="s">
        <v>1878</v>
      </c>
      <c r="B69" s="3991">
        <f>+D69+F69+H69+J69+L69+N69+P69+R69+T69+V69+X69+Z69+AB69+AD69+AF69+AH69+AJ69+AL69+AN69+AP69</f>
        <v>0</v>
      </c>
      <c r="C69" s="345">
        <f>+E69+G69+I69+K69+M69+O69+Q69+S69+U69+W69+Y69+AA69+AC69+AE69+AG69+AI69+AK69+AM69+AO69+AQ69</f>
        <v>0</v>
      </c>
      <c r="D69" s="3987"/>
      <c r="E69" s="3995"/>
      <c r="F69" s="3996"/>
      <c r="G69" s="3995"/>
      <c r="H69" s="3996"/>
      <c r="I69" s="3988"/>
      <c r="J69" s="3987"/>
      <c r="K69" s="3987"/>
      <c r="L69" s="3996"/>
      <c r="M69" s="3988"/>
      <c r="N69" s="3987"/>
      <c r="O69" s="3995"/>
      <c r="P69" s="3996"/>
      <c r="Q69" s="3995"/>
      <c r="R69" s="3996"/>
      <c r="S69" s="3995"/>
      <c r="T69" s="3996"/>
      <c r="U69" s="3995"/>
      <c r="V69" s="3996"/>
      <c r="W69" s="3995"/>
      <c r="X69" s="3996"/>
      <c r="Y69" s="3995"/>
      <c r="Z69" s="3996"/>
      <c r="AA69" s="3995"/>
      <c r="AB69" s="3996"/>
      <c r="AC69" s="3995"/>
      <c r="AD69" s="3996"/>
      <c r="AE69" s="3995"/>
      <c r="AF69" s="3996"/>
      <c r="AG69" s="3995"/>
      <c r="AH69" s="3996"/>
      <c r="AI69" s="3995"/>
      <c r="AJ69" s="3996"/>
      <c r="AK69" s="3995"/>
      <c r="AL69" s="3996"/>
      <c r="AM69" s="3995"/>
      <c r="AN69" s="3996"/>
      <c r="AO69" s="3995"/>
      <c r="AP69" s="3996"/>
      <c r="AQ69" s="3985"/>
      <c r="AR69" s="3987"/>
      <c r="AS69" s="3985"/>
      <c r="AT69" s="3986"/>
      <c r="AU69" s="3985"/>
      <c r="AV69" s="3987"/>
      <c r="AW69" s="3988"/>
      <c r="AX69" s="1898" t="str">
        <f>$CA69&amp;CB69&amp;CC69&amp;$CD69&amp;CE69&amp;CF69&amp;CG69&amp;CH69&amp;CI69&amp;CJ69&amp;CK69&amp;CL69&amp;CM69&amp;CN69&amp;CO69&amp;CP69&amp;CQ69&amp;CR69&amp;CS69&amp;CT69&amp;CU69&amp;CV69&amp;CW69&amp;CX69</f>
        <v/>
      </c>
      <c r="CA69" s="1899" t="str">
        <f t="shared" si="186"/>
        <v/>
      </c>
      <c r="CB69" s="1899" t="str">
        <f t="shared" si="150"/>
        <v/>
      </c>
      <c r="CC69" s="1899" t="str">
        <f t="shared" si="151"/>
        <v/>
      </c>
      <c r="CD69" s="1899" t="str">
        <f t="shared" si="152"/>
        <v/>
      </c>
      <c r="CE69" s="1899" t="str">
        <f>IF(D69&lt;E69,CONCATENATE("* El total de Procesados debe ser mayor o igual al total de Reactivos en el grupo de edad ",$D$11),"")</f>
        <v/>
      </c>
      <c r="CF69" s="1899" t="str">
        <f>IF(F69&lt;G69,CONCATENATE("* El total de Procesados debe ser mayor o igual al total de Reactivos en el grupo de edad ",$F$11),"")</f>
        <v/>
      </c>
      <c r="CG69" s="1899" t="str">
        <f>IF(H69&lt;I69,CONCATENATE("* El total de Procesados debe ser mayor o igual al total de Reactivos en el grupo de edad ",$H$11),"")</f>
        <v/>
      </c>
      <c r="CH69" s="1899" t="str">
        <f>IF(J69&lt;K69,CONCATENATE("* El total de Procesados debe ser mayor o igual al total de Reactivos en el grupo de edad ",$J$11),"")</f>
        <v/>
      </c>
      <c r="CI69" s="1899" t="str">
        <f>IF(L69&lt;M69,CONCATENATE("* El total de Procesados debe ser mayor o igual al total de Reactivos en el grupo de edad ",$L$11),"")</f>
        <v/>
      </c>
      <c r="CJ69" s="1899" t="str">
        <f>IF(N69&lt;O69,CONCATENATE("* El total de Procesados debe ser mayor o igual al total de Reactivos en el grupo de edad ",$N$11),"")</f>
        <v/>
      </c>
      <c r="CK69" s="1899" t="str">
        <f t="shared" si="188"/>
        <v/>
      </c>
      <c r="CL69" s="1899" t="str">
        <f t="shared" si="189"/>
        <v/>
      </c>
      <c r="CM69" s="1899" t="str">
        <f t="shared" si="183"/>
        <v/>
      </c>
      <c r="CN69" s="1899" t="str">
        <f t="shared" si="190"/>
        <v/>
      </c>
      <c r="CO69" s="1899" t="str">
        <f t="shared" si="191"/>
        <v/>
      </c>
      <c r="CP69" s="1899" t="str">
        <f t="shared" si="192"/>
        <v/>
      </c>
      <c r="CQ69" s="1899" t="str">
        <f t="shared" si="193"/>
        <v/>
      </c>
      <c r="CR69" s="1899" t="str">
        <f t="shared" si="194"/>
        <v/>
      </c>
      <c r="CS69" s="1899" t="str">
        <f t="shared" si="195"/>
        <v/>
      </c>
      <c r="CT69" s="1899" t="str">
        <f t="shared" si="196"/>
        <v/>
      </c>
      <c r="CU69" s="1899" t="str">
        <f>IF(AJ69&lt;AK69,CONCATENATE("* El total de Procesados debe ser mayor o igual al total de Reactivos en el grupo de edad ",$AJ$11),"")</f>
        <v/>
      </c>
      <c r="CV69" s="1899" t="str">
        <f>IF(AL69&lt;AM69,CONCATENATE("* El total de Procesados debe ser mayor o igual al total de Reactivos en el grupo de edad ",$AL$11),"")</f>
        <v/>
      </c>
      <c r="CW69" s="1899" t="str">
        <f>IF(AN69&lt;AO69,CONCATENATE("* El total de Procesados debe ser mayor o igual al total de Reactivos en el grupo de edad ",$AN$11),"")</f>
        <v/>
      </c>
      <c r="CX69" s="1899" t="str">
        <f>IF(AP69&lt;AQ69,CONCATENATE("* El total de Procesados debe ser mayor o igual al total de Reactivos en el grupo de edad ",$AP$11),"")</f>
        <v/>
      </c>
      <c r="DE69" s="1970"/>
      <c r="DF69" s="4005">
        <f t="shared" si="187"/>
        <v>0</v>
      </c>
      <c r="DG69" s="3989">
        <f t="shared" si="167"/>
        <v>0</v>
      </c>
      <c r="DH69" s="3989">
        <f t="shared" si="168"/>
        <v>0</v>
      </c>
      <c r="DI69" s="3989">
        <f t="shared" si="169"/>
        <v>0</v>
      </c>
      <c r="DJ69" s="3989">
        <f>IF(D69&lt;E69,1,0)</f>
        <v>0</v>
      </c>
      <c r="DK69" s="3989">
        <f>IF(F69&lt;G69,1,0)</f>
        <v>0</v>
      </c>
      <c r="DL69" s="3989">
        <f>IF(H69&lt;I69,1,0)</f>
        <v>0</v>
      </c>
      <c r="DM69" s="3989">
        <f>IF(J69&lt;K69,1,0)</f>
        <v>0</v>
      </c>
      <c r="DN69" s="3989">
        <f>IF(L69&lt;M69,1,0)</f>
        <v>0</v>
      </c>
      <c r="DO69" s="3989">
        <f>IF(N69&lt;O69,1,0)</f>
        <v>0</v>
      </c>
      <c r="DP69" s="3989">
        <f t="shared" si="197"/>
        <v>0</v>
      </c>
      <c r="DQ69" s="3989">
        <f t="shared" si="198"/>
        <v>0</v>
      </c>
      <c r="DR69" s="3989">
        <f t="shared" si="184"/>
        <v>0</v>
      </c>
      <c r="DS69" s="3989">
        <f t="shared" si="199"/>
        <v>0</v>
      </c>
      <c r="DT69" s="3989">
        <f t="shared" si="200"/>
        <v>0</v>
      </c>
      <c r="DU69" s="3989">
        <f t="shared" si="201"/>
        <v>0</v>
      </c>
      <c r="DV69" s="3989">
        <f t="shared" si="185"/>
        <v>0</v>
      </c>
      <c r="DW69" s="3989">
        <f t="shared" si="202"/>
        <v>0</v>
      </c>
      <c r="DX69" s="3989">
        <f t="shared" si="203"/>
        <v>0</v>
      </c>
      <c r="DY69" s="3989">
        <f t="shared" si="204"/>
        <v>0</v>
      </c>
      <c r="DZ69" s="3989">
        <f>IF(AJ69&lt;AK69,1,0)</f>
        <v>0</v>
      </c>
      <c r="EA69" s="3989">
        <f>IF(AL69&lt;AM69,1,0)</f>
        <v>0</v>
      </c>
      <c r="EB69" s="3989">
        <f>IF(AN69&lt;AO69,1,0)</f>
        <v>0</v>
      </c>
      <c r="EC69" s="3989">
        <f>IF(AP69&lt;AQ69,1,0)</f>
        <v>0</v>
      </c>
    </row>
    <row r="70" spans="1:133" x14ac:dyDescent="0.3">
      <c r="A70" s="3990" t="s">
        <v>1879</v>
      </c>
      <c r="B70" s="3991">
        <f>+P70+R70+T70+V70+X70+Z70+AB70+AD70+AF70+AH70+AJ70+AL70+AN70+AP70</f>
        <v>0</v>
      </c>
      <c r="C70" s="345">
        <f>+Q70+S70+U70+W70+Y70+AA70+AC70+AE70+AG70+AI70+AK70+AM70+AO70+AQ70</f>
        <v>0</v>
      </c>
      <c r="D70" s="4001"/>
      <c r="E70" s="3993"/>
      <c r="F70" s="3992"/>
      <c r="G70" s="3993"/>
      <c r="H70" s="3992"/>
      <c r="I70" s="3993"/>
      <c r="J70" s="3992"/>
      <c r="K70" s="3993"/>
      <c r="L70" s="3992"/>
      <c r="M70" s="3994"/>
      <c r="N70" s="4001"/>
      <c r="O70" s="3993"/>
      <c r="P70" s="3996"/>
      <c r="Q70" s="3995"/>
      <c r="R70" s="3996"/>
      <c r="S70" s="3995"/>
      <c r="T70" s="3996"/>
      <c r="U70" s="3995"/>
      <c r="V70" s="3996"/>
      <c r="W70" s="3995"/>
      <c r="X70" s="3996"/>
      <c r="Y70" s="3995"/>
      <c r="Z70" s="3996"/>
      <c r="AA70" s="3995"/>
      <c r="AB70" s="3996"/>
      <c r="AC70" s="3995"/>
      <c r="AD70" s="3996"/>
      <c r="AE70" s="3995"/>
      <c r="AF70" s="3996"/>
      <c r="AG70" s="3995"/>
      <c r="AH70" s="3996"/>
      <c r="AI70" s="3995"/>
      <c r="AJ70" s="3996"/>
      <c r="AK70" s="3995"/>
      <c r="AL70" s="3996"/>
      <c r="AM70" s="3995"/>
      <c r="AN70" s="3996"/>
      <c r="AO70" s="3995"/>
      <c r="AP70" s="3996"/>
      <c r="AQ70" s="3985"/>
      <c r="AR70" s="3987"/>
      <c r="AS70" s="3985"/>
      <c r="AT70" s="3986"/>
      <c r="AU70" s="3985"/>
      <c r="AV70" s="3987"/>
      <c r="AW70" s="3988"/>
      <c r="AX70" s="1898" t="str">
        <f>$CA70&amp;CB70&amp;CC70&amp;$CD70&amp;CJ70&amp;CK70&amp;CL70&amp;CM70&amp;CN70&amp;CO70&amp;CP70&amp;CQ70&amp;CR70&amp;CS70&amp;CT70&amp;CU70&amp;CV70&amp;CW70&amp;CX70</f>
        <v/>
      </c>
      <c r="CA70" s="1899" t="str">
        <f t="shared" si="186"/>
        <v/>
      </c>
      <c r="CB70" s="1899" t="str">
        <f t="shared" si="150"/>
        <v/>
      </c>
      <c r="CC70" s="1899" t="str">
        <f t="shared" si="151"/>
        <v/>
      </c>
      <c r="CD70" s="1899" t="str">
        <f t="shared" si="152"/>
        <v/>
      </c>
      <c r="CE70" s="4000"/>
      <c r="CF70" s="4000"/>
      <c r="CG70" s="1902"/>
      <c r="CH70" s="1902"/>
      <c r="CI70" s="1902"/>
      <c r="CJ70" s="4000"/>
      <c r="CK70" s="1899" t="str">
        <f t="shared" si="188"/>
        <v/>
      </c>
      <c r="CL70" s="1899" t="str">
        <f t="shared" si="189"/>
        <v/>
      </c>
      <c r="CM70" s="1899" t="str">
        <f t="shared" si="183"/>
        <v/>
      </c>
      <c r="CN70" s="1899" t="str">
        <f t="shared" si="190"/>
        <v/>
      </c>
      <c r="CO70" s="1899" t="str">
        <f t="shared" si="191"/>
        <v/>
      </c>
      <c r="CP70" s="1899" t="str">
        <f t="shared" si="192"/>
        <v/>
      </c>
      <c r="CQ70" s="1899" t="str">
        <f t="shared" si="193"/>
        <v/>
      </c>
      <c r="CR70" s="1899" t="str">
        <f t="shared" si="194"/>
        <v/>
      </c>
      <c r="CS70" s="1899" t="str">
        <f t="shared" si="195"/>
        <v/>
      </c>
      <c r="CT70" s="1899" t="str">
        <f t="shared" si="196"/>
        <v/>
      </c>
      <c r="CU70" s="1899" t="str">
        <f>IF(AJ70&lt;AK70,CONCATENATE("* El total de Procesados debe ser mayor o igual al total de Reactivos en el grupo de edad ",$AJ$11),"")</f>
        <v/>
      </c>
      <c r="CV70" s="1899" t="str">
        <f>IF(AL70&lt;AM70,CONCATENATE("* El total de Procesados debe ser mayor o igual al total de Reactivos en el grupo de edad ",$AL$11),"")</f>
        <v/>
      </c>
      <c r="CW70" s="1899" t="str">
        <f>IF(AN70&lt;AO70,CONCATENATE("* El total de Procesados debe ser mayor o igual al total de Reactivos en el grupo de edad ",$AN$11),"")</f>
        <v/>
      </c>
      <c r="CX70" s="1899" t="str">
        <f>IF(AP70&lt;AQ70,CONCATENATE("* El total de Procesados debe ser mayor o igual al total de Reactivos en el grupo de edad ",$AP$11),"")</f>
        <v/>
      </c>
      <c r="DE70" s="1970"/>
      <c r="DF70" s="4005">
        <f t="shared" si="187"/>
        <v>0</v>
      </c>
      <c r="DG70" s="3989">
        <f t="shared" si="167"/>
        <v>0</v>
      </c>
      <c r="DH70" s="3989">
        <f t="shared" si="168"/>
        <v>0</v>
      </c>
      <c r="DI70" s="3989">
        <f t="shared" si="169"/>
        <v>0</v>
      </c>
      <c r="DJ70" s="1902"/>
      <c r="DK70" s="1902"/>
      <c r="DL70" s="1902"/>
      <c r="DM70" s="1902"/>
      <c r="DN70" s="1902"/>
      <c r="DO70" s="1900"/>
      <c r="DP70" s="3989">
        <f t="shared" si="197"/>
        <v>0</v>
      </c>
      <c r="DQ70" s="3989">
        <f t="shared" si="198"/>
        <v>0</v>
      </c>
      <c r="DR70" s="3989">
        <f t="shared" si="184"/>
        <v>0</v>
      </c>
      <c r="DS70" s="3989">
        <f t="shared" si="199"/>
        <v>0</v>
      </c>
      <c r="DT70" s="3989">
        <f t="shared" si="200"/>
        <v>0</v>
      </c>
      <c r="DU70" s="3989">
        <f t="shared" si="201"/>
        <v>0</v>
      </c>
      <c r="DV70" s="3989">
        <f t="shared" si="185"/>
        <v>0</v>
      </c>
      <c r="DW70" s="3989">
        <f t="shared" si="202"/>
        <v>0</v>
      </c>
      <c r="DX70" s="3989">
        <f t="shared" si="203"/>
        <v>0</v>
      </c>
      <c r="DY70" s="3989">
        <f t="shared" si="204"/>
        <v>0</v>
      </c>
      <c r="DZ70" s="3989">
        <f>IF(AJ70&lt;AK70,1,0)</f>
        <v>0</v>
      </c>
      <c r="EA70" s="3989">
        <f>IF(AL70&lt;AM70,1,0)</f>
        <v>0</v>
      </c>
      <c r="EB70" s="3989">
        <f>IF(AN70&lt;AO70,1,0)</f>
        <v>0</v>
      </c>
      <c r="EC70" s="3989">
        <f>IF(AP70&lt;AQ70,1,0)</f>
        <v>0</v>
      </c>
    </row>
    <row r="71" spans="1:133" x14ac:dyDescent="0.3">
      <c r="A71" s="4006" t="s">
        <v>1880</v>
      </c>
      <c r="B71" s="3991">
        <f>+P71+R71+T71+V71+X71+Z71+AB71+AD71+AF71+AH71</f>
        <v>0</v>
      </c>
      <c r="C71" s="345">
        <f>+Q71+S71+U71+W71+Y71+AA71+AC71+AE71+AG71+AI71</f>
        <v>0</v>
      </c>
      <c r="D71" s="4001"/>
      <c r="E71" s="3993"/>
      <c r="F71" s="3992"/>
      <c r="G71" s="3993"/>
      <c r="H71" s="3992"/>
      <c r="I71" s="3993"/>
      <c r="J71" s="3992"/>
      <c r="K71" s="3993"/>
      <c r="L71" s="3992"/>
      <c r="M71" s="3994"/>
      <c r="N71" s="4001"/>
      <c r="O71" s="3993"/>
      <c r="P71" s="3996"/>
      <c r="Q71" s="3995"/>
      <c r="R71" s="3996"/>
      <c r="S71" s="3995"/>
      <c r="T71" s="3996"/>
      <c r="U71" s="3995"/>
      <c r="V71" s="3996"/>
      <c r="W71" s="3995"/>
      <c r="X71" s="3996"/>
      <c r="Y71" s="3995"/>
      <c r="Z71" s="3996"/>
      <c r="AA71" s="3995"/>
      <c r="AB71" s="3996"/>
      <c r="AC71" s="3995"/>
      <c r="AD71" s="3996"/>
      <c r="AE71" s="3995"/>
      <c r="AF71" s="3996"/>
      <c r="AG71" s="3995"/>
      <c r="AH71" s="3996"/>
      <c r="AI71" s="3995"/>
      <c r="AJ71" s="3992"/>
      <c r="AK71" s="3993"/>
      <c r="AL71" s="3992"/>
      <c r="AM71" s="3993"/>
      <c r="AN71" s="3992"/>
      <c r="AO71" s="3993"/>
      <c r="AP71" s="3992"/>
      <c r="AQ71" s="4003"/>
      <c r="AR71" s="3987"/>
      <c r="AS71" s="3985"/>
      <c r="AT71" s="3986"/>
      <c r="AU71" s="3985"/>
      <c r="AV71" s="3987"/>
      <c r="AW71" s="3988"/>
      <c r="AX71" s="1898" t="str">
        <f>$CA71&amp;CB71&amp;CC71&amp;$CD71&amp;CK71&amp;CL71&amp;CM71&amp;CN71&amp;CO71&amp;CP71&amp;CQ71&amp;CR71&amp;CS71&amp;CT71</f>
        <v/>
      </c>
      <c r="CA71" s="1899" t="str">
        <f t="shared" si="186"/>
        <v/>
      </c>
      <c r="CB71" s="1899" t="str">
        <f t="shared" si="150"/>
        <v/>
      </c>
      <c r="CC71" s="1899" t="str">
        <f t="shared" si="151"/>
        <v/>
      </c>
      <c r="CD71" s="1899" t="str">
        <f t="shared" si="152"/>
        <v/>
      </c>
      <c r="CE71" s="4000"/>
      <c r="CF71" s="4000"/>
      <c r="CG71" s="1902"/>
      <c r="CH71" s="1902"/>
      <c r="CI71" s="1902"/>
      <c r="CJ71" s="4000"/>
      <c r="CK71" s="1899" t="str">
        <f t="shared" si="188"/>
        <v/>
      </c>
      <c r="CL71" s="1899" t="str">
        <f t="shared" si="189"/>
        <v/>
      </c>
      <c r="CM71" s="1899" t="str">
        <f t="shared" si="183"/>
        <v/>
      </c>
      <c r="CN71" s="1899" t="str">
        <f t="shared" si="190"/>
        <v/>
      </c>
      <c r="CO71" s="1899" t="str">
        <f t="shared" si="191"/>
        <v/>
      </c>
      <c r="CP71" s="1899" t="str">
        <f t="shared" si="192"/>
        <v/>
      </c>
      <c r="CQ71" s="1899" t="str">
        <f t="shared" si="193"/>
        <v/>
      </c>
      <c r="CR71" s="1899" t="str">
        <f t="shared" si="194"/>
        <v/>
      </c>
      <c r="CS71" s="1899" t="str">
        <f t="shared" si="195"/>
        <v/>
      </c>
      <c r="CT71" s="1899" t="str">
        <f t="shared" si="196"/>
        <v/>
      </c>
      <c r="CU71" s="1900"/>
      <c r="CV71" s="1900"/>
      <c r="CW71" s="1900"/>
      <c r="CX71" s="1900"/>
      <c r="DE71" s="1970"/>
      <c r="DF71" s="4005">
        <f t="shared" si="187"/>
        <v>0</v>
      </c>
      <c r="DG71" s="3989">
        <f t="shared" si="167"/>
        <v>0</v>
      </c>
      <c r="DH71" s="3989">
        <f t="shared" si="168"/>
        <v>0</v>
      </c>
      <c r="DI71" s="3989">
        <f t="shared" si="169"/>
        <v>0</v>
      </c>
      <c r="DJ71" s="1902"/>
      <c r="DK71" s="1902"/>
      <c r="DL71" s="1902"/>
      <c r="DM71" s="1902"/>
      <c r="DN71" s="1902"/>
      <c r="DO71" s="1900"/>
      <c r="DP71" s="3989">
        <f t="shared" si="197"/>
        <v>0</v>
      </c>
      <c r="DQ71" s="3989">
        <f t="shared" si="198"/>
        <v>0</v>
      </c>
      <c r="DR71" s="3989">
        <f t="shared" si="184"/>
        <v>0</v>
      </c>
      <c r="DS71" s="3989">
        <f t="shared" si="199"/>
        <v>0</v>
      </c>
      <c r="DT71" s="3989">
        <f t="shared" si="200"/>
        <v>0</v>
      </c>
      <c r="DU71" s="3989">
        <f t="shared" si="201"/>
        <v>0</v>
      </c>
      <c r="DV71" s="3989">
        <f t="shared" si="185"/>
        <v>0</v>
      </c>
      <c r="DW71" s="3989">
        <f t="shared" si="202"/>
        <v>0</v>
      </c>
      <c r="DX71" s="3989">
        <f t="shared" si="203"/>
        <v>0</v>
      </c>
      <c r="DY71" s="3989">
        <f t="shared" si="204"/>
        <v>0</v>
      </c>
      <c r="DZ71" s="1900"/>
      <c r="EA71" s="1900"/>
      <c r="EB71" s="1900"/>
      <c r="EC71" s="1900"/>
    </row>
    <row r="72" spans="1:133" x14ac:dyDescent="0.3">
      <c r="A72" s="4006" t="s">
        <v>1881</v>
      </c>
      <c r="B72" s="3991">
        <f t="shared" ref="B72:C74" si="205">+D72+F72+H72+J72+L72+N72+P72+R72+T72+V72+X72+Z72+AB72+AD72+AF72+AH72+AJ72+AL72+AN72+AP72</f>
        <v>0</v>
      </c>
      <c r="C72" s="345">
        <f t="shared" si="205"/>
        <v>0</v>
      </c>
      <c r="D72" s="3987"/>
      <c r="E72" s="3995"/>
      <c r="F72" s="3996"/>
      <c r="G72" s="3995"/>
      <c r="H72" s="3996"/>
      <c r="I72" s="3988"/>
      <c r="J72" s="3987"/>
      <c r="K72" s="3987"/>
      <c r="L72" s="3996"/>
      <c r="M72" s="3988"/>
      <c r="N72" s="3987"/>
      <c r="O72" s="3995"/>
      <c r="P72" s="3996"/>
      <c r="Q72" s="3995"/>
      <c r="R72" s="3996"/>
      <c r="S72" s="3995"/>
      <c r="T72" s="3996"/>
      <c r="U72" s="3995"/>
      <c r="V72" s="3996"/>
      <c r="W72" s="3995"/>
      <c r="X72" s="3996"/>
      <c r="Y72" s="3995"/>
      <c r="Z72" s="3996"/>
      <c r="AA72" s="3995"/>
      <c r="AB72" s="3996"/>
      <c r="AC72" s="3995"/>
      <c r="AD72" s="3996"/>
      <c r="AE72" s="3995"/>
      <c r="AF72" s="3996"/>
      <c r="AG72" s="3995"/>
      <c r="AH72" s="3996"/>
      <c r="AI72" s="3995"/>
      <c r="AJ72" s="3996"/>
      <c r="AK72" s="3995"/>
      <c r="AL72" s="3996"/>
      <c r="AM72" s="3995"/>
      <c r="AN72" s="3996"/>
      <c r="AO72" s="3995"/>
      <c r="AP72" s="3996"/>
      <c r="AQ72" s="3985"/>
      <c r="AR72" s="3987"/>
      <c r="AS72" s="3985"/>
      <c r="AT72" s="3986"/>
      <c r="AU72" s="3985"/>
      <c r="AV72" s="3987"/>
      <c r="AW72" s="3988"/>
      <c r="AX72" s="1898" t="str">
        <f>$CA72&amp;CB72&amp;CC72&amp;$CD72&amp;CJ72&amp;CK72&amp;CL72&amp;CM72&amp;CN72&amp;CO72&amp;CP72&amp;CQ72&amp;CR72&amp;CS72&amp;CT72&amp;CU72&amp;CV72&amp;CW72&amp;CX72&amp;CE72&amp;CF72&amp;CG72&amp;CH72&amp;CI72</f>
        <v/>
      </c>
      <c r="CA72" s="1899" t="str">
        <f t="shared" si="186"/>
        <v/>
      </c>
      <c r="CB72" s="1899" t="str">
        <f t="shared" si="150"/>
        <v/>
      </c>
      <c r="CC72" s="1899" t="str">
        <f t="shared" si="151"/>
        <v/>
      </c>
      <c r="CD72" s="1899" t="str">
        <f t="shared" si="152"/>
        <v/>
      </c>
      <c r="CE72" s="1899" t="str">
        <f>IF(D72&lt;E72,CONCATENATE("* El total de Procesados debe ser mayor o igual al total de Reactivos en el grupo de edad ",$D$11),"")</f>
        <v/>
      </c>
      <c r="CF72" s="1899" t="str">
        <f>IF(F72&lt;G72,CONCATENATE("* El total de Procesados debe ser mayor o igual al total de Reactivos en el grupo de edad ",$F$11),"")</f>
        <v/>
      </c>
      <c r="CG72" s="1899" t="str">
        <f>IF(H72&lt;I72,CONCATENATE("* El total de Procesados debe ser mayor o igual al total de Reactivos en el grupo de edad ",$H$11),"")</f>
        <v/>
      </c>
      <c r="CH72" s="1899" t="str">
        <f>IF(J72&lt;K72,CONCATENATE("* El total de Procesados debe ser mayor o igual al total de Reactivos en el grupo de edad ",$J$11),"")</f>
        <v/>
      </c>
      <c r="CI72" s="1899" t="str">
        <f>IF(L72&lt;M72,CONCATENATE("* El total de Procesados debe ser mayor o igual al total de Reactivos en el grupo de edad ",$L$11),"")</f>
        <v/>
      </c>
      <c r="CJ72" s="1899" t="str">
        <f>IF(N72&lt;O72,CONCATENATE("* El total de Procesados debe ser mayor o igual al total de Reactivos en el grupo de edad ",$N$11),"")</f>
        <v/>
      </c>
      <c r="CK72" s="1899" t="str">
        <f t="shared" si="188"/>
        <v/>
      </c>
      <c r="CL72" s="1899" t="str">
        <f t="shared" si="189"/>
        <v/>
      </c>
      <c r="CM72" s="1899" t="str">
        <f t="shared" si="183"/>
        <v/>
      </c>
      <c r="CN72" s="1899" t="str">
        <f t="shared" si="190"/>
        <v/>
      </c>
      <c r="CO72" s="1899" t="str">
        <f t="shared" si="191"/>
        <v/>
      </c>
      <c r="CP72" s="1899" t="str">
        <f t="shared" si="192"/>
        <v/>
      </c>
      <c r="CQ72" s="1899" t="str">
        <f t="shared" si="193"/>
        <v/>
      </c>
      <c r="CR72" s="1899" t="str">
        <f t="shared" si="194"/>
        <v/>
      </c>
      <c r="CS72" s="1899" t="str">
        <f t="shared" si="195"/>
        <v/>
      </c>
      <c r="CT72" s="1899" t="str">
        <f t="shared" si="196"/>
        <v/>
      </c>
      <c r="CU72" s="1899" t="str">
        <f>IF(AJ72&lt;AK72,CONCATENATE("* El total de Procesados debe ser mayor o igual al total de Reactivos en el grupo de edad ",$AJ$11),"")</f>
        <v/>
      </c>
      <c r="CV72" s="1899" t="str">
        <f>IF(AL72&lt;AM72,CONCATENATE("* El total de Procesados debe ser mayor o igual al total de Reactivos en el grupo de edad ",$AL$11),"")</f>
        <v/>
      </c>
      <c r="CW72" s="1899" t="str">
        <f>IF(AN72&lt;AO72,CONCATENATE("* El total de Procesados debe ser mayor o igual al total de Reactivos en el grupo de edad ",$AN$11),"")</f>
        <v/>
      </c>
      <c r="CX72" s="1899" t="str">
        <f>IF(AP72&lt;AQ72,CONCATENATE("* El total de Procesados debe ser mayor o igual al total de Reactivos en el grupo de edad ",$AP$11),"")</f>
        <v/>
      </c>
      <c r="DE72" s="1970"/>
      <c r="DF72" s="4005">
        <f t="shared" si="187"/>
        <v>0</v>
      </c>
      <c r="DG72" s="3989">
        <f t="shared" si="167"/>
        <v>0</v>
      </c>
      <c r="DH72" s="3989">
        <f t="shared" si="168"/>
        <v>0</v>
      </c>
      <c r="DI72" s="3989">
        <f t="shared" si="169"/>
        <v>0</v>
      </c>
      <c r="DJ72" s="3989">
        <f>IF(D72&lt;E72,1,0)</f>
        <v>0</v>
      </c>
      <c r="DK72" s="3989">
        <f>IF(F72&lt;G72,1,0)</f>
        <v>0</v>
      </c>
      <c r="DL72" s="3989">
        <f>IF(H72&lt;I72,1,0)</f>
        <v>0</v>
      </c>
      <c r="DM72" s="3989">
        <f>IF(J72&lt;K72,1,0)</f>
        <v>0</v>
      </c>
      <c r="DN72" s="3989">
        <f>IF(L72&lt;M72,1,0)</f>
        <v>0</v>
      </c>
      <c r="DO72" s="3989">
        <f>IF(N72&lt;O72,1,0)</f>
        <v>0</v>
      </c>
      <c r="DP72" s="3989">
        <f t="shared" si="197"/>
        <v>0</v>
      </c>
      <c r="DQ72" s="3989">
        <f t="shared" si="198"/>
        <v>0</v>
      </c>
      <c r="DR72" s="3989">
        <f t="shared" si="184"/>
        <v>0</v>
      </c>
      <c r="DS72" s="3989">
        <f t="shared" si="199"/>
        <v>0</v>
      </c>
      <c r="DT72" s="3989">
        <f t="shared" si="200"/>
        <v>0</v>
      </c>
      <c r="DU72" s="3989">
        <f t="shared" si="201"/>
        <v>0</v>
      </c>
      <c r="DV72" s="3989">
        <f t="shared" si="185"/>
        <v>0</v>
      </c>
      <c r="DW72" s="3989">
        <f t="shared" si="202"/>
        <v>0</v>
      </c>
      <c r="DX72" s="3989">
        <f t="shared" si="203"/>
        <v>0</v>
      </c>
      <c r="DY72" s="3989">
        <f t="shared" si="204"/>
        <v>0</v>
      </c>
      <c r="DZ72" s="3989">
        <f>IF(AJ72&lt;AK72,1,0)</f>
        <v>0</v>
      </c>
      <c r="EA72" s="3989">
        <f>IF(AL72&lt;AM72,1,0)</f>
        <v>0</v>
      </c>
      <c r="EB72" s="3989">
        <f>IF(AN72&lt;AO72,1,0)</f>
        <v>0</v>
      </c>
      <c r="EC72" s="3989">
        <f>IF(AP72&lt;AQ72,1,0)</f>
        <v>0</v>
      </c>
    </row>
    <row r="73" spans="1:133" x14ac:dyDescent="0.3">
      <c r="A73" s="4006" t="s">
        <v>1882</v>
      </c>
      <c r="B73" s="3991">
        <f t="shared" si="205"/>
        <v>0</v>
      </c>
      <c r="C73" s="345">
        <f t="shared" si="205"/>
        <v>0</v>
      </c>
      <c r="D73" s="3987"/>
      <c r="E73" s="3995"/>
      <c r="F73" s="3996"/>
      <c r="G73" s="3995"/>
      <c r="H73" s="3996"/>
      <c r="I73" s="3988"/>
      <c r="J73" s="3987"/>
      <c r="K73" s="3987"/>
      <c r="L73" s="3996"/>
      <c r="M73" s="3988"/>
      <c r="N73" s="3987"/>
      <c r="O73" s="3995"/>
      <c r="P73" s="3996"/>
      <c r="Q73" s="3995"/>
      <c r="R73" s="3996"/>
      <c r="S73" s="3995"/>
      <c r="T73" s="3996"/>
      <c r="U73" s="3995"/>
      <c r="V73" s="3996"/>
      <c r="W73" s="3995"/>
      <c r="X73" s="3996"/>
      <c r="Y73" s="3995"/>
      <c r="Z73" s="3996"/>
      <c r="AA73" s="3995"/>
      <c r="AB73" s="3996"/>
      <c r="AC73" s="3995"/>
      <c r="AD73" s="3996"/>
      <c r="AE73" s="3995"/>
      <c r="AF73" s="3996"/>
      <c r="AG73" s="3995"/>
      <c r="AH73" s="3996"/>
      <c r="AI73" s="3995"/>
      <c r="AJ73" s="3996"/>
      <c r="AK73" s="3995"/>
      <c r="AL73" s="3996"/>
      <c r="AM73" s="3995"/>
      <c r="AN73" s="3996"/>
      <c r="AO73" s="3995"/>
      <c r="AP73" s="3996"/>
      <c r="AQ73" s="3985"/>
      <c r="AR73" s="3987"/>
      <c r="AS73" s="3985"/>
      <c r="AT73" s="3986"/>
      <c r="AU73" s="3985"/>
      <c r="AV73" s="3987"/>
      <c r="AW73" s="3988"/>
      <c r="AX73" s="1898" t="str">
        <f>$CA73&amp;CB73&amp;CC73&amp;$CD73&amp;CJ73&amp;CK73&amp;CL73&amp;CM73&amp;CN73&amp;CO73&amp;CP73&amp;CQ73&amp;CR73&amp;CS73&amp;CT73&amp;CU73&amp;CV73&amp;CW73&amp;CX73&amp;CE73&amp;CF73&amp;CG73&amp;CH73&amp;CI73</f>
        <v/>
      </c>
      <c r="CA73" s="1899" t="str">
        <f t="shared" si="186"/>
        <v/>
      </c>
      <c r="CB73" s="1899" t="str">
        <f t="shared" si="150"/>
        <v/>
      </c>
      <c r="CC73" s="1899" t="str">
        <f t="shared" si="151"/>
        <v/>
      </c>
      <c r="CD73" s="1899" t="str">
        <f t="shared" si="152"/>
        <v/>
      </c>
      <c r="CE73" s="1899" t="str">
        <f>IF(D73&lt;E73,CONCATENATE("* El total de Procesados debe ser mayor o igual al total de Reactivos en el grupo de edad ",$D$11),"")</f>
        <v/>
      </c>
      <c r="CF73" s="1899" t="str">
        <f>IF(F73&lt;G73,CONCATENATE("* El total de Procesados debe ser mayor o igual al total de Reactivos en el grupo de edad ",$F$11),"")</f>
        <v/>
      </c>
      <c r="CG73" s="1899" t="str">
        <f>IF(H73&lt;I73,CONCATENATE("* El total de Procesados debe ser mayor o igual al total de Reactivos en el grupo de edad ",$H$11),"")</f>
        <v/>
      </c>
      <c r="CH73" s="1899" t="str">
        <f>IF(J73&lt;K73,CONCATENATE("* El total de Procesados debe ser mayor o igual al total de Reactivos en el grupo de edad ",$J$11),"")</f>
        <v/>
      </c>
      <c r="CI73" s="1899" t="str">
        <f>IF(L73&lt;M73,CONCATENATE("* El total de Procesados debe ser mayor o igual al total de Reactivos en el grupo de edad ",$L$11),"")</f>
        <v/>
      </c>
      <c r="CJ73" s="1899" t="str">
        <f>IF(N73&lt;O73,CONCATENATE("* El total de Procesados debe ser mayor o igual al total de Reactivos en el grupo de edad ",$N$11),"")</f>
        <v/>
      </c>
      <c r="CK73" s="1899" t="str">
        <f t="shared" si="188"/>
        <v/>
      </c>
      <c r="CL73" s="1899" t="str">
        <f t="shared" si="189"/>
        <v/>
      </c>
      <c r="CM73" s="1899" t="str">
        <f t="shared" si="183"/>
        <v/>
      </c>
      <c r="CN73" s="1899" t="str">
        <f t="shared" si="190"/>
        <v/>
      </c>
      <c r="CO73" s="1899" t="str">
        <f t="shared" si="191"/>
        <v/>
      </c>
      <c r="CP73" s="1899" t="str">
        <f t="shared" si="192"/>
        <v/>
      </c>
      <c r="CQ73" s="1899" t="str">
        <f t="shared" si="193"/>
        <v/>
      </c>
      <c r="CR73" s="1899" t="str">
        <f t="shared" si="194"/>
        <v/>
      </c>
      <c r="CS73" s="1899" t="str">
        <f t="shared" si="195"/>
        <v/>
      </c>
      <c r="CT73" s="1899" t="str">
        <f t="shared" si="196"/>
        <v/>
      </c>
      <c r="CU73" s="1899" t="str">
        <f>IF(AJ73&lt;AK73,CONCATENATE("* El total de Procesados debe ser mayor o igual al total de Reactivos en el grupo de edad ",$AJ$11),"")</f>
        <v/>
      </c>
      <c r="CV73" s="1899" t="str">
        <f>IF(AL73&lt;AM73,CONCATENATE("* El total de Procesados debe ser mayor o igual al total de Reactivos en el grupo de edad ",$AL$11),"")</f>
        <v/>
      </c>
      <c r="CW73" s="1899" t="str">
        <f>IF(AN73&lt;AO73,CONCATENATE("* El total de Procesados debe ser mayor o igual al total de Reactivos en el grupo de edad ",$AN$11),"")</f>
        <v/>
      </c>
      <c r="CX73" s="1899" t="str">
        <f>IF(AP73&lt;AQ73,CONCATENATE("* El total de Procesados debe ser mayor o igual al total de Reactivos en el grupo de edad ",$AP$11),"")</f>
        <v/>
      </c>
      <c r="DE73" s="1970"/>
      <c r="DF73" s="4005">
        <f t="shared" si="187"/>
        <v>0</v>
      </c>
      <c r="DG73" s="3989">
        <f t="shared" si="167"/>
        <v>0</v>
      </c>
      <c r="DH73" s="3989">
        <f t="shared" si="168"/>
        <v>0</v>
      </c>
      <c r="DI73" s="3989">
        <f t="shared" si="169"/>
        <v>0</v>
      </c>
      <c r="DJ73" s="3989">
        <f>IF(D73&lt;E73,1,0)</f>
        <v>0</v>
      </c>
      <c r="DK73" s="3989">
        <f>IF(F73&lt;G73,1,0)</f>
        <v>0</v>
      </c>
      <c r="DL73" s="3989">
        <f>IF(H73&lt;I73,1,0)</f>
        <v>0</v>
      </c>
      <c r="DM73" s="3989">
        <f>IF(J73&lt;K73,1,0)</f>
        <v>0</v>
      </c>
      <c r="DN73" s="3989">
        <f>IF(L73&lt;M73,1,0)</f>
        <v>0</v>
      </c>
      <c r="DO73" s="3989">
        <f>IF(N73&lt;O73,1,0)</f>
        <v>0</v>
      </c>
      <c r="DP73" s="3989">
        <f t="shared" si="197"/>
        <v>0</v>
      </c>
      <c r="DQ73" s="3989">
        <f t="shared" si="198"/>
        <v>0</v>
      </c>
      <c r="DR73" s="3989">
        <f t="shared" si="184"/>
        <v>0</v>
      </c>
      <c r="DS73" s="3989">
        <f t="shared" si="199"/>
        <v>0</v>
      </c>
      <c r="DT73" s="3989">
        <f t="shared" si="200"/>
        <v>0</v>
      </c>
      <c r="DU73" s="3989">
        <f t="shared" si="201"/>
        <v>0</v>
      </c>
      <c r="DV73" s="3989">
        <f t="shared" si="185"/>
        <v>0</v>
      </c>
      <c r="DW73" s="3989">
        <f t="shared" si="202"/>
        <v>0</v>
      </c>
      <c r="DX73" s="3989">
        <f t="shared" si="203"/>
        <v>0</v>
      </c>
      <c r="DY73" s="3989">
        <f t="shared" si="204"/>
        <v>0</v>
      </c>
      <c r="DZ73" s="3989">
        <f>IF(AJ73&lt;AK73,1,0)</f>
        <v>0</v>
      </c>
      <c r="EA73" s="3989">
        <f>IF(AL73&lt;AM73,1,0)</f>
        <v>0</v>
      </c>
      <c r="EB73" s="3989">
        <f>IF(AN73&lt;AO73,1,0)</f>
        <v>0</v>
      </c>
      <c r="EC73" s="3989">
        <f>IF(AP73&lt;AQ73,1,0)</f>
        <v>0</v>
      </c>
    </row>
    <row r="74" spans="1:133" x14ac:dyDescent="0.3">
      <c r="A74" s="1027" t="s">
        <v>1883</v>
      </c>
      <c r="B74" s="1083">
        <f t="shared" si="205"/>
        <v>0</v>
      </c>
      <c r="C74" s="3429">
        <f t="shared" si="205"/>
        <v>0</v>
      </c>
      <c r="D74" s="1911"/>
      <c r="E74" s="1907"/>
      <c r="F74" s="876"/>
      <c r="G74" s="1907"/>
      <c r="H74" s="876"/>
      <c r="I74" s="2009"/>
      <c r="J74" s="1911"/>
      <c r="K74" s="1911"/>
      <c r="L74" s="876"/>
      <c r="M74" s="2009"/>
      <c r="N74" s="1911"/>
      <c r="O74" s="1907"/>
      <c r="P74" s="876"/>
      <c r="Q74" s="1907"/>
      <c r="R74" s="876"/>
      <c r="S74" s="1907"/>
      <c r="T74" s="876"/>
      <c r="U74" s="1907"/>
      <c r="V74" s="876"/>
      <c r="W74" s="1907"/>
      <c r="X74" s="876"/>
      <c r="Y74" s="1907"/>
      <c r="Z74" s="876"/>
      <c r="AA74" s="1907"/>
      <c r="AB74" s="876"/>
      <c r="AC74" s="1907"/>
      <c r="AD74" s="876"/>
      <c r="AE74" s="1907"/>
      <c r="AF74" s="876"/>
      <c r="AG74" s="1907"/>
      <c r="AH74" s="876"/>
      <c r="AI74" s="1907"/>
      <c r="AJ74" s="876"/>
      <c r="AK74" s="1907"/>
      <c r="AL74" s="876"/>
      <c r="AM74" s="1907"/>
      <c r="AN74" s="876"/>
      <c r="AO74" s="1907"/>
      <c r="AP74" s="876"/>
      <c r="AQ74" s="1953"/>
      <c r="AR74" s="1911"/>
      <c r="AS74" s="1953"/>
      <c r="AT74" s="1913"/>
      <c r="AU74" s="1953"/>
      <c r="AV74" s="1911"/>
      <c r="AW74" s="2009"/>
      <c r="AX74" s="1898" t="str">
        <f>$CA74&amp;CB74&amp;CC74&amp;$CD74&amp;CJ74&amp;CK74&amp;CL74&amp;CM74&amp;CN74&amp;CO74&amp;CP74&amp;CQ74&amp;CR74&amp;CS74&amp;CT74&amp;CU74&amp;CV74&amp;CW74&amp;CX74&amp;CE74&amp;CF74&amp;CG74&amp;CH74&amp;CI74</f>
        <v/>
      </c>
      <c r="CA74" s="1899" t="str">
        <f t="shared" si="186"/>
        <v/>
      </c>
      <c r="CB74" s="1899" t="str">
        <f t="shared" si="150"/>
        <v/>
      </c>
      <c r="CC74" s="1899" t="str">
        <f t="shared" si="151"/>
        <v/>
      </c>
      <c r="CD74" s="1899" t="str">
        <f t="shared" si="152"/>
        <v/>
      </c>
      <c r="CE74" s="1899" t="str">
        <f>IF(D74&lt;E74,CONCATENATE("* El total de Procesados debe ser mayor o igual al total de Reactivos en el grupo de edad ",$D$11),"")</f>
        <v/>
      </c>
      <c r="CF74" s="1899" t="str">
        <f>IF(F74&lt;G74,CONCATENATE("* El total de Procesados debe ser mayor o igual al total de Reactivos en el grupo de edad ",$F$11),"")</f>
        <v/>
      </c>
      <c r="CG74" s="1899" t="str">
        <f>IF(H74&lt;I74,CONCATENATE("* El total de Procesados debe ser mayor o igual al total de Reactivos en el grupo de edad ",$H$11),"")</f>
        <v/>
      </c>
      <c r="CH74" s="1899" t="str">
        <f>IF(J74&lt;K74,CONCATENATE("* El total de Procesados debe ser mayor o igual al total de Reactivos en el grupo de edad ",$J$11),"")</f>
        <v/>
      </c>
      <c r="CI74" s="1899" t="str">
        <f>IF(L74&lt;M74,CONCATENATE("* El total de Procesados debe ser mayor o igual al total de Reactivos en el grupo de edad ",$L$11),"")</f>
        <v/>
      </c>
      <c r="CJ74" s="1899" t="str">
        <f>IF(N74&lt;O74,CONCATENATE("* El total de Procesados debe ser mayor o igual al total de Reactivos en el grupo de edad ",$N$11),"")</f>
        <v/>
      </c>
      <c r="CK74" s="1899" t="str">
        <f t="shared" si="188"/>
        <v/>
      </c>
      <c r="CL74" s="1899" t="str">
        <f t="shared" si="189"/>
        <v/>
      </c>
      <c r="CM74" s="1899" t="str">
        <f t="shared" si="183"/>
        <v/>
      </c>
      <c r="CN74" s="1899" t="str">
        <f t="shared" si="190"/>
        <v/>
      </c>
      <c r="CO74" s="1899" t="str">
        <f t="shared" si="191"/>
        <v/>
      </c>
      <c r="CP74" s="1899" t="str">
        <f t="shared" si="192"/>
        <v/>
      </c>
      <c r="CQ74" s="1899" t="str">
        <f t="shared" si="193"/>
        <v/>
      </c>
      <c r="CR74" s="1899" t="str">
        <f t="shared" si="194"/>
        <v/>
      </c>
      <c r="CS74" s="1899" t="str">
        <f t="shared" si="195"/>
        <v/>
      </c>
      <c r="CT74" s="1899" t="str">
        <f t="shared" si="196"/>
        <v/>
      </c>
      <c r="CU74" s="1899" t="str">
        <f>IF(AJ74&lt;AK74,CONCATENATE("* El total de Procesados debe ser mayor o igual al total de Reactivos en el grupo de edad ",$AJ$11),"")</f>
        <v/>
      </c>
      <c r="CV74" s="1899" t="str">
        <f>IF(AL74&lt;AM74,CONCATENATE("* El total de Procesados debe ser mayor o igual al total de Reactivos en el grupo de edad ",$AL$11),"")</f>
        <v/>
      </c>
      <c r="CW74" s="1899" t="str">
        <f>IF(AN74&lt;AO74,CONCATENATE("* El total de Procesados debe ser mayor o igual al total de Reactivos en el grupo de edad ",$AN$11),"")</f>
        <v/>
      </c>
      <c r="CX74" s="1899" t="str">
        <f>IF(AP74&lt;AQ74,CONCATENATE("* El total de Procesados debe ser mayor o igual al total de Reactivos en el grupo de edad ",$AP$11),"")</f>
        <v/>
      </c>
      <c r="DE74" s="1970"/>
      <c r="DF74" s="4005">
        <f t="shared" si="187"/>
        <v>0</v>
      </c>
      <c r="DG74" s="3989">
        <f t="shared" si="167"/>
        <v>0</v>
      </c>
      <c r="DH74" s="3989">
        <f t="shared" si="168"/>
        <v>0</v>
      </c>
      <c r="DI74" s="3989">
        <f t="shared" si="169"/>
        <v>0</v>
      </c>
      <c r="DJ74" s="3989">
        <f>IF(D74&lt;E74,1,0)</f>
        <v>0</v>
      </c>
      <c r="DK74" s="3989">
        <f>IF(F74&lt;G74,1,0)</f>
        <v>0</v>
      </c>
      <c r="DL74" s="3989">
        <f>IF(H74&lt;I74,1,0)</f>
        <v>0</v>
      </c>
      <c r="DM74" s="3989">
        <f>IF(J74&lt;K74,1,0)</f>
        <v>0</v>
      </c>
      <c r="DN74" s="3989">
        <f>IF(L74&lt;M74,1,0)</f>
        <v>0</v>
      </c>
      <c r="DO74" s="3989">
        <f>IF(N74&lt;O74,1,0)</f>
        <v>0</v>
      </c>
      <c r="DP74" s="3989">
        <f t="shared" si="197"/>
        <v>0</v>
      </c>
      <c r="DQ74" s="3989">
        <f t="shared" si="198"/>
        <v>0</v>
      </c>
      <c r="DR74" s="3989">
        <f t="shared" si="184"/>
        <v>0</v>
      </c>
      <c r="DS74" s="3989">
        <f t="shared" si="199"/>
        <v>0</v>
      </c>
      <c r="DT74" s="3989">
        <f t="shared" si="200"/>
        <v>0</v>
      </c>
      <c r="DU74" s="3989">
        <f t="shared" si="201"/>
        <v>0</v>
      </c>
      <c r="DV74" s="3989">
        <f t="shared" si="185"/>
        <v>0</v>
      </c>
      <c r="DW74" s="3989">
        <f t="shared" si="202"/>
        <v>0</v>
      </c>
      <c r="DX74" s="3989">
        <f t="shared" si="203"/>
        <v>0</v>
      </c>
      <c r="DY74" s="3989">
        <f t="shared" si="204"/>
        <v>0</v>
      </c>
      <c r="DZ74" s="3989">
        <f>IF(AJ74&lt;AK74,1,0)</f>
        <v>0</v>
      </c>
      <c r="EA74" s="3989">
        <f>IF(AL74&lt;AM74,1,0)</f>
        <v>0</v>
      </c>
      <c r="EB74" s="3989">
        <f>IF(AN74&lt;AO74,1,0)</f>
        <v>0</v>
      </c>
      <c r="EC74" s="3989">
        <f>IF(AP74&lt;AQ74,1,0)</f>
        <v>0</v>
      </c>
    </row>
    <row r="75" spans="1:133" ht="18" customHeight="1" x14ac:dyDescent="0.3">
      <c r="A75" s="4004" t="s">
        <v>1886</v>
      </c>
      <c r="B75" s="4004"/>
      <c r="C75" s="4004"/>
      <c r="D75" s="4004"/>
      <c r="E75" s="4004"/>
      <c r="F75" s="4004"/>
      <c r="G75" s="4004"/>
      <c r="H75" s="4004"/>
      <c r="I75" s="4004"/>
      <c r="J75" s="4004"/>
      <c r="K75" s="4004"/>
      <c r="L75" s="4004"/>
      <c r="M75" s="4004"/>
      <c r="N75" s="4004"/>
      <c r="O75" s="4004"/>
      <c r="P75" s="4004"/>
      <c r="Q75" s="4004"/>
      <c r="R75" s="4004"/>
      <c r="S75" s="4004"/>
      <c r="T75" s="4004"/>
      <c r="U75" s="4004"/>
      <c r="V75" s="4004"/>
      <c r="W75" s="4004"/>
      <c r="X75" s="4004"/>
      <c r="Y75" s="4004"/>
      <c r="Z75" s="4004"/>
      <c r="AA75" s="4004"/>
      <c r="AB75" s="4004"/>
      <c r="AC75" s="4004"/>
      <c r="AD75" s="4004"/>
      <c r="AE75" s="4004"/>
      <c r="AF75" s="4004"/>
      <c r="AG75" s="4004"/>
      <c r="AH75" s="4004"/>
      <c r="AI75" s="4004"/>
      <c r="AJ75" s="4004"/>
      <c r="AK75" s="4004"/>
      <c r="AL75" s="4004"/>
      <c r="AM75" s="4004"/>
      <c r="AN75" s="4004"/>
      <c r="AO75" s="4004"/>
      <c r="AP75" s="4004"/>
      <c r="AQ75" s="4004"/>
      <c r="AR75" s="1971"/>
      <c r="AS75" s="1971"/>
      <c r="AT75" s="1971"/>
      <c r="AU75" s="1971"/>
      <c r="AV75" s="1971"/>
      <c r="AW75" s="1971"/>
    </row>
    <row r="76" spans="1:133" x14ac:dyDescent="0.3">
      <c r="A76" s="6837" t="s">
        <v>1860</v>
      </c>
      <c r="B76" s="6223" t="s">
        <v>77</v>
      </c>
      <c r="C76" s="6308"/>
      <c r="D76" s="6839" t="s">
        <v>29</v>
      </c>
      <c r="E76" s="6840"/>
      <c r="F76" s="6840"/>
      <c r="G76" s="6840"/>
      <c r="H76" s="6840"/>
      <c r="I76" s="6840"/>
      <c r="J76" s="6840"/>
      <c r="K76" s="6840"/>
      <c r="L76" s="6840"/>
      <c r="M76" s="6840"/>
      <c r="N76" s="6840"/>
      <c r="O76" s="6840"/>
      <c r="P76" s="6840"/>
      <c r="Q76" s="6840"/>
      <c r="R76" s="6840"/>
      <c r="S76" s="6840"/>
      <c r="T76" s="6840"/>
      <c r="U76" s="6840"/>
      <c r="V76" s="6840"/>
      <c r="W76" s="6840"/>
      <c r="X76" s="6840"/>
      <c r="Y76" s="6840"/>
      <c r="Z76" s="6840"/>
      <c r="AA76" s="6840"/>
      <c r="AB76" s="6840"/>
      <c r="AC76" s="6840"/>
      <c r="AD76" s="6840"/>
      <c r="AE76" s="6840"/>
      <c r="AF76" s="6840"/>
      <c r="AG76" s="6840"/>
      <c r="AH76" s="6840"/>
      <c r="AI76" s="6840"/>
      <c r="AJ76" s="6840"/>
      <c r="AK76" s="6840"/>
      <c r="AL76" s="6840"/>
      <c r="AM76" s="6840"/>
      <c r="AN76" s="6840"/>
      <c r="AO76" s="6840"/>
      <c r="AP76" s="6840"/>
      <c r="AQ76" s="6841"/>
      <c r="AR76" s="6842" t="s">
        <v>1861</v>
      </c>
      <c r="AS76" s="6843"/>
      <c r="AT76" s="6844" t="s">
        <v>457</v>
      </c>
      <c r="AU76" s="6845"/>
      <c r="AV76" s="6224" t="s">
        <v>36</v>
      </c>
      <c r="AW76" s="6243" t="s">
        <v>37</v>
      </c>
    </row>
    <row r="77" spans="1:133" x14ac:dyDescent="0.3">
      <c r="A77" s="5755"/>
      <c r="B77" s="6481"/>
      <c r="C77" s="6645"/>
      <c r="D77" s="6848" t="s">
        <v>1862</v>
      </c>
      <c r="E77" s="6842"/>
      <c r="F77" s="6848" t="s">
        <v>935</v>
      </c>
      <c r="G77" s="6842"/>
      <c r="H77" s="6848" t="s">
        <v>1863</v>
      </c>
      <c r="I77" s="6849"/>
      <c r="J77" s="6842" t="s">
        <v>937</v>
      </c>
      <c r="K77" s="6842"/>
      <c r="L77" s="6848" t="s">
        <v>326</v>
      </c>
      <c r="M77" s="6842"/>
      <c r="N77" s="6848" t="s">
        <v>94</v>
      </c>
      <c r="O77" s="6842"/>
      <c r="P77" s="6848" t="s">
        <v>44</v>
      </c>
      <c r="Q77" s="6842"/>
      <c r="R77" s="6848" t="s">
        <v>45</v>
      </c>
      <c r="S77" s="6842"/>
      <c r="T77" s="6848" t="s">
        <v>46</v>
      </c>
      <c r="U77" s="6849"/>
      <c r="V77" s="6848" t="s">
        <v>47</v>
      </c>
      <c r="W77" s="6849"/>
      <c r="X77" s="6848" t="s">
        <v>48</v>
      </c>
      <c r="Y77" s="6849"/>
      <c r="Z77" s="6848" t="s">
        <v>49</v>
      </c>
      <c r="AA77" s="6849"/>
      <c r="AB77" s="6848" t="s">
        <v>50</v>
      </c>
      <c r="AC77" s="6849"/>
      <c r="AD77" s="6848" t="s">
        <v>51</v>
      </c>
      <c r="AE77" s="6849"/>
      <c r="AF77" s="6848" t="s">
        <v>52</v>
      </c>
      <c r="AG77" s="6849"/>
      <c r="AH77" s="6848" t="s">
        <v>53</v>
      </c>
      <c r="AI77" s="6849"/>
      <c r="AJ77" s="6848" t="s">
        <v>54</v>
      </c>
      <c r="AK77" s="6849"/>
      <c r="AL77" s="6848" t="s">
        <v>55</v>
      </c>
      <c r="AM77" s="6849"/>
      <c r="AN77" s="6848" t="s">
        <v>56</v>
      </c>
      <c r="AO77" s="6849"/>
      <c r="AP77" s="6848" t="s">
        <v>57</v>
      </c>
      <c r="AQ77" s="6843"/>
      <c r="AR77" s="6224" t="s">
        <v>58</v>
      </c>
      <c r="AS77" s="6851" t="s">
        <v>59</v>
      </c>
      <c r="AT77" s="6846"/>
      <c r="AU77" s="6847"/>
      <c r="AV77" s="6850"/>
      <c r="AW77" s="5759"/>
    </row>
    <row r="78" spans="1:133" x14ac:dyDescent="0.3">
      <c r="A78" s="6471"/>
      <c r="B78" s="3980" t="s">
        <v>1864</v>
      </c>
      <c r="C78" s="3979" t="s">
        <v>1865</v>
      </c>
      <c r="D78" s="3977" t="s">
        <v>1864</v>
      </c>
      <c r="E78" s="3978" t="s">
        <v>1865</v>
      </c>
      <c r="F78" s="3977" t="s">
        <v>1864</v>
      </c>
      <c r="G78" s="3978" t="s">
        <v>1865</v>
      </c>
      <c r="H78" s="3977" t="s">
        <v>1864</v>
      </c>
      <c r="I78" s="3979" t="s">
        <v>1865</v>
      </c>
      <c r="J78" s="3980" t="s">
        <v>1864</v>
      </c>
      <c r="K78" s="3978" t="s">
        <v>1865</v>
      </c>
      <c r="L78" s="3977" t="s">
        <v>1864</v>
      </c>
      <c r="M78" s="3978" t="s">
        <v>1865</v>
      </c>
      <c r="N78" s="3977" t="s">
        <v>1864</v>
      </c>
      <c r="O78" s="3978" t="s">
        <v>1865</v>
      </c>
      <c r="P78" s="3977" t="s">
        <v>1864</v>
      </c>
      <c r="Q78" s="3978" t="s">
        <v>1865</v>
      </c>
      <c r="R78" s="3977" t="s">
        <v>1864</v>
      </c>
      <c r="S78" s="3978" t="s">
        <v>1865</v>
      </c>
      <c r="T78" s="3977" t="s">
        <v>1864</v>
      </c>
      <c r="U78" s="3978" t="s">
        <v>1865</v>
      </c>
      <c r="V78" s="3977" t="s">
        <v>1864</v>
      </c>
      <c r="W78" s="3978" t="s">
        <v>1865</v>
      </c>
      <c r="X78" s="3977" t="s">
        <v>1864</v>
      </c>
      <c r="Y78" s="3978" t="s">
        <v>1865</v>
      </c>
      <c r="Z78" s="3977" t="s">
        <v>1864</v>
      </c>
      <c r="AA78" s="3978" t="s">
        <v>1865</v>
      </c>
      <c r="AB78" s="3977" t="s">
        <v>1864</v>
      </c>
      <c r="AC78" s="3978" t="s">
        <v>1865</v>
      </c>
      <c r="AD78" s="3977" t="s">
        <v>1864</v>
      </c>
      <c r="AE78" s="3978" t="s">
        <v>1865</v>
      </c>
      <c r="AF78" s="3977" t="s">
        <v>1864</v>
      </c>
      <c r="AG78" s="3978" t="s">
        <v>1865</v>
      </c>
      <c r="AH78" s="3977" t="s">
        <v>1864</v>
      </c>
      <c r="AI78" s="3978" t="s">
        <v>1865</v>
      </c>
      <c r="AJ78" s="3977" t="s">
        <v>1864</v>
      </c>
      <c r="AK78" s="3978" t="s">
        <v>1865</v>
      </c>
      <c r="AL78" s="3977" t="s">
        <v>1864</v>
      </c>
      <c r="AM78" s="3978" t="s">
        <v>1865</v>
      </c>
      <c r="AN78" s="3977" t="s">
        <v>1864</v>
      </c>
      <c r="AO78" s="3978" t="s">
        <v>1865</v>
      </c>
      <c r="AP78" s="3977" t="s">
        <v>1864</v>
      </c>
      <c r="AQ78" s="3981" t="s">
        <v>1865</v>
      </c>
      <c r="AR78" s="6626"/>
      <c r="AS78" s="5956"/>
      <c r="AT78" s="1784" t="s">
        <v>462</v>
      </c>
      <c r="AU78" s="1831" t="s">
        <v>463</v>
      </c>
      <c r="AV78" s="6626"/>
      <c r="AW78" s="6687"/>
    </row>
    <row r="79" spans="1:133" x14ac:dyDescent="0.3">
      <c r="A79" s="934" t="s">
        <v>1866</v>
      </c>
      <c r="B79" s="3308">
        <f>+N79+P79+R79+T79+V79+X79+Z79+AB79+AD79+AF79+AH79+AJ79+AL79+AN79+AP79</f>
        <v>0</v>
      </c>
      <c r="C79" s="3983">
        <f t="shared" ref="B79:C86" si="206">+O79+Q79+S79+U79+W79+Y79+AA79+AC79+AE79+AG79+AI79+AK79+AM79+AO79+AQ79</f>
        <v>0</v>
      </c>
      <c r="D79" s="4001"/>
      <c r="E79" s="3993"/>
      <c r="F79" s="3992"/>
      <c r="G79" s="3993"/>
      <c r="H79" s="3992"/>
      <c r="I79" s="3993"/>
      <c r="J79" s="3992"/>
      <c r="K79" s="3993"/>
      <c r="L79" s="3992"/>
      <c r="M79" s="3994"/>
      <c r="N79" s="3987"/>
      <c r="O79" s="3995"/>
      <c r="P79" s="3996"/>
      <c r="Q79" s="3995"/>
      <c r="R79" s="3996"/>
      <c r="S79" s="3995"/>
      <c r="T79" s="3996"/>
      <c r="U79" s="3995"/>
      <c r="V79" s="3996"/>
      <c r="W79" s="3995"/>
      <c r="X79" s="3996"/>
      <c r="Y79" s="3995"/>
      <c r="Z79" s="3996"/>
      <c r="AA79" s="3995"/>
      <c r="AB79" s="3996"/>
      <c r="AC79" s="3995"/>
      <c r="AD79" s="3996"/>
      <c r="AE79" s="3995"/>
      <c r="AF79" s="3996"/>
      <c r="AG79" s="3995"/>
      <c r="AH79" s="3996"/>
      <c r="AI79" s="3995"/>
      <c r="AJ79" s="3996"/>
      <c r="AK79" s="3995"/>
      <c r="AL79" s="3996"/>
      <c r="AM79" s="3995"/>
      <c r="AN79" s="3996"/>
      <c r="AO79" s="3995"/>
      <c r="AP79" s="3996"/>
      <c r="AQ79" s="3985"/>
      <c r="AR79" s="3984"/>
      <c r="AS79" s="3985"/>
      <c r="AT79" s="3986"/>
      <c r="AU79" s="3985"/>
      <c r="AV79" s="3987"/>
      <c r="AW79" s="3988"/>
      <c r="AX79" s="1898" t="str">
        <f t="shared" ref="AX79:AX86" si="207">$CA79&amp;CB79&amp;CC79&amp;$CD79&amp;CJ79&amp;CK79&amp;CL79&amp;CM79&amp;CN79&amp;CO79&amp;CP79&amp;CQ79&amp;CR79&amp;CS79&amp;CT79&amp;CU79&amp;CV79&amp;CW79&amp;CX79</f>
        <v/>
      </c>
      <c r="CA79" s="1899" t="str">
        <f>IF(B79&lt;&gt;(AS79)," * La suma de las columnas "&amp;AR$10&amp;""&amp;" DEBE SER IGUAL a los Exámenes Procesados. ","")</f>
        <v/>
      </c>
      <c r="CB79" s="1899" t="str">
        <f t="shared" ref="CB79:CB96" si="208">IF(AND($B79&gt;0,AND(AT79="",AU79="")),"* No olvide ingresar las columnas Trans Masculino o Femenino (*Digite CERO si no tiene). ",IF((AT79+AU79)&gt;$B79,"* El Número de Trans Masculino o Femenino no puede superar el Total Procesados. ",""))</f>
        <v/>
      </c>
      <c r="CC79" s="1899" t="str">
        <f t="shared" ref="CC79:CC96" si="209">IF(AND($B79&gt;0,AV79=""),"* No olvide ingresar la columna "&amp;AV$10&amp;""&amp;" *(Digite CERO si no tiene). ",IF(AV79&gt;$B79," *El Número de "&amp;AV$10&amp;""&amp;" no puede superar el Total Procesados. ",""))</f>
        <v/>
      </c>
      <c r="CD79" s="1899" t="str">
        <f t="shared" ref="CD79:CD96" si="210">IF(AND($B79&gt;0,AW79=""),"* No olvide ingresar la columna "&amp;AW$10&amp;""&amp;" *(Digite CERO si no tiene). ",IF(AW79&gt;$B79," *El Número de "&amp;AW$10&amp;""&amp;" no puede superar el Total Procesados. ",""))</f>
        <v/>
      </c>
      <c r="CE79" s="1900"/>
      <c r="CF79" s="1900"/>
      <c r="CG79" s="1900"/>
      <c r="CH79" s="1900"/>
      <c r="CI79" s="1900"/>
      <c r="CJ79" s="1899" t="str">
        <f t="shared" ref="CJ79:CJ87" si="211">IF(N79&lt;O79,CONCATENATE("* El total de Procesados debe ser mayor o igual al total de Reactivos en el grupo de edad ",$N$11),"")</f>
        <v/>
      </c>
      <c r="CK79" s="1899" t="str">
        <f t="shared" ref="CK79:CK87" si="212">IF(P79&lt;Q79,CONCATENATE("* El total de Procesados debe ser mayor o igual al total de Reactivos en el grupo de edad ",$P$11),"")</f>
        <v/>
      </c>
      <c r="CL79" s="1899" t="str">
        <f t="shared" ref="CL79:CL87" si="213">IF(R79&lt;S79,CONCATENATE("* El total de Procesados debe ser mayor o igual al total de Reactivos en el grupo de edad ",$R$11),"")</f>
        <v/>
      </c>
      <c r="CM79" s="1899" t="str">
        <f>IF($T79&lt;$U79,CONCATENATE("* El total de Procesados debe ser mayor o igual al total de Reactivos en el grupo de edad ",$T$11),"")</f>
        <v/>
      </c>
      <c r="CN79" s="1899" t="str">
        <f t="shared" ref="CN79:CN87" si="214">IF(V79&lt;W79,CONCATENATE("* El total de Procesados debe ser mayor o igual al total de Reactivos en el grupo de edad ",$V$11),"")</f>
        <v/>
      </c>
      <c r="CO79" s="1899" t="str">
        <f t="shared" ref="CO79:CO87" si="215">IF(X79&lt;Y79,CONCATENATE("* El total de Procesados debe ser mayor o igual al total de Reactivos en el grupo de edad ",$X$11),"")</f>
        <v/>
      </c>
      <c r="CP79" s="1899" t="str">
        <f t="shared" ref="CP79:CP87" si="216">IF(Z79&lt;AA79,CONCATENATE("* El total de Procesados debe ser mayor o igual al total de Reactivos en el grupo de edad ",$Z$11),"")</f>
        <v/>
      </c>
      <c r="CQ79" s="1899" t="str">
        <f t="shared" ref="CQ79:CQ87" si="217">IF(AB79&lt;AC79,CONCATENATE("* El total de Procesados debe ser mayor o igual al total de Reactivos en el grupo de edad ",$AB$11),"")</f>
        <v/>
      </c>
      <c r="CR79" s="1899" t="str">
        <f t="shared" ref="CR79:CR87" si="218">IF(AD79&lt;AE79,CONCATENATE("* El total de Procesados debe ser mayor o igual al total de Reactivos en el grupo de edad ",$AD$11),"")</f>
        <v/>
      </c>
      <c r="CS79" s="1899" t="str">
        <f t="shared" ref="CS79:CS87" si="219">IF(AF79&lt;AG79,CONCATENATE("* El total de Procesados debe ser mayor o igual al total de Reactivos en el grupo de edad ",$AF$11),"")</f>
        <v/>
      </c>
      <c r="CT79" s="1899" t="str">
        <f t="shared" ref="CT79:CT87" si="220">IF(AH79&lt;AI79,CONCATENATE("* El total de Procesados debe ser mayor o igual al total de Reactivos en el grupo de edad ",$AH$11),"")</f>
        <v/>
      </c>
      <c r="CU79" s="1899" t="str">
        <f t="shared" ref="CU79:CU87" si="221">IF(AJ79&lt;AK79,CONCATENATE("* El total de Procesados debe ser mayor o igual al total de Reactivos en el grupo de edad ",$AJ$11),"")</f>
        <v/>
      </c>
      <c r="CV79" s="1899" t="str">
        <f t="shared" ref="CV79:CV87" si="222">IF(AL79&lt;AM79,CONCATENATE("* El total de Procesados debe ser mayor o igual al total de Reactivos en el grupo de edad ",$AL$11),"")</f>
        <v/>
      </c>
      <c r="CW79" s="1899" t="str">
        <f t="shared" ref="CW79:CW87" si="223">IF(AN79&lt;AO79,CONCATENATE("* El total de Procesados debe ser mayor o igual al total de Reactivos en el grupo de edad ",$AN$11),"")</f>
        <v/>
      </c>
      <c r="CX79" s="1899" t="str">
        <f t="shared" ref="CX79:CX87" si="224">IF(AP79&lt;AQ79,CONCATENATE("* El total de Procesados debe ser mayor o igual al total de Reactivos en el grupo de edad ",$AP$11),"")</f>
        <v/>
      </c>
      <c r="DE79" s="1970"/>
      <c r="DF79" s="4005">
        <f>IF(B79&lt;&gt;(AS79),1,0)</f>
        <v>0</v>
      </c>
      <c r="DG79" s="3989">
        <f t="shared" ref="DG79:DG96" si="225">IF(AND($B79&gt;0,AND(AT79="",AU79="")),1,IF((AT79+AU79)&gt;$B79,1,0))</f>
        <v>0</v>
      </c>
      <c r="DH79" s="3989">
        <f t="shared" ref="DH79:DH96" si="226">IF(AND($B79&gt;0,AV79=""),1,IF(AV79&gt;$B79,1,0))</f>
        <v>0</v>
      </c>
      <c r="DI79" s="3989">
        <f t="shared" ref="DI79:DI96" si="227">IF(AND($B79&gt;0,AW79=""),1,IF(AW79&gt;$B79,1,0))</f>
        <v>0</v>
      </c>
      <c r="DJ79" s="1900"/>
      <c r="DK79" s="1900"/>
      <c r="DL79" s="1900"/>
      <c r="DM79" s="1900"/>
      <c r="DN79" s="1900"/>
      <c r="DO79" s="3989">
        <f t="shared" ref="DO79:DO87" si="228">IF(N79&lt;O79,1,0)</f>
        <v>0</v>
      </c>
      <c r="DP79" s="3989">
        <f t="shared" ref="DP79:DP87" si="229">IF(P79&lt;Q79,1,0)</f>
        <v>0</v>
      </c>
      <c r="DQ79" s="3989">
        <f t="shared" ref="DQ79:DQ87" si="230">IF(R79&lt;S79,1,0)</f>
        <v>0</v>
      </c>
      <c r="DR79" s="3989">
        <f>IF($T79&lt;$U79,1,0)</f>
        <v>0</v>
      </c>
      <c r="DS79" s="3989">
        <f t="shared" ref="DS79:DS87" si="231">IF(V79&lt;W79,1,0)</f>
        <v>0</v>
      </c>
      <c r="DT79" s="3989">
        <f t="shared" ref="DT79:DT87" si="232">IF(X79&lt;Y79,1,0)</f>
        <v>0</v>
      </c>
      <c r="DU79" s="3989">
        <f t="shared" ref="DU79:DU87" si="233">IF(Z79&lt;AA79,1,0)</f>
        <v>0</v>
      </c>
      <c r="DV79" s="3989">
        <f>IF(AB79&lt;AC79,1,0)</f>
        <v>0</v>
      </c>
      <c r="DW79" s="3989">
        <f t="shared" ref="DW79:DW87" si="234">IF(AD79&lt;AE79,1,0)</f>
        <v>0</v>
      </c>
      <c r="DX79" s="3989">
        <f t="shared" ref="DX79:DX87" si="235">IF(AF79&lt;AG79,1,0)</f>
        <v>0</v>
      </c>
      <c r="DY79" s="3989">
        <f t="shared" ref="DY79:DY87" si="236">IF(AH79&lt;AI79,1,0)</f>
        <v>0</v>
      </c>
      <c r="DZ79" s="3989">
        <f t="shared" ref="DZ79:DZ87" si="237">IF(AJ79&lt;AK79,1,0)</f>
        <v>0</v>
      </c>
      <c r="EA79" s="3989">
        <f t="shared" ref="EA79:EA87" si="238">IF(AL79&lt;AM79,1,0)</f>
        <v>0</v>
      </c>
      <c r="EB79" s="3989">
        <f t="shared" ref="EB79:EB87" si="239">IF(AN79&lt;AO79,1,0)</f>
        <v>0</v>
      </c>
      <c r="EC79" s="3989">
        <f t="shared" ref="EC79:EC87" si="240">IF(AP79&lt;AQ79,1,0)</f>
        <v>0</v>
      </c>
    </row>
    <row r="80" spans="1:133" x14ac:dyDescent="0.3">
      <c r="A80" s="4006" t="s">
        <v>1867</v>
      </c>
      <c r="B80" s="3991">
        <f t="shared" si="206"/>
        <v>0</v>
      </c>
      <c r="C80" s="345">
        <f t="shared" si="206"/>
        <v>0</v>
      </c>
      <c r="D80" s="4001"/>
      <c r="E80" s="3993"/>
      <c r="F80" s="3992"/>
      <c r="G80" s="3993"/>
      <c r="H80" s="3992"/>
      <c r="I80" s="3993"/>
      <c r="J80" s="3992"/>
      <c r="K80" s="3993"/>
      <c r="L80" s="3992"/>
      <c r="M80" s="3994"/>
      <c r="N80" s="3987"/>
      <c r="O80" s="3995"/>
      <c r="P80" s="3996"/>
      <c r="Q80" s="3995"/>
      <c r="R80" s="3996"/>
      <c r="S80" s="3995"/>
      <c r="T80" s="3996"/>
      <c r="U80" s="3995"/>
      <c r="V80" s="3996"/>
      <c r="W80" s="3995"/>
      <c r="X80" s="3996"/>
      <c r="Y80" s="3995"/>
      <c r="Z80" s="3996"/>
      <c r="AA80" s="3995"/>
      <c r="AB80" s="3996"/>
      <c r="AC80" s="3995"/>
      <c r="AD80" s="3996"/>
      <c r="AE80" s="3995"/>
      <c r="AF80" s="3996"/>
      <c r="AG80" s="3995"/>
      <c r="AH80" s="3996"/>
      <c r="AI80" s="3995"/>
      <c r="AJ80" s="3996"/>
      <c r="AK80" s="3995"/>
      <c r="AL80" s="3996"/>
      <c r="AM80" s="3995"/>
      <c r="AN80" s="3996"/>
      <c r="AO80" s="3995"/>
      <c r="AP80" s="3996"/>
      <c r="AQ80" s="3985"/>
      <c r="AR80" s="3984"/>
      <c r="AS80" s="3985"/>
      <c r="AT80" s="3986"/>
      <c r="AU80" s="3985"/>
      <c r="AV80" s="3987"/>
      <c r="AW80" s="3988"/>
      <c r="AX80" s="1898" t="str">
        <f t="shared" si="207"/>
        <v/>
      </c>
      <c r="CA80" s="1899" t="str">
        <f>IF(B80&lt;&gt;(AS80)," * La suma de las columnas "&amp;AR$10&amp;""&amp;" DEBE SER IGUAL a los Exámenes Procesados. ","")</f>
        <v/>
      </c>
      <c r="CB80" s="1899" t="str">
        <f t="shared" si="208"/>
        <v/>
      </c>
      <c r="CC80" s="1899" t="str">
        <f t="shared" si="209"/>
        <v/>
      </c>
      <c r="CD80" s="1899" t="str">
        <f t="shared" si="210"/>
        <v/>
      </c>
      <c r="CE80" s="1900"/>
      <c r="CF80" s="1900"/>
      <c r="CG80" s="1900"/>
      <c r="CH80" s="1900"/>
      <c r="CI80" s="1900"/>
      <c r="CJ80" s="1899" t="str">
        <f t="shared" si="211"/>
        <v/>
      </c>
      <c r="CK80" s="1899" t="str">
        <f t="shared" si="212"/>
        <v/>
      </c>
      <c r="CL80" s="1899" t="str">
        <f t="shared" si="213"/>
        <v/>
      </c>
      <c r="CM80" s="1899" t="str">
        <f t="shared" ref="CM80:CM96" si="241">IF($T80&lt;$U80,CONCATENATE("* El total de Procesados debe ser mayor o igual al total de Reactivos en el grupo de edad ",$T$11),"")</f>
        <v/>
      </c>
      <c r="CN80" s="1899" t="str">
        <f t="shared" si="214"/>
        <v/>
      </c>
      <c r="CO80" s="1899" t="str">
        <f t="shared" si="215"/>
        <v/>
      </c>
      <c r="CP80" s="1899" t="str">
        <f t="shared" si="216"/>
        <v/>
      </c>
      <c r="CQ80" s="1899" t="str">
        <f t="shared" si="217"/>
        <v/>
      </c>
      <c r="CR80" s="1899" t="str">
        <f t="shared" si="218"/>
        <v/>
      </c>
      <c r="CS80" s="1899" t="str">
        <f t="shared" si="219"/>
        <v/>
      </c>
      <c r="CT80" s="1899" t="str">
        <f t="shared" si="220"/>
        <v/>
      </c>
      <c r="CU80" s="1899" t="str">
        <f t="shared" si="221"/>
        <v/>
      </c>
      <c r="CV80" s="1899" t="str">
        <f t="shared" si="222"/>
        <v/>
      </c>
      <c r="CW80" s="1899" t="str">
        <f t="shared" si="223"/>
        <v/>
      </c>
      <c r="CX80" s="1899" t="str">
        <f t="shared" si="224"/>
        <v/>
      </c>
      <c r="DE80" s="1970"/>
      <c r="DF80" s="4005">
        <f>IF(B80&lt;&gt;(AS80),1,0)</f>
        <v>0</v>
      </c>
      <c r="DG80" s="3989">
        <f t="shared" si="225"/>
        <v>0</v>
      </c>
      <c r="DH80" s="3989">
        <f t="shared" si="226"/>
        <v>0</v>
      </c>
      <c r="DI80" s="3989">
        <f t="shared" si="227"/>
        <v>0</v>
      </c>
      <c r="DJ80" s="1900"/>
      <c r="DK80" s="1900"/>
      <c r="DL80" s="1900"/>
      <c r="DM80" s="1900"/>
      <c r="DN80" s="1900"/>
      <c r="DO80" s="3989">
        <f t="shared" si="228"/>
        <v>0</v>
      </c>
      <c r="DP80" s="3989">
        <f t="shared" si="229"/>
        <v>0</v>
      </c>
      <c r="DQ80" s="3989">
        <f t="shared" si="230"/>
        <v>0</v>
      </c>
      <c r="DR80" s="3989">
        <f t="shared" ref="DR80:DR96" si="242">IF($T80&lt;$U80,1,0)</f>
        <v>0</v>
      </c>
      <c r="DS80" s="3989">
        <f t="shared" si="231"/>
        <v>0</v>
      </c>
      <c r="DT80" s="3989">
        <f t="shared" si="232"/>
        <v>0</v>
      </c>
      <c r="DU80" s="3989">
        <f t="shared" si="233"/>
        <v>0</v>
      </c>
      <c r="DV80" s="3989">
        <f t="shared" ref="DV80:DV96" si="243">IF(AB80&lt;AC80,1,0)</f>
        <v>0</v>
      </c>
      <c r="DW80" s="3989">
        <f t="shared" si="234"/>
        <v>0</v>
      </c>
      <c r="DX80" s="3989">
        <f t="shared" si="235"/>
        <v>0</v>
      </c>
      <c r="DY80" s="3989">
        <f t="shared" si="236"/>
        <v>0</v>
      </c>
      <c r="DZ80" s="3989">
        <f t="shared" si="237"/>
        <v>0</v>
      </c>
      <c r="EA80" s="3989">
        <f t="shared" si="238"/>
        <v>0</v>
      </c>
      <c r="EB80" s="3989">
        <f t="shared" si="239"/>
        <v>0</v>
      </c>
      <c r="EC80" s="3989">
        <f t="shared" si="240"/>
        <v>0</v>
      </c>
    </row>
    <row r="81" spans="1:133" x14ac:dyDescent="0.3">
      <c r="A81" s="4006" t="s">
        <v>1868</v>
      </c>
      <c r="B81" s="3991">
        <f t="shared" si="206"/>
        <v>0</v>
      </c>
      <c r="C81" s="345">
        <f t="shared" si="206"/>
        <v>0</v>
      </c>
      <c r="D81" s="4001"/>
      <c r="E81" s="3993"/>
      <c r="F81" s="3992"/>
      <c r="G81" s="3993"/>
      <c r="H81" s="3992"/>
      <c r="I81" s="3993"/>
      <c r="J81" s="3992"/>
      <c r="K81" s="3993"/>
      <c r="L81" s="3992"/>
      <c r="M81" s="3994"/>
      <c r="N81" s="3987"/>
      <c r="O81" s="3995"/>
      <c r="P81" s="3996"/>
      <c r="Q81" s="3995"/>
      <c r="R81" s="3996"/>
      <c r="S81" s="3995"/>
      <c r="T81" s="3996"/>
      <c r="U81" s="3995"/>
      <c r="V81" s="3996"/>
      <c r="W81" s="3995"/>
      <c r="X81" s="3996"/>
      <c r="Y81" s="3995"/>
      <c r="Z81" s="3996"/>
      <c r="AA81" s="3995"/>
      <c r="AB81" s="3996"/>
      <c r="AC81" s="3995"/>
      <c r="AD81" s="3996"/>
      <c r="AE81" s="3995"/>
      <c r="AF81" s="3996"/>
      <c r="AG81" s="3995"/>
      <c r="AH81" s="3996"/>
      <c r="AI81" s="3995"/>
      <c r="AJ81" s="3996"/>
      <c r="AK81" s="3995"/>
      <c r="AL81" s="3996"/>
      <c r="AM81" s="3995"/>
      <c r="AN81" s="3996"/>
      <c r="AO81" s="3995"/>
      <c r="AP81" s="3996"/>
      <c r="AQ81" s="3985"/>
      <c r="AR81" s="3984"/>
      <c r="AS81" s="3985"/>
      <c r="AT81" s="3986"/>
      <c r="AU81" s="3985"/>
      <c r="AV81" s="3987"/>
      <c r="AW81" s="3988"/>
      <c r="AX81" s="1898" t="str">
        <f t="shared" si="207"/>
        <v/>
      </c>
      <c r="CA81" s="1899" t="str">
        <f>IF(B81&lt;&gt;(AS81)," * La suma de las columnas "&amp;AR$10&amp;""&amp;" DEBE SER IGUAL a los Exámenes Procesados. ","")</f>
        <v/>
      </c>
      <c r="CB81" s="1899" t="str">
        <f t="shared" si="208"/>
        <v/>
      </c>
      <c r="CC81" s="1899" t="str">
        <f t="shared" si="209"/>
        <v/>
      </c>
      <c r="CD81" s="1899" t="str">
        <f t="shared" si="210"/>
        <v/>
      </c>
      <c r="CE81" s="1900"/>
      <c r="CF81" s="1900"/>
      <c r="CG81" s="1900"/>
      <c r="CH81" s="1900"/>
      <c r="CI81" s="1900"/>
      <c r="CJ81" s="1899" t="str">
        <f t="shared" si="211"/>
        <v/>
      </c>
      <c r="CK81" s="1899" t="str">
        <f t="shared" si="212"/>
        <v/>
      </c>
      <c r="CL81" s="1899" t="str">
        <f t="shared" si="213"/>
        <v/>
      </c>
      <c r="CM81" s="1899" t="str">
        <f t="shared" si="241"/>
        <v/>
      </c>
      <c r="CN81" s="1899" t="str">
        <f t="shared" si="214"/>
        <v/>
      </c>
      <c r="CO81" s="1899" t="str">
        <f t="shared" si="215"/>
        <v/>
      </c>
      <c r="CP81" s="1899" t="str">
        <f t="shared" si="216"/>
        <v/>
      </c>
      <c r="CQ81" s="1899" t="str">
        <f t="shared" si="217"/>
        <v/>
      </c>
      <c r="CR81" s="1899" t="str">
        <f t="shared" si="218"/>
        <v/>
      </c>
      <c r="CS81" s="1899" t="str">
        <f t="shared" si="219"/>
        <v/>
      </c>
      <c r="CT81" s="1899" t="str">
        <f t="shared" si="220"/>
        <v/>
      </c>
      <c r="CU81" s="1899" t="str">
        <f t="shared" si="221"/>
        <v/>
      </c>
      <c r="CV81" s="1899" t="str">
        <f t="shared" si="222"/>
        <v/>
      </c>
      <c r="CW81" s="1899" t="str">
        <f t="shared" si="223"/>
        <v/>
      </c>
      <c r="CX81" s="1899" t="str">
        <f t="shared" si="224"/>
        <v/>
      </c>
      <c r="DE81" s="1970"/>
      <c r="DF81" s="4005">
        <f>IF(B81&lt;&gt;(AS81),1,0)</f>
        <v>0</v>
      </c>
      <c r="DG81" s="3989">
        <f t="shared" si="225"/>
        <v>0</v>
      </c>
      <c r="DH81" s="3989">
        <f t="shared" si="226"/>
        <v>0</v>
      </c>
      <c r="DI81" s="3989">
        <f t="shared" si="227"/>
        <v>0</v>
      </c>
      <c r="DJ81" s="1900"/>
      <c r="DK81" s="1900"/>
      <c r="DL81" s="1900"/>
      <c r="DM81" s="1900"/>
      <c r="DN81" s="1900"/>
      <c r="DO81" s="3989">
        <f t="shared" si="228"/>
        <v>0</v>
      </c>
      <c r="DP81" s="3989">
        <f t="shared" si="229"/>
        <v>0</v>
      </c>
      <c r="DQ81" s="3989">
        <f t="shared" si="230"/>
        <v>0</v>
      </c>
      <c r="DR81" s="3989">
        <f t="shared" si="242"/>
        <v>0</v>
      </c>
      <c r="DS81" s="3989">
        <f t="shared" si="231"/>
        <v>0</v>
      </c>
      <c r="DT81" s="3989">
        <f t="shared" si="232"/>
        <v>0</v>
      </c>
      <c r="DU81" s="3989">
        <f t="shared" si="233"/>
        <v>0</v>
      </c>
      <c r="DV81" s="3989">
        <f t="shared" si="243"/>
        <v>0</v>
      </c>
      <c r="DW81" s="3989">
        <f t="shared" si="234"/>
        <v>0</v>
      </c>
      <c r="DX81" s="3989">
        <f t="shared" si="235"/>
        <v>0</v>
      </c>
      <c r="DY81" s="3989">
        <f t="shared" si="236"/>
        <v>0</v>
      </c>
      <c r="DZ81" s="3989">
        <f t="shared" si="237"/>
        <v>0</v>
      </c>
      <c r="EA81" s="3989">
        <f t="shared" si="238"/>
        <v>0</v>
      </c>
      <c r="EB81" s="3989">
        <f t="shared" si="239"/>
        <v>0</v>
      </c>
      <c r="EC81" s="3989">
        <f t="shared" si="240"/>
        <v>0</v>
      </c>
    </row>
    <row r="82" spans="1:133" x14ac:dyDescent="0.3">
      <c r="A82" s="4006" t="s">
        <v>1869</v>
      </c>
      <c r="B82" s="3991">
        <f t="shared" si="206"/>
        <v>0</v>
      </c>
      <c r="C82" s="345">
        <f t="shared" si="206"/>
        <v>0</v>
      </c>
      <c r="D82" s="4001"/>
      <c r="E82" s="3993"/>
      <c r="F82" s="3992"/>
      <c r="G82" s="3993"/>
      <c r="H82" s="3992"/>
      <c r="I82" s="3993"/>
      <c r="J82" s="3992"/>
      <c r="K82" s="3993"/>
      <c r="L82" s="3992"/>
      <c r="M82" s="3994"/>
      <c r="N82" s="3987"/>
      <c r="O82" s="3995"/>
      <c r="P82" s="3996"/>
      <c r="Q82" s="3995"/>
      <c r="R82" s="3996"/>
      <c r="S82" s="3995"/>
      <c r="T82" s="3996"/>
      <c r="U82" s="3995"/>
      <c r="V82" s="3996"/>
      <c r="W82" s="3995"/>
      <c r="X82" s="3996"/>
      <c r="Y82" s="3995"/>
      <c r="Z82" s="3996"/>
      <c r="AA82" s="3995"/>
      <c r="AB82" s="3996"/>
      <c r="AC82" s="3995"/>
      <c r="AD82" s="3996"/>
      <c r="AE82" s="3995"/>
      <c r="AF82" s="3996"/>
      <c r="AG82" s="3995"/>
      <c r="AH82" s="3996"/>
      <c r="AI82" s="3995"/>
      <c r="AJ82" s="3996"/>
      <c r="AK82" s="3995"/>
      <c r="AL82" s="3996"/>
      <c r="AM82" s="3995"/>
      <c r="AN82" s="3996"/>
      <c r="AO82" s="3995"/>
      <c r="AP82" s="3996"/>
      <c r="AQ82" s="3985"/>
      <c r="AR82" s="3984"/>
      <c r="AS82" s="3985"/>
      <c r="AT82" s="3986"/>
      <c r="AU82" s="3985"/>
      <c r="AV82" s="3987"/>
      <c r="AW82" s="3988"/>
      <c r="AX82" s="1898" t="str">
        <f t="shared" si="207"/>
        <v/>
      </c>
      <c r="CA82" s="1899" t="str">
        <f>IF(B82&lt;&gt;(AS82)," * La suma de las columnas "&amp;AR$10&amp;""&amp;" DEBE SER IGUAL a los Exámenes Procesados. ","")</f>
        <v/>
      </c>
      <c r="CB82" s="1899" t="str">
        <f t="shared" si="208"/>
        <v/>
      </c>
      <c r="CC82" s="1899" t="str">
        <f t="shared" si="209"/>
        <v/>
      </c>
      <c r="CD82" s="1899" t="str">
        <f t="shared" si="210"/>
        <v/>
      </c>
      <c r="CE82" s="1900"/>
      <c r="CF82" s="1900"/>
      <c r="CG82" s="1900"/>
      <c r="CH82" s="1900"/>
      <c r="CI82" s="1900"/>
      <c r="CJ82" s="1899" t="str">
        <f t="shared" si="211"/>
        <v/>
      </c>
      <c r="CK82" s="1899" t="str">
        <f t="shared" si="212"/>
        <v/>
      </c>
      <c r="CL82" s="1899" t="str">
        <f t="shared" si="213"/>
        <v/>
      </c>
      <c r="CM82" s="1899" t="str">
        <f t="shared" si="241"/>
        <v/>
      </c>
      <c r="CN82" s="1899" t="str">
        <f t="shared" si="214"/>
        <v/>
      </c>
      <c r="CO82" s="1899" t="str">
        <f t="shared" si="215"/>
        <v/>
      </c>
      <c r="CP82" s="1899" t="str">
        <f t="shared" si="216"/>
        <v/>
      </c>
      <c r="CQ82" s="1899" t="str">
        <f t="shared" si="217"/>
        <v/>
      </c>
      <c r="CR82" s="1899" t="str">
        <f t="shared" si="218"/>
        <v/>
      </c>
      <c r="CS82" s="1899" t="str">
        <f t="shared" si="219"/>
        <v/>
      </c>
      <c r="CT82" s="1899" t="str">
        <f t="shared" si="220"/>
        <v/>
      </c>
      <c r="CU82" s="1899" t="str">
        <f t="shared" si="221"/>
        <v/>
      </c>
      <c r="CV82" s="1899" t="str">
        <f t="shared" si="222"/>
        <v/>
      </c>
      <c r="CW82" s="1899" t="str">
        <f t="shared" si="223"/>
        <v/>
      </c>
      <c r="CX82" s="1899" t="str">
        <f t="shared" si="224"/>
        <v/>
      </c>
      <c r="DE82" s="1970"/>
      <c r="DF82" s="4005">
        <f>IF(B82&lt;&gt;(AS82),1,0)</f>
        <v>0</v>
      </c>
      <c r="DG82" s="3989">
        <f t="shared" si="225"/>
        <v>0</v>
      </c>
      <c r="DH82" s="3989">
        <f t="shared" si="226"/>
        <v>0</v>
      </c>
      <c r="DI82" s="3989">
        <f t="shared" si="227"/>
        <v>0</v>
      </c>
      <c r="DJ82" s="1900"/>
      <c r="DK82" s="1900"/>
      <c r="DL82" s="1900"/>
      <c r="DM82" s="1900"/>
      <c r="DN82" s="1900"/>
      <c r="DO82" s="3989">
        <f t="shared" si="228"/>
        <v>0</v>
      </c>
      <c r="DP82" s="3989">
        <f t="shared" si="229"/>
        <v>0</v>
      </c>
      <c r="DQ82" s="3989">
        <f t="shared" si="230"/>
        <v>0</v>
      </c>
      <c r="DR82" s="3989">
        <f t="shared" si="242"/>
        <v>0</v>
      </c>
      <c r="DS82" s="3989">
        <f t="shared" si="231"/>
        <v>0</v>
      </c>
      <c r="DT82" s="3989">
        <f t="shared" si="232"/>
        <v>0</v>
      </c>
      <c r="DU82" s="3989">
        <f t="shared" si="233"/>
        <v>0</v>
      </c>
      <c r="DV82" s="3989">
        <f t="shared" si="243"/>
        <v>0</v>
      </c>
      <c r="DW82" s="3989">
        <f t="shared" si="234"/>
        <v>0</v>
      </c>
      <c r="DX82" s="3989">
        <f t="shared" si="235"/>
        <v>0</v>
      </c>
      <c r="DY82" s="3989">
        <f t="shared" si="236"/>
        <v>0</v>
      </c>
      <c r="DZ82" s="3989">
        <f t="shared" si="237"/>
        <v>0</v>
      </c>
      <c r="EA82" s="3989">
        <f t="shared" si="238"/>
        <v>0</v>
      </c>
      <c r="EB82" s="3989">
        <f t="shared" si="239"/>
        <v>0</v>
      </c>
      <c r="EC82" s="3989">
        <f t="shared" si="240"/>
        <v>0</v>
      </c>
    </row>
    <row r="83" spans="1:133" x14ac:dyDescent="0.3">
      <c r="A83" s="4007" t="s">
        <v>1870</v>
      </c>
      <c r="B83" s="3991">
        <f t="shared" si="206"/>
        <v>0</v>
      </c>
      <c r="C83" s="345">
        <f t="shared" si="206"/>
        <v>0</v>
      </c>
      <c r="D83" s="4001"/>
      <c r="E83" s="3993"/>
      <c r="F83" s="3992"/>
      <c r="G83" s="3993"/>
      <c r="H83" s="3992"/>
      <c r="I83" s="3993"/>
      <c r="J83" s="3992"/>
      <c r="K83" s="3993"/>
      <c r="L83" s="3992"/>
      <c r="M83" s="3994"/>
      <c r="N83" s="3987"/>
      <c r="O83" s="3995"/>
      <c r="P83" s="3996"/>
      <c r="Q83" s="3995"/>
      <c r="R83" s="3996"/>
      <c r="S83" s="3995"/>
      <c r="T83" s="3996"/>
      <c r="U83" s="3995"/>
      <c r="V83" s="3996"/>
      <c r="W83" s="3995"/>
      <c r="X83" s="3996"/>
      <c r="Y83" s="3995"/>
      <c r="Z83" s="3996"/>
      <c r="AA83" s="3995"/>
      <c r="AB83" s="3996"/>
      <c r="AC83" s="3995"/>
      <c r="AD83" s="3996"/>
      <c r="AE83" s="3995"/>
      <c r="AF83" s="3996"/>
      <c r="AG83" s="3995"/>
      <c r="AH83" s="3996"/>
      <c r="AI83" s="3995"/>
      <c r="AJ83" s="3996"/>
      <c r="AK83" s="3995"/>
      <c r="AL83" s="3996"/>
      <c r="AM83" s="3995"/>
      <c r="AN83" s="3996"/>
      <c r="AO83" s="3995"/>
      <c r="AP83" s="3996"/>
      <c r="AQ83" s="3985"/>
      <c r="AR83" s="3984"/>
      <c r="AS83" s="3985"/>
      <c r="AT83" s="3986"/>
      <c r="AU83" s="3985"/>
      <c r="AV83" s="3987"/>
      <c r="AW83" s="3988"/>
      <c r="AX83" s="1898" t="str">
        <f t="shared" si="207"/>
        <v/>
      </c>
      <c r="CA83" s="1899" t="str">
        <f>IF(B83&lt;&gt;(AS83)," * La suma de las columnas "&amp;AR$10&amp;""&amp;" DEBE SER IGUAL a los Exámenes Procesados. ","")</f>
        <v/>
      </c>
      <c r="CB83" s="1899" t="str">
        <f t="shared" si="208"/>
        <v/>
      </c>
      <c r="CC83" s="1899" t="str">
        <f t="shared" si="209"/>
        <v/>
      </c>
      <c r="CD83" s="1899" t="str">
        <f t="shared" si="210"/>
        <v/>
      </c>
      <c r="CE83" s="1900"/>
      <c r="CF83" s="1900"/>
      <c r="CG83" s="1900"/>
      <c r="CH83" s="1900"/>
      <c r="CI83" s="1900"/>
      <c r="CJ83" s="1899" t="str">
        <f t="shared" si="211"/>
        <v/>
      </c>
      <c r="CK83" s="1899" t="str">
        <f t="shared" si="212"/>
        <v/>
      </c>
      <c r="CL83" s="1899" t="str">
        <f t="shared" si="213"/>
        <v/>
      </c>
      <c r="CM83" s="1899" t="str">
        <f t="shared" si="241"/>
        <v/>
      </c>
      <c r="CN83" s="1899" t="str">
        <f t="shared" si="214"/>
        <v/>
      </c>
      <c r="CO83" s="1899" t="str">
        <f t="shared" si="215"/>
        <v/>
      </c>
      <c r="CP83" s="1899" t="str">
        <f t="shared" si="216"/>
        <v/>
      </c>
      <c r="CQ83" s="1899" t="str">
        <f t="shared" si="217"/>
        <v/>
      </c>
      <c r="CR83" s="1899" t="str">
        <f t="shared" si="218"/>
        <v/>
      </c>
      <c r="CS83" s="1899" t="str">
        <f t="shared" si="219"/>
        <v/>
      </c>
      <c r="CT83" s="1899" t="str">
        <f t="shared" si="220"/>
        <v/>
      </c>
      <c r="CU83" s="1899" t="str">
        <f t="shared" si="221"/>
        <v/>
      </c>
      <c r="CV83" s="1899" t="str">
        <f t="shared" si="222"/>
        <v/>
      </c>
      <c r="CW83" s="1899" t="str">
        <f t="shared" si="223"/>
        <v/>
      </c>
      <c r="CX83" s="1899" t="str">
        <f t="shared" si="224"/>
        <v/>
      </c>
      <c r="DE83" s="1970"/>
      <c r="DF83" s="4005">
        <f>IF(B83&lt;&gt;(AS83),1,0)</f>
        <v>0</v>
      </c>
      <c r="DG83" s="3989">
        <f t="shared" si="225"/>
        <v>0</v>
      </c>
      <c r="DH83" s="3989">
        <f t="shared" si="226"/>
        <v>0</v>
      </c>
      <c r="DI83" s="3989">
        <f t="shared" si="227"/>
        <v>0</v>
      </c>
      <c r="DJ83" s="1900"/>
      <c r="DK83" s="1900"/>
      <c r="DL83" s="1900"/>
      <c r="DM83" s="1900"/>
      <c r="DN83" s="1900"/>
      <c r="DO83" s="3989">
        <f t="shared" si="228"/>
        <v>0</v>
      </c>
      <c r="DP83" s="3989">
        <f t="shared" si="229"/>
        <v>0</v>
      </c>
      <c r="DQ83" s="3989">
        <f t="shared" si="230"/>
        <v>0</v>
      </c>
      <c r="DR83" s="3989">
        <f t="shared" si="242"/>
        <v>0</v>
      </c>
      <c r="DS83" s="3989">
        <f t="shared" si="231"/>
        <v>0</v>
      </c>
      <c r="DT83" s="3989">
        <f t="shared" si="232"/>
        <v>0</v>
      </c>
      <c r="DU83" s="3989">
        <f t="shared" si="233"/>
        <v>0</v>
      </c>
      <c r="DV83" s="3989">
        <f t="shared" si="243"/>
        <v>0</v>
      </c>
      <c r="DW83" s="3989">
        <f t="shared" si="234"/>
        <v>0</v>
      </c>
      <c r="DX83" s="3989">
        <f t="shared" si="235"/>
        <v>0</v>
      </c>
      <c r="DY83" s="3989">
        <f t="shared" si="236"/>
        <v>0</v>
      </c>
      <c r="DZ83" s="3989">
        <f t="shared" si="237"/>
        <v>0</v>
      </c>
      <c r="EA83" s="3989">
        <f t="shared" si="238"/>
        <v>0</v>
      </c>
      <c r="EB83" s="3989">
        <f t="shared" si="239"/>
        <v>0</v>
      </c>
      <c r="EC83" s="3989">
        <f t="shared" si="240"/>
        <v>0</v>
      </c>
    </row>
    <row r="84" spans="1:133" x14ac:dyDescent="0.3">
      <c r="A84" s="4007" t="s">
        <v>1871</v>
      </c>
      <c r="B84" s="3991">
        <f t="shared" si="206"/>
        <v>0</v>
      </c>
      <c r="C84" s="345">
        <f t="shared" si="206"/>
        <v>0</v>
      </c>
      <c r="D84" s="4001"/>
      <c r="E84" s="3993"/>
      <c r="F84" s="3992"/>
      <c r="G84" s="3993"/>
      <c r="H84" s="3992"/>
      <c r="I84" s="3993"/>
      <c r="J84" s="3992"/>
      <c r="K84" s="3993"/>
      <c r="L84" s="3992"/>
      <c r="M84" s="3994"/>
      <c r="N84" s="3987"/>
      <c r="O84" s="3995"/>
      <c r="P84" s="3996"/>
      <c r="Q84" s="3995"/>
      <c r="R84" s="3996"/>
      <c r="S84" s="3995"/>
      <c r="T84" s="3996"/>
      <c r="U84" s="3995"/>
      <c r="V84" s="3996"/>
      <c r="W84" s="3995"/>
      <c r="X84" s="3996"/>
      <c r="Y84" s="3995"/>
      <c r="Z84" s="3996"/>
      <c r="AA84" s="3995"/>
      <c r="AB84" s="3996"/>
      <c r="AC84" s="3995"/>
      <c r="AD84" s="3996"/>
      <c r="AE84" s="3995"/>
      <c r="AF84" s="3996"/>
      <c r="AG84" s="3995"/>
      <c r="AH84" s="3996"/>
      <c r="AI84" s="3995"/>
      <c r="AJ84" s="3996"/>
      <c r="AK84" s="3995"/>
      <c r="AL84" s="3996"/>
      <c r="AM84" s="3995"/>
      <c r="AN84" s="3996"/>
      <c r="AO84" s="3995"/>
      <c r="AP84" s="3996"/>
      <c r="AQ84" s="3985"/>
      <c r="AR84" s="3987"/>
      <c r="AS84" s="3985"/>
      <c r="AT84" s="3986"/>
      <c r="AU84" s="3985"/>
      <c r="AV84" s="3987"/>
      <c r="AW84" s="3988"/>
      <c r="AX84" s="1898" t="str">
        <f t="shared" si="207"/>
        <v/>
      </c>
      <c r="CA84" s="1899" t="str">
        <f>IF(B84&lt;&gt;(AS84+AR84)," * La suma de las columnas "&amp;AR$10&amp;""&amp;" DEBE SER IGUAL a los Exámenes Procesados. ","")</f>
        <v/>
      </c>
      <c r="CB84" s="1899" t="str">
        <f t="shared" si="208"/>
        <v/>
      </c>
      <c r="CC84" s="1899" t="str">
        <f t="shared" si="209"/>
        <v/>
      </c>
      <c r="CD84" s="1899" t="str">
        <f t="shared" si="210"/>
        <v/>
      </c>
      <c r="CE84" s="1900"/>
      <c r="CF84" s="1900"/>
      <c r="CG84" s="1900"/>
      <c r="CH84" s="1900"/>
      <c r="CI84" s="1900"/>
      <c r="CJ84" s="1899" t="str">
        <f t="shared" si="211"/>
        <v/>
      </c>
      <c r="CK84" s="1899" t="str">
        <f t="shared" si="212"/>
        <v/>
      </c>
      <c r="CL84" s="1899" t="str">
        <f t="shared" si="213"/>
        <v/>
      </c>
      <c r="CM84" s="1899" t="str">
        <f t="shared" si="241"/>
        <v/>
      </c>
      <c r="CN84" s="1899" t="str">
        <f t="shared" si="214"/>
        <v/>
      </c>
      <c r="CO84" s="1899" t="str">
        <f t="shared" si="215"/>
        <v/>
      </c>
      <c r="CP84" s="1899" t="str">
        <f t="shared" si="216"/>
        <v/>
      </c>
      <c r="CQ84" s="1899" t="str">
        <f t="shared" si="217"/>
        <v/>
      </c>
      <c r="CR84" s="1899" t="str">
        <f t="shared" si="218"/>
        <v/>
      </c>
      <c r="CS84" s="1899" t="str">
        <f t="shared" si="219"/>
        <v/>
      </c>
      <c r="CT84" s="1899" t="str">
        <f t="shared" si="220"/>
        <v/>
      </c>
      <c r="CU84" s="1899" t="str">
        <f t="shared" si="221"/>
        <v/>
      </c>
      <c r="CV84" s="1899" t="str">
        <f t="shared" si="222"/>
        <v/>
      </c>
      <c r="CW84" s="1899" t="str">
        <f t="shared" si="223"/>
        <v/>
      </c>
      <c r="CX84" s="1899" t="str">
        <f t="shared" si="224"/>
        <v/>
      </c>
      <c r="DE84" s="1970"/>
      <c r="DF84" s="4005">
        <f>IF(B84&lt;&gt;(AS84+AR84),1,0)</f>
        <v>0</v>
      </c>
      <c r="DG84" s="3989">
        <f t="shared" si="225"/>
        <v>0</v>
      </c>
      <c r="DH84" s="3989">
        <f t="shared" si="226"/>
        <v>0</v>
      </c>
      <c r="DI84" s="3989">
        <f t="shared" si="227"/>
        <v>0</v>
      </c>
      <c r="DJ84" s="1900"/>
      <c r="DK84" s="1900"/>
      <c r="DL84" s="1900"/>
      <c r="DM84" s="1900"/>
      <c r="DN84" s="1900"/>
      <c r="DO84" s="3989">
        <f t="shared" si="228"/>
        <v>0</v>
      </c>
      <c r="DP84" s="3989">
        <f t="shared" si="229"/>
        <v>0</v>
      </c>
      <c r="DQ84" s="3989">
        <f t="shared" si="230"/>
        <v>0</v>
      </c>
      <c r="DR84" s="3989">
        <f t="shared" si="242"/>
        <v>0</v>
      </c>
      <c r="DS84" s="3989">
        <f t="shared" si="231"/>
        <v>0</v>
      </c>
      <c r="DT84" s="3989">
        <f t="shared" si="232"/>
        <v>0</v>
      </c>
      <c r="DU84" s="3989">
        <f t="shared" si="233"/>
        <v>0</v>
      </c>
      <c r="DV84" s="3989">
        <f t="shared" si="243"/>
        <v>0</v>
      </c>
      <c r="DW84" s="3989">
        <f t="shared" si="234"/>
        <v>0</v>
      </c>
      <c r="DX84" s="3989">
        <f t="shared" si="235"/>
        <v>0</v>
      </c>
      <c r="DY84" s="3989">
        <f t="shared" si="236"/>
        <v>0</v>
      </c>
      <c r="DZ84" s="3989">
        <f t="shared" si="237"/>
        <v>0</v>
      </c>
      <c r="EA84" s="3989">
        <f t="shared" si="238"/>
        <v>0</v>
      </c>
      <c r="EB84" s="3989">
        <f t="shared" si="239"/>
        <v>0</v>
      </c>
      <c r="EC84" s="3989">
        <f t="shared" si="240"/>
        <v>0</v>
      </c>
    </row>
    <row r="85" spans="1:133" x14ac:dyDescent="0.3">
      <c r="A85" s="4007" t="s">
        <v>1872</v>
      </c>
      <c r="B85" s="3991">
        <f t="shared" si="206"/>
        <v>0</v>
      </c>
      <c r="C85" s="345">
        <f t="shared" si="206"/>
        <v>0</v>
      </c>
      <c r="D85" s="4001"/>
      <c r="E85" s="3993"/>
      <c r="F85" s="3992"/>
      <c r="G85" s="3993"/>
      <c r="H85" s="3992"/>
      <c r="I85" s="3993"/>
      <c r="J85" s="3992"/>
      <c r="K85" s="3993"/>
      <c r="L85" s="3992"/>
      <c r="M85" s="3994"/>
      <c r="N85" s="3987"/>
      <c r="O85" s="3995"/>
      <c r="P85" s="3996"/>
      <c r="Q85" s="3995"/>
      <c r="R85" s="3996"/>
      <c r="S85" s="3995"/>
      <c r="T85" s="3996"/>
      <c r="U85" s="3995"/>
      <c r="V85" s="3996"/>
      <c r="W85" s="3995"/>
      <c r="X85" s="3996"/>
      <c r="Y85" s="3995"/>
      <c r="Z85" s="3996"/>
      <c r="AA85" s="3995"/>
      <c r="AB85" s="3996"/>
      <c r="AC85" s="3995"/>
      <c r="AD85" s="3996"/>
      <c r="AE85" s="3995"/>
      <c r="AF85" s="3996"/>
      <c r="AG85" s="3995"/>
      <c r="AH85" s="3996"/>
      <c r="AI85" s="3995"/>
      <c r="AJ85" s="3996"/>
      <c r="AK85" s="3995"/>
      <c r="AL85" s="3996"/>
      <c r="AM85" s="3995"/>
      <c r="AN85" s="3996"/>
      <c r="AO85" s="3995"/>
      <c r="AP85" s="3996"/>
      <c r="AQ85" s="3985"/>
      <c r="AR85" s="3984"/>
      <c r="AS85" s="3985"/>
      <c r="AT85" s="3986"/>
      <c r="AU85" s="3985"/>
      <c r="AV85" s="3987"/>
      <c r="AW85" s="3988"/>
      <c r="AX85" s="1898" t="str">
        <f t="shared" si="207"/>
        <v/>
      </c>
      <c r="CA85" s="1899" t="str">
        <f>IF(B85&lt;&gt;(AS85)," * La suma de las columnas "&amp;AR$10&amp;""&amp;" DEBE SER IGUAL a los Exámenes Procesados. ","")</f>
        <v/>
      </c>
      <c r="CB85" s="1899" t="str">
        <f t="shared" si="208"/>
        <v/>
      </c>
      <c r="CC85" s="1899" t="str">
        <f t="shared" si="209"/>
        <v/>
      </c>
      <c r="CD85" s="1899" t="str">
        <f t="shared" si="210"/>
        <v/>
      </c>
      <c r="CE85" s="1900"/>
      <c r="CF85" s="1900"/>
      <c r="CG85" s="1900"/>
      <c r="CH85" s="1900"/>
      <c r="CI85" s="1900"/>
      <c r="CJ85" s="1899" t="str">
        <f t="shared" si="211"/>
        <v/>
      </c>
      <c r="CK85" s="1899" t="str">
        <f t="shared" si="212"/>
        <v/>
      </c>
      <c r="CL85" s="1899" t="str">
        <f t="shared" si="213"/>
        <v/>
      </c>
      <c r="CM85" s="1899" t="str">
        <f t="shared" si="241"/>
        <v/>
      </c>
      <c r="CN85" s="1899" t="str">
        <f t="shared" si="214"/>
        <v/>
      </c>
      <c r="CO85" s="1899" t="str">
        <f t="shared" si="215"/>
        <v/>
      </c>
      <c r="CP85" s="1899" t="str">
        <f t="shared" si="216"/>
        <v/>
      </c>
      <c r="CQ85" s="1899" t="str">
        <f t="shared" si="217"/>
        <v/>
      </c>
      <c r="CR85" s="1899" t="str">
        <f t="shared" si="218"/>
        <v/>
      </c>
      <c r="CS85" s="1899" t="str">
        <f t="shared" si="219"/>
        <v/>
      </c>
      <c r="CT85" s="1899" t="str">
        <f t="shared" si="220"/>
        <v/>
      </c>
      <c r="CU85" s="1899" t="str">
        <f t="shared" si="221"/>
        <v/>
      </c>
      <c r="CV85" s="1899" t="str">
        <f t="shared" si="222"/>
        <v/>
      </c>
      <c r="CW85" s="1899" t="str">
        <f t="shared" si="223"/>
        <v/>
      </c>
      <c r="CX85" s="1899" t="str">
        <f t="shared" si="224"/>
        <v/>
      </c>
      <c r="DE85" s="1970"/>
      <c r="DF85" s="4005">
        <f>IF(B85&lt;&gt;(AS85),1,0)</f>
        <v>0</v>
      </c>
      <c r="DG85" s="3989">
        <f t="shared" si="225"/>
        <v>0</v>
      </c>
      <c r="DH85" s="3989">
        <f t="shared" si="226"/>
        <v>0</v>
      </c>
      <c r="DI85" s="3989">
        <f t="shared" si="227"/>
        <v>0</v>
      </c>
      <c r="DJ85" s="1900"/>
      <c r="DK85" s="1900"/>
      <c r="DL85" s="1900"/>
      <c r="DM85" s="1900"/>
      <c r="DN85" s="1900"/>
      <c r="DO85" s="3989">
        <f t="shared" si="228"/>
        <v>0</v>
      </c>
      <c r="DP85" s="3989">
        <f t="shared" si="229"/>
        <v>0</v>
      </c>
      <c r="DQ85" s="3989">
        <f t="shared" si="230"/>
        <v>0</v>
      </c>
      <c r="DR85" s="3989">
        <f t="shared" si="242"/>
        <v>0</v>
      </c>
      <c r="DS85" s="3989">
        <f t="shared" si="231"/>
        <v>0</v>
      </c>
      <c r="DT85" s="3989">
        <f t="shared" si="232"/>
        <v>0</v>
      </c>
      <c r="DU85" s="3989">
        <f t="shared" si="233"/>
        <v>0</v>
      </c>
      <c r="DV85" s="3989">
        <f t="shared" si="243"/>
        <v>0</v>
      </c>
      <c r="DW85" s="3989">
        <f t="shared" si="234"/>
        <v>0</v>
      </c>
      <c r="DX85" s="3989">
        <f t="shared" si="235"/>
        <v>0</v>
      </c>
      <c r="DY85" s="3989">
        <f t="shared" si="236"/>
        <v>0</v>
      </c>
      <c r="DZ85" s="3989">
        <f t="shared" si="237"/>
        <v>0</v>
      </c>
      <c r="EA85" s="3989">
        <f t="shared" si="238"/>
        <v>0</v>
      </c>
      <c r="EB85" s="3989">
        <f t="shared" si="239"/>
        <v>0</v>
      </c>
      <c r="EC85" s="3989">
        <f t="shared" si="240"/>
        <v>0</v>
      </c>
    </row>
    <row r="86" spans="1:133" x14ac:dyDescent="0.3">
      <c r="A86" s="4006" t="s">
        <v>1873</v>
      </c>
      <c r="B86" s="3991">
        <f t="shared" si="206"/>
        <v>0</v>
      </c>
      <c r="C86" s="345">
        <f t="shared" si="206"/>
        <v>0</v>
      </c>
      <c r="D86" s="4001"/>
      <c r="E86" s="3993"/>
      <c r="F86" s="3992"/>
      <c r="G86" s="3993"/>
      <c r="H86" s="3992"/>
      <c r="I86" s="3993"/>
      <c r="J86" s="3992"/>
      <c r="K86" s="3993"/>
      <c r="L86" s="3992"/>
      <c r="M86" s="3994"/>
      <c r="N86" s="3987"/>
      <c r="O86" s="3995"/>
      <c r="P86" s="3996"/>
      <c r="Q86" s="3995"/>
      <c r="R86" s="3996"/>
      <c r="S86" s="3995"/>
      <c r="T86" s="3996"/>
      <c r="U86" s="3995"/>
      <c r="V86" s="3996"/>
      <c r="W86" s="3995"/>
      <c r="X86" s="3996"/>
      <c r="Y86" s="3995"/>
      <c r="Z86" s="3996"/>
      <c r="AA86" s="3995"/>
      <c r="AB86" s="3996"/>
      <c r="AC86" s="3995"/>
      <c r="AD86" s="3996"/>
      <c r="AE86" s="3995"/>
      <c r="AF86" s="3996"/>
      <c r="AG86" s="3995"/>
      <c r="AH86" s="3996"/>
      <c r="AI86" s="3995"/>
      <c r="AJ86" s="3996"/>
      <c r="AK86" s="3995"/>
      <c r="AL86" s="3996"/>
      <c r="AM86" s="3995"/>
      <c r="AN86" s="3996"/>
      <c r="AO86" s="3995"/>
      <c r="AP86" s="3996"/>
      <c r="AQ86" s="3985"/>
      <c r="AR86" s="3984"/>
      <c r="AS86" s="3985"/>
      <c r="AT86" s="3986"/>
      <c r="AU86" s="3985"/>
      <c r="AV86" s="3987"/>
      <c r="AW86" s="3988"/>
      <c r="AX86" s="1898" t="str">
        <f t="shared" si="207"/>
        <v/>
      </c>
      <c r="CA86" s="1899" t="str">
        <f>IF(B86&lt;&gt;(AS86)," * La suma de las columnas "&amp;AR$10&amp;""&amp;" DEBE SER IGUAL a los Exámenes Procesados. ","")</f>
        <v/>
      </c>
      <c r="CB86" s="1899" t="str">
        <f t="shared" si="208"/>
        <v/>
      </c>
      <c r="CC86" s="1899" t="str">
        <f t="shared" si="209"/>
        <v/>
      </c>
      <c r="CD86" s="1899" t="str">
        <f t="shared" si="210"/>
        <v/>
      </c>
      <c r="CE86" s="1900"/>
      <c r="CF86" s="1900"/>
      <c r="CG86" s="1900"/>
      <c r="CH86" s="1900"/>
      <c r="CI86" s="1900"/>
      <c r="CJ86" s="1899" t="str">
        <f t="shared" si="211"/>
        <v/>
      </c>
      <c r="CK86" s="1899" t="str">
        <f t="shared" si="212"/>
        <v/>
      </c>
      <c r="CL86" s="1899" t="str">
        <f t="shared" si="213"/>
        <v/>
      </c>
      <c r="CM86" s="1899" t="str">
        <f t="shared" si="241"/>
        <v/>
      </c>
      <c r="CN86" s="1899" t="str">
        <f t="shared" si="214"/>
        <v/>
      </c>
      <c r="CO86" s="1899" t="str">
        <f t="shared" si="215"/>
        <v/>
      </c>
      <c r="CP86" s="1899" t="str">
        <f t="shared" si="216"/>
        <v/>
      </c>
      <c r="CQ86" s="1899" t="str">
        <f t="shared" si="217"/>
        <v/>
      </c>
      <c r="CR86" s="1899" t="str">
        <f t="shared" si="218"/>
        <v/>
      </c>
      <c r="CS86" s="1899" t="str">
        <f t="shared" si="219"/>
        <v/>
      </c>
      <c r="CT86" s="1899" t="str">
        <f t="shared" si="220"/>
        <v/>
      </c>
      <c r="CU86" s="1899" t="str">
        <f t="shared" si="221"/>
        <v/>
      </c>
      <c r="CV86" s="1899" t="str">
        <f t="shared" si="222"/>
        <v/>
      </c>
      <c r="CW86" s="1899" t="str">
        <f t="shared" si="223"/>
        <v/>
      </c>
      <c r="CX86" s="1899" t="str">
        <f t="shared" si="224"/>
        <v/>
      </c>
      <c r="DE86" s="1970"/>
      <c r="DF86" s="4005">
        <f>IF(B86&lt;&gt;(AS86),1,0)</f>
        <v>0</v>
      </c>
      <c r="DG86" s="3989">
        <f t="shared" si="225"/>
        <v>0</v>
      </c>
      <c r="DH86" s="3989">
        <f t="shared" si="226"/>
        <v>0</v>
      </c>
      <c r="DI86" s="3989">
        <f t="shared" si="227"/>
        <v>0</v>
      </c>
      <c r="DJ86" s="1900"/>
      <c r="DK86" s="1900"/>
      <c r="DL86" s="1900"/>
      <c r="DM86" s="1900"/>
      <c r="DN86" s="1900"/>
      <c r="DO86" s="3989">
        <f t="shared" si="228"/>
        <v>0</v>
      </c>
      <c r="DP86" s="3989">
        <f t="shared" si="229"/>
        <v>0</v>
      </c>
      <c r="DQ86" s="3989">
        <f t="shared" si="230"/>
        <v>0</v>
      </c>
      <c r="DR86" s="3989">
        <f t="shared" si="242"/>
        <v>0</v>
      </c>
      <c r="DS86" s="3989">
        <f t="shared" si="231"/>
        <v>0</v>
      </c>
      <c r="DT86" s="3989">
        <f t="shared" si="232"/>
        <v>0</v>
      </c>
      <c r="DU86" s="3989">
        <f t="shared" si="233"/>
        <v>0</v>
      </c>
      <c r="DV86" s="3989">
        <f t="shared" si="243"/>
        <v>0</v>
      </c>
      <c r="DW86" s="3989">
        <f t="shared" si="234"/>
        <v>0</v>
      </c>
      <c r="DX86" s="3989">
        <f t="shared" si="235"/>
        <v>0</v>
      </c>
      <c r="DY86" s="3989">
        <f t="shared" si="236"/>
        <v>0</v>
      </c>
      <c r="DZ86" s="3989">
        <f t="shared" si="237"/>
        <v>0</v>
      </c>
      <c r="EA86" s="3989">
        <f t="shared" si="238"/>
        <v>0</v>
      </c>
      <c r="EB86" s="3989">
        <f t="shared" si="239"/>
        <v>0</v>
      </c>
      <c r="EC86" s="3989">
        <f t="shared" si="240"/>
        <v>0</v>
      </c>
    </row>
    <row r="87" spans="1:133" x14ac:dyDescent="0.3">
      <c r="A87" s="4006" t="s">
        <v>1874</v>
      </c>
      <c r="B87" s="3991">
        <f>+D87+F87+H87+J87+L87+N87+P87+R87+T87+V87+X87+Z87+AB87+AD87+AF87+AH87+AJ87+AL87+AN87+AP87</f>
        <v>0</v>
      </c>
      <c r="C87" s="345">
        <f>+E87+G87+I87+K87+M87+O87+Q87+S87+U87+W87+Y87+AA87+AC87+AE87+AG87+AI87+AK87+AM87+AO87+AQ87</f>
        <v>0</v>
      </c>
      <c r="D87" s="3987"/>
      <c r="E87" s="3995"/>
      <c r="F87" s="3996"/>
      <c r="G87" s="3995"/>
      <c r="H87" s="3996"/>
      <c r="I87" s="3988"/>
      <c r="J87" s="3987"/>
      <c r="K87" s="3987"/>
      <c r="L87" s="3996"/>
      <c r="M87" s="3988"/>
      <c r="N87" s="3987"/>
      <c r="O87" s="3995"/>
      <c r="P87" s="3996"/>
      <c r="Q87" s="3995"/>
      <c r="R87" s="3996"/>
      <c r="S87" s="3995"/>
      <c r="T87" s="3996"/>
      <c r="U87" s="3995"/>
      <c r="V87" s="3996"/>
      <c r="W87" s="3995"/>
      <c r="X87" s="3996"/>
      <c r="Y87" s="3995"/>
      <c r="Z87" s="3996"/>
      <c r="AA87" s="3995"/>
      <c r="AB87" s="3996"/>
      <c r="AC87" s="3995"/>
      <c r="AD87" s="3996"/>
      <c r="AE87" s="3995"/>
      <c r="AF87" s="3996"/>
      <c r="AG87" s="3995"/>
      <c r="AH87" s="3996"/>
      <c r="AI87" s="3995"/>
      <c r="AJ87" s="3996"/>
      <c r="AK87" s="3995"/>
      <c r="AL87" s="3996"/>
      <c r="AM87" s="3995"/>
      <c r="AN87" s="3996"/>
      <c r="AO87" s="3995"/>
      <c r="AP87" s="3996"/>
      <c r="AQ87" s="3985"/>
      <c r="AR87" s="3984"/>
      <c r="AS87" s="3985"/>
      <c r="AT87" s="3986"/>
      <c r="AU87" s="3985"/>
      <c r="AV87" s="3987"/>
      <c r="AW87" s="3988"/>
      <c r="AX87" s="1898" t="str">
        <f>$CA87&amp;CB87&amp;CC87&amp;$CD87&amp;CJ87&amp;CE87&amp;CF87&amp;CG87&amp;CH87&amp;CI87&amp;CK87&amp;CL87&amp;CM87&amp;CN87&amp;CO87&amp;CP87&amp;CQ87&amp;CR87&amp;CS87&amp;CT87&amp;CU87&amp;CV87&amp;CW87&amp;CX87</f>
        <v/>
      </c>
      <c r="CA87" s="1899" t="str">
        <f>IF(B87&lt;&gt;(AS87)," * La suma de las columnas "&amp;AR$10&amp;""&amp;" DEBE SER IGUAL a los Exámenes Procesados. ","")</f>
        <v/>
      </c>
      <c r="CB87" s="1899" t="str">
        <f t="shared" si="208"/>
        <v/>
      </c>
      <c r="CC87" s="1899" t="str">
        <f t="shared" si="209"/>
        <v/>
      </c>
      <c r="CD87" s="1899" t="str">
        <f t="shared" si="210"/>
        <v/>
      </c>
      <c r="CE87" s="1899" t="str">
        <f>IF(D87&lt;E87,CONCATENATE("* El total de Procesados debe ser mayor o igual al total de Reactivos en el grupo de edad ",$D$11),"")</f>
        <v/>
      </c>
      <c r="CF87" s="1899" t="str">
        <f>IF(F87&lt;G87,CONCATENATE("* El total de Procesados debe ser mayor o igual al total de Reactivos en el grupo de edad ",$F$11),"")</f>
        <v/>
      </c>
      <c r="CG87" s="1899" t="str">
        <f>IF(H87&lt;I87,CONCATENATE("* El total de Procesados debe ser mayor o igual al total de Reactivos en el grupo de edad ",$H$11),"")</f>
        <v/>
      </c>
      <c r="CH87" s="1899" t="str">
        <f>IF(J87&lt;K87,CONCATENATE("* El total de Procesados debe ser mayor o igual al total de Reactivos en el grupo de edad ",$J$11),"")</f>
        <v/>
      </c>
      <c r="CI87" s="1899" t="str">
        <f>IF(L87&lt;M87,CONCATENATE("* El total de Procesados debe ser mayor o igual al total de Reactivos en el grupo de edad ",$L$11),"")</f>
        <v/>
      </c>
      <c r="CJ87" s="1899" t="str">
        <f t="shared" si="211"/>
        <v/>
      </c>
      <c r="CK87" s="1899" t="str">
        <f t="shared" si="212"/>
        <v/>
      </c>
      <c r="CL87" s="1899" t="str">
        <f t="shared" si="213"/>
        <v/>
      </c>
      <c r="CM87" s="1899" t="str">
        <f t="shared" si="241"/>
        <v/>
      </c>
      <c r="CN87" s="1899" t="str">
        <f t="shared" si="214"/>
        <v/>
      </c>
      <c r="CO87" s="1899" t="str">
        <f t="shared" si="215"/>
        <v/>
      </c>
      <c r="CP87" s="1899" t="str">
        <f t="shared" si="216"/>
        <v/>
      </c>
      <c r="CQ87" s="1899" t="str">
        <f t="shared" si="217"/>
        <v/>
      </c>
      <c r="CR87" s="1899" t="str">
        <f t="shared" si="218"/>
        <v/>
      </c>
      <c r="CS87" s="1899" t="str">
        <f t="shared" si="219"/>
        <v/>
      </c>
      <c r="CT87" s="1899" t="str">
        <f t="shared" si="220"/>
        <v/>
      </c>
      <c r="CU87" s="1899" t="str">
        <f t="shared" si="221"/>
        <v/>
      </c>
      <c r="CV87" s="1899" t="str">
        <f t="shared" si="222"/>
        <v/>
      </c>
      <c r="CW87" s="1899" t="str">
        <f t="shared" si="223"/>
        <v/>
      </c>
      <c r="CX87" s="1899" t="str">
        <f t="shared" si="224"/>
        <v/>
      </c>
      <c r="DE87" s="1970"/>
      <c r="DF87" s="4005">
        <f>IF(B87&lt;&gt;(AS87),1,0)</f>
        <v>0</v>
      </c>
      <c r="DG87" s="3989">
        <f t="shared" si="225"/>
        <v>0</v>
      </c>
      <c r="DH87" s="3989">
        <f t="shared" si="226"/>
        <v>0</v>
      </c>
      <c r="DI87" s="3989">
        <f t="shared" si="227"/>
        <v>0</v>
      </c>
      <c r="DJ87" s="3989">
        <f>IF(D87&lt;E87,1,0)</f>
        <v>0</v>
      </c>
      <c r="DK87" s="3989">
        <f>IF(F87&lt;G87,1,0)</f>
        <v>0</v>
      </c>
      <c r="DL87" s="3989">
        <f>IF(H87&lt;I87,1,0)</f>
        <v>0</v>
      </c>
      <c r="DM87" s="3989">
        <f>IF(J87&lt;K87,1,0)</f>
        <v>0</v>
      </c>
      <c r="DN87" s="3989">
        <f>IF(L87&lt;M87,1,0)</f>
        <v>0</v>
      </c>
      <c r="DO87" s="3989">
        <f t="shared" si="228"/>
        <v>0</v>
      </c>
      <c r="DP87" s="3989">
        <f t="shared" si="229"/>
        <v>0</v>
      </c>
      <c r="DQ87" s="3989">
        <f t="shared" si="230"/>
        <v>0</v>
      </c>
      <c r="DR87" s="3989">
        <f t="shared" si="242"/>
        <v>0</v>
      </c>
      <c r="DS87" s="3989">
        <f t="shared" si="231"/>
        <v>0</v>
      </c>
      <c r="DT87" s="3989">
        <f t="shared" si="232"/>
        <v>0</v>
      </c>
      <c r="DU87" s="3989">
        <f t="shared" si="233"/>
        <v>0</v>
      </c>
      <c r="DV87" s="3989">
        <f t="shared" si="243"/>
        <v>0</v>
      </c>
      <c r="DW87" s="3989">
        <f t="shared" si="234"/>
        <v>0</v>
      </c>
      <c r="DX87" s="3989">
        <f t="shared" si="235"/>
        <v>0</v>
      </c>
      <c r="DY87" s="3989">
        <f t="shared" si="236"/>
        <v>0</v>
      </c>
      <c r="DZ87" s="3989">
        <f t="shared" si="237"/>
        <v>0</v>
      </c>
      <c r="EA87" s="3989">
        <f t="shared" si="238"/>
        <v>0</v>
      </c>
      <c r="EB87" s="3989">
        <f t="shared" si="239"/>
        <v>0</v>
      </c>
      <c r="EC87" s="3989">
        <f t="shared" si="240"/>
        <v>0</v>
      </c>
    </row>
    <row r="88" spans="1:133" ht="20.399999999999999" x14ac:dyDescent="0.3">
      <c r="A88" s="4007" t="s">
        <v>1875</v>
      </c>
      <c r="B88" s="3991">
        <f>+D88+F88+H88</f>
        <v>0</v>
      </c>
      <c r="C88" s="345">
        <f>+E88+G88+I88</f>
        <v>0</v>
      </c>
      <c r="D88" s="3987"/>
      <c r="E88" s="3995"/>
      <c r="F88" s="3996"/>
      <c r="G88" s="3995"/>
      <c r="H88" s="3996"/>
      <c r="I88" s="3988"/>
      <c r="J88" s="3997"/>
      <c r="K88" s="3998"/>
      <c r="L88" s="3997"/>
      <c r="M88" s="3998"/>
      <c r="N88" s="3997"/>
      <c r="O88" s="3998"/>
      <c r="P88" s="3997"/>
      <c r="Q88" s="3998"/>
      <c r="R88" s="3997"/>
      <c r="S88" s="3998"/>
      <c r="T88" s="3997"/>
      <c r="U88" s="3998"/>
      <c r="V88" s="3997"/>
      <c r="W88" s="3998"/>
      <c r="X88" s="3997"/>
      <c r="Y88" s="3998"/>
      <c r="Z88" s="3997"/>
      <c r="AA88" s="3998"/>
      <c r="AB88" s="3997"/>
      <c r="AC88" s="3998"/>
      <c r="AD88" s="3997"/>
      <c r="AE88" s="3998"/>
      <c r="AF88" s="3997"/>
      <c r="AG88" s="3998"/>
      <c r="AH88" s="3997"/>
      <c r="AI88" s="3998"/>
      <c r="AJ88" s="3997"/>
      <c r="AK88" s="3998"/>
      <c r="AL88" s="3997"/>
      <c r="AM88" s="3998"/>
      <c r="AN88" s="3997"/>
      <c r="AO88" s="3998"/>
      <c r="AP88" s="3997"/>
      <c r="AQ88" s="3999"/>
      <c r="AR88" s="3987"/>
      <c r="AS88" s="3985"/>
      <c r="AT88" s="3986"/>
      <c r="AU88" s="3985"/>
      <c r="AV88" s="3987"/>
      <c r="AW88" s="3988"/>
      <c r="AX88" s="1898" t="str">
        <f>$CA88&amp;CB88&amp;CC88&amp;$CD88&amp;CE88&amp;CF88&amp;CG88</f>
        <v/>
      </c>
      <c r="CA88" s="1899" t="str">
        <f t="shared" ref="CA88:CA96" si="244">IF(B88&lt;&gt;(AS88+AR88)," * La suma de las columnas "&amp;AR$10&amp;""&amp;" DEBE SER IGUAL a los Exámenes Procesados. ","")</f>
        <v/>
      </c>
      <c r="CB88" s="1899" t="str">
        <f t="shared" si="208"/>
        <v/>
      </c>
      <c r="CC88" s="1899" t="str">
        <f t="shared" si="209"/>
        <v/>
      </c>
      <c r="CD88" s="1899" t="str">
        <f t="shared" si="210"/>
        <v/>
      </c>
      <c r="CE88" s="1899" t="str">
        <f>IF(D88&lt;E88,CONCATENATE("* El total de Procesados debe ser mayor o igual al total de Reactivos en el grupo de edad ",$D$11),"")</f>
        <v/>
      </c>
      <c r="CF88" s="1899" t="str">
        <f>IF(F88&lt;G88,CONCATENATE("* El total de Procesados debe ser mayor o igual al total de Reactivos en el grupo de edad ",$F$11),"")</f>
        <v/>
      </c>
      <c r="CG88" s="1899" t="str">
        <f>IF(H88&lt;I88,CONCATENATE("* El total de Procesados debe ser mayor o igual al total de Reactivos en el grupo de edad ",$H$11),"")</f>
        <v/>
      </c>
      <c r="CH88" s="1902"/>
      <c r="CI88" s="1902"/>
      <c r="CJ88" s="4000"/>
      <c r="CK88" s="1902"/>
      <c r="CL88" s="1902"/>
      <c r="CM88" s="1902"/>
      <c r="CN88" s="1902"/>
      <c r="CO88" s="1902"/>
      <c r="CP88" s="1902"/>
      <c r="CQ88" s="1902"/>
      <c r="CR88" s="1902"/>
      <c r="CS88" s="1902"/>
      <c r="CT88" s="1902"/>
      <c r="CU88" s="1902"/>
      <c r="CV88" s="1902"/>
      <c r="CW88" s="1902"/>
      <c r="CX88" s="1902"/>
      <c r="DE88" s="1970"/>
      <c r="DF88" s="4005">
        <f t="shared" ref="DF88:DF96" si="245">IF(B88&lt;&gt;(AS88+AR88),1,0)</f>
        <v>0</v>
      </c>
      <c r="DG88" s="3989">
        <f t="shared" si="225"/>
        <v>0</v>
      </c>
      <c r="DH88" s="3989">
        <f t="shared" si="226"/>
        <v>0</v>
      </c>
      <c r="DI88" s="3989">
        <f t="shared" si="227"/>
        <v>0</v>
      </c>
      <c r="DJ88" s="3989">
        <f>IF(D88&lt;E88,1,0)</f>
        <v>0</v>
      </c>
      <c r="DK88" s="3989">
        <f>IF(F88&lt;G88,1,0)</f>
        <v>0</v>
      </c>
      <c r="DL88" s="3989">
        <f>IF(H88&lt;I88,1,0)</f>
        <v>0</v>
      </c>
      <c r="DM88" s="1902"/>
      <c r="DN88" s="1902"/>
      <c r="DO88" s="1900"/>
      <c r="DP88" s="1900"/>
      <c r="DQ88" s="1900"/>
      <c r="DR88" s="1900"/>
      <c r="DS88" s="1900"/>
      <c r="DT88" s="1900"/>
      <c r="DU88" s="1900"/>
      <c r="DV88" s="1900"/>
      <c r="DW88" s="1900"/>
      <c r="DX88" s="1900"/>
      <c r="DY88" s="1900"/>
      <c r="DZ88" s="1900"/>
      <c r="EA88" s="1900"/>
      <c r="EB88" s="1900"/>
      <c r="EC88" s="1900"/>
    </row>
    <row r="89" spans="1:133" x14ac:dyDescent="0.3">
      <c r="A89" s="4007" t="s">
        <v>1876</v>
      </c>
      <c r="B89" s="3991">
        <f>+P89+R89+T89+V89+X89+Z89+AB89+AD89+AF89+AH89+AJ89+AL89+AN89+AP89</f>
        <v>0</v>
      </c>
      <c r="C89" s="345">
        <f>+Q89+S89+U89+W89+Y89+AA89+AC89+AE89+AG89+AI89+AK89+AM89+AO89+AQ89</f>
        <v>0</v>
      </c>
      <c r="D89" s="4001"/>
      <c r="E89" s="3993"/>
      <c r="F89" s="3992"/>
      <c r="G89" s="3993"/>
      <c r="H89" s="3992"/>
      <c r="I89" s="3993"/>
      <c r="J89" s="3992"/>
      <c r="K89" s="3993"/>
      <c r="L89" s="3992"/>
      <c r="M89" s="3994"/>
      <c r="N89" s="4001"/>
      <c r="O89" s="3993"/>
      <c r="P89" s="3996"/>
      <c r="Q89" s="3995"/>
      <c r="R89" s="3996"/>
      <c r="S89" s="3995"/>
      <c r="T89" s="3996"/>
      <c r="U89" s="3995"/>
      <c r="V89" s="3996"/>
      <c r="W89" s="3995"/>
      <c r="X89" s="3996"/>
      <c r="Y89" s="3995"/>
      <c r="Z89" s="3996"/>
      <c r="AA89" s="3995"/>
      <c r="AB89" s="3996"/>
      <c r="AC89" s="3995"/>
      <c r="AD89" s="3996"/>
      <c r="AE89" s="3995"/>
      <c r="AF89" s="3996"/>
      <c r="AG89" s="3995"/>
      <c r="AH89" s="3996"/>
      <c r="AI89" s="3995"/>
      <c r="AJ89" s="3996"/>
      <c r="AK89" s="3995"/>
      <c r="AL89" s="3996"/>
      <c r="AM89" s="3995"/>
      <c r="AN89" s="3996"/>
      <c r="AO89" s="3995"/>
      <c r="AP89" s="3996"/>
      <c r="AQ89" s="3985"/>
      <c r="AR89" s="3987"/>
      <c r="AS89" s="3985"/>
      <c r="AT89" s="3986"/>
      <c r="AU89" s="3985"/>
      <c r="AV89" s="3987"/>
      <c r="AW89" s="3988"/>
      <c r="AX89" s="1898" t="str">
        <f>$CA89&amp;CB89&amp;CC89&amp;$CD89&amp;CK89&amp;CL89&amp;CM89&amp;CN89&amp;CO89&amp;CP89&amp;CQ89&amp;CR89&amp;CS89&amp;CT89&amp;CU89&amp;CV89&amp;CW89&amp;CX89</f>
        <v/>
      </c>
      <c r="CA89" s="1899" t="str">
        <f t="shared" si="244"/>
        <v/>
      </c>
      <c r="CB89" s="1899" t="str">
        <f t="shared" si="208"/>
        <v/>
      </c>
      <c r="CC89" s="1899" t="str">
        <f t="shared" si="209"/>
        <v/>
      </c>
      <c r="CD89" s="1899" t="str">
        <f t="shared" si="210"/>
        <v/>
      </c>
      <c r="CE89" s="4000"/>
      <c r="CF89" s="4000"/>
      <c r="CG89" s="1902"/>
      <c r="CH89" s="1902"/>
      <c r="CI89" s="1902"/>
      <c r="CJ89" s="4000"/>
      <c r="CK89" s="1899" t="str">
        <f t="shared" ref="CK89:CK96" si="246">IF(P89&lt;Q89,CONCATENATE("* El total de Procesados debe ser mayor o igual al total de Reactivos en el grupo de edad ",$P$11),"")</f>
        <v/>
      </c>
      <c r="CL89" s="1899" t="str">
        <f t="shared" ref="CL89:CL96" si="247">IF(R89&lt;S89,CONCATENATE("* El total de Procesados debe ser mayor o igual al total de Reactivos en el grupo de edad ",$R$11),"")</f>
        <v/>
      </c>
      <c r="CM89" s="1899" t="str">
        <f t="shared" si="241"/>
        <v/>
      </c>
      <c r="CN89" s="1899" t="str">
        <f t="shared" ref="CN89:CN96" si="248">IF(V89&lt;W89,CONCATENATE("* El total de Procesados debe ser mayor o igual al total de Reactivos en el grupo de edad ",$V$11),"")</f>
        <v/>
      </c>
      <c r="CO89" s="1899" t="str">
        <f t="shared" ref="CO89:CO96" si="249">IF(X89&lt;Y89,CONCATENATE("* El total de Procesados debe ser mayor o igual al total de Reactivos en el grupo de edad ",$X$11),"")</f>
        <v/>
      </c>
      <c r="CP89" s="1899" t="str">
        <f t="shared" ref="CP89:CP96" si="250">IF(Z89&lt;AA89,CONCATENATE("* El total de Procesados debe ser mayor o igual al total de Reactivos en el grupo de edad ",$Z$11),"")</f>
        <v/>
      </c>
      <c r="CQ89" s="1899" t="str">
        <f t="shared" ref="CQ89:CQ96" si="251">IF(AB89&lt;AC89,CONCATENATE("* El total de Procesados debe ser mayor o igual al total de Reactivos en el grupo de edad ",$AB$11),"")</f>
        <v/>
      </c>
      <c r="CR89" s="1899" t="str">
        <f t="shared" ref="CR89:CR96" si="252">IF(AD89&lt;AE89,CONCATENATE("* El total de Procesados debe ser mayor o igual al total de Reactivos en el grupo de edad ",$AD$11),"")</f>
        <v/>
      </c>
      <c r="CS89" s="1899" t="str">
        <f t="shared" ref="CS89:CS96" si="253">IF(AF89&lt;AG89,CONCATENATE("* El total de Procesados debe ser mayor o igual al total de Reactivos en el grupo de edad ",$AF$11),"")</f>
        <v/>
      </c>
      <c r="CT89" s="1899" t="str">
        <f t="shared" ref="CT89:CT96" si="254">IF(AH89&lt;AI89,CONCATENATE("* El total de Procesados debe ser mayor o igual al total de Reactivos en el grupo de edad ",$AH$11),"")</f>
        <v/>
      </c>
      <c r="CU89" s="1899" t="str">
        <f>IF(AJ89&lt;AK89,CONCATENATE("* El total de Procesados debe ser mayor o igual al total de Reactivos en el grupo de edad ",$AJ$11),"")</f>
        <v/>
      </c>
      <c r="CV89" s="1899" t="str">
        <f>IF(AL89&lt;AM89,CONCATENATE("* El total de Procesados debe ser mayor o igual al total de Reactivos en el grupo de edad ",$AL$11),"")</f>
        <v/>
      </c>
      <c r="CW89" s="1899" t="str">
        <f>IF(AN89&lt;AO89,CONCATENATE("* El total de Procesados debe ser mayor o igual al total de Reactivos en el grupo de edad ",$AN$11),"")</f>
        <v/>
      </c>
      <c r="CX89" s="1899" t="str">
        <f>IF(AP89&lt;AQ89,CONCATENATE("* El total de Procesados debe ser mayor o igual al total de Reactivos en el grupo de edad ",$AP$11),"")</f>
        <v/>
      </c>
      <c r="DE89" s="1970"/>
      <c r="DF89" s="4005">
        <f t="shared" si="245"/>
        <v>0</v>
      </c>
      <c r="DG89" s="3989">
        <f t="shared" si="225"/>
        <v>0</v>
      </c>
      <c r="DH89" s="3989">
        <f t="shared" si="226"/>
        <v>0</v>
      </c>
      <c r="DI89" s="3989">
        <f t="shared" si="227"/>
        <v>0</v>
      </c>
      <c r="DJ89" s="1902"/>
      <c r="DK89" s="1902"/>
      <c r="DL89" s="1902"/>
      <c r="DM89" s="1902"/>
      <c r="DN89" s="1902"/>
      <c r="DO89" s="1900"/>
      <c r="DP89" s="3989">
        <f t="shared" ref="DP89:DP96" si="255">IF(P89&lt;Q89,1,0)</f>
        <v>0</v>
      </c>
      <c r="DQ89" s="3989">
        <f t="shared" ref="DQ89:DQ96" si="256">IF(R89&lt;S89,1,0)</f>
        <v>0</v>
      </c>
      <c r="DR89" s="3989">
        <f t="shared" si="242"/>
        <v>0</v>
      </c>
      <c r="DS89" s="3989">
        <f t="shared" ref="DS89:DS96" si="257">IF(V89&lt;W89,1,0)</f>
        <v>0</v>
      </c>
      <c r="DT89" s="3989">
        <f t="shared" ref="DT89:DT96" si="258">IF(X89&lt;Y89,1,0)</f>
        <v>0</v>
      </c>
      <c r="DU89" s="3989">
        <f t="shared" ref="DU89:DU96" si="259">IF(Z89&lt;AA89,1,0)</f>
        <v>0</v>
      </c>
      <c r="DV89" s="3989">
        <f t="shared" si="243"/>
        <v>0</v>
      </c>
      <c r="DW89" s="3989">
        <f t="shared" ref="DW89:DW96" si="260">IF(AD89&lt;AE89,1,0)</f>
        <v>0</v>
      </c>
      <c r="DX89" s="3989">
        <f t="shared" ref="DX89:DX96" si="261">IF(AF89&lt;AG89,1,0)</f>
        <v>0</v>
      </c>
      <c r="DY89" s="3989">
        <f t="shared" ref="DY89:DY96" si="262">IF(AH89&lt;AI89,1,0)</f>
        <v>0</v>
      </c>
      <c r="DZ89" s="3989">
        <f>IF(AJ89&lt;AK89,1,0)</f>
        <v>0</v>
      </c>
      <c r="EA89" s="3989">
        <f>IF(AL89&lt;AM89,1,0)</f>
        <v>0</v>
      </c>
      <c r="EB89" s="3989">
        <f>IF(AN89&lt;AO89,1,0)</f>
        <v>0</v>
      </c>
      <c r="EC89" s="3989">
        <f>IF(AP89&lt;AQ89,1,0)</f>
        <v>0</v>
      </c>
    </row>
    <row r="90" spans="1:133" x14ac:dyDescent="0.3">
      <c r="A90" s="4006" t="s">
        <v>1877</v>
      </c>
      <c r="B90" s="3991">
        <f>+N90+P90+R90+T90+V90+X90+Z90+AB90+AD90+AF90+AH90+AJ90+AL90+AN90+AP90</f>
        <v>0</v>
      </c>
      <c r="C90" s="345">
        <f>+O90+Q90+S90+U90+W90+Y90+AA90+AC90+AE90+AG90+AI90+AK90+AM90+AO90+AQ90</f>
        <v>0</v>
      </c>
      <c r="D90" s="3984"/>
      <c r="E90" s="3998"/>
      <c r="F90" s="3997"/>
      <c r="G90" s="3998"/>
      <c r="H90" s="3997"/>
      <c r="I90" s="4002"/>
      <c r="J90" s="3984"/>
      <c r="K90" s="3984"/>
      <c r="L90" s="3997"/>
      <c r="M90" s="4002"/>
      <c r="N90" s="3987"/>
      <c r="O90" s="3995"/>
      <c r="P90" s="3996"/>
      <c r="Q90" s="3995"/>
      <c r="R90" s="3996"/>
      <c r="S90" s="3995"/>
      <c r="T90" s="3996"/>
      <c r="U90" s="3995"/>
      <c r="V90" s="3996"/>
      <c r="W90" s="3995"/>
      <c r="X90" s="3996"/>
      <c r="Y90" s="3995"/>
      <c r="Z90" s="3996"/>
      <c r="AA90" s="3995"/>
      <c r="AB90" s="3996"/>
      <c r="AC90" s="3995"/>
      <c r="AD90" s="3996"/>
      <c r="AE90" s="3995"/>
      <c r="AF90" s="3996"/>
      <c r="AG90" s="3995"/>
      <c r="AH90" s="3996"/>
      <c r="AI90" s="3995"/>
      <c r="AJ90" s="3996"/>
      <c r="AK90" s="3995"/>
      <c r="AL90" s="3996"/>
      <c r="AM90" s="3995"/>
      <c r="AN90" s="3996"/>
      <c r="AO90" s="3995"/>
      <c r="AP90" s="3996"/>
      <c r="AQ90" s="3985"/>
      <c r="AR90" s="3987"/>
      <c r="AS90" s="3985"/>
      <c r="AT90" s="3986"/>
      <c r="AU90" s="3985"/>
      <c r="AV90" s="3987"/>
      <c r="AW90" s="3988"/>
      <c r="AX90" s="1898" t="str">
        <f>$CA90&amp;CB90&amp;CC90&amp;$CD90&amp;CJ90&amp;CK90&amp;CL90&amp;CM90&amp;CN90&amp;CO90&amp;CP90&amp;CQ90&amp;CR90&amp;CS90&amp;CT90&amp;CU90&amp;CV90&amp;CW90&amp;CX90</f>
        <v/>
      </c>
      <c r="CA90" s="1899" t="str">
        <f t="shared" si="244"/>
        <v/>
      </c>
      <c r="CB90" s="1899" t="str">
        <f t="shared" si="208"/>
        <v/>
      </c>
      <c r="CC90" s="1899" t="str">
        <f t="shared" si="209"/>
        <v/>
      </c>
      <c r="CD90" s="1899" t="str">
        <f t="shared" si="210"/>
        <v/>
      </c>
      <c r="CE90" s="4000"/>
      <c r="CF90" s="4000"/>
      <c r="CG90" s="1902"/>
      <c r="CH90" s="1902"/>
      <c r="CI90" s="1902"/>
      <c r="CJ90" s="1899" t="str">
        <f>IF(N90&lt;O90,CONCATENATE("* El total de Procesados debe ser mayor o igual al total de Reactivos en el grupo de edad ",$N$11),"")</f>
        <v/>
      </c>
      <c r="CK90" s="1899" t="str">
        <f t="shared" si="246"/>
        <v/>
      </c>
      <c r="CL90" s="1899" t="str">
        <f t="shared" si="247"/>
        <v/>
      </c>
      <c r="CM90" s="1899" t="str">
        <f t="shared" si="241"/>
        <v/>
      </c>
      <c r="CN90" s="1899" t="str">
        <f t="shared" si="248"/>
        <v/>
      </c>
      <c r="CO90" s="1899" t="str">
        <f t="shared" si="249"/>
        <v/>
      </c>
      <c r="CP90" s="1899" t="str">
        <f t="shared" si="250"/>
        <v/>
      </c>
      <c r="CQ90" s="1899" t="str">
        <f t="shared" si="251"/>
        <v/>
      </c>
      <c r="CR90" s="1899" t="str">
        <f t="shared" si="252"/>
        <v/>
      </c>
      <c r="CS90" s="1899" t="str">
        <f t="shared" si="253"/>
        <v/>
      </c>
      <c r="CT90" s="1899" t="str">
        <f t="shared" si="254"/>
        <v/>
      </c>
      <c r="CU90" s="1899" t="str">
        <f>IF(AJ90&lt;AK90,CONCATENATE("* El total de Procesados debe ser mayor o igual al total de Reactivos en el grupo de edad ",$AJ$11),"")</f>
        <v/>
      </c>
      <c r="CV90" s="1899" t="str">
        <f>IF(AL90&lt;AM90,CONCATENATE("* El total de Procesados debe ser mayor o igual al total de Reactivos en el grupo de edad ",$AL$11),"")</f>
        <v/>
      </c>
      <c r="CW90" s="1899" t="str">
        <f>IF(AN90&lt;AO90,CONCATENATE("* El total de Procesados debe ser mayor o igual al total de Reactivos en el grupo de edad ",$AN$11),"")</f>
        <v/>
      </c>
      <c r="CX90" s="1899" t="str">
        <f>IF(AP90&lt;AQ90,CONCATENATE("* El total de Procesados debe ser mayor o igual al total de Reactivos en el grupo de edad ",$AP$11),"")</f>
        <v/>
      </c>
      <c r="DE90" s="1970"/>
      <c r="DF90" s="4005">
        <f t="shared" si="245"/>
        <v>0</v>
      </c>
      <c r="DG90" s="3989">
        <f t="shared" si="225"/>
        <v>0</v>
      </c>
      <c r="DH90" s="3989">
        <f t="shared" si="226"/>
        <v>0</v>
      </c>
      <c r="DI90" s="3989">
        <f t="shared" si="227"/>
        <v>0</v>
      </c>
      <c r="DJ90" s="1902"/>
      <c r="DK90" s="1902"/>
      <c r="DL90" s="1902"/>
      <c r="DM90" s="1902"/>
      <c r="DN90" s="1902"/>
      <c r="DO90" s="3989">
        <f>IF(N90&lt;O90,1,0)</f>
        <v>0</v>
      </c>
      <c r="DP90" s="3989">
        <f t="shared" si="255"/>
        <v>0</v>
      </c>
      <c r="DQ90" s="3989">
        <f t="shared" si="256"/>
        <v>0</v>
      </c>
      <c r="DR90" s="3989">
        <f t="shared" si="242"/>
        <v>0</v>
      </c>
      <c r="DS90" s="3989">
        <f t="shared" si="257"/>
        <v>0</v>
      </c>
      <c r="DT90" s="3989">
        <f t="shared" si="258"/>
        <v>0</v>
      </c>
      <c r="DU90" s="3989">
        <f t="shared" si="259"/>
        <v>0</v>
      </c>
      <c r="DV90" s="3989">
        <f t="shared" si="243"/>
        <v>0</v>
      </c>
      <c r="DW90" s="3989">
        <f t="shared" si="260"/>
        <v>0</v>
      </c>
      <c r="DX90" s="3989">
        <f t="shared" si="261"/>
        <v>0</v>
      </c>
      <c r="DY90" s="3989">
        <f t="shared" si="262"/>
        <v>0</v>
      </c>
      <c r="DZ90" s="3989">
        <f>IF(AJ90&lt;AK90,1,0)</f>
        <v>0</v>
      </c>
      <c r="EA90" s="3989">
        <f>IF(AL90&lt;AM90,1,0)</f>
        <v>0</v>
      </c>
      <c r="EB90" s="3989">
        <f>IF(AN90&lt;AO90,1,0)</f>
        <v>0</v>
      </c>
      <c r="EC90" s="3989">
        <f>IF(AP90&lt;AQ90,1,0)</f>
        <v>0</v>
      </c>
    </row>
    <row r="91" spans="1:133" x14ac:dyDescent="0.3">
      <c r="A91" s="4006" t="s">
        <v>1878</v>
      </c>
      <c r="B91" s="3991">
        <f>+D91+F91+H91+J91+L91+N91+P91+R91+T91+V91+X91+Z91+AB91+AD91+AF91+AH91+AJ91+AL91+AN91+AP91</f>
        <v>0</v>
      </c>
      <c r="C91" s="345">
        <f>+E91+G91+I91+K91+M91+O91+Q91+S91+U91+W91+Y91+AA91+AC91+AE91+AG91+AI91+AK91+AM91+AO91+AQ91</f>
        <v>0</v>
      </c>
      <c r="D91" s="3987"/>
      <c r="E91" s="3995"/>
      <c r="F91" s="3996"/>
      <c r="G91" s="3995"/>
      <c r="H91" s="3996"/>
      <c r="I91" s="3988"/>
      <c r="J91" s="3987"/>
      <c r="K91" s="3987"/>
      <c r="L91" s="3996"/>
      <c r="M91" s="3988"/>
      <c r="N91" s="3987"/>
      <c r="O91" s="3995"/>
      <c r="P91" s="3996"/>
      <c r="Q91" s="3995"/>
      <c r="R91" s="3996"/>
      <c r="S91" s="3995"/>
      <c r="T91" s="3996"/>
      <c r="U91" s="3995"/>
      <c r="V91" s="3996"/>
      <c r="W91" s="3995"/>
      <c r="X91" s="3996"/>
      <c r="Y91" s="3995"/>
      <c r="Z91" s="3996"/>
      <c r="AA91" s="3995"/>
      <c r="AB91" s="3996"/>
      <c r="AC91" s="3995"/>
      <c r="AD91" s="3996"/>
      <c r="AE91" s="3995"/>
      <c r="AF91" s="3996"/>
      <c r="AG91" s="3995"/>
      <c r="AH91" s="3996"/>
      <c r="AI91" s="3995"/>
      <c r="AJ91" s="3996"/>
      <c r="AK91" s="3995"/>
      <c r="AL91" s="3996"/>
      <c r="AM91" s="3995"/>
      <c r="AN91" s="3996"/>
      <c r="AO91" s="3995"/>
      <c r="AP91" s="3996"/>
      <c r="AQ91" s="3985"/>
      <c r="AR91" s="3987"/>
      <c r="AS91" s="3985"/>
      <c r="AT91" s="3986"/>
      <c r="AU91" s="3985"/>
      <c r="AV91" s="3987"/>
      <c r="AW91" s="3988"/>
      <c r="AX91" s="1898" t="str">
        <f>$CA91&amp;CB91&amp;CC91&amp;$CD91&amp;CE91&amp;CF91&amp;CG91&amp;CH91&amp;CI91&amp;CJ91&amp;CK91&amp;CL91&amp;CM91&amp;CN91&amp;CO91&amp;CP91&amp;CQ91&amp;CR91&amp;CS91&amp;CT91&amp;CU91&amp;CV91&amp;CW91&amp;CX91</f>
        <v/>
      </c>
      <c r="CA91" s="1899" t="str">
        <f t="shared" si="244"/>
        <v/>
      </c>
      <c r="CB91" s="1899" t="str">
        <f t="shared" si="208"/>
        <v/>
      </c>
      <c r="CC91" s="1899" t="str">
        <f t="shared" si="209"/>
        <v/>
      </c>
      <c r="CD91" s="1899" t="str">
        <f t="shared" si="210"/>
        <v/>
      </c>
      <c r="CE91" s="1899" t="str">
        <f>IF(D91&lt;E91,CONCATENATE("* El total de Procesados debe ser mayor o igual al total de Reactivos en el grupo de edad ",$D$11),"")</f>
        <v/>
      </c>
      <c r="CF91" s="1899" t="str">
        <f>IF(F91&lt;G91,CONCATENATE("* El total de Procesados debe ser mayor o igual al total de Reactivos en el grupo de edad ",$F$11),"")</f>
        <v/>
      </c>
      <c r="CG91" s="1899" t="str">
        <f>IF(H91&lt;I91,CONCATENATE("* El total de Procesados debe ser mayor o igual al total de Reactivos en el grupo de edad ",$H$11),"")</f>
        <v/>
      </c>
      <c r="CH91" s="1899" t="str">
        <f>IF(J91&lt;K91,CONCATENATE("* El total de Procesados debe ser mayor o igual al total de Reactivos en el grupo de edad ",$J$11),"")</f>
        <v/>
      </c>
      <c r="CI91" s="1899" t="str">
        <f>IF(L91&lt;M91,CONCATENATE("* El total de Procesados debe ser mayor o igual al total de Reactivos en el grupo de edad ",$L$11),"")</f>
        <v/>
      </c>
      <c r="CJ91" s="1899" t="str">
        <f>IF(N91&lt;O91,CONCATENATE("* El total de Procesados debe ser mayor o igual al total de Reactivos en el grupo de edad ",$N$11),"")</f>
        <v/>
      </c>
      <c r="CK91" s="1899" t="str">
        <f t="shared" si="246"/>
        <v/>
      </c>
      <c r="CL91" s="1899" t="str">
        <f t="shared" si="247"/>
        <v/>
      </c>
      <c r="CM91" s="1899" t="str">
        <f t="shared" si="241"/>
        <v/>
      </c>
      <c r="CN91" s="1899" t="str">
        <f t="shared" si="248"/>
        <v/>
      </c>
      <c r="CO91" s="1899" t="str">
        <f t="shared" si="249"/>
        <v/>
      </c>
      <c r="CP91" s="1899" t="str">
        <f t="shared" si="250"/>
        <v/>
      </c>
      <c r="CQ91" s="1899" t="str">
        <f t="shared" si="251"/>
        <v/>
      </c>
      <c r="CR91" s="1899" t="str">
        <f t="shared" si="252"/>
        <v/>
      </c>
      <c r="CS91" s="1899" t="str">
        <f t="shared" si="253"/>
        <v/>
      </c>
      <c r="CT91" s="1899" t="str">
        <f t="shared" si="254"/>
        <v/>
      </c>
      <c r="CU91" s="1899" t="str">
        <f>IF(AJ91&lt;AK91,CONCATENATE("* El total de Procesados debe ser mayor o igual al total de Reactivos en el grupo de edad ",$AJ$11),"")</f>
        <v/>
      </c>
      <c r="CV91" s="1899" t="str">
        <f>IF(AL91&lt;AM91,CONCATENATE("* El total de Procesados debe ser mayor o igual al total de Reactivos en el grupo de edad ",$AL$11),"")</f>
        <v/>
      </c>
      <c r="CW91" s="1899" t="str">
        <f>IF(AN91&lt;AO91,CONCATENATE("* El total de Procesados debe ser mayor o igual al total de Reactivos en el grupo de edad ",$AN$11),"")</f>
        <v/>
      </c>
      <c r="CX91" s="1899" t="str">
        <f>IF(AP91&lt;AQ91,CONCATENATE("* El total de Procesados debe ser mayor o igual al total de Reactivos en el grupo de edad ",$AP$11),"")</f>
        <v/>
      </c>
      <c r="DE91" s="1970"/>
      <c r="DF91" s="4005">
        <f t="shared" si="245"/>
        <v>0</v>
      </c>
      <c r="DG91" s="3989">
        <f t="shared" si="225"/>
        <v>0</v>
      </c>
      <c r="DH91" s="3989">
        <f t="shared" si="226"/>
        <v>0</v>
      </c>
      <c r="DI91" s="3989">
        <f t="shared" si="227"/>
        <v>0</v>
      </c>
      <c r="DJ91" s="3989">
        <f>IF(D91&lt;E91,1,0)</f>
        <v>0</v>
      </c>
      <c r="DK91" s="3989">
        <f>IF(F91&lt;G91,1,0)</f>
        <v>0</v>
      </c>
      <c r="DL91" s="3989">
        <f>IF(H91&lt;I91,1,0)</f>
        <v>0</v>
      </c>
      <c r="DM91" s="3989">
        <f>IF(J91&lt;K91,1,0)</f>
        <v>0</v>
      </c>
      <c r="DN91" s="3989">
        <f>IF(L91&lt;M91,1,0)</f>
        <v>0</v>
      </c>
      <c r="DO91" s="3989">
        <f>IF(N91&lt;O91,1,0)</f>
        <v>0</v>
      </c>
      <c r="DP91" s="3989">
        <f t="shared" si="255"/>
        <v>0</v>
      </c>
      <c r="DQ91" s="3989">
        <f t="shared" si="256"/>
        <v>0</v>
      </c>
      <c r="DR91" s="3989">
        <f t="shared" si="242"/>
        <v>0</v>
      </c>
      <c r="DS91" s="3989">
        <f t="shared" si="257"/>
        <v>0</v>
      </c>
      <c r="DT91" s="3989">
        <f t="shared" si="258"/>
        <v>0</v>
      </c>
      <c r="DU91" s="3989">
        <f t="shared" si="259"/>
        <v>0</v>
      </c>
      <c r="DV91" s="3989">
        <f t="shared" si="243"/>
        <v>0</v>
      </c>
      <c r="DW91" s="3989">
        <f t="shared" si="260"/>
        <v>0</v>
      </c>
      <c r="DX91" s="3989">
        <f t="shared" si="261"/>
        <v>0</v>
      </c>
      <c r="DY91" s="3989">
        <f t="shared" si="262"/>
        <v>0</v>
      </c>
      <c r="DZ91" s="3989">
        <f>IF(AJ91&lt;AK91,1,0)</f>
        <v>0</v>
      </c>
      <c r="EA91" s="3989">
        <f>IF(AL91&lt;AM91,1,0)</f>
        <v>0</v>
      </c>
      <c r="EB91" s="3989">
        <f>IF(AN91&lt;AO91,1,0)</f>
        <v>0</v>
      </c>
      <c r="EC91" s="3989">
        <f>IF(AP91&lt;AQ91,1,0)</f>
        <v>0</v>
      </c>
    </row>
    <row r="92" spans="1:133" x14ac:dyDescent="0.3">
      <c r="A92" s="3990" t="s">
        <v>1879</v>
      </c>
      <c r="B92" s="3991">
        <f>+P92+R92+T92+V92+X92+Z92+AB92+AD92+AF92+AH92+AJ92+AL92+AN92+AP92</f>
        <v>0</v>
      </c>
      <c r="C92" s="345">
        <f>+Q92+S92+U92+W92+Y92+AA92+AC92+AE92+AG92+AI92+AK92+AM92+AO92+AQ92</f>
        <v>0</v>
      </c>
      <c r="D92" s="4001"/>
      <c r="E92" s="3993"/>
      <c r="F92" s="3992"/>
      <c r="G92" s="3993"/>
      <c r="H92" s="3992"/>
      <c r="I92" s="3993"/>
      <c r="J92" s="3992"/>
      <c r="K92" s="3993"/>
      <c r="L92" s="3992"/>
      <c r="M92" s="3994"/>
      <c r="N92" s="4001"/>
      <c r="O92" s="3993"/>
      <c r="P92" s="3996"/>
      <c r="Q92" s="3995"/>
      <c r="R92" s="3996"/>
      <c r="S92" s="3995"/>
      <c r="T92" s="3996"/>
      <c r="U92" s="3995"/>
      <c r="V92" s="3996"/>
      <c r="W92" s="3995"/>
      <c r="X92" s="3996"/>
      <c r="Y92" s="3995"/>
      <c r="Z92" s="3996"/>
      <c r="AA92" s="3995"/>
      <c r="AB92" s="3996"/>
      <c r="AC92" s="3995"/>
      <c r="AD92" s="3996"/>
      <c r="AE92" s="3995"/>
      <c r="AF92" s="3996"/>
      <c r="AG92" s="3995"/>
      <c r="AH92" s="3996"/>
      <c r="AI92" s="3995"/>
      <c r="AJ92" s="3996"/>
      <c r="AK92" s="3995"/>
      <c r="AL92" s="3996"/>
      <c r="AM92" s="3995"/>
      <c r="AN92" s="3996"/>
      <c r="AO92" s="3995"/>
      <c r="AP92" s="3996"/>
      <c r="AQ92" s="3985"/>
      <c r="AR92" s="3987"/>
      <c r="AS92" s="3985"/>
      <c r="AT92" s="3986"/>
      <c r="AU92" s="3985"/>
      <c r="AV92" s="3987"/>
      <c r="AW92" s="3988"/>
      <c r="AX92" s="1898" t="str">
        <f>$CA92&amp;CB92&amp;CC92&amp;$CD92&amp;CJ92&amp;CK92&amp;CL92&amp;CM92&amp;CN92&amp;CO92&amp;CP92&amp;CQ92&amp;CR92&amp;CS92&amp;CT92&amp;CU92&amp;CV92&amp;CW92&amp;CX92</f>
        <v/>
      </c>
      <c r="CA92" s="1899" t="str">
        <f t="shared" si="244"/>
        <v/>
      </c>
      <c r="CB92" s="1899" t="str">
        <f t="shared" si="208"/>
        <v/>
      </c>
      <c r="CC92" s="1899" t="str">
        <f t="shared" si="209"/>
        <v/>
      </c>
      <c r="CD92" s="1899" t="str">
        <f t="shared" si="210"/>
        <v/>
      </c>
      <c r="CE92" s="4000"/>
      <c r="CF92" s="4000"/>
      <c r="CG92" s="1902"/>
      <c r="CH92" s="1902"/>
      <c r="CI92" s="1902"/>
      <c r="CJ92" s="4000"/>
      <c r="CK92" s="1899" t="str">
        <f t="shared" si="246"/>
        <v/>
      </c>
      <c r="CL92" s="1899" t="str">
        <f t="shared" si="247"/>
        <v/>
      </c>
      <c r="CM92" s="1899" t="str">
        <f t="shared" si="241"/>
        <v/>
      </c>
      <c r="CN92" s="1899" t="str">
        <f t="shared" si="248"/>
        <v/>
      </c>
      <c r="CO92" s="1899" t="str">
        <f t="shared" si="249"/>
        <v/>
      </c>
      <c r="CP92" s="1899" t="str">
        <f t="shared" si="250"/>
        <v/>
      </c>
      <c r="CQ92" s="1899" t="str">
        <f t="shared" si="251"/>
        <v/>
      </c>
      <c r="CR92" s="1899" t="str">
        <f t="shared" si="252"/>
        <v/>
      </c>
      <c r="CS92" s="1899" t="str">
        <f t="shared" si="253"/>
        <v/>
      </c>
      <c r="CT92" s="1899" t="str">
        <f t="shared" si="254"/>
        <v/>
      </c>
      <c r="CU92" s="1899" t="str">
        <f>IF(AJ92&lt;AK92,CONCATENATE("* El total de Procesados debe ser mayor o igual al total de Reactivos en el grupo de edad ",$AJ$11),"")</f>
        <v/>
      </c>
      <c r="CV92" s="1899" t="str">
        <f>IF(AL92&lt;AM92,CONCATENATE("* El total de Procesados debe ser mayor o igual al total de Reactivos en el grupo de edad ",$AL$11),"")</f>
        <v/>
      </c>
      <c r="CW92" s="1899" t="str">
        <f>IF(AN92&lt;AO92,CONCATENATE("* El total de Procesados debe ser mayor o igual al total de Reactivos en el grupo de edad ",$AN$11),"")</f>
        <v/>
      </c>
      <c r="CX92" s="1899" t="str">
        <f>IF(AP92&lt;AQ92,CONCATENATE("* El total de Procesados debe ser mayor o igual al total de Reactivos en el grupo de edad ",$AP$11),"")</f>
        <v/>
      </c>
      <c r="DE92" s="1970"/>
      <c r="DF92" s="4005">
        <f t="shared" si="245"/>
        <v>0</v>
      </c>
      <c r="DG92" s="3989">
        <f t="shared" si="225"/>
        <v>0</v>
      </c>
      <c r="DH92" s="3989">
        <f t="shared" si="226"/>
        <v>0</v>
      </c>
      <c r="DI92" s="3989">
        <f t="shared" si="227"/>
        <v>0</v>
      </c>
      <c r="DJ92" s="1902"/>
      <c r="DK92" s="1902"/>
      <c r="DL92" s="1902"/>
      <c r="DM92" s="1902"/>
      <c r="DN92" s="1902"/>
      <c r="DO92" s="1900"/>
      <c r="DP92" s="3989">
        <f t="shared" si="255"/>
        <v>0</v>
      </c>
      <c r="DQ92" s="3989">
        <f t="shared" si="256"/>
        <v>0</v>
      </c>
      <c r="DR92" s="3989">
        <f t="shared" si="242"/>
        <v>0</v>
      </c>
      <c r="DS92" s="3989">
        <f t="shared" si="257"/>
        <v>0</v>
      </c>
      <c r="DT92" s="3989">
        <f t="shared" si="258"/>
        <v>0</v>
      </c>
      <c r="DU92" s="3989">
        <f t="shared" si="259"/>
        <v>0</v>
      </c>
      <c r="DV92" s="3989">
        <f t="shared" si="243"/>
        <v>0</v>
      </c>
      <c r="DW92" s="3989">
        <f t="shared" si="260"/>
        <v>0</v>
      </c>
      <c r="DX92" s="3989">
        <f t="shared" si="261"/>
        <v>0</v>
      </c>
      <c r="DY92" s="3989">
        <f t="shared" si="262"/>
        <v>0</v>
      </c>
      <c r="DZ92" s="3989">
        <f>IF(AJ92&lt;AK92,1,0)</f>
        <v>0</v>
      </c>
      <c r="EA92" s="3989">
        <f>IF(AL92&lt;AM92,1,0)</f>
        <v>0</v>
      </c>
      <c r="EB92" s="3989">
        <f>IF(AN92&lt;AO92,1,0)</f>
        <v>0</v>
      </c>
      <c r="EC92" s="3989">
        <f>IF(AP92&lt;AQ92,1,0)</f>
        <v>0</v>
      </c>
    </row>
    <row r="93" spans="1:133" x14ac:dyDescent="0.3">
      <c r="A93" s="4006" t="s">
        <v>1880</v>
      </c>
      <c r="B93" s="3991">
        <f>+P93+R93+T93+V93+X93+Z93+AB93+AD93+AF93+AH93</f>
        <v>0</v>
      </c>
      <c r="C93" s="345">
        <f>+Q93+S93+U93+W93+Y93+AA93+AC93+AE93+AG93+AI93</f>
        <v>0</v>
      </c>
      <c r="D93" s="4001"/>
      <c r="E93" s="3993"/>
      <c r="F93" s="3992"/>
      <c r="G93" s="3993"/>
      <c r="H93" s="3992"/>
      <c r="I93" s="3993"/>
      <c r="J93" s="3992"/>
      <c r="K93" s="3993"/>
      <c r="L93" s="3992"/>
      <c r="M93" s="3994"/>
      <c r="N93" s="4001"/>
      <c r="O93" s="3993"/>
      <c r="P93" s="3996"/>
      <c r="Q93" s="3995"/>
      <c r="R93" s="3996"/>
      <c r="S93" s="3995"/>
      <c r="T93" s="3996"/>
      <c r="U93" s="3995"/>
      <c r="V93" s="3996"/>
      <c r="W93" s="3995"/>
      <c r="X93" s="3996"/>
      <c r="Y93" s="3995"/>
      <c r="Z93" s="3996"/>
      <c r="AA93" s="3995"/>
      <c r="AB93" s="3996"/>
      <c r="AC93" s="3995"/>
      <c r="AD93" s="3996"/>
      <c r="AE93" s="3995"/>
      <c r="AF93" s="3996"/>
      <c r="AG93" s="3995"/>
      <c r="AH93" s="3996"/>
      <c r="AI93" s="3995"/>
      <c r="AJ93" s="3992"/>
      <c r="AK93" s="3993"/>
      <c r="AL93" s="3992"/>
      <c r="AM93" s="3993"/>
      <c r="AN93" s="3992"/>
      <c r="AO93" s="3993"/>
      <c r="AP93" s="3992"/>
      <c r="AQ93" s="4003"/>
      <c r="AR93" s="3987"/>
      <c r="AS93" s="3985"/>
      <c r="AT93" s="3986"/>
      <c r="AU93" s="3985"/>
      <c r="AV93" s="3987"/>
      <c r="AW93" s="3988"/>
      <c r="AX93" s="1898" t="str">
        <f>$CA93&amp;CB93&amp;CC93&amp;$CD93&amp;CK93&amp;CL93&amp;CM93&amp;CN93&amp;CO93&amp;CP93&amp;CQ93&amp;CR93&amp;CS93&amp;CT93</f>
        <v/>
      </c>
      <c r="CA93" s="1899" t="str">
        <f t="shared" si="244"/>
        <v/>
      </c>
      <c r="CB93" s="1899" t="str">
        <f t="shared" si="208"/>
        <v/>
      </c>
      <c r="CC93" s="1899" t="str">
        <f t="shared" si="209"/>
        <v/>
      </c>
      <c r="CD93" s="1899" t="str">
        <f t="shared" si="210"/>
        <v/>
      </c>
      <c r="CE93" s="4000"/>
      <c r="CF93" s="4000"/>
      <c r="CG93" s="1902"/>
      <c r="CH93" s="1902"/>
      <c r="CI93" s="1902"/>
      <c r="CJ93" s="4000"/>
      <c r="CK93" s="1899" t="str">
        <f t="shared" si="246"/>
        <v/>
      </c>
      <c r="CL93" s="1899" t="str">
        <f t="shared" si="247"/>
        <v/>
      </c>
      <c r="CM93" s="1899" t="str">
        <f t="shared" si="241"/>
        <v/>
      </c>
      <c r="CN93" s="1899" t="str">
        <f t="shared" si="248"/>
        <v/>
      </c>
      <c r="CO93" s="1899" t="str">
        <f t="shared" si="249"/>
        <v/>
      </c>
      <c r="CP93" s="1899" t="str">
        <f t="shared" si="250"/>
        <v/>
      </c>
      <c r="CQ93" s="1899" t="str">
        <f t="shared" si="251"/>
        <v/>
      </c>
      <c r="CR93" s="1899" t="str">
        <f t="shared" si="252"/>
        <v/>
      </c>
      <c r="CS93" s="1899" t="str">
        <f t="shared" si="253"/>
        <v/>
      </c>
      <c r="CT93" s="1899" t="str">
        <f t="shared" si="254"/>
        <v/>
      </c>
      <c r="CU93" s="1900"/>
      <c r="CV93" s="1900"/>
      <c r="CW93" s="1900"/>
      <c r="CX93" s="1900"/>
      <c r="DE93" s="1970"/>
      <c r="DF93" s="4005">
        <f t="shared" si="245"/>
        <v>0</v>
      </c>
      <c r="DG93" s="3989">
        <f t="shared" si="225"/>
        <v>0</v>
      </c>
      <c r="DH93" s="3989">
        <f t="shared" si="226"/>
        <v>0</v>
      </c>
      <c r="DI93" s="3989">
        <f t="shared" si="227"/>
        <v>0</v>
      </c>
      <c r="DJ93" s="1902"/>
      <c r="DK93" s="1902"/>
      <c r="DL93" s="1902"/>
      <c r="DM93" s="1902"/>
      <c r="DN93" s="1902"/>
      <c r="DO93" s="1900"/>
      <c r="DP93" s="3989">
        <f t="shared" si="255"/>
        <v>0</v>
      </c>
      <c r="DQ93" s="3989">
        <f t="shared" si="256"/>
        <v>0</v>
      </c>
      <c r="DR93" s="3989">
        <f t="shared" si="242"/>
        <v>0</v>
      </c>
      <c r="DS93" s="3989">
        <f t="shared" si="257"/>
        <v>0</v>
      </c>
      <c r="DT93" s="3989">
        <f t="shared" si="258"/>
        <v>0</v>
      </c>
      <c r="DU93" s="3989">
        <f t="shared" si="259"/>
        <v>0</v>
      </c>
      <c r="DV93" s="3989">
        <f t="shared" si="243"/>
        <v>0</v>
      </c>
      <c r="DW93" s="3989">
        <f t="shared" si="260"/>
        <v>0</v>
      </c>
      <c r="DX93" s="3989">
        <f t="shared" si="261"/>
        <v>0</v>
      </c>
      <c r="DY93" s="3989">
        <f t="shared" si="262"/>
        <v>0</v>
      </c>
      <c r="DZ93" s="1900"/>
      <c r="EA93" s="1900"/>
      <c r="EB93" s="1900"/>
      <c r="EC93" s="1900"/>
    </row>
    <row r="94" spans="1:133" x14ac:dyDescent="0.3">
      <c r="A94" s="4006" t="s">
        <v>1881</v>
      </c>
      <c r="B94" s="3991">
        <f t="shared" ref="B94:C96" si="263">+D94+F94+H94+J94+L94+N94+P94+R94+T94+V94+X94+Z94+AB94+AD94+AF94+AH94+AJ94+AL94+AN94+AP94</f>
        <v>0</v>
      </c>
      <c r="C94" s="345">
        <f t="shared" si="263"/>
        <v>0</v>
      </c>
      <c r="D94" s="3987"/>
      <c r="E94" s="3995"/>
      <c r="F94" s="3996"/>
      <c r="G94" s="3995"/>
      <c r="H94" s="3996"/>
      <c r="I94" s="3988"/>
      <c r="J94" s="3987"/>
      <c r="K94" s="3987"/>
      <c r="L94" s="3996"/>
      <c r="M94" s="3988"/>
      <c r="N94" s="3987"/>
      <c r="O94" s="3995"/>
      <c r="P94" s="3996"/>
      <c r="Q94" s="3995"/>
      <c r="R94" s="3996"/>
      <c r="S94" s="3995"/>
      <c r="T94" s="3996"/>
      <c r="U94" s="3995"/>
      <c r="V94" s="3996"/>
      <c r="W94" s="3995"/>
      <c r="X94" s="3996"/>
      <c r="Y94" s="3995"/>
      <c r="Z94" s="3996"/>
      <c r="AA94" s="3995"/>
      <c r="AB94" s="3996"/>
      <c r="AC94" s="3995"/>
      <c r="AD94" s="3996"/>
      <c r="AE94" s="3995"/>
      <c r="AF94" s="3996"/>
      <c r="AG94" s="3995"/>
      <c r="AH94" s="3996"/>
      <c r="AI94" s="3995"/>
      <c r="AJ94" s="3996"/>
      <c r="AK94" s="3995"/>
      <c r="AL94" s="3996"/>
      <c r="AM94" s="3995"/>
      <c r="AN94" s="3996"/>
      <c r="AO94" s="3995"/>
      <c r="AP94" s="3996"/>
      <c r="AQ94" s="3985"/>
      <c r="AR94" s="3987"/>
      <c r="AS94" s="3985"/>
      <c r="AT94" s="3986"/>
      <c r="AU94" s="3985"/>
      <c r="AV94" s="3987"/>
      <c r="AW94" s="3988"/>
      <c r="AX94" s="1898" t="str">
        <f>$CA94&amp;CB94&amp;CC94&amp;$CD94&amp;CJ94&amp;CK94&amp;CL94&amp;CM94&amp;CN94&amp;CO94&amp;CP94&amp;CQ94&amp;CR94&amp;CS94&amp;CT94&amp;CU94&amp;CV94&amp;CW94&amp;CX94&amp;CE94&amp;CF94&amp;CG94&amp;CH94&amp;CI94</f>
        <v/>
      </c>
      <c r="CA94" s="1899" t="str">
        <f t="shared" si="244"/>
        <v/>
      </c>
      <c r="CB94" s="1899" t="str">
        <f t="shared" si="208"/>
        <v/>
      </c>
      <c r="CC94" s="1899" t="str">
        <f t="shared" si="209"/>
        <v/>
      </c>
      <c r="CD94" s="1899" t="str">
        <f t="shared" si="210"/>
        <v/>
      </c>
      <c r="CE94" s="1899" t="str">
        <f>IF(D94&lt;E94,CONCATENATE("* El total de Procesados debe ser mayor o igual al total de Reactivos en el grupo de edad ",$D$11),"")</f>
        <v/>
      </c>
      <c r="CF94" s="1899" t="str">
        <f>IF(F94&lt;G94,CONCATENATE("* El total de Procesados debe ser mayor o igual al total de Reactivos en el grupo de edad ",$F$11),"")</f>
        <v/>
      </c>
      <c r="CG94" s="1899" t="str">
        <f>IF(H94&lt;I94,CONCATENATE("* El total de Procesados debe ser mayor o igual al total de Reactivos en el grupo de edad ",$H$11),"")</f>
        <v/>
      </c>
      <c r="CH94" s="1899" t="str">
        <f>IF(J94&lt;K94,CONCATENATE("* El total de Procesados debe ser mayor o igual al total de Reactivos en el grupo de edad ",$J$11),"")</f>
        <v/>
      </c>
      <c r="CI94" s="1899" t="str">
        <f>IF(L94&lt;M94,CONCATENATE("* El total de Procesados debe ser mayor o igual al total de Reactivos en el grupo de edad ",$L$11),"")</f>
        <v/>
      </c>
      <c r="CJ94" s="1899" t="str">
        <f>IF(N94&lt;O94,CONCATENATE("* El total de Procesados debe ser mayor o igual al total de Reactivos en el grupo de edad ",$N$11),"")</f>
        <v/>
      </c>
      <c r="CK94" s="1899" t="str">
        <f t="shared" si="246"/>
        <v/>
      </c>
      <c r="CL94" s="1899" t="str">
        <f t="shared" si="247"/>
        <v/>
      </c>
      <c r="CM94" s="1899" t="str">
        <f t="shared" si="241"/>
        <v/>
      </c>
      <c r="CN94" s="1899" t="str">
        <f t="shared" si="248"/>
        <v/>
      </c>
      <c r="CO94" s="1899" t="str">
        <f t="shared" si="249"/>
        <v/>
      </c>
      <c r="CP94" s="1899" t="str">
        <f t="shared" si="250"/>
        <v/>
      </c>
      <c r="CQ94" s="1899" t="str">
        <f t="shared" si="251"/>
        <v/>
      </c>
      <c r="CR94" s="1899" t="str">
        <f t="shared" si="252"/>
        <v/>
      </c>
      <c r="CS94" s="1899" t="str">
        <f t="shared" si="253"/>
        <v/>
      </c>
      <c r="CT94" s="1899" t="str">
        <f t="shared" si="254"/>
        <v/>
      </c>
      <c r="CU94" s="1899" t="str">
        <f>IF(AJ94&lt;AK94,CONCATENATE("* El total de Procesados debe ser mayor o igual al total de Reactivos en el grupo de edad ",$AJ$11),"")</f>
        <v/>
      </c>
      <c r="CV94" s="1899" t="str">
        <f>IF(AL94&lt;AM94,CONCATENATE("* El total de Procesados debe ser mayor o igual al total de Reactivos en el grupo de edad ",$AL$11),"")</f>
        <v/>
      </c>
      <c r="CW94" s="1899" t="str">
        <f>IF(AN94&lt;AO94,CONCATENATE("* El total de Procesados debe ser mayor o igual al total de Reactivos en el grupo de edad ",$AN$11),"")</f>
        <v/>
      </c>
      <c r="CX94" s="1899" t="str">
        <f>IF(AP94&lt;AQ94,CONCATENATE("* El total de Procesados debe ser mayor o igual al total de Reactivos en el grupo de edad ",$AP$11),"")</f>
        <v/>
      </c>
      <c r="DE94" s="1970"/>
      <c r="DF94" s="4005">
        <f t="shared" si="245"/>
        <v>0</v>
      </c>
      <c r="DG94" s="3989">
        <f t="shared" si="225"/>
        <v>0</v>
      </c>
      <c r="DH94" s="3989">
        <f t="shared" si="226"/>
        <v>0</v>
      </c>
      <c r="DI94" s="3989">
        <f t="shared" si="227"/>
        <v>0</v>
      </c>
      <c r="DJ94" s="3989">
        <f>IF(D94&lt;E94,1,0)</f>
        <v>0</v>
      </c>
      <c r="DK94" s="3989">
        <f>IF(F94&lt;G94,1,0)</f>
        <v>0</v>
      </c>
      <c r="DL94" s="3989">
        <f>IF(H94&lt;I94,1,0)</f>
        <v>0</v>
      </c>
      <c r="DM94" s="3989">
        <f>IF(J94&lt;K94,1,0)</f>
        <v>0</v>
      </c>
      <c r="DN94" s="3989">
        <f>IF(L94&lt;M94,1,0)</f>
        <v>0</v>
      </c>
      <c r="DO94" s="3989">
        <f>IF(N94&lt;O94,1,0)</f>
        <v>0</v>
      </c>
      <c r="DP94" s="3989">
        <f t="shared" si="255"/>
        <v>0</v>
      </c>
      <c r="DQ94" s="3989">
        <f t="shared" si="256"/>
        <v>0</v>
      </c>
      <c r="DR94" s="3989">
        <f t="shared" si="242"/>
        <v>0</v>
      </c>
      <c r="DS94" s="3989">
        <f t="shared" si="257"/>
        <v>0</v>
      </c>
      <c r="DT94" s="3989">
        <f t="shared" si="258"/>
        <v>0</v>
      </c>
      <c r="DU94" s="3989">
        <f t="shared" si="259"/>
        <v>0</v>
      </c>
      <c r="DV94" s="3989">
        <f t="shared" si="243"/>
        <v>0</v>
      </c>
      <c r="DW94" s="3989">
        <f t="shared" si="260"/>
        <v>0</v>
      </c>
      <c r="DX94" s="3989">
        <f t="shared" si="261"/>
        <v>0</v>
      </c>
      <c r="DY94" s="3989">
        <f t="shared" si="262"/>
        <v>0</v>
      </c>
      <c r="DZ94" s="3989">
        <f>IF(AJ94&lt;AK94,1,0)</f>
        <v>0</v>
      </c>
      <c r="EA94" s="3989">
        <f>IF(AL94&lt;AM94,1,0)</f>
        <v>0</v>
      </c>
      <c r="EB94" s="3989">
        <f>IF(AN94&lt;AO94,1,0)</f>
        <v>0</v>
      </c>
      <c r="EC94" s="3989">
        <f>IF(AP94&lt;AQ94,1,0)</f>
        <v>0</v>
      </c>
    </row>
    <row r="95" spans="1:133" x14ac:dyDescent="0.3">
      <c r="A95" s="4006" t="s">
        <v>1882</v>
      </c>
      <c r="B95" s="3991">
        <f t="shared" si="263"/>
        <v>0</v>
      </c>
      <c r="C95" s="345">
        <f t="shared" si="263"/>
        <v>0</v>
      </c>
      <c r="D95" s="3987"/>
      <c r="E95" s="3995"/>
      <c r="F95" s="3996"/>
      <c r="G95" s="3995"/>
      <c r="H95" s="3996"/>
      <c r="I95" s="3988"/>
      <c r="J95" s="3987"/>
      <c r="K95" s="3987"/>
      <c r="L95" s="3996"/>
      <c r="M95" s="3988"/>
      <c r="N95" s="3987"/>
      <c r="O95" s="3995"/>
      <c r="P95" s="3996"/>
      <c r="Q95" s="3995"/>
      <c r="R95" s="3996"/>
      <c r="S95" s="3995"/>
      <c r="T95" s="3996"/>
      <c r="U95" s="3995"/>
      <c r="V95" s="3996"/>
      <c r="W95" s="3995"/>
      <c r="X95" s="3996"/>
      <c r="Y95" s="3995"/>
      <c r="Z95" s="3996"/>
      <c r="AA95" s="3995"/>
      <c r="AB95" s="3996"/>
      <c r="AC95" s="3995"/>
      <c r="AD95" s="3996"/>
      <c r="AE95" s="3995"/>
      <c r="AF95" s="3996"/>
      <c r="AG95" s="3995"/>
      <c r="AH95" s="3996"/>
      <c r="AI95" s="3995"/>
      <c r="AJ95" s="3996"/>
      <c r="AK95" s="3995"/>
      <c r="AL95" s="3996"/>
      <c r="AM95" s="3995"/>
      <c r="AN95" s="3996"/>
      <c r="AO95" s="3995"/>
      <c r="AP95" s="3996"/>
      <c r="AQ95" s="3985"/>
      <c r="AR95" s="3987"/>
      <c r="AS95" s="3985"/>
      <c r="AT95" s="3986"/>
      <c r="AU95" s="3985"/>
      <c r="AV95" s="3987"/>
      <c r="AW95" s="3988"/>
      <c r="AX95" s="1898" t="str">
        <f>$CA95&amp;CB95&amp;CC95&amp;$CD95&amp;CJ95&amp;CK95&amp;CL95&amp;CM95&amp;CN95&amp;CO95&amp;CP95&amp;CQ95&amp;CR95&amp;CS95&amp;CT95&amp;CU95&amp;CV95&amp;CW95&amp;CX95&amp;CE95&amp;CF95&amp;CG95&amp;CH95&amp;CI95</f>
        <v/>
      </c>
      <c r="CA95" s="1899" t="str">
        <f t="shared" si="244"/>
        <v/>
      </c>
      <c r="CB95" s="1899" t="str">
        <f t="shared" si="208"/>
        <v/>
      </c>
      <c r="CC95" s="1899" t="str">
        <f t="shared" si="209"/>
        <v/>
      </c>
      <c r="CD95" s="1899" t="str">
        <f t="shared" si="210"/>
        <v/>
      </c>
      <c r="CE95" s="1899" t="str">
        <f>IF(D95&lt;E95,CONCATENATE("* El total de Procesados debe ser mayor o igual al total de Reactivos en el grupo de edad ",$D$11),"")</f>
        <v/>
      </c>
      <c r="CF95" s="1899" t="str">
        <f>IF(F95&lt;G95,CONCATENATE("* El total de Procesados debe ser mayor o igual al total de Reactivos en el grupo de edad ",$F$11),"")</f>
        <v/>
      </c>
      <c r="CG95" s="1899" t="str">
        <f>IF(H95&lt;I95,CONCATENATE("* El total de Procesados debe ser mayor o igual al total de Reactivos en el grupo de edad ",$H$11),"")</f>
        <v/>
      </c>
      <c r="CH95" s="1899" t="str">
        <f>IF(J95&lt;K95,CONCATENATE("* El total de Procesados debe ser mayor o igual al total de Reactivos en el grupo de edad ",$J$11),"")</f>
        <v/>
      </c>
      <c r="CI95" s="1899" t="str">
        <f>IF(L95&lt;M95,CONCATENATE("* El total de Procesados debe ser mayor o igual al total de Reactivos en el grupo de edad ",$L$11),"")</f>
        <v/>
      </c>
      <c r="CJ95" s="1899" t="str">
        <f>IF(N95&lt;O95,CONCATENATE("* El total de Procesados debe ser mayor o igual al total de Reactivos en el grupo de edad ",$N$11),"")</f>
        <v/>
      </c>
      <c r="CK95" s="1899" t="str">
        <f t="shared" si="246"/>
        <v/>
      </c>
      <c r="CL95" s="1899" t="str">
        <f t="shared" si="247"/>
        <v/>
      </c>
      <c r="CM95" s="1899" t="str">
        <f t="shared" si="241"/>
        <v/>
      </c>
      <c r="CN95" s="1899" t="str">
        <f t="shared" si="248"/>
        <v/>
      </c>
      <c r="CO95" s="1899" t="str">
        <f t="shared" si="249"/>
        <v/>
      </c>
      <c r="CP95" s="1899" t="str">
        <f t="shared" si="250"/>
        <v/>
      </c>
      <c r="CQ95" s="1899" t="str">
        <f t="shared" si="251"/>
        <v/>
      </c>
      <c r="CR95" s="1899" t="str">
        <f t="shared" si="252"/>
        <v/>
      </c>
      <c r="CS95" s="1899" t="str">
        <f t="shared" si="253"/>
        <v/>
      </c>
      <c r="CT95" s="1899" t="str">
        <f t="shared" si="254"/>
        <v/>
      </c>
      <c r="CU95" s="1899" t="str">
        <f>IF(AJ95&lt;AK95,CONCATENATE("* El total de Procesados debe ser mayor o igual al total de Reactivos en el grupo de edad ",$AJ$11),"")</f>
        <v/>
      </c>
      <c r="CV95" s="1899" t="str">
        <f>IF(AL95&lt;AM95,CONCATENATE("* El total de Procesados debe ser mayor o igual al total de Reactivos en el grupo de edad ",$AL$11),"")</f>
        <v/>
      </c>
      <c r="CW95" s="1899" t="str">
        <f>IF(AN95&lt;AO95,CONCATENATE("* El total de Procesados debe ser mayor o igual al total de Reactivos en el grupo de edad ",$AN$11),"")</f>
        <v/>
      </c>
      <c r="CX95" s="1899" t="str">
        <f>IF(AP95&lt;AQ95,CONCATENATE("* El total de Procesados debe ser mayor o igual al total de Reactivos en el grupo de edad ",$AP$11),"")</f>
        <v/>
      </c>
      <c r="DE95" s="1970"/>
      <c r="DF95" s="4005">
        <f t="shared" si="245"/>
        <v>0</v>
      </c>
      <c r="DG95" s="3989">
        <f t="shared" si="225"/>
        <v>0</v>
      </c>
      <c r="DH95" s="3989">
        <f t="shared" si="226"/>
        <v>0</v>
      </c>
      <c r="DI95" s="3989">
        <f t="shared" si="227"/>
        <v>0</v>
      </c>
      <c r="DJ95" s="3989">
        <f>IF(D95&lt;E95,1,0)</f>
        <v>0</v>
      </c>
      <c r="DK95" s="3989">
        <f>IF(F95&lt;G95,1,0)</f>
        <v>0</v>
      </c>
      <c r="DL95" s="3989">
        <f>IF(H95&lt;I95,1,0)</f>
        <v>0</v>
      </c>
      <c r="DM95" s="3989">
        <f>IF(J95&lt;K95,1,0)</f>
        <v>0</v>
      </c>
      <c r="DN95" s="3989">
        <f>IF(L95&lt;M95,1,0)</f>
        <v>0</v>
      </c>
      <c r="DO95" s="3989">
        <f>IF(N95&lt;O95,1,0)</f>
        <v>0</v>
      </c>
      <c r="DP95" s="3989">
        <f t="shared" si="255"/>
        <v>0</v>
      </c>
      <c r="DQ95" s="3989">
        <f t="shared" si="256"/>
        <v>0</v>
      </c>
      <c r="DR95" s="3989">
        <f t="shared" si="242"/>
        <v>0</v>
      </c>
      <c r="DS95" s="3989">
        <f t="shared" si="257"/>
        <v>0</v>
      </c>
      <c r="DT95" s="3989">
        <f t="shared" si="258"/>
        <v>0</v>
      </c>
      <c r="DU95" s="3989">
        <f t="shared" si="259"/>
        <v>0</v>
      </c>
      <c r="DV95" s="3989">
        <f t="shared" si="243"/>
        <v>0</v>
      </c>
      <c r="DW95" s="3989">
        <f t="shared" si="260"/>
        <v>0</v>
      </c>
      <c r="DX95" s="3989">
        <f t="shared" si="261"/>
        <v>0</v>
      </c>
      <c r="DY95" s="3989">
        <f t="shared" si="262"/>
        <v>0</v>
      </c>
      <c r="DZ95" s="3989">
        <f>IF(AJ95&lt;AK95,1,0)</f>
        <v>0</v>
      </c>
      <c r="EA95" s="3989">
        <f>IF(AL95&lt;AM95,1,0)</f>
        <v>0</v>
      </c>
      <c r="EB95" s="3989">
        <f>IF(AN95&lt;AO95,1,0)</f>
        <v>0</v>
      </c>
      <c r="EC95" s="3989">
        <f>IF(AP95&lt;AQ95,1,0)</f>
        <v>0</v>
      </c>
    </row>
    <row r="96" spans="1:133" x14ac:dyDescent="0.3">
      <c r="A96" s="1027" t="s">
        <v>1883</v>
      </c>
      <c r="B96" s="1083">
        <f t="shared" si="263"/>
        <v>0</v>
      </c>
      <c r="C96" s="3429">
        <f t="shared" si="263"/>
        <v>0</v>
      </c>
      <c r="D96" s="1911"/>
      <c r="E96" s="1907"/>
      <c r="F96" s="876"/>
      <c r="G96" s="1907"/>
      <c r="H96" s="876"/>
      <c r="I96" s="2009"/>
      <c r="J96" s="1911"/>
      <c r="K96" s="1911"/>
      <c r="L96" s="876"/>
      <c r="M96" s="2009"/>
      <c r="N96" s="1911"/>
      <c r="O96" s="1907"/>
      <c r="P96" s="876"/>
      <c r="Q96" s="1907"/>
      <c r="R96" s="876"/>
      <c r="S96" s="1907"/>
      <c r="T96" s="876"/>
      <c r="U96" s="1907"/>
      <c r="V96" s="876"/>
      <c r="W96" s="1907"/>
      <c r="X96" s="876"/>
      <c r="Y96" s="1907"/>
      <c r="Z96" s="876"/>
      <c r="AA96" s="1907"/>
      <c r="AB96" s="876"/>
      <c r="AC96" s="1907"/>
      <c r="AD96" s="876"/>
      <c r="AE96" s="1907"/>
      <c r="AF96" s="876"/>
      <c r="AG96" s="1907"/>
      <c r="AH96" s="876"/>
      <c r="AI96" s="1907"/>
      <c r="AJ96" s="876"/>
      <c r="AK96" s="1907"/>
      <c r="AL96" s="876"/>
      <c r="AM96" s="1907"/>
      <c r="AN96" s="876"/>
      <c r="AO96" s="1907"/>
      <c r="AP96" s="876"/>
      <c r="AQ96" s="1953"/>
      <c r="AR96" s="1911"/>
      <c r="AS96" s="1953"/>
      <c r="AT96" s="1913"/>
      <c r="AU96" s="1953"/>
      <c r="AV96" s="1911"/>
      <c r="AW96" s="2009"/>
      <c r="AX96" s="1898" t="str">
        <f>$CA96&amp;CB96&amp;CC96&amp;$CD96&amp;CJ96&amp;CK96&amp;CL96&amp;CM96&amp;CN96&amp;CO96&amp;CP96&amp;CQ96&amp;CR96&amp;CS96&amp;CT96&amp;CU96&amp;CV96&amp;CW96&amp;CX96&amp;CE96&amp;CF96&amp;CG96&amp;CH96&amp;CI96</f>
        <v/>
      </c>
      <c r="CA96" s="1899" t="str">
        <f t="shared" si="244"/>
        <v/>
      </c>
      <c r="CB96" s="1899" t="str">
        <f t="shared" si="208"/>
        <v/>
      </c>
      <c r="CC96" s="1899" t="str">
        <f t="shared" si="209"/>
        <v/>
      </c>
      <c r="CD96" s="1899" t="str">
        <f t="shared" si="210"/>
        <v/>
      </c>
      <c r="CE96" s="1899" t="str">
        <f>IF(D96&lt;E96,CONCATENATE("* El total de Procesados debe ser mayor o igual al total de Reactivos en el grupo de edad ",$D$11),"")</f>
        <v/>
      </c>
      <c r="CF96" s="1899" t="str">
        <f>IF(F96&lt;G96,CONCATENATE("* El total de Procesados debe ser mayor o igual al total de Reactivos en el grupo de edad ",$F$11),"")</f>
        <v/>
      </c>
      <c r="CG96" s="1899" t="str">
        <f>IF(H96&lt;I96,CONCATENATE("* El total de Procesados debe ser mayor o igual al total de Reactivos en el grupo de edad ",$H$11),"")</f>
        <v/>
      </c>
      <c r="CH96" s="1899" t="str">
        <f>IF(J96&lt;K96,CONCATENATE("* El total de Procesados debe ser mayor o igual al total de Reactivos en el grupo de edad ",$J$11),"")</f>
        <v/>
      </c>
      <c r="CI96" s="1899" t="str">
        <f>IF(L96&lt;M96,CONCATENATE("* El total de Procesados debe ser mayor o igual al total de Reactivos en el grupo de edad ",$L$11),"")</f>
        <v/>
      </c>
      <c r="CJ96" s="1899" t="str">
        <f>IF(N96&lt;O96,CONCATENATE("* El total de Procesados debe ser mayor o igual al total de Reactivos en el grupo de edad ",$N$11),"")</f>
        <v/>
      </c>
      <c r="CK96" s="1899" t="str">
        <f t="shared" si="246"/>
        <v/>
      </c>
      <c r="CL96" s="1899" t="str">
        <f t="shared" si="247"/>
        <v/>
      </c>
      <c r="CM96" s="1899" t="str">
        <f t="shared" si="241"/>
        <v/>
      </c>
      <c r="CN96" s="1899" t="str">
        <f t="shared" si="248"/>
        <v/>
      </c>
      <c r="CO96" s="1899" t="str">
        <f t="shared" si="249"/>
        <v/>
      </c>
      <c r="CP96" s="1899" t="str">
        <f t="shared" si="250"/>
        <v/>
      </c>
      <c r="CQ96" s="1899" t="str">
        <f t="shared" si="251"/>
        <v/>
      </c>
      <c r="CR96" s="1899" t="str">
        <f t="shared" si="252"/>
        <v/>
      </c>
      <c r="CS96" s="1899" t="str">
        <f t="shared" si="253"/>
        <v/>
      </c>
      <c r="CT96" s="1899" t="str">
        <f t="shared" si="254"/>
        <v/>
      </c>
      <c r="CU96" s="1899" t="str">
        <f>IF(AJ96&lt;AK96,CONCATENATE("* El total de Procesados debe ser mayor o igual al total de Reactivos en el grupo de edad ",$AJ$11),"")</f>
        <v/>
      </c>
      <c r="CV96" s="1899" t="str">
        <f>IF(AL96&lt;AM96,CONCATENATE("* El total de Procesados debe ser mayor o igual al total de Reactivos en el grupo de edad ",$AL$11),"")</f>
        <v/>
      </c>
      <c r="CW96" s="1899" t="str">
        <f>IF(AN96&lt;AO96,CONCATENATE("* El total de Procesados debe ser mayor o igual al total de Reactivos en el grupo de edad ",$AN$11),"")</f>
        <v/>
      </c>
      <c r="CX96" s="1899" t="str">
        <f>IF(AP96&lt;AQ96,CONCATENATE("* El total de Procesados debe ser mayor o igual al total de Reactivos en el grupo de edad ",$AP$11),"")</f>
        <v/>
      </c>
      <c r="DE96" s="1970"/>
      <c r="DF96" s="4005">
        <f t="shared" si="245"/>
        <v>0</v>
      </c>
      <c r="DG96" s="3989">
        <f t="shared" si="225"/>
        <v>0</v>
      </c>
      <c r="DH96" s="3989">
        <f t="shared" si="226"/>
        <v>0</v>
      </c>
      <c r="DI96" s="3989">
        <f t="shared" si="227"/>
        <v>0</v>
      </c>
      <c r="DJ96" s="3989">
        <f>IF(D96&lt;E96,1,0)</f>
        <v>0</v>
      </c>
      <c r="DK96" s="3989">
        <f>IF(F96&lt;G96,1,0)</f>
        <v>0</v>
      </c>
      <c r="DL96" s="3989">
        <f>IF(H96&lt;I96,1,0)</f>
        <v>0</v>
      </c>
      <c r="DM96" s="3989">
        <f>IF(J96&lt;K96,1,0)</f>
        <v>0</v>
      </c>
      <c r="DN96" s="3989">
        <f>IF(L96&lt;M96,1,0)</f>
        <v>0</v>
      </c>
      <c r="DO96" s="3989">
        <f>IF(N96&lt;O96,1,0)</f>
        <v>0</v>
      </c>
      <c r="DP96" s="3989">
        <f t="shared" si="255"/>
        <v>0</v>
      </c>
      <c r="DQ96" s="3989">
        <f t="shared" si="256"/>
        <v>0</v>
      </c>
      <c r="DR96" s="3989">
        <f t="shared" si="242"/>
        <v>0</v>
      </c>
      <c r="DS96" s="3989">
        <f t="shared" si="257"/>
        <v>0</v>
      </c>
      <c r="DT96" s="3989">
        <f t="shared" si="258"/>
        <v>0</v>
      </c>
      <c r="DU96" s="3989">
        <f t="shared" si="259"/>
        <v>0</v>
      </c>
      <c r="DV96" s="3989">
        <f t="shared" si="243"/>
        <v>0</v>
      </c>
      <c r="DW96" s="3989">
        <f t="shared" si="260"/>
        <v>0</v>
      </c>
      <c r="DX96" s="3989">
        <f t="shared" si="261"/>
        <v>0</v>
      </c>
      <c r="DY96" s="3989">
        <f t="shared" si="262"/>
        <v>0</v>
      </c>
      <c r="DZ96" s="3989">
        <f>IF(AJ96&lt;AK96,1,0)</f>
        <v>0</v>
      </c>
      <c r="EA96" s="3989">
        <f>IF(AL96&lt;AM96,1,0)</f>
        <v>0</v>
      </c>
      <c r="EB96" s="3989">
        <f>IF(AN96&lt;AO96,1,0)</f>
        <v>0</v>
      </c>
      <c r="EC96" s="3989">
        <f>IF(AP96&lt;AQ96,1,0)</f>
        <v>0</v>
      </c>
    </row>
    <row r="97" spans="1:133" ht="18" customHeight="1" x14ac:dyDescent="0.3">
      <c r="A97" s="4004" t="s">
        <v>1887</v>
      </c>
      <c r="B97" s="4004"/>
      <c r="C97" s="4004"/>
      <c r="D97" s="4004"/>
      <c r="E97" s="4004"/>
      <c r="F97" s="4004"/>
      <c r="G97" s="4004"/>
      <c r="H97" s="4004"/>
      <c r="I97" s="4004"/>
      <c r="J97" s="4004"/>
      <c r="K97" s="4004"/>
      <c r="L97" s="4004"/>
      <c r="M97" s="4004"/>
      <c r="N97" s="4004"/>
      <c r="O97" s="4004"/>
      <c r="P97" s="4004"/>
      <c r="Q97" s="4004"/>
      <c r="R97" s="4004"/>
      <c r="S97" s="4004"/>
      <c r="T97" s="4004"/>
      <c r="U97" s="4004"/>
      <c r="V97" s="4004"/>
      <c r="W97" s="4004"/>
      <c r="X97" s="4004"/>
      <c r="Y97" s="4004"/>
      <c r="Z97" s="4004"/>
      <c r="AA97" s="4004"/>
      <c r="AB97" s="4004"/>
      <c r="AC97" s="4004"/>
      <c r="AD97" s="4004"/>
      <c r="AE97" s="4004"/>
      <c r="AF97" s="4004"/>
      <c r="AG97" s="4004"/>
      <c r="AH97" s="4004"/>
      <c r="AI97" s="4004"/>
      <c r="AJ97" s="4004"/>
      <c r="AK97" s="4004"/>
      <c r="AL97" s="4004"/>
      <c r="AM97" s="4004"/>
      <c r="AN97" s="4004"/>
      <c r="AO97" s="4004"/>
      <c r="AP97" s="4004"/>
      <c r="AQ97" s="4004"/>
      <c r="AR97" s="1971"/>
      <c r="AS97" s="1971"/>
      <c r="AT97" s="1971"/>
      <c r="AU97" s="1971"/>
      <c r="AV97" s="1971"/>
      <c r="AW97" s="1971"/>
    </row>
    <row r="98" spans="1:133" x14ac:dyDescent="0.3">
      <c r="A98" s="6837" t="s">
        <v>1860</v>
      </c>
      <c r="B98" s="6223" t="s">
        <v>77</v>
      </c>
      <c r="C98" s="6308"/>
      <c r="D98" s="6839" t="s">
        <v>29</v>
      </c>
      <c r="E98" s="6840"/>
      <c r="F98" s="6840"/>
      <c r="G98" s="6840"/>
      <c r="H98" s="6840"/>
      <c r="I98" s="6840"/>
      <c r="J98" s="6840"/>
      <c r="K98" s="6840"/>
      <c r="L98" s="6840"/>
      <c r="M98" s="6840"/>
      <c r="N98" s="6840"/>
      <c r="O98" s="6840"/>
      <c r="P98" s="6840"/>
      <c r="Q98" s="6840"/>
      <c r="R98" s="6840"/>
      <c r="S98" s="6840"/>
      <c r="T98" s="6840"/>
      <c r="U98" s="6840"/>
      <c r="V98" s="6840"/>
      <c r="W98" s="6840"/>
      <c r="X98" s="6840"/>
      <c r="Y98" s="6840"/>
      <c r="Z98" s="6840"/>
      <c r="AA98" s="6840"/>
      <c r="AB98" s="6840"/>
      <c r="AC98" s="6840"/>
      <c r="AD98" s="6840"/>
      <c r="AE98" s="6840"/>
      <c r="AF98" s="6840"/>
      <c r="AG98" s="6840"/>
      <c r="AH98" s="6840"/>
      <c r="AI98" s="6840"/>
      <c r="AJ98" s="6840"/>
      <c r="AK98" s="6840"/>
      <c r="AL98" s="6840"/>
      <c r="AM98" s="6840"/>
      <c r="AN98" s="6840"/>
      <c r="AO98" s="6840"/>
      <c r="AP98" s="6840"/>
      <c r="AQ98" s="6841"/>
      <c r="AR98" s="6842" t="s">
        <v>1861</v>
      </c>
      <c r="AS98" s="6843"/>
      <c r="AT98" s="6844" t="s">
        <v>457</v>
      </c>
      <c r="AU98" s="6845"/>
      <c r="AV98" s="6224" t="s">
        <v>36</v>
      </c>
      <c r="AW98" s="6243" t="s">
        <v>37</v>
      </c>
    </row>
    <row r="99" spans="1:133" x14ac:dyDescent="0.3">
      <c r="A99" s="5755"/>
      <c r="B99" s="6481"/>
      <c r="C99" s="6645"/>
      <c r="D99" s="6848" t="s">
        <v>1862</v>
      </c>
      <c r="E99" s="6842"/>
      <c r="F99" s="6848" t="s">
        <v>1888</v>
      </c>
      <c r="G99" s="6842"/>
      <c r="H99" s="6848" t="s">
        <v>1863</v>
      </c>
      <c r="I99" s="6849"/>
      <c r="J99" s="6842" t="s">
        <v>1889</v>
      </c>
      <c r="K99" s="6842"/>
      <c r="L99" s="6848" t="s">
        <v>1335</v>
      </c>
      <c r="M99" s="6842"/>
      <c r="N99" s="6848" t="s">
        <v>94</v>
      </c>
      <c r="O99" s="6842"/>
      <c r="P99" s="6848" t="s">
        <v>44</v>
      </c>
      <c r="Q99" s="6842"/>
      <c r="R99" s="6848" t="s">
        <v>45</v>
      </c>
      <c r="S99" s="6842"/>
      <c r="T99" s="6848" t="s">
        <v>46</v>
      </c>
      <c r="U99" s="6849"/>
      <c r="V99" s="6848" t="s">
        <v>47</v>
      </c>
      <c r="W99" s="6849"/>
      <c r="X99" s="6848" t="s">
        <v>48</v>
      </c>
      <c r="Y99" s="6849"/>
      <c r="Z99" s="6848" t="s">
        <v>49</v>
      </c>
      <c r="AA99" s="6849"/>
      <c r="AB99" s="6848" t="s">
        <v>50</v>
      </c>
      <c r="AC99" s="6849"/>
      <c r="AD99" s="6848" t="s">
        <v>51</v>
      </c>
      <c r="AE99" s="6849"/>
      <c r="AF99" s="6848" t="s">
        <v>52</v>
      </c>
      <c r="AG99" s="6849"/>
      <c r="AH99" s="6848" t="s">
        <v>53</v>
      </c>
      <c r="AI99" s="6849"/>
      <c r="AJ99" s="6848" t="s">
        <v>54</v>
      </c>
      <c r="AK99" s="6849"/>
      <c r="AL99" s="6848" t="s">
        <v>55</v>
      </c>
      <c r="AM99" s="6849"/>
      <c r="AN99" s="6848" t="s">
        <v>56</v>
      </c>
      <c r="AO99" s="6849"/>
      <c r="AP99" s="6848" t="s">
        <v>57</v>
      </c>
      <c r="AQ99" s="6843"/>
      <c r="AR99" s="6224" t="s">
        <v>58</v>
      </c>
      <c r="AS99" s="6851" t="s">
        <v>59</v>
      </c>
      <c r="AT99" s="6846"/>
      <c r="AU99" s="6847"/>
      <c r="AV99" s="6850"/>
      <c r="AW99" s="5759"/>
    </row>
    <row r="100" spans="1:133" x14ac:dyDescent="0.3">
      <c r="A100" s="6471"/>
      <c r="B100" s="3980" t="s">
        <v>1864</v>
      </c>
      <c r="C100" s="3979" t="s">
        <v>1865</v>
      </c>
      <c r="D100" s="3977" t="s">
        <v>1864</v>
      </c>
      <c r="E100" s="3978" t="s">
        <v>1865</v>
      </c>
      <c r="F100" s="3977" t="s">
        <v>1864</v>
      </c>
      <c r="G100" s="3978" t="s">
        <v>1865</v>
      </c>
      <c r="H100" s="3977" t="s">
        <v>1864</v>
      </c>
      <c r="I100" s="3979" t="s">
        <v>1865</v>
      </c>
      <c r="J100" s="3980" t="s">
        <v>1864</v>
      </c>
      <c r="K100" s="3978" t="s">
        <v>1865</v>
      </c>
      <c r="L100" s="3977" t="s">
        <v>1864</v>
      </c>
      <c r="M100" s="3978" t="s">
        <v>1865</v>
      </c>
      <c r="N100" s="3977" t="s">
        <v>1864</v>
      </c>
      <c r="O100" s="3978" t="s">
        <v>1865</v>
      </c>
      <c r="P100" s="3977" t="s">
        <v>1864</v>
      </c>
      <c r="Q100" s="3978" t="s">
        <v>1865</v>
      </c>
      <c r="R100" s="3977" t="s">
        <v>1864</v>
      </c>
      <c r="S100" s="3978" t="s">
        <v>1865</v>
      </c>
      <c r="T100" s="3977" t="s">
        <v>1864</v>
      </c>
      <c r="U100" s="3978" t="s">
        <v>1865</v>
      </c>
      <c r="V100" s="3977" t="s">
        <v>1864</v>
      </c>
      <c r="W100" s="3978" t="s">
        <v>1865</v>
      </c>
      <c r="X100" s="3977" t="s">
        <v>1864</v>
      </c>
      <c r="Y100" s="3978" t="s">
        <v>1865</v>
      </c>
      <c r="Z100" s="3977" t="s">
        <v>1864</v>
      </c>
      <c r="AA100" s="3978" t="s">
        <v>1865</v>
      </c>
      <c r="AB100" s="3977" t="s">
        <v>1864</v>
      </c>
      <c r="AC100" s="3978" t="s">
        <v>1865</v>
      </c>
      <c r="AD100" s="3977" t="s">
        <v>1864</v>
      </c>
      <c r="AE100" s="3978" t="s">
        <v>1865</v>
      </c>
      <c r="AF100" s="3977" t="s">
        <v>1864</v>
      </c>
      <c r="AG100" s="3978" t="s">
        <v>1865</v>
      </c>
      <c r="AH100" s="3977" t="s">
        <v>1864</v>
      </c>
      <c r="AI100" s="3978" t="s">
        <v>1865</v>
      </c>
      <c r="AJ100" s="3977" t="s">
        <v>1864</v>
      </c>
      <c r="AK100" s="3978" t="s">
        <v>1865</v>
      </c>
      <c r="AL100" s="3977" t="s">
        <v>1864</v>
      </c>
      <c r="AM100" s="3978" t="s">
        <v>1865</v>
      </c>
      <c r="AN100" s="3977" t="s">
        <v>1864</v>
      </c>
      <c r="AO100" s="3978" t="s">
        <v>1865</v>
      </c>
      <c r="AP100" s="3977" t="s">
        <v>1864</v>
      </c>
      <c r="AQ100" s="3981" t="s">
        <v>1865</v>
      </c>
      <c r="AR100" s="6626"/>
      <c r="AS100" s="5956"/>
      <c r="AT100" s="1784" t="s">
        <v>462</v>
      </c>
      <c r="AU100" s="1831" t="s">
        <v>463</v>
      </c>
      <c r="AV100" s="6626"/>
      <c r="AW100" s="6687"/>
    </row>
    <row r="101" spans="1:133" x14ac:dyDescent="0.3">
      <c r="A101" s="934" t="s">
        <v>1866</v>
      </c>
      <c r="B101" s="3308">
        <f t="shared" ref="B101:C108" si="264">+N101+P101+R101+T101+V101+X101+Z101+AB101+AD101+AF101+AH101+AJ101+AL101+AN101+AP101</f>
        <v>0</v>
      </c>
      <c r="C101" s="3983">
        <f t="shared" si="264"/>
        <v>0</v>
      </c>
      <c r="D101" s="4001"/>
      <c r="E101" s="3993"/>
      <c r="F101" s="3992"/>
      <c r="G101" s="3993"/>
      <c r="H101" s="3992"/>
      <c r="I101" s="3993"/>
      <c r="J101" s="3992"/>
      <c r="K101" s="3993"/>
      <c r="L101" s="3992"/>
      <c r="M101" s="3994"/>
      <c r="N101" s="3987"/>
      <c r="O101" s="3995"/>
      <c r="P101" s="3996"/>
      <c r="Q101" s="3995"/>
      <c r="R101" s="3996"/>
      <c r="S101" s="3995"/>
      <c r="T101" s="3996"/>
      <c r="U101" s="3995"/>
      <c r="V101" s="3996"/>
      <c r="W101" s="3995"/>
      <c r="X101" s="3996"/>
      <c r="Y101" s="3995"/>
      <c r="Z101" s="3996"/>
      <c r="AA101" s="3995"/>
      <c r="AB101" s="3996"/>
      <c r="AC101" s="3995"/>
      <c r="AD101" s="3996"/>
      <c r="AE101" s="3995"/>
      <c r="AF101" s="3996"/>
      <c r="AG101" s="3995"/>
      <c r="AH101" s="3996"/>
      <c r="AI101" s="3995"/>
      <c r="AJ101" s="3996"/>
      <c r="AK101" s="3995"/>
      <c r="AL101" s="3996"/>
      <c r="AM101" s="3995"/>
      <c r="AN101" s="3996"/>
      <c r="AO101" s="3995"/>
      <c r="AP101" s="3996"/>
      <c r="AQ101" s="3985"/>
      <c r="AR101" s="3984"/>
      <c r="AS101" s="3985"/>
      <c r="AT101" s="3986"/>
      <c r="AU101" s="3985"/>
      <c r="AV101" s="3987"/>
      <c r="AW101" s="3988"/>
      <c r="AX101" s="1898" t="str">
        <f t="shared" ref="AX101:AX108" si="265">$CA101&amp;CB101&amp;CC101&amp;$CD101&amp;CJ101&amp;CK101&amp;CL101&amp;CM101&amp;CN101&amp;CO101&amp;CP101&amp;CQ101&amp;CR101&amp;CS101&amp;CT101&amp;CU101&amp;CV101&amp;CW101&amp;CX101</f>
        <v/>
      </c>
      <c r="CA101" s="1899" t="str">
        <f>IF(B101&lt;&gt;(AS101)," * La suma de las columnas "&amp;AR$10&amp;""&amp;" DEBE SER IGUAL a los Exámenes Procesados. ","")</f>
        <v/>
      </c>
      <c r="CB101" s="1899" t="str">
        <f t="shared" ref="CB101:CB118" si="266">IF(AND($B101&gt;0,AND(AT101="",AU101="")),"* No olvide ingresar las columnas Trans Masculino o Femenino (*Digite CERO si no tiene). ",IF((AT101+AU101)&gt;$B101,"* El Número de Trans Masculino o Femenino no puede superar el Total Procesados. ",""))</f>
        <v/>
      </c>
      <c r="CC101" s="1899" t="str">
        <f t="shared" ref="CC101:CC118" si="267">IF(AND($B101&gt;0,AV101=""),"* No olvide ingresar la columna "&amp;AV$10&amp;""&amp;" *(Digite CERO si no tiene). ",IF(AV101&gt;$B101," *El Número de "&amp;AV$10&amp;""&amp;" no puede superar el Total Procesados. ",""))</f>
        <v/>
      </c>
      <c r="CD101" s="1899" t="str">
        <f t="shared" ref="CD101:CD118" si="268">IF(AND($B101&gt;0,AW101=""),"* No olvide ingresar la columna "&amp;AW$10&amp;""&amp;" *(Digite CERO si no tiene). ",IF(AW101&gt;$B101," *El Número de "&amp;AW$10&amp;""&amp;" no puede superar el Total Procesados. ",""))</f>
        <v/>
      </c>
      <c r="CE101" s="1900"/>
      <c r="CF101" s="1900"/>
      <c r="CG101" s="1900"/>
      <c r="CH101" s="1900"/>
      <c r="CI101" s="1900"/>
      <c r="CJ101" s="1899" t="str">
        <f t="shared" ref="CJ101:CJ109" si="269">IF(N101&lt;O101,CONCATENATE("* El total de Procesados debe ser mayor o igual al total de Reactivos en el grupo de edad ",$N$11),"")</f>
        <v/>
      </c>
      <c r="CK101" s="1899" t="str">
        <f t="shared" ref="CK101:CK109" si="270">IF(P101&lt;Q101,CONCATENATE("* El total de Procesados debe ser mayor o igual al total de Reactivos en el grupo de edad ",$P$11),"")</f>
        <v/>
      </c>
      <c r="CL101" s="1899" t="str">
        <f t="shared" ref="CL101:CL109" si="271">IF(R101&lt;S101,CONCATENATE("* El total de Procesados debe ser mayor o igual al total de Reactivos en el grupo de edad ",$R$11),"")</f>
        <v/>
      </c>
      <c r="CM101" s="1899" t="str">
        <f>IF($T101&lt;$U101,CONCATENATE("* El total de Procesados debe ser mayor o igual al total de Reactivos en el grupo de edad ",$T$11),"")</f>
        <v/>
      </c>
      <c r="CN101" s="1899" t="str">
        <f t="shared" ref="CN101:CN109" si="272">IF(V101&lt;W101,CONCATENATE("* El total de Procesados debe ser mayor o igual al total de Reactivos en el grupo de edad ",$V$11),"")</f>
        <v/>
      </c>
      <c r="CO101" s="1899" t="str">
        <f t="shared" ref="CO101:CO109" si="273">IF(X101&lt;Y101,CONCATENATE("* El total de Procesados debe ser mayor o igual al total de Reactivos en el grupo de edad ",$X$11),"")</f>
        <v/>
      </c>
      <c r="CP101" s="1899" t="str">
        <f t="shared" ref="CP101:CP109" si="274">IF(Z101&lt;AA101,CONCATENATE("* El total de Procesados debe ser mayor o igual al total de Reactivos en el grupo de edad ",$Z$11),"")</f>
        <v/>
      </c>
      <c r="CQ101" s="1899" t="str">
        <f t="shared" ref="CQ101:CQ109" si="275">IF(AB101&lt;AC101,CONCATENATE("* El total de Procesados debe ser mayor o igual al total de Reactivos en el grupo de edad ",$AB$11),"")</f>
        <v/>
      </c>
      <c r="CR101" s="1899" t="str">
        <f t="shared" ref="CR101:CR109" si="276">IF(AD101&lt;AE101,CONCATENATE("* El total de Procesados debe ser mayor o igual al total de Reactivos en el grupo de edad ",$AD$11),"")</f>
        <v/>
      </c>
      <c r="CS101" s="1899" t="str">
        <f t="shared" ref="CS101:CS109" si="277">IF(AF101&lt;AG101,CONCATENATE("* El total de Procesados debe ser mayor o igual al total de Reactivos en el grupo de edad ",$AF$11),"")</f>
        <v/>
      </c>
      <c r="CT101" s="1899" t="str">
        <f t="shared" ref="CT101:CT109" si="278">IF(AH101&lt;AI101,CONCATENATE("* El total de Procesados debe ser mayor o igual al total de Reactivos en el grupo de edad ",$AH$11),"")</f>
        <v/>
      </c>
      <c r="CU101" s="1899" t="str">
        <f t="shared" ref="CU101:CU109" si="279">IF(AJ101&lt;AK101,CONCATENATE("* El total de Procesados debe ser mayor o igual al total de Reactivos en el grupo de edad ",$AJ$11),"")</f>
        <v/>
      </c>
      <c r="CV101" s="1899" t="str">
        <f t="shared" ref="CV101:CV109" si="280">IF(AL101&lt;AM101,CONCATENATE("* El total de Procesados debe ser mayor o igual al total de Reactivos en el grupo de edad ",$AL$11),"")</f>
        <v/>
      </c>
      <c r="CW101" s="1899" t="str">
        <f t="shared" ref="CW101:CW109" si="281">IF(AN101&lt;AO101,CONCATENATE("* El total de Procesados debe ser mayor o igual al total de Reactivos en el grupo de edad ",$AN$11),"")</f>
        <v/>
      </c>
      <c r="CX101" s="1899" t="str">
        <f t="shared" ref="CX101:CX109" si="282">IF(AP101&lt;AQ101,CONCATENATE("* El total de Procesados debe ser mayor o igual al total de Reactivos en el grupo de edad ",$AP$11),"")</f>
        <v/>
      </c>
      <c r="DE101" s="1970"/>
      <c r="DF101" s="4005">
        <f>IF(B101&lt;&gt;(AS101),1,0)</f>
        <v>0</v>
      </c>
      <c r="DG101" s="3989">
        <f t="shared" ref="DG101:DG118" si="283">IF(AND($B101&gt;0,AND(AT101="",AU101="")),1,IF((AT101+AU101)&gt;$B101,1,0))</f>
        <v>0</v>
      </c>
      <c r="DH101" s="3989">
        <f t="shared" ref="DH101:DH118" si="284">IF(AND($B101&gt;0,AV101=""),1,IF(AV101&gt;$B101,1,0))</f>
        <v>0</v>
      </c>
      <c r="DI101" s="3989">
        <f t="shared" ref="DI101:DI118" si="285">IF(AND($B101&gt;0,AW101=""),1,IF(AW101&gt;$B101,1,0))</f>
        <v>0</v>
      </c>
      <c r="DJ101" s="1900"/>
      <c r="DK101" s="1900"/>
      <c r="DL101" s="1900"/>
      <c r="DM101" s="1900"/>
      <c r="DN101" s="1900"/>
      <c r="DO101" s="3989">
        <f t="shared" ref="DO101:DO109" si="286">IF(N101&lt;O101,1,0)</f>
        <v>0</v>
      </c>
      <c r="DP101" s="3989">
        <f t="shared" ref="DP101:DP109" si="287">IF(P101&lt;Q101,1,0)</f>
        <v>0</v>
      </c>
      <c r="DQ101" s="3989">
        <f t="shared" ref="DQ101:DQ109" si="288">IF(R101&lt;S101,1,0)</f>
        <v>0</v>
      </c>
      <c r="DR101" s="3989">
        <f>IF($T101&lt;$U101,1,0)</f>
        <v>0</v>
      </c>
      <c r="DS101" s="3989">
        <f t="shared" ref="DS101:DS109" si="289">IF(V101&lt;W101,1,0)</f>
        <v>0</v>
      </c>
      <c r="DT101" s="3989">
        <f t="shared" ref="DT101:DT109" si="290">IF(X101&lt;Y101,1,0)</f>
        <v>0</v>
      </c>
      <c r="DU101" s="3989">
        <f t="shared" ref="DU101:DU109" si="291">IF(Z101&lt;AA101,1,0)</f>
        <v>0</v>
      </c>
      <c r="DV101" s="3989">
        <f t="shared" ref="DV101:DV118" si="292">IF(AB101&lt;AC101,1,0)</f>
        <v>0</v>
      </c>
      <c r="DW101" s="3989">
        <f t="shared" ref="DW101:DW109" si="293">IF(AD101&lt;AE101,1,0)</f>
        <v>0</v>
      </c>
      <c r="DX101" s="3989">
        <f t="shared" ref="DX101:DX109" si="294">IF(AF101&lt;AG101,1,0)</f>
        <v>0</v>
      </c>
      <c r="DY101" s="3989">
        <f t="shared" ref="DY101:DY109" si="295">IF(AH101&lt;AI101,1,0)</f>
        <v>0</v>
      </c>
      <c r="DZ101" s="3989">
        <f t="shared" ref="DZ101:DZ109" si="296">IF(AJ101&lt;AK101,1,0)</f>
        <v>0</v>
      </c>
      <c r="EA101" s="3989">
        <f t="shared" ref="EA101:EA109" si="297">IF(AL101&lt;AM101,1,0)</f>
        <v>0</v>
      </c>
      <c r="EB101" s="3989">
        <f t="shared" ref="EB101:EB109" si="298">IF(AN101&lt;AO101,1,0)</f>
        <v>0</v>
      </c>
      <c r="EC101" s="3989">
        <f t="shared" ref="EC101:EC109" si="299">IF(AP101&lt;AQ101,1,0)</f>
        <v>0</v>
      </c>
    </row>
    <row r="102" spans="1:133" x14ac:dyDescent="0.3">
      <c r="A102" s="4006" t="s">
        <v>1867</v>
      </c>
      <c r="B102" s="3991">
        <f t="shared" si="264"/>
        <v>0</v>
      </c>
      <c r="C102" s="345">
        <f t="shared" si="264"/>
        <v>0</v>
      </c>
      <c r="D102" s="4001"/>
      <c r="E102" s="3993"/>
      <c r="F102" s="3992"/>
      <c r="G102" s="3993"/>
      <c r="H102" s="3992"/>
      <c r="I102" s="3993"/>
      <c r="J102" s="3992"/>
      <c r="K102" s="3993"/>
      <c r="L102" s="3992"/>
      <c r="M102" s="3994"/>
      <c r="N102" s="3987"/>
      <c r="O102" s="3995"/>
      <c r="P102" s="3996"/>
      <c r="Q102" s="3995"/>
      <c r="R102" s="3996"/>
      <c r="S102" s="3995"/>
      <c r="T102" s="3996"/>
      <c r="U102" s="3995"/>
      <c r="V102" s="3996"/>
      <c r="W102" s="3995"/>
      <c r="X102" s="3996"/>
      <c r="Y102" s="3995"/>
      <c r="Z102" s="3996"/>
      <c r="AA102" s="3995"/>
      <c r="AB102" s="3996"/>
      <c r="AC102" s="3995"/>
      <c r="AD102" s="3996"/>
      <c r="AE102" s="3995"/>
      <c r="AF102" s="3996"/>
      <c r="AG102" s="3995"/>
      <c r="AH102" s="3996"/>
      <c r="AI102" s="3995"/>
      <c r="AJ102" s="3996"/>
      <c r="AK102" s="3995"/>
      <c r="AL102" s="3996"/>
      <c r="AM102" s="3995"/>
      <c r="AN102" s="3996"/>
      <c r="AO102" s="3995"/>
      <c r="AP102" s="3996"/>
      <c r="AQ102" s="3985"/>
      <c r="AR102" s="3984"/>
      <c r="AS102" s="3985"/>
      <c r="AT102" s="3986"/>
      <c r="AU102" s="3985"/>
      <c r="AV102" s="3987"/>
      <c r="AW102" s="3988"/>
      <c r="AX102" s="1898" t="str">
        <f t="shared" si="265"/>
        <v/>
      </c>
      <c r="CA102" s="1899" t="str">
        <f>IF(B102&lt;&gt;(AS102)," * La suma de las columnas "&amp;AR$10&amp;""&amp;" DEBE SER IGUAL a los Exámenes Procesados. ","")</f>
        <v/>
      </c>
      <c r="CB102" s="1899" t="str">
        <f t="shared" si="266"/>
        <v/>
      </c>
      <c r="CC102" s="1899" t="str">
        <f t="shared" si="267"/>
        <v/>
      </c>
      <c r="CD102" s="1899" t="str">
        <f t="shared" si="268"/>
        <v/>
      </c>
      <c r="CE102" s="1900"/>
      <c r="CF102" s="1900"/>
      <c r="CG102" s="1900"/>
      <c r="CH102" s="1900"/>
      <c r="CI102" s="1900"/>
      <c r="CJ102" s="1899" t="str">
        <f t="shared" si="269"/>
        <v/>
      </c>
      <c r="CK102" s="1899" t="str">
        <f t="shared" si="270"/>
        <v/>
      </c>
      <c r="CL102" s="1899" t="str">
        <f t="shared" si="271"/>
        <v/>
      </c>
      <c r="CM102" s="1899" t="str">
        <f t="shared" ref="CM102:CM118" si="300">IF($T102&lt;$U102,CONCATENATE("* El total de Procesados debe ser mayor o igual al total de Reactivos en el grupo de edad ",$T$11),"")</f>
        <v/>
      </c>
      <c r="CN102" s="1899" t="str">
        <f t="shared" si="272"/>
        <v/>
      </c>
      <c r="CO102" s="1899" t="str">
        <f t="shared" si="273"/>
        <v/>
      </c>
      <c r="CP102" s="1899" t="str">
        <f t="shared" si="274"/>
        <v/>
      </c>
      <c r="CQ102" s="1899" t="str">
        <f t="shared" si="275"/>
        <v/>
      </c>
      <c r="CR102" s="1899" t="str">
        <f t="shared" si="276"/>
        <v/>
      </c>
      <c r="CS102" s="1899" t="str">
        <f t="shared" si="277"/>
        <v/>
      </c>
      <c r="CT102" s="1899" t="str">
        <f t="shared" si="278"/>
        <v/>
      </c>
      <c r="CU102" s="1899" t="str">
        <f t="shared" si="279"/>
        <v/>
      </c>
      <c r="CV102" s="1899" t="str">
        <f t="shared" si="280"/>
        <v/>
      </c>
      <c r="CW102" s="1899" t="str">
        <f t="shared" si="281"/>
        <v/>
      </c>
      <c r="CX102" s="1899" t="str">
        <f t="shared" si="282"/>
        <v/>
      </c>
      <c r="DE102" s="1970"/>
      <c r="DF102" s="4005">
        <f>IF(B102&lt;&gt;(AS102),1,0)</f>
        <v>0</v>
      </c>
      <c r="DG102" s="3989">
        <f t="shared" si="283"/>
        <v>0</v>
      </c>
      <c r="DH102" s="3989">
        <f t="shared" si="284"/>
        <v>0</v>
      </c>
      <c r="DI102" s="3989">
        <f t="shared" si="285"/>
        <v>0</v>
      </c>
      <c r="DJ102" s="1900"/>
      <c r="DK102" s="1900"/>
      <c r="DL102" s="1900"/>
      <c r="DM102" s="1900"/>
      <c r="DN102" s="1900"/>
      <c r="DO102" s="3989">
        <f t="shared" si="286"/>
        <v>0</v>
      </c>
      <c r="DP102" s="3989">
        <f t="shared" si="287"/>
        <v>0</v>
      </c>
      <c r="DQ102" s="3989">
        <f t="shared" si="288"/>
        <v>0</v>
      </c>
      <c r="DR102" s="3989">
        <f t="shared" ref="DR102:DR118" si="301">IF($T102&lt;$U102,1,0)</f>
        <v>0</v>
      </c>
      <c r="DS102" s="3989">
        <f t="shared" si="289"/>
        <v>0</v>
      </c>
      <c r="DT102" s="3989">
        <f t="shared" si="290"/>
        <v>0</v>
      </c>
      <c r="DU102" s="3989">
        <f t="shared" si="291"/>
        <v>0</v>
      </c>
      <c r="DV102" s="3989">
        <f t="shared" si="292"/>
        <v>0</v>
      </c>
      <c r="DW102" s="3989">
        <f t="shared" si="293"/>
        <v>0</v>
      </c>
      <c r="DX102" s="3989">
        <f t="shared" si="294"/>
        <v>0</v>
      </c>
      <c r="DY102" s="3989">
        <f t="shared" si="295"/>
        <v>0</v>
      </c>
      <c r="DZ102" s="3989">
        <f t="shared" si="296"/>
        <v>0</v>
      </c>
      <c r="EA102" s="3989">
        <f t="shared" si="297"/>
        <v>0</v>
      </c>
      <c r="EB102" s="3989">
        <f t="shared" si="298"/>
        <v>0</v>
      </c>
      <c r="EC102" s="3989">
        <f t="shared" si="299"/>
        <v>0</v>
      </c>
    </row>
    <row r="103" spans="1:133" x14ac:dyDescent="0.3">
      <c r="A103" s="4006" t="s">
        <v>1868</v>
      </c>
      <c r="B103" s="3991">
        <f t="shared" si="264"/>
        <v>0</v>
      </c>
      <c r="C103" s="345">
        <f t="shared" si="264"/>
        <v>0</v>
      </c>
      <c r="D103" s="4001"/>
      <c r="E103" s="3993"/>
      <c r="F103" s="3992"/>
      <c r="G103" s="3993"/>
      <c r="H103" s="3992"/>
      <c r="I103" s="3993"/>
      <c r="J103" s="3992"/>
      <c r="K103" s="3993"/>
      <c r="L103" s="3992"/>
      <c r="M103" s="3994"/>
      <c r="N103" s="3987"/>
      <c r="O103" s="3995"/>
      <c r="P103" s="3996"/>
      <c r="Q103" s="3995"/>
      <c r="R103" s="3996"/>
      <c r="S103" s="3995"/>
      <c r="T103" s="3996"/>
      <c r="U103" s="3995"/>
      <c r="V103" s="3996"/>
      <c r="W103" s="3995"/>
      <c r="X103" s="3996"/>
      <c r="Y103" s="3995"/>
      <c r="Z103" s="3996"/>
      <c r="AA103" s="3995"/>
      <c r="AB103" s="3996"/>
      <c r="AC103" s="3995"/>
      <c r="AD103" s="3996"/>
      <c r="AE103" s="3995"/>
      <c r="AF103" s="3996"/>
      <c r="AG103" s="3995"/>
      <c r="AH103" s="3996"/>
      <c r="AI103" s="3995"/>
      <c r="AJ103" s="3996"/>
      <c r="AK103" s="3995"/>
      <c r="AL103" s="3996"/>
      <c r="AM103" s="3995"/>
      <c r="AN103" s="3996"/>
      <c r="AO103" s="3995"/>
      <c r="AP103" s="3996"/>
      <c r="AQ103" s="3985"/>
      <c r="AR103" s="3984"/>
      <c r="AS103" s="3985"/>
      <c r="AT103" s="3986"/>
      <c r="AU103" s="3985"/>
      <c r="AV103" s="3987"/>
      <c r="AW103" s="3988"/>
      <c r="AX103" s="1898" t="str">
        <f t="shared" si="265"/>
        <v/>
      </c>
      <c r="CA103" s="1899" t="str">
        <f>IF(B103&lt;&gt;(AS103)," * La suma de las columnas "&amp;AR$10&amp;""&amp;" DEBE SER IGUAL a los Exámenes Procesados. ","")</f>
        <v/>
      </c>
      <c r="CB103" s="1899" t="str">
        <f t="shared" si="266"/>
        <v/>
      </c>
      <c r="CC103" s="1899" t="str">
        <f t="shared" si="267"/>
        <v/>
      </c>
      <c r="CD103" s="1899" t="str">
        <f t="shared" si="268"/>
        <v/>
      </c>
      <c r="CE103" s="1900"/>
      <c r="CF103" s="1900"/>
      <c r="CG103" s="1900"/>
      <c r="CH103" s="1900"/>
      <c r="CI103" s="1900"/>
      <c r="CJ103" s="1899" t="str">
        <f t="shared" si="269"/>
        <v/>
      </c>
      <c r="CK103" s="1899" t="str">
        <f t="shared" si="270"/>
        <v/>
      </c>
      <c r="CL103" s="1899" t="str">
        <f t="shared" si="271"/>
        <v/>
      </c>
      <c r="CM103" s="1899" t="str">
        <f t="shared" si="300"/>
        <v/>
      </c>
      <c r="CN103" s="1899" t="str">
        <f t="shared" si="272"/>
        <v/>
      </c>
      <c r="CO103" s="1899" t="str">
        <f t="shared" si="273"/>
        <v/>
      </c>
      <c r="CP103" s="1899" t="str">
        <f t="shared" si="274"/>
        <v/>
      </c>
      <c r="CQ103" s="1899" t="str">
        <f t="shared" si="275"/>
        <v/>
      </c>
      <c r="CR103" s="1899" t="str">
        <f t="shared" si="276"/>
        <v/>
      </c>
      <c r="CS103" s="1899" t="str">
        <f t="shared" si="277"/>
        <v/>
      </c>
      <c r="CT103" s="1899" t="str">
        <f t="shared" si="278"/>
        <v/>
      </c>
      <c r="CU103" s="1899" t="str">
        <f t="shared" si="279"/>
        <v/>
      </c>
      <c r="CV103" s="1899" t="str">
        <f t="shared" si="280"/>
        <v/>
      </c>
      <c r="CW103" s="1899" t="str">
        <f t="shared" si="281"/>
        <v/>
      </c>
      <c r="CX103" s="1899" t="str">
        <f t="shared" si="282"/>
        <v/>
      </c>
      <c r="DE103" s="1970"/>
      <c r="DF103" s="4005">
        <f>IF(B103&lt;&gt;(AS103),1,0)</f>
        <v>0</v>
      </c>
      <c r="DG103" s="3989">
        <f t="shared" si="283"/>
        <v>0</v>
      </c>
      <c r="DH103" s="3989">
        <f t="shared" si="284"/>
        <v>0</v>
      </c>
      <c r="DI103" s="3989">
        <f t="shared" si="285"/>
        <v>0</v>
      </c>
      <c r="DJ103" s="1900"/>
      <c r="DK103" s="1900"/>
      <c r="DL103" s="1900"/>
      <c r="DM103" s="1900"/>
      <c r="DN103" s="1900"/>
      <c r="DO103" s="3989">
        <f t="shared" si="286"/>
        <v>0</v>
      </c>
      <c r="DP103" s="3989">
        <f t="shared" si="287"/>
        <v>0</v>
      </c>
      <c r="DQ103" s="3989">
        <f t="shared" si="288"/>
        <v>0</v>
      </c>
      <c r="DR103" s="3989">
        <f t="shared" si="301"/>
        <v>0</v>
      </c>
      <c r="DS103" s="3989">
        <f t="shared" si="289"/>
        <v>0</v>
      </c>
      <c r="DT103" s="3989">
        <f t="shared" si="290"/>
        <v>0</v>
      </c>
      <c r="DU103" s="3989">
        <f t="shared" si="291"/>
        <v>0</v>
      </c>
      <c r="DV103" s="3989">
        <f t="shared" si="292"/>
        <v>0</v>
      </c>
      <c r="DW103" s="3989">
        <f t="shared" si="293"/>
        <v>0</v>
      </c>
      <c r="DX103" s="3989">
        <f t="shared" si="294"/>
        <v>0</v>
      </c>
      <c r="DY103" s="3989">
        <f t="shared" si="295"/>
        <v>0</v>
      </c>
      <c r="DZ103" s="3989">
        <f t="shared" si="296"/>
        <v>0</v>
      </c>
      <c r="EA103" s="3989">
        <f t="shared" si="297"/>
        <v>0</v>
      </c>
      <c r="EB103" s="3989">
        <f t="shared" si="298"/>
        <v>0</v>
      </c>
      <c r="EC103" s="3989">
        <f t="shared" si="299"/>
        <v>0</v>
      </c>
    </row>
    <row r="104" spans="1:133" x14ac:dyDescent="0.3">
      <c r="A104" s="4006" t="s">
        <v>1869</v>
      </c>
      <c r="B104" s="3991">
        <f t="shared" si="264"/>
        <v>0</v>
      </c>
      <c r="C104" s="345">
        <f t="shared" si="264"/>
        <v>0</v>
      </c>
      <c r="D104" s="4001"/>
      <c r="E104" s="3993"/>
      <c r="F104" s="3992"/>
      <c r="G104" s="3993"/>
      <c r="H104" s="3992"/>
      <c r="I104" s="3993"/>
      <c r="J104" s="3992"/>
      <c r="K104" s="3993"/>
      <c r="L104" s="3992"/>
      <c r="M104" s="3994"/>
      <c r="N104" s="3987"/>
      <c r="O104" s="3995"/>
      <c r="P104" s="3996"/>
      <c r="Q104" s="3995"/>
      <c r="R104" s="3996"/>
      <c r="S104" s="3995"/>
      <c r="T104" s="3996"/>
      <c r="U104" s="3995"/>
      <c r="V104" s="3996"/>
      <c r="W104" s="3995"/>
      <c r="X104" s="3996"/>
      <c r="Y104" s="3995"/>
      <c r="Z104" s="3996"/>
      <c r="AA104" s="3995"/>
      <c r="AB104" s="3996"/>
      <c r="AC104" s="3995"/>
      <c r="AD104" s="3996"/>
      <c r="AE104" s="3995"/>
      <c r="AF104" s="3996"/>
      <c r="AG104" s="3995"/>
      <c r="AH104" s="3996"/>
      <c r="AI104" s="3995"/>
      <c r="AJ104" s="3996"/>
      <c r="AK104" s="3995"/>
      <c r="AL104" s="3996"/>
      <c r="AM104" s="3995"/>
      <c r="AN104" s="3996"/>
      <c r="AO104" s="3995"/>
      <c r="AP104" s="3996"/>
      <c r="AQ104" s="3985"/>
      <c r="AR104" s="3984"/>
      <c r="AS104" s="3985"/>
      <c r="AT104" s="3986"/>
      <c r="AU104" s="3985"/>
      <c r="AV104" s="3987"/>
      <c r="AW104" s="3988"/>
      <c r="AX104" s="1898" t="str">
        <f t="shared" si="265"/>
        <v/>
      </c>
      <c r="CA104" s="1899" t="str">
        <f>IF(B104&lt;&gt;(AS104)," * La suma de las columnas "&amp;AR$10&amp;""&amp;" DEBE SER IGUAL a los Exámenes Procesados. ","")</f>
        <v/>
      </c>
      <c r="CB104" s="1899" t="str">
        <f t="shared" si="266"/>
        <v/>
      </c>
      <c r="CC104" s="1899" t="str">
        <f t="shared" si="267"/>
        <v/>
      </c>
      <c r="CD104" s="1899" t="str">
        <f t="shared" si="268"/>
        <v/>
      </c>
      <c r="CE104" s="1900"/>
      <c r="CF104" s="1900"/>
      <c r="CG104" s="1900"/>
      <c r="CH104" s="1900"/>
      <c r="CI104" s="1900"/>
      <c r="CJ104" s="1899" t="str">
        <f t="shared" si="269"/>
        <v/>
      </c>
      <c r="CK104" s="1899" t="str">
        <f t="shared" si="270"/>
        <v/>
      </c>
      <c r="CL104" s="1899" t="str">
        <f t="shared" si="271"/>
        <v/>
      </c>
      <c r="CM104" s="1899" t="str">
        <f t="shared" si="300"/>
        <v/>
      </c>
      <c r="CN104" s="1899" t="str">
        <f t="shared" si="272"/>
        <v/>
      </c>
      <c r="CO104" s="1899" t="str">
        <f t="shared" si="273"/>
        <v/>
      </c>
      <c r="CP104" s="1899" t="str">
        <f t="shared" si="274"/>
        <v/>
      </c>
      <c r="CQ104" s="1899" t="str">
        <f t="shared" si="275"/>
        <v/>
      </c>
      <c r="CR104" s="1899" t="str">
        <f t="shared" si="276"/>
        <v/>
      </c>
      <c r="CS104" s="1899" t="str">
        <f t="shared" si="277"/>
        <v/>
      </c>
      <c r="CT104" s="1899" t="str">
        <f t="shared" si="278"/>
        <v/>
      </c>
      <c r="CU104" s="1899" t="str">
        <f t="shared" si="279"/>
        <v/>
      </c>
      <c r="CV104" s="1899" t="str">
        <f t="shared" si="280"/>
        <v/>
      </c>
      <c r="CW104" s="1899" t="str">
        <f t="shared" si="281"/>
        <v/>
      </c>
      <c r="CX104" s="1899" t="str">
        <f t="shared" si="282"/>
        <v/>
      </c>
      <c r="DE104" s="1970"/>
      <c r="DF104" s="4005">
        <f>IF(B104&lt;&gt;(AS104),1,0)</f>
        <v>0</v>
      </c>
      <c r="DG104" s="3989">
        <f t="shared" si="283"/>
        <v>0</v>
      </c>
      <c r="DH104" s="3989">
        <f t="shared" si="284"/>
        <v>0</v>
      </c>
      <c r="DI104" s="3989">
        <f t="shared" si="285"/>
        <v>0</v>
      </c>
      <c r="DJ104" s="1900"/>
      <c r="DK104" s="1900"/>
      <c r="DL104" s="1900"/>
      <c r="DM104" s="1900"/>
      <c r="DN104" s="1900"/>
      <c r="DO104" s="3989">
        <f t="shared" si="286"/>
        <v>0</v>
      </c>
      <c r="DP104" s="3989">
        <f t="shared" si="287"/>
        <v>0</v>
      </c>
      <c r="DQ104" s="3989">
        <f t="shared" si="288"/>
        <v>0</v>
      </c>
      <c r="DR104" s="3989">
        <f t="shared" si="301"/>
        <v>0</v>
      </c>
      <c r="DS104" s="3989">
        <f t="shared" si="289"/>
        <v>0</v>
      </c>
      <c r="DT104" s="3989">
        <f t="shared" si="290"/>
        <v>0</v>
      </c>
      <c r="DU104" s="3989">
        <f t="shared" si="291"/>
        <v>0</v>
      </c>
      <c r="DV104" s="3989">
        <f t="shared" si="292"/>
        <v>0</v>
      </c>
      <c r="DW104" s="3989">
        <f t="shared" si="293"/>
        <v>0</v>
      </c>
      <c r="DX104" s="3989">
        <f t="shared" si="294"/>
        <v>0</v>
      </c>
      <c r="DY104" s="3989">
        <f t="shared" si="295"/>
        <v>0</v>
      </c>
      <c r="DZ104" s="3989">
        <f t="shared" si="296"/>
        <v>0</v>
      </c>
      <c r="EA104" s="3989">
        <f t="shared" si="297"/>
        <v>0</v>
      </c>
      <c r="EB104" s="3989">
        <f t="shared" si="298"/>
        <v>0</v>
      </c>
      <c r="EC104" s="3989">
        <f t="shared" si="299"/>
        <v>0</v>
      </c>
    </row>
    <row r="105" spans="1:133" x14ac:dyDescent="0.3">
      <c r="A105" s="4007" t="s">
        <v>1870</v>
      </c>
      <c r="B105" s="3991">
        <f t="shared" si="264"/>
        <v>0</v>
      </c>
      <c r="C105" s="345">
        <f t="shared" si="264"/>
        <v>0</v>
      </c>
      <c r="D105" s="4001"/>
      <c r="E105" s="3993"/>
      <c r="F105" s="3992"/>
      <c r="G105" s="3993"/>
      <c r="H105" s="3992"/>
      <c r="I105" s="3993"/>
      <c r="J105" s="3992"/>
      <c r="K105" s="3993"/>
      <c r="L105" s="3992"/>
      <c r="M105" s="3994"/>
      <c r="N105" s="3987"/>
      <c r="O105" s="3995"/>
      <c r="P105" s="3996"/>
      <c r="Q105" s="3995"/>
      <c r="R105" s="3996"/>
      <c r="S105" s="3995"/>
      <c r="T105" s="3996"/>
      <c r="U105" s="3995"/>
      <c r="V105" s="3996"/>
      <c r="W105" s="3995"/>
      <c r="X105" s="3996"/>
      <c r="Y105" s="3995"/>
      <c r="Z105" s="3996"/>
      <c r="AA105" s="3995"/>
      <c r="AB105" s="3996"/>
      <c r="AC105" s="3995"/>
      <c r="AD105" s="3996"/>
      <c r="AE105" s="3995"/>
      <c r="AF105" s="3996"/>
      <c r="AG105" s="3995"/>
      <c r="AH105" s="3996"/>
      <c r="AI105" s="3995"/>
      <c r="AJ105" s="3996"/>
      <c r="AK105" s="3995"/>
      <c r="AL105" s="3996"/>
      <c r="AM105" s="3995"/>
      <c r="AN105" s="3996"/>
      <c r="AO105" s="3995"/>
      <c r="AP105" s="3996"/>
      <c r="AQ105" s="3985"/>
      <c r="AR105" s="3984"/>
      <c r="AS105" s="3985"/>
      <c r="AT105" s="3986"/>
      <c r="AU105" s="3985"/>
      <c r="AV105" s="3987"/>
      <c r="AW105" s="3988"/>
      <c r="AX105" s="1898" t="str">
        <f t="shared" si="265"/>
        <v/>
      </c>
      <c r="CA105" s="1899" t="str">
        <f>IF(B105&lt;&gt;(AS105)," * La suma de las columnas "&amp;AR$10&amp;""&amp;" DEBE SER IGUAL a los Exámenes Procesados. ","")</f>
        <v/>
      </c>
      <c r="CB105" s="1899" t="str">
        <f t="shared" si="266"/>
        <v/>
      </c>
      <c r="CC105" s="1899" t="str">
        <f t="shared" si="267"/>
        <v/>
      </c>
      <c r="CD105" s="1899" t="str">
        <f t="shared" si="268"/>
        <v/>
      </c>
      <c r="CE105" s="1900"/>
      <c r="CF105" s="1900"/>
      <c r="CG105" s="1900"/>
      <c r="CH105" s="1900"/>
      <c r="CI105" s="1900"/>
      <c r="CJ105" s="1899" t="str">
        <f t="shared" si="269"/>
        <v/>
      </c>
      <c r="CK105" s="1899" t="str">
        <f t="shared" si="270"/>
        <v/>
      </c>
      <c r="CL105" s="1899" t="str">
        <f t="shared" si="271"/>
        <v/>
      </c>
      <c r="CM105" s="1899" t="str">
        <f t="shared" si="300"/>
        <v/>
      </c>
      <c r="CN105" s="1899" t="str">
        <f t="shared" si="272"/>
        <v/>
      </c>
      <c r="CO105" s="1899" t="str">
        <f t="shared" si="273"/>
        <v/>
      </c>
      <c r="CP105" s="1899" t="str">
        <f t="shared" si="274"/>
        <v/>
      </c>
      <c r="CQ105" s="1899" t="str">
        <f t="shared" si="275"/>
        <v/>
      </c>
      <c r="CR105" s="1899" t="str">
        <f t="shared" si="276"/>
        <v/>
      </c>
      <c r="CS105" s="1899" t="str">
        <f t="shared" si="277"/>
        <v/>
      </c>
      <c r="CT105" s="1899" t="str">
        <f t="shared" si="278"/>
        <v/>
      </c>
      <c r="CU105" s="1899" t="str">
        <f t="shared" si="279"/>
        <v/>
      </c>
      <c r="CV105" s="1899" t="str">
        <f t="shared" si="280"/>
        <v/>
      </c>
      <c r="CW105" s="1899" t="str">
        <f t="shared" si="281"/>
        <v/>
      </c>
      <c r="CX105" s="1899" t="str">
        <f t="shared" si="282"/>
        <v/>
      </c>
      <c r="DE105" s="1970"/>
      <c r="DF105" s="4005">
        <f>IF(B105&lt;&gt;(AS105),1,0)</f>
        <v>0</v>
      </c>
      <c r="DG105" s="3989">
        <f t="shared" si="283"/>
        <v>0</v>
      </c>
      <c r="DH105" s="3989">
        <f t="shared" si="284"/>
        <v>0</v>
      </c>
      <c r="DI105" s="3989">
        <f t="shared" si="285"/>
        <v>0</v>
      </c>
      <c r="DJ105" s="1900"/>
      <c r="DK105" s="1900"/>
      <c r="DL105" s="1900"/>
      <c r="DM105" s="1900"/>
      <c r="DN105" s="1900"/>
      <c r="DO105" s="3989">
        <f t="shared" si="286"/>
        <v>0</v>
      </c>
      <c r="DP105" s="3989">
        <f t="shared" si="287"/>
        <v>0</v>
      </c>
      <c r="DQ105" s="3989">
        <f t="shared" si="288"/>
        <v>0</v>
      </c>
      <c r="DR105" s="3989">
        <f t="shared" si="301"/>
        <v>0</v>
      </c>
      <c r="DS105" s="3989">
        <f t="shared" si="289"/>
        <v>0</v>
      </c>
      <c r="DT105" s="3989">
        <f t="shared" si="290"/>
        <v>0</v>
      </c>
      <c r="DU105" s="3989">
        <f t="shared" si="291"/>
        <v>0</v>
      </c>
      <c r="DV105" s="3989">
        <f t="shared" si="292"/>
        <v>0</v>
      </c>
      <c r="DW105" s="3989">
        <f t="shared" si="293"/>
        <v>0</v>
      </c>
      <c r="DX105" s="3989">
        <f t="shared" si="294"/>
        <v>0</v>
      </c>
      <c r="DY105" s="3989">
        <f t="shared" si="295"/>
        <v>0</v>
      </c>
      <c r="DZ105" s="3989">
        <f t="shared" si="296"/>
        <v>0</v>
      </c>
      <c r="EA105" s="3989">
        <f t="shared" si="297"/>
        <v>0</v>
      </c>
      <c r="EB105" s="3989">
        <f t="shared" si="298"/>
        <v>0</v>
      </c>
      <c r="EC105" s="3989">
        <f t="shared" si="299"/>
        <v>0</v>
      </c>
    </row>
    <row r="106" spans="1:133" x14ac:dyDescent="0.3">
      <c r="A106" s="4007" t="s">
        <v>1871</v>
      </c>
      <c r="B106" s="3991">
        <f t="shared" si="264"/>
        <v>0</v>
      </c>
      <c r="C106" s="345">
        <f t="shared" si="264"/>
        <v>0</v>
      </c>
      <c r="D106" s="4001"/>
      <c r="E106" s="3993"/>
      <c r="F106" s="3992"/>
      <c r="G106" s="3993"/>
      <c r="H106" s="3992"/>
      <c r="I106" s="3993"/>
      <c r="J106" s="3992"/>
      <c r="K106" s="3993"/>
      <c r="L106" s="3992"/>
      <c r="M106" s="3994"/>
      <c r="N106" s="3987"/>
      <c r="O106" s="3995"/>
      <c r="P106" s="3996"/>
      <c r="Q106" s="3995"/>
      <c r="R106" s="3996"/>
      <c r="S106" s="3995"/>
      <c r="T106" s="3996"/>
      <c r="U106" s="3995"/>
      <c r="V106" s="3996"/>
      <c r="W106" s="3995"/>
      <c r="X106" s="3996"/>
      <c r="Y106" s="3995"/>
      <c r="Z106" s="3996"/>
      <c r="AA106" s="3995"/>
      <c r="AB106" s="3996"/>
      <c r="AC106" s="3995"/>
      <c r="AD106" s="3996"/>
      <c r="AE106" s="3995"/>
      <c r="AF106" s="3996"/>
      <c r="AG106" s="3995"/>
      <c r="AH106" s="3996"/>
      <c r="AI106" s="3995"/>
      <c r="AJ106" s="3996"/>
      <c r="AK106" s="3995"/>
      <c r="AL106" s="3996"/>
      <c r="AM106" s="3995"/>
      <c r="AN106" s="3996"/>
      <c r="AO106" s="3995"/>
      <c r="AP106" s="3996"/>
      <c r="AQ106" s="3985"/>
      <c r="AR106" s="3987"/>
      <c r="AS106" s="3985"/>
      <c r="AT106" s="3986"/>
      <c r="AU106" s="3985"/>
      <c r="AV106" s="3987"/>
      <c r="AW106" s="3988"/>
      <c r="AX106" s="1898" t="str">
        <f t="shared" si="265"/>
        <v/>
      </c>
      <c r="CA106" s="1899" t="str">
        <f>IF(B106&lt;&gt;(AS106+AR106)," * La suma de las columnas "&amp;AR$10&amp;""&amp;" DEBE SER IGUAL a los Exámenes Procesados. ","")</f>
        <v/>
      </c>
      <c r="CB106" s="1899" t="str">
        <f t="shared" si="266"/>
        <v/>
      </c>
      <c r="CC106" s="1899" t="str">
        <f t="shared" si="267"/>
        <v/>
      </c>
      <c r="CD106" s="1899" t="str">
        <f t="shared" si="268"/>
        <v/>
      </c>
      <c r="CE106" s="1900"/>
      <c r="CF106" s="1900"/>
      <c r="CG106" s="1900"/>
      <c r="CH106" s="1900"/>
      <c r="CI106" s="1900"/>
      <c r="CJ106" s="1899" t="str">
        <f t="shared" si="269"/>
        <v/>
      </c>
      <c r="CK106" s="1899" t="str">
        <f t="shared" si="270"/>
        <v/>
      </c>
      <c r="CL106" s="1899" t="str">
        <f t="shared" si="271"/>
        <v/>
      </c>
      <c r="CM106" s="1899" t="str">
        <f t="shared" si="300"/>
        <v/>
      </c>
      <c r="CN106" s="1899" t="str">
        <f t="shared" si="272"/>
        <v/>
      </c>
      <c r="CO106" s="1899" t="str">
        <f t="shared" si="273"/>
        <v/>
      </c>
      <c r="CP106" s="1899" t="str">
        <f t="shared" si="274"/>
        <v/>
      </c>
      <c r="CQ106" s="1899" t="str">
        <f t="shared" si="275"/>
        <v/>
      </c>
      <c r="CR106" s="1899" t="str">
        <f t="shared" si="276"/>
        <v/>
      </c>
      <c r="CS106" s="1899" t="str">
        <f t="shared" si="277"/>
        <v/>
      </c>
      <c r="CT106" s="1899" t="str">
        <f t="shared" si="278"/>
        <v/>
      </c>
      <c r="CU106" s="1899" t="str">
        <f t="shared" si="279"/>
        <v/>
      </c>
      <c r="CV106" s="1899" t="str">
        <f t="shared" si="280"/>
        <v/>
      </c>
      <c r="CW106" s="1899" t="str">
        <f t="shared" si="281"/>
        <v/>
      </c>
      <c r="CX106" s="1899" t="str">
        <f t="shared" si="282"/>
        <v/>
      </c>
      <c r="DE106" s="1970"/>
      <c r="DF106" s="4005">
        <f>IF(B106&lt;&gt;(AS106+AR106),1,0)</f>
        <v>0</v>
      </c>
      <c r="DG106" s="3989">
        <f t="shared" si="283"/>
        <v>0</v>
      </c>
      <c r="DH106" s="3989">
        <f t="shared" si="284"/>
        <v>0</v>
      </c>
      <c r="DI106" s="3989">
        <f t="shared" si="285"/>
        <v>0</v>
      </c>
      <c r="DJ106" s="1900"/>
      <c r="DK106" s="1900"/>
      <c r="DL106" s="1900"/>
      <c r="DM106" s="1900"/>
      <c r="DN106" s="1900"/>
      <c r="DO106" s="3989">
        <f t="shared" si="286"/>
        <v>0</v>
      </c>
      <c r="DP106" s="3989">
        <f t="shared" si="287"/>
        <v>0</v>
      </c>
      <c r="DQ106" s="3989">
        <f t="shared" si="288"/>
        <v>0</v>
      </c>
      <c r="DR106" s="3989">
        <f t="shared" si="301"/>
        <v>0</v>
      </c>
      <c r="DS106" s="3989">
        <f t="shared" si="289"/>
        <v>0</v>
      </c>
      <c r="DT106" s="3989">
        <f t="shared" si="290"/>
        <v>0</v>
      </c>
      <c r="DU106" s="3989">
        <f t="shared" si="291"/>
        <v>0</v>
      </c>
      <c r="DV106" s="3989">
        <f t="shared" si="292"/>
        <v>0</v>
      </c>
      <c r="DW106" s="3989">
        <f t="shared" si="293"/>
        <v>0</v>
      </c>
      <c r="DX106" s="3989">
        <f t="shared" si="294"/>
        <v>0</v>
      </c>
      <c r="DY106" s="3989">
        <f t="shared" si="295"/>
        <v>0</v>
      </c>
      <c r="DZ106" s="3989">
        <f t="shared" si="296"/>
        <v>0</v>
      </c>
      <c r="EA106" s="3989">
        <f t="shared" si="297"/>
        <v>0</v>
      </c>
      <c r="EB106" s="3989">
        <f t="shared" si="298"/>
        <v>0</v>
      </c>
      <c r="EC106" s="3989">
        <f t="shared" si="299"/>
        <v>0</v>
      </c>
    </row>
    <row r="107" spans="1:133" x14ac:dyDescent="0.3">
      <c r="A107" s="4007" t="s">
        <v>1872</v>
      </c>
      <c r="B107" s="3991">
        <f t="shared" si="264"/>
        <v>0</v>
      </c>
      <c r="C107" s="345">
        <f t="shared" si="264"/>
        <v>0</v>
      </c>
      <c r="D107" s="4001"/>
      <c r="E107" s="3993"/>
      <c r="F107" s="3992"/>
      <c r="G107" s="3993"/>
      <c r="H107" s="3992"/>
      <c r="I107" s="3993"/>
      <c r="J107" s="3992"/>
      <c r="K107" s="3993"/>
      <c r="L107" s="3992"/>
      <c r="M107" s="3994"/>
      <c r="N107" s="3987"/>
      <c r="O107" s="3995"/>
      <c r="P107" s="3996"/>
      <c r="Q107" s="3995"/>
      <c r="R107" s="3996"/>
      <c r="S107" s="3995"/>
      <c r="T107" s="3996"/>
      <c r="U107" s="3995"/>
      <c r="V107" s="3996"/>
      <c r="W107" s="3995"/>
      <c r="X107" s="3996"/>
      <c r="Y107" s="3995"/>
      <c r="Z107" s="3996"/>
      <c r="AA107" s="3995"/>
      <c r="AB107" s="3996"/>
      <c r="AC107" s="3995"/>
      <c r="AD107" s="3996"/>
      <c r="AE107" s="3995"/>
      <c r="AF107" s="3996"/>
      <c r="AG107" s="3995"/>
      <c r="AH107" s="3996"/>
      <c r="AI107" s="3995"/>
      <c r="AJ107" s="3996"/>
      <c r="AK107" s="3995"/>
      <c r="AL107" s="3996"/>
      <c r="AM107" s="3995"/>
      <c r="AN107" s="3996"/>
      <c r="AO107" s="3995"/>
      <c r="AP107" s="3996"/>
      <c r="AQ107" s="3985"/>
      <c r="AR107" s="3984"/>
      <c r="AS107" s="3985"/>
      <c r="AT107" s="3986"/>
      <c r="AU107" s="3985"/>
      <c r="AV107" s="3987"/>
      <c r="AW107" s="3988"/>
      <c r="AX107" s="1898" t="str">
        <f t="shared" si="265"/>
        <v/>
      </c>
      <c r="CA107" s="1899" t="str">
        <f>IF(B107&lt;&gt;(AS107)," * La suma de las columnas "&amp;AR$10&amp;""&amp;" DEBE SER IGUAL a los Exámenes Procesados. ","")</f>
        <v/>
      </c>
      <c r="CB107" s="1899" t="str">
        <f t="shared" si="266"/>
        <v/>
      </c>
      <c r="CC107" s="1899" t="str">
        <f t="shared" si="267"/>
        <v/>
      </c>
      <c r="CD107" s="1899" t="str">
        <f t="shared" si="268"/>
        <v/>
      </c>
      <c r="CE107" s="1900"/>
      <c r="CF107" s="1900"/>
      <c r="CG107" s="1900"/>
      <c r="CH107" s="1900"/>
      <c r="CI107" s="1900"/>
      <c r="CJ107" s="1899" t="str">
        <f t="shared" si="269"/>
        <v/>
      </c>
      <c r="CK107" s="1899" t="str">
        <f t="shared" si="270"/>
        <v/>
      </c>
      <c r="CL107" s="1899" t="str">
        <f t="shared" si="271"/>
        <v/>
      </c>
      <c r="CM107" s="1899" t="str">
        <f t="shared" si="300"/>
        <v/>
      </c>
      <c r="CN107" s="1899" t="str">
        <f t="shared" si="272"/>
        <v/>
      </c>
      <c r="CO107" s="1899" t="str">
        <f t="shared" si="273"/>
        <v/>
      </c>
      <c r="CP107" s="1899" t="str">
        <f t="shared" si="274"/>
        <v/>
      </c>
      <c r="CQ107" s="1899" t="str">
        <f t="shared" si="275"/>
        <v/>
      </c>
      <c r="CR107" s="1899" t="str">
        <f t="shared" si="276"/>
        <v/>
      </c>
      <c r="CS107" s="1899" t="str">
        <f t="shared" si="277"/>
        <v/>
      </c>
      <c r="CT107" s="1899" t="str">
        <f t="shared" si="278"/>
        <v/>
      </c>
      <c r="CU107" s="1899" t="str">
        <f t="shared" si="279"/>
        <v/>
      </c>
      <c r="CV107" s="1899" t="str">
        <f t="shared" si="280"/>
        <v/>
      </c>
      <c r="CW107" s="1899" t="str">
        <f t="shared" si="281"/>
        <v/>
      </c>
      <c r="CX107" s="1899" t="str">
        <f t="shared" si="282"/>
        <v/>
      </c>
      <c r="DE107" s="1970"/>
      <c r="DF107" s="4005">
        <f>IF(B107&lt;&gt;(AS107),1,0)</f>
        <v>0</v>
      </c>
      <c r="DG107" s="3989">
        <f t="shared" si="283"/>
        <v>0</v>
      </c>
      <c r="DH107" s="3989">
        <f t="shared" si="284"/>
        <v>0</v>
      </c>
      <c r="DI107" s="3989">
        <f t="shared" si="285"/>
        <v>0</v>
      </c>
      <c r="DJ107" s="1900"/>
      <c r="DK107" s="1900"/>
      <c r="DL107" s="1900"/>
      <c r="DM107" s="1900"/>
      <c r="DN107" s="1900"/>
      <c r="DO107" s="3989">
        <f t="shared" si="286"/>
        <v>0</v>
      </c>
      <c r="DP107" s="3989">
        <f t="shared" si="287"/>
        <v>0</v>
      </c>
      <c r="DQ107" s="3989">
        <f t="shared" si="288"/>
        <v>0</v>
      </c>
      <c r="DR107" s="3989">
        <f t="shared" si="301"/>
        <v>0</v>
      </c>
      <c r="DS107" s="3989">
        <f t="shared" si="289"/>
        <v>0</v>
      </c>
      <c r="DT107" s="3989">
        <f t="shared" si="290"/>
        <v>0</v>
      </c>
      <c r="DU107" s="3989">
        <f t="shared" si="291"/>
        <v>0</v>
      </c>
      <c r="DV107" s="3989">
        <f t="shared" si="292"/>
        <v>0</v>
      </c>
      <c r="DW107" s="3989">
        <f t="shared" si="293"/>
        <v>0</v>
      </c>
      <c r="DX107" s="3989">
        <f t="shared" si="294"/>
        <v>0</v>
      </c>
      <c r="DY107" s="3989">
        <f t="shared" si="295"/>
        <v>0</v>
      </c>
      <c r="DZ107" s="3989">
        <f t="shared" si="296"/>
        <v>0</v>
      </c>
      <c r="EA107" s="3989">
        <f t="shared" si="297"/>
        <v>0</v>
      </c>
      <c r="EB107" s="3989">
        <f t="shared" si="298"/>
        <v>0</v>
      </c>
      <c r="EC107" s="3989">
        <f t="shared" si="299"/>
        <v>0</v>
      </c>
    </row>
    <row r="108" spans="1:133" x14ac:dyDescent="0.3">
      <c r="A108" s="4006" t="s">
        <v>1873</v>
      </c>
      <c r="B108" s="3991">
        <f t="shared" si="264"/>
        <v>0</v>
      </c>
      <c r="C108" s="345">
        <f t="shared" si="264"/>
        <v>0</v>
      </c>
      <c r="D108" s="4001"/>
      <c r="E108" s="3993"/>
      <c r="F108" s="3992"/>
      <c r="G108" s="3993"/>
      <c r="H108" s="3992"/>
      <c r="I108" s="3993"/>
      <c r="J108" s="3992"/>
      <c r="K108" s="3993"/>
      <c r="L108" s="3992"/>
      <c r="M108" s="3994"/>
      <c r="N108" s="3987"/>
      <c r="O108" s="3995"/>
      <c r="P108" s="3996"/>
      <c r="Q108" s="3995"/>
      <c r="R108" s="3996"/>
      <c r="S108" s="3995"/>
      <c r="T108" s="3996"/>
      <c r="U108" s="3995"/>
      <c r="V108" s="3996"/>
      <c r="W108" s="3995"/>
      <c r="X108" s="3996"/>
      <c r="Y108" s="3995"/>
      <c r="Z108" s="3996"/>
      <c r="AA108" s="3995"/>
      <c r="AB108" s="3996"/>
      <c r="AC108" s="3995"/>
      <c r="AD108" s="3996"/>
      <c r="AE108" s="3995"/>
      <c r="AF108" s="3996"/>
      <c r="AG108" s="3995"/>
      <c r="AH108" s="3996"/>
      <c r="AI108" s="3995"/>
      <c r="AJ108" s="3996"/>
      <c r="AK108" s="3995"/>
      <c r="AL108" s="3996"/>
      <c r="AM108" s="3995"/>
      <c r="AN108" s="3996"/>
      <c r="AO108" s="3995"/>
      <c r="AP108" s="3996"/>
      <c r="AQ108" s="3985"/>
      <c r="AR108" s="3984"/>
      <c r="AS108" s="3985"/>
      <c r="AT108" s="3986"/>
      <c r="AU108" s="3985"/>
      <c r="AV108" s="3987"/>
      <c r="AW108" s="3988"/>
      <c r="AX108" s="1898" t="str">
        <f t="shared" si="265"/>
        <v/>
      </c>
      <c r="CA108" s="1899" t="str">
        <f>IF(B108&lt;&gt;(AS108)," * La suma de las columnas "&amp;AR$10&amp;""&amp;" DEBE SER IGUAL a los Exámenes Procesados. ","")</f>
        <v/>
      </c>
      <c r="CB108" s="1899" t="str">
        <f t="shared" si="266"/>
        <v/>
      </c>
      <c r="CC108" s="1899" t="str">
        <f t="shared" si="267"/>
        <v/>
      </c>
      <c r="CD108" s="1899" t="str">
        <f t="shared" si="268"/>
        <v/>
      </c>
      <c r="CE108" s="1900"/>
      <c r="CF108" s="1900"/>
      <c r="CG108" s="1900"/>
      <c r="CH108" s="1900"/>
      <c r="CI108" s="1900"/>
      <c r="CJ108" s="1899" t="str">
        <f t="shared" si="269"/>
        <v/>
      </c>
      <c r="CK108" s="1899" t="str">
        <f t="shared" si="270"/>
        <v/>
      </c>
      <c r="CL108" s="1899" t="str">
        <f t="shared" si="271"/>
        <v/>
      </c>
      <c r="CM108" s="1899" t="str">
        <f t="shared" si="300"/>
        <v/>
      </c>
      <c r="CN108" s="1899" t="str">
        <f t="shared" si="272"/>
        <v/>
      </c>
      <c r="CO108" s="1899" t="str">
        <f t="shared" si="273"/>
        <v/>
      </c>
      <c r="CP108" s="1899" t="str">
        <f t="shared" si="274"/>
        <v/>
      </c>
      <c r="CQ108" s="1899" t="str">
        <f t="shared" si="275"/>
        <v/>
      </c>
      <c r="CR108" s="1899" t="str">
        <f t="shared" si="276"/>
        <v/>
      </c>
      <c r="CS108" s="1899" t="str">
        <f t="shared" si="277"/>
        <v/>
      </c>
      <c r="CT108" s="1899" t="str">
        <f t="shared" si="278"/>
        <v/>
      </c>
      <c r="CU108" s="1899" t="str">
        <f t="shared" si="279"/>
        <v/>
      </c>
      <c r="CV108" s="1899" t="str">
        <f t="shared" si="280"/>
        <v/>
      </c>
      <c r="CW108" s="1899" t="str">
        <f t="shared" si="281"/>
        <v/>
      </c>
      <c r="CX108" s="1899" t="str">
        <f t="shared" si="282"/>
        <v/>
      </c>
      <c r="DE108" s="1970"/>
      <c r="DF108" s="4005">
        <f>IF(B108&lt;&gt;(AS108),1,0)</f>
        <v>0</v>
      </c>
      <c r="DG108" s="3989">
        <f t="shared" si="283"/>
        <v>0</v>
      </c>
      <c r="DH108" s="3989">
        <f t="shared" si="284"/>
        <v>0</v>
      </c>
      <c r="DI108" s="3989">
        <f t="shared" si="285"/>
        <v>0</v>
      </c>
      <c r="DJ108" s="1900"/>
      <c r="DK108" s="1900"/>
      <c r="DL108" s="1900"/>
      <c r="DM108" s="1900"/>
      <c r="DN108" s="1900"/>
      <c r="DO108" s="3989">
        <f t="shared" si="286"/>
        <v>0</v>
      </c>
      <c r="DP108" s="3989">
        <f t="shared" si="287"/>
        <v>0</v>
      </c>
      <c r="DQ108" s="3989">
        <f t="shared" si="288"/>
        <v>0</v>
      </c>
      <c r="DR108" s="3989">
        <f t="shared" si="301"/>
        <v>0</v>
      </c>
      <c r="DS108" s="3989">
        <f t="shared" si="289"/>
        <v>0</v>
      </c>
      <c r="DT108" s="3989">
        <f t="shared" si="290"/>
        <v>0</v>
      </c>
      <c r="DU108" s="3989">
        <f t="shared" si="291"/>
        <v>0</v>
      </c>
      <c r="DV108" s="3989">
        <f t="shared" si="292"/>
        <v>0</v>
      </c>
      <c r="DW108" s="3989">
        <f t="shared" si="293"/>
        <v>0</v>
      </c>
      <c r="DX108" s="3989">
        <f t="shared" si="294"/>
        <v>0</v>
      </c>
      <c r="DY108" s="3989">
        <f t="shared" si="295"/>
        <v>0</v>
      </c>
      <c r="DZ108" s="3989">
        <f t="shared" si="296"/>
        <v>0</v>
      </c>
      <c r="EA108" s="3989">
        <f t="shared" si="297"/>
        <v>0</v>
      </c>
      <c r="EB108" s="3989">
        <f t="shared" si="298"/>
        <v>0</v>
      </c>
      <c r="EC108" s="3989">
        <f t="shared" si="299"/>
        <v>0</v>
      </c>
    </row>
    <row r="109" spans="1:133" x14ac:dyDescent="0.3">
      <c r="A109" s="4006" t="s">
        <v>1874</v>
      </c>
      <c r="B109" s="3991">
        <f>+D109+F109+H109+J109+L109+N109+P109+R109+T109+V109+X109+Z109+AB109+AD109+AF109+AH109+AJ109+AL109+AN109+AP109</f>
        <v>0</v>
      </c>
      <c r="C109" s="345">
        <f>+E109+G109+I109+K109+M109+O109+Q109+S109+U109+W109+Y109+AA109+AC109+AE109+AG109+AI109+AK109+AM109+AO109+AQ109</f>
        <v>0</v>
      </c>
      <c r="D109" s="3987"/>
      <c r="E109" s="3995"/>
      <c r="F109" s="3996"/>
      <c r="G109" s="3995"/>
      <c r="H109" s="3996"/>
      <c r="I109" s="3988"/>
      <c r="J109" s="3987"/>
      <c r="K109" s="3987"/>
      <c r="L109" s="3996"/>
      <c r="M109" s="3988"/>
      <c r="N109" s="3987"/>
      <c r="O109" s="3995"/>
      <c r="P109" s="3996"/>
      <c r="Q109" s="3995"/>
      <c r="R109" s="3996"/>
      <c r="S109" s="3995"/>
      <c r="T109" s="3996"/>
      <c r="U109" s="3995"/>
      <c r="V109" s="3996"/>
      <c r="W109" s="3995"/>
      <c r="X109" s="3996"/>
      <c r="Y109" s="3995"/>
      <c r="Z109" s="3996"/>
      <c r="AA109" s="3995"/>
      <c r="AB109" s="3996"/>
      <c r="AC109" s="3995"/>
      <c r="AD109" s="3996"/>
      <c r="AE109" s="3995"/>
      <c r="AF109" s="3996"/>
      <c r="AG109" s="3995"/>
      <c r="AH109" s="3996"/>
      <c r="AI109" s="3995"/>
      <c r="AJ109" s="3996"/>
      <c r="AK109" s="3995"/>
      <c r="AL109" s="3996"/>
      <c r="AM109" s="3995"/>
      <c r="AN109" s="3996"/>
      <c r="AO109" s="3995"/>
      <c r="AP109" s="3996"/>
      <c r="AQ109" s="3985"/>
      <c r="AR109" s="3984"/>
      <c r="AS109" s="3985"/>
      <c r="AT109" s="3986"/>
      <c r="AU109" s="3985"/>
      <c r="AV109" s="3987"/>
      <c r="AW109" s="3988"/>
      <c r="AX109" s="1898" t="str">
        <f>$CA109&amp;CB109&amp;CC109&amp;$CD109&amp;CJ109&amp;CE109&amp;CF109&amp;CG109&amp;CH109&amp;CI109&amp;CK109&amp;CL109&amp;CM109&amp;CN109&amp;CO109&amp;CP109&amp;CQ109&amp;CR109&amp;CS109&amp;CT109&amp;CU109&amp;CV109&amp;CW109&amp;CX109</f>
        <v/>
      </c>
      <c r="CA109" s="1899" t="str">
        <f>IF(B109&lt;&gt;(AS109)," * La suma de las columnas "&amp;AR$10&amp;""&amp;" DEBE SER IGUAL a los Exámenes Procesados. ","")</f>
        <v/>
      </c>
      <c r="CB109" s="1899" t="str">
        <f t="shared" si="266"/>
        <v/>
      </c>
      <c r="CC109" s="1899" t="str">
        <f t="shared" si="267"/>
        <v/>
      </c>
      <c r="CD109" s="1899" t="str">
        <f t="shared" si="268"/>
        <v/>
      </c>
      <c r="CE109" s="1899" t="str">
        <f>IF(D109&lt;E109,CONCATENATE("* El total de Procesados debe ser mayor o igual al total de Reactivos en el grupo de edad ",$D$11),"")</f>
        <v/>
      </c>
      <c r="CF109" s="1899" t="str">
        <f>IF(F109&lt;G109,CONCATENATE("* El total de Procesados debe ser mayor o igual al total de Reactivos en el grupo de edad ",$F$11),"")</f>
        <v/>
      </c>
      <c r="CG109" s="1899" t="str">
        <f>IF(H109&lt;I109,CONCATENATE("* El total de Procesados debe ser mayor o igual al total de Reactivos en el grupo de edad ",$H$11),"")</f>
        <v/>
      </c>
      <c r="CH109" s="1899" t="str">
        <f>IF(J109&lt;K109,CONCATENATE("* El total de Procesados debe ser mayor o igual al total de Reactivos en el grupo de edad ",$J$11),"")</f>
        <v/>
      </c>
      <c r="CI109" s="1899" t="str">
        <f>IF(L109&lt;M109,CONCATENATE("* El total de Procesados debe ser mayor o igual al total de Reactivos en el grupo de edad ",$L$11),"")</f>
        <v/>
      </c>
      <c r="CJ109" s="1899" t="str">
        <f t="shared" si="269"/>
        <v/>
      </c>
      <c r="CK109" s="1899" t="str">
        <f t="shared" si="270"/>
        <v/>
      </c>
      <c r="CL109" s="1899" t="str">
        <f t="shared" si="271"/>
        <v/>
      </c>
      <c r="CM109" s="1899" t="str">
        <f t="shared" si="300"/>
        <v/>
      </c>
      <c r="CN109" s="1899" t="str">
        <f t="shared" si="272"/>
        <v/>
      </c>
      <c r="CO109" s="1899" t="str">
        <f t="shared" si="273"/>
        <v/>
      </c>
      <c r="CP109" s="1899" t="str">
        <f t="shared" si="274"/>
        <v/>
      </c>
      <c r="CQ109" s="1899" t="str">
        <f t="shared" si="275"/>
        <v/>
      </c>
      <c r="CR109" s="1899" t="str">
        <f t="shared" si="276"/>
        <v/>
      </c>
      <c r="CS109" s="1899" t="str">
        <f t="shared" si="277"/>
        <v/>
      </c>
      <c r="CT109" s="1899" t="str">
        <f t="shared" si="278"/>
        <v/>
      </c>
      <c r="CU109" s="1899" t="str">
        <f t="shared" si="279"/>
        <v/>
      </c>
      <c r="CV109" s="1899" t="str">
        <f t="shared" si="280"/>
        <v/>
      </c>
      <c r="CW109" s="1899" t="str">
        <f t="shared" si="281"/>
        <v/>
      </c>
      <c r="CX109" s="1899" t="str">
        <f t="shared" si="282"/>
        <v/>
      </c>
      <c r="DE109" s="1970"/>
      <c r="DF109" s="4005">
        <f>IF(B109&lt;&gt;(AS109),1,0)</f>
        <v>0</v>
      </c>
      <c r="DG109" s="3989">
        <f t="shared" si="283"/>
        <v>0</v>
      </c>
      <c r="DH109" s="3989">
        <f t="shared" si="284"/>
        <v>0</v>
      </c>
      <c r="DI109" s="3989">
        <f t="shared" si="285"/>
        <v>0</v>
      </c>
      <c r="DJ109" s="3989">
        <f>IF(D109&lt;E109,1,0)</f>
        <v>0</v>
      </c>
      <c r="DK109" s="3989">
        <f>IF(F109&lt;G109,1,0)</f>
        <v>0</v>
      </c>
      <c r="DL109" s="3989">
        <f>IF(H109&lt;I109,1,0)</f>
        <v>0</v>
      </c>
      <c r="DM109" s="3989">
        <f>IF(J109&lt;K109,1,0)</f>
        <v>0</v>
      </c>
      <c r="DN109" s="3989">
        <f>IF(L109&lt;M109,1,0)</f>
        <v>0</v>
      </c>
      <c r="DO109" s="3989">
        <f t="shared" si="286"/>
        <v>0</v>
      </c>
      <c r="DP109" s="3989">
        <f t="shared" si="287"/>
        <v>0</v>
      </c>
      <c r="DQ109" s="3989">
        <f t="shared" si="288"/>
        <v>0</v>
      </c>
      <c r="DR109" s="3989">
        <f t="shared" si="301"/>
        <v>0</v>
      </c>
      <c r="DS109" s="3989">
        <f t="shared" si="289"/>
        <v>0</v>
      </c>
      <c r="DT109" s="3989">
        <f t="shared" si="290"/>
        <v>0</v>
      </c>
      <c r="DU109" s="3989">
        <f t="shared" si="291"/>
        <v>0</v>
      </c>
      <c r="DV109" s="3989">
        <f t="shared" si="292"/>
        <v>0</v>
      </c>
      <c r="DW109" s="3989">
        <f t="shared" si="293"/>
        <v>0</v>
      </c>
      <c r="DX109" s="3989">
        <f t="shared" si="294"/>
        <v>0</v>
      </c>
      <c r="DY109" s="3989">
        <f t="shared" si="295"/>
        <v>0</v>
      </c>
      <c r="DZ109" s="3989">
        <f t="shared" si="296"/>
        <v>0</v>
      </c>
      <c r="EA109" s="3989">
        <f t="shared" si="297"/>
        <v>0</v>
      </c>
      <c r="EB109" s="3989">
        <f t="shared" si="298"/>
        <v>0</v>
      </c>
      <c r="EC109" s="3989">
        <f t="shared" si="299"/>
        <v>0</v>
      </c>
    </row>
    <row r="110" spans="1:133" ht="20.399999999999999" x14ac:dyDescent="0.3">
      <c r="A110" s="4007" t="s">
        <v>1875</v>
      </c>
      <c r="B110" s="3991">
        <f>+D110+F110+H110</f>
        <v>0</v>
      </c>
      <c r="C110" s="345">
        <f>+E110+G110+I110</f>
        <v>0</v>
      </c>
      <c r="D110" s="3987"/>
      <c r="E110" s="3995"/>
      <c r="F110" s="3996"/>
      <c r="G110" s="3995"/>
      <c r="H110" s="3996"/>
      <c r="I110" s="3988"/>
      <c r="J110" s="3997"/>
      <c r="K110" s="3998"/>
      <c r="L110" s="3997"/>
      <c r="M110" s="3998"/>
      <c r="N110" s="3997"/>
      <c r="O110" s="3998"/>
      <c r="P110" s="3997"/>
      <c r="Q110" s="3998"/>
      <c r="R110" s="3997"/>
      <c r="S110" s="3998"/>
      <c r="T110" s="3997"/>
      <c r="U110" s="3998"/>
      <c r="V110" s="3997"/>
      <c r="W110" s="3998"/>
      <c r="X110" s="3997"/>
      <c r="Y110" s="3998"/>
      <c r="Z110" s="3997"/>
      <c r="AA110" s="3998"/>
      <c r="AB110" s="3997"/>
      <c r="AC110" s="3998"/>
      <c r="AD110" s="3997"/>
      <c r="AE110" s="3998"/>
      <c r="AF110" s="3997"/>
      <c r="AG110" s="3998"/>
      <c r="AH110" s="3997"/>
      <c r="AI110" s="3998"/>
      <c r="AJ110" s="3997"/>
      <c r="AK110" s="3998"/>
      <c r="AL110" s="3997"/>
      <c r="AM110" s="3998"/>
      <c r="AN110" s="3997"/>
      <c r="AO110" s="3998"/>
      <c r="AP110" s="3997"/>
      <c r="AQ110" s="3999"/>
      <c r="AR110" s="3987"/>
      <c r="AS110" s="3985"/>
      <c r="AT110" s="3986"/>
      <c r="AU110" s="3985"/>
      <c r="AV110" s="3987"/>
      <c r="AW110" s="3988"/>
      <c r="AX110" s="1898" t="str">
        <f>$CA110&amp;CB110&amp;CC110&amp;$CD110&amp;CE110&amp;CF110&amp;CG110</f>
        <v/>
      </c>
      <c r="CA110" s="1899" t="str">
        <f t="shared" ref="CA110:CA118" si="302">IF(B110&lt;&gt;(AS110+AR110)," * La suma de las columnas "&amp;AR$10&amp;""&amp;" DEBE SER IGUAL a los Exámenes Procesados. ","")</f>
        <v/>
      </c>
      <c r="CB110" s="1899" t="str">
        <f t="shared" si="266"/>
        <v/>
      </c>
      <c r="CC110" s="1899" t="str">
        <f t="shared" si="267"/>
        <v/>
      </c>
      <c r="CD110" s="1899" t="str">
        <f t="shared" si="268"/>
        <v/>
      </c>
      <c r="CE110" s="1899" t="str">
        <f>IF(D110&lt;E110,CONCATENATE("* El total de Procesados debe ser mayor o igual al total de Reactivos en el grupo de edad ",$D$11),"")</f>
        <v/>
      </c>
      <c r="CF110" s="1899" t="str">
        <f>IF(F110&lt;G110,CONCATENATE("* El total de Procesados debe ser mayor o igual al total de Reactivos en el grupo de edad ",$F$11),"")</f>
        <v/>
      </c>
      <c r="CG110" s="1899" t="str">
        <f>IF(H110&lt;I110,CONCATENATE("* El total de Procesados debe ser mayor o igual al total de Reactivos en el grupo de edad ",$H$11),"")</f>
        <v/>
      </c>
      <c r="CH110" s="1902"/>
      <c r="CI110" s="1902"/>
      <c r="CJ110" s="4000"/>
      <c r="CK110" s="1902"/>
      <c r="CL110" s="1902"/>
      <c r="CM110" s="1902"/>
      <c r="CN110" s="1902"/>
      <c r="CO110" s="1902"/>
      <c r="CP110" s="1902"/>
      <c r="CQ110" s="1902"/>
      <c r="CR110" s="1902"/>
      <c r="CS110" s="1902"/>
      <c r="CT110" s="1902"/>
      <c r="CU110" s="1902"/>
      <c r="CV110" s="1902"/>
      <c r="CW110" s="1902"/>
      <c r="CX110" s="1902"/>
      <c r="DE110" s="1970"/>
      <c r="DF110" s="4005">
        <f t="shared" ref="DF110:DF118" si="303">IF(B110&lt;&gt;(AS110+AR110),1,0)</f>
        <v>0</v>
      </c>
      <c r="DG110" s="3989">
        <f t="shared" si="283"/>
        <v>0</v>
      </c>
      <c r="DH110" s="3989">
        <f t="shared" si="284"/>
        <v>0</v>
      </c>
      <c r="DI110" s="3989">
        <f t="shared" si="285"/>
        <v>0</v>
      </c>
      <c r="DJ110" s="3989">
        <f>IF(D110&lt;E110,1,0)</f>
        <v>0</v>
      </c>
      <c r="DK110" s="3989">
        <f>IF(F110&lt;G110,1,0)</f>
        <v>0</v>
      </c>
      <c r="DL110" s="3989">
        <f>IF(H110&lt;I110,1,0)</f>
        <v>0</v>
      </c>
      <c r="DM110" s="1902"/>
      <c r="DN110" s="1902"/>
      <c r="DO110" s="1900"/>
      <c r="DP110" s="1900"/>
      <c r="DQ110" s="1900"/>
      <c r="DR110" s="1900"/>
      <c r="DS110" s="1900"/>
      <c r="DT110" s="1900"/>
      <c r="DU110" s="1900"/>
      <c r="DV110" s="1900"/>
      <c r="DW110" s="1900"/>
      <c r="DX110" s="1900"/>
      <c r="DY110" s="1900"/>
      <c r="DZ110" s="1900"/>
      <c r="EA110" s="1900"/>
      <c r="EB110" s="1900"/>
      <c r="EC110" s="1900"/>
    </row>
    <row r="111" spans="1:133" x14ac:dyDescent="0.3">
      <c r="A111" s="4007" t="s">
        <v>1876</v>
      </c>
      <c r="B111" s="3991">
        <f>+P111+R111+T111+V111+X111+Z111+AB111+AD111+AF111+AH111+AJ111+AL111+AN111+AP111</f>
        <v>0</v>
      </c>
      <c r="C111" s="345">
        <f>+Q111+S111+U111+W111+Y111+AA111+AC111+AE111+AG111+AI111+AK111+AM111+AO111+AQ111</f>
        <v>0</v>
      </c>
      <c r="D111" s="4001"/>
      <c r="E111" s="3993"/>
      <c r="F111" s="3992"/>
      <c r="G111" s="3993"/>
      <c r="H111" s="3992"/>
      <c r="I111" s="3993"/>
      <c r="J111" s="3992"/>
      <c r="K111" s="3993"/>
      <c r="L111" s="3992"/>
      <c r="M111" s="3994"/>
      <c r="N111" s="4001"/>
      <c r="O111" s="3993"/>
      <c r="P111" s="3996"/>
      <c r="Q111" s="3995"/>
      <c r="R111" s="3996"/>
      <c r="S111" s="3995"/>
      <c r="T111" s="3996"/>
      <c r="U111" s="3995"/>
      <c r="V111" s="3996"/>
      <c r="W111" s="3995"/>
      <c r="X111" s="3996"/>
      <c r="Y111" s="3995"/>
      <c r="Z111" s="3996"/>
      <c r="AA111" s="3995"/>
      <c r="AB111" s="3996"/>
      <c r="AC111" s="3995"/>
      <c r="AD111" s="3996"/>
      <c r="AE111" s="3995"/>
      <c r="AF111" s="3996"/>
      <c r="AG111" s="3995"/>
      <c r="AH111" s="3996"/>
      <c r="AI111" s="3995"/>
      <c r="AJ111" s="3996"/>
      <c r="AK111" s="3995"/>
      <c r="AL111" s="3996"/>
      <c r="AM111" s="3995"/>
      <c r="AN111" s="3996"/>
      <c r="AO111" s="3995"/>
      <c r="AP111" s="3996"/>
      <c r="AQ111" s="3985"/>
      <c r="AR111" s="3987"/>
      <c r="AS111" s="3985"/>
      <c r="AT111" s="3986"/>
      <c r="AU111" s="3985"/>
      <c r="AV111" s="3987"/>
      <c r="AW111" s="3988"/>
      <c r="AX111" s="1898" t="str">
        <f>$CA111&amp;CB111&amp;CC111&amp;$CD111&amp;CK111&amp;CL111&amp;CM111&amp;CN111&amp;CO111&amp;CP111&amp;CQ111&amp;CR111&amp;CS111&amp;CT111&amp;CU111&amp;CV111&amp;CW111&amp;CX111</f>
        <v/>
      </c>
      <c r="CA111" s="1899" t="str">
        <f t="shared" si="302"/>
        <v/>
      </c>
      <c r="CB111" s="1899" t="str">
        <f t="shared" si="266"/>
        <v/>
      </c>
      <c r="CC111" s="1899" t="str">
        <f t="shared" si="267"/>
        <v/>
      </c>
      <c r="CD111" s="1899" t="str">
        <f t="shared" si="268"/>
        <v/>
      </c>
      <c r="CE111" s="4000"/>
      <c r="CF111" s="4000"/>
      <c r="CG111" s="1902"/>
      <c r="CH111" s="1902"/>
      <c r="CI111" s="1902"/>
      <c r="CJ111" s="4000"/>
      <c r="CK111" s="1899" t="str">
        <f t="shared" ref="CK111:CK118" si="304">IF(P111&lt;Q111,CONCATENATE("* El total de Procesados debe ser mayor o igual al total de Reactivos en el grupo de edad ",$P$11),"")</f>
        <v/>
      </c>
      <c r="CL111" s="1899" t="str">
        <f t="shared" ref="CL111:CL118" si="305">IF(R111&lt;S111,CONCATENATE("* El total de Procesados debe ser mayor o igual al total de Reactivos en el grupo de edad ",$R$11),"")</f>
        <v/>
      </c>
      <c r="CM111" s="1899" t="str">
        <f t="shared" si="300"/>
        <v/>
      </c>
      <c r="CN111" s="1899" t="str">
        <f t="shared" ref="CN111:CN118" si="306">IF(V111&lt;W111,CONCATENATE("* El total de Procesados debe ser mayor o igual al total de Reactivos en el grupo de edad ",$V$11),"")</f>
        <v/>
      </c>
      <c r="CO111" s="1899" t="str">
        <f t="shared" ref="CO111:CO118" si="307">IF(X111&lt;Y111,CONCATENATE("* El total de Procesados debe ser mayor o igual al total de Reactivos en el grupo de edad ",$X$11),"")</f>
        <v/>
      </c>
      <c r="CP111" s="1899" t="str">
        <f t="shared" ref="CP111:CP118" si="308">IF(Z111&lt;AA111,CONCATENATE("* El total de Procesados debe ser mayor o igual al total de Reactivos en el grupo de edad ",$Z$11),"")</f>
        <v/>
      </c>
      <c r="CQ111" s="1899" t="str">
        <f t="shared" ref="CQ111:CQ118" si="309">IF(AB111&lt;AC111,CONCATENATE("* El total de Procesados debe ser mayor o igual al total de Reactivos en el grupo de edad ",$AB$11),"")</f>
        <v/>
      </c>
      <c r="CR111" s="1899" t="str">
        <f t="shared" ref="CR111:CR118" si="310">IF(AD111&lt;AE111,CONCATENATE("* El total de Procesados debe ser mayor o igual al total de Reactivos en el grupo de edad ",$AD$11),"")</f>
        <v/>
      </c>
      <c r="CS111" s="1899" t="str">
        <f t="shared" ref="CS111:CS118" si="311">IF(AF111&lt;AG111,CONCATENATE("* El total de Procesados debe ser mayor o igual al total de Reactivos en el grupo de edad ",$AF$11),"")</f>
        <v/>
      </c>
      <c r="CT111" s="1899" t="str">
        <f t="shared" ref="CT111:CT118" si="312">IF(AH111&lt;AI111,CONCATENATE("* El total de Procesados debe ser mayor o igual al total de Reactivos en el grupo de edad ",$AH$11),"")</f>
        <v/>
      </c>
      <c r="CU111" s="1899" t="str">
        <f>IF(AJ111&lt;AK111,CONCATENATE("* El total de Procesados debe ser mayor o igual al total de Reactivos en el grupo de edad ",$AJ$11),"")</f>
        <v/>
      </c>
      <c r="CV111" s="1899" t="str">
        <f>IF(AL111&lt;AM111,CONCATENATE("* El total de Procesados debe ser mayor o igual al total de Reactivos en el grupo de edad ",$AL$11),"")</f>
        <v/>
      </c>
      <c r="CW111" s="1899" t="str">
        <f>IF(AN111&lt;AO111,CONCATENATE("* El total de Procesados debe ser mayor o igual al total de Reactivos en el grupo de edad ",$AN$11),"")</f>
        <v/>
      </c>
      <c r="CX111" s="1899" t="str">
        <f>IF(AP111&lt;AQ111,CONCATENATE("* El total de Procesados debe ser mayor o igual al total de Reactivos en el grupo de edad ",$AP$11),"")</f>
        <v/>
      </c>
      <c r="DE111" s="1970"/>
      <c r="DF111" s="4005">
        <f t="shared" si="303"/>
        <v>0</v>
      </c>
      <c r="DG111" s="3989">
        <f t="shared" si="283"/>
        <v>0</v>
      </c>
      <c r="DH111" s="3989">
        <f t="shared" si="284"/>
        <v>0</v>
      </c>
      <c r="DI111" s="3989">
        <f t="shared" si="285"/>
        <v>0</v>
      </c>
      <c r="DJ111" s="1902"/>
      <c r="DK111" s="1902"/>
      <c r="DL111" s="1902"/>
      <c r="DM111" s="1902"/>
      <c r="DN111" s="1902"/>
      <c r="DO111" s="1900"/>
      <c r="DP111" s="3989">
        <f t="shared" ref="DP111:DP118" si="313">IF(P111&lt;Q111,1,0)</f>
        <v>0</v>
      </c>
      <c r="DQ111" s="3989">
        <f t="shared" ref="DQ111:DQ118" si="314">IF(R111&lt;S111,1,0)</f>
        <v>0</v>
      </c>
      <c r="DR111" s="3989">
        <f t="shared" si="301"/>
        <v>0</v>
      </c>
      <c r="DS111" s="3989">
        <f t="shared" ref="DS111:DS118" si="315">IF(V111&lt;W111,1,0)</f>
        <v>0</v>
      </c>
      <c r="DT111" s="3989">
        <f t="shared" ref="DT111:DT118" si="316">IF(X111&lt;Y111,1,0)</f>
        <v>0</v>
      </c>
      <c r="DU111" s="3989">
        <f t="shared" ref="DU111:DU118" si="317">IF(Z111&lt;AA111,1,0)</f>
        <v>0</v>
      </c>
      <c r="DV111" s="3989">
        <f t="shared" si="292"/>
        <v>0</v>
      </c>
      <c r="DW111" s="3989">
        <f t="shared" ref="DW111:DW118" si="318">IF(AD111&lt;AE111,1,0)</f>
        <v>0</v>
      </c>
      <c r="DX111" s="3989">
        <f t="shared" ref="DX111:DX118" si="319">IF(AF111&lt;AG111,1,0)</f>
        <v>0</v>
      </c>
      <c r="DY111" s="3989">
        <f t="shared" ref="DY111:DY118" si="320">IF(AH111&lt;AI111,1,0)</f>
        <v>0</v>
      </c>
      <c r="DZ111" s="3989">
        <f>IF(AJ111&lt;AK111,1,0)</f>
        <v>0</v>
      </c>
      <c r="EA111" s="3989">
        <f>IF(AL111&lt;AM111,1,0)</f>
        <v>0</v>
      </c>
      <c r="EB111" s="3989">
        <f>IF(AN111&lt;AO111,1,0)</f>
        <v>0</v>
      </c>
      <c r="EC111" s="3989">
        <f>IF(AP111&lt;AQ111,1,0)</f>
        <v>0</v>
      </c>
    </row>
    <row r="112" spans="1:133" x14ac:dyDescent="0.3">
      <c r="A112" s="4006" t="s">
        <v>1877</v>
      </c>
      <c r="B112" s="3991">
        <f>+N112+P112+R112+T112+V112+X112+Z112+AB112+AD112+AF112+AH112+AJ112+AL112+AN112+AP112</f>
        <v>0</v>
      </c>
      <c r="C112" s="345">
        <f>+O112+Q112+S112+U112+W112+Y112+AA112+AC112+AE112+AG112+AI112+AK112+AM112+AO112+AQ112</f>
        <v>0</v>
      </c>
      <c r="D112" s="3984"/>
      <c r="E112" s="3998"/>
      <c r="F112" s="3997"/>
      <c r="G112" s="3998"/>
      <c r="H112" s="3997"/>
      <c r="I112" s="4002"/>
      <c r="J112" s="3984"/>
      <c r="K112" s="3984"/>
      <c r="L112" s="3997"/>
      <c r="M112" s="4002"/>
      <c r="N112" s="3987"/>
      <c r="O112" s="3995"/>
      <c r="P112" s="3996"/>
      <c r="Q112" s="3995"/>
      <c r="R112" s="3996"/>
      <c r="S112" s="3995"/>
      <c r="T112" s="3996"/>
      <c r="U112" s="3995"/>
      <c r="V112" s="3996"/>
      <c r="W112" s="3995"/>
      <c r="X112" s="3996"/>
      <c r="Y112" s="3995"/>
      <c r="Z112" s="3996"/>
      <c r="AA112" s="3995"/>
      <c r="AB112" s="3996"/>
      <c r="AC112" s="3995"/>
      <c r="AD112" s="3996"/>
      <c r="AE112" s="3995"/>
      <c r="AF112" s="3996"/>
      <c r="AG112" s="3995"/>
      <c r="AH112" s="3996"/>
      <c r="AI112" s="3995"/>
      <c r="AJ112" s="3996"/>
      <c r="AK112" s="3995"/>
      <c r="AL112" s="3996"/>
      <c r="AM112" s="3995"/>
      <c r="AN112" s="3996"/>
      <c r="AO112" s="3995"/>
      <c r="AP112" s="3996"/>
      <c r="AQ112" s="3985"/>
      <c r="AR112" s="3987"/>
      <c r="AS112" s="3985"/>
      <c r="AT112" s="3986"/>
      <c r="AU112" s="3985"/>
      <c r="AV112" s="3987"/>
      <c r="AW112" s="3988"/>
      <c r="AX112" s="1898" t="str">
        <f>$CA112&amp;CB112&amp;CC112&amp;$CD112&amp;CJ112&amp;CK112&amp;CL112&amp;CM112&amp;CN112&amp;CO112&amp;CP112&amp;CQ112&amp;CR112&amp;CS112&amp;CT112&amp;CU112&amp;CV112&amp;CW112&amp;CX112</f>
        <v/>
      </c>
      <c r="CA112" s="1899" t="str">
        <f t="shared" si="302"/>
        <v/>
      </c>
      <c r="CB112" s="1899" t="str">
        <f t="shared" si="266"/>
        <v/>
      </c>
      <c r="CC112" s="1899" t="str">
        <f t="shared" si="267"/>
        <v/>
      </c>
      <c r="CD112" s="1899" t="str">
        <f t="shared" si="268"/>
        <v/>
      </c>
      <c r="CE112" s="4000"/>
      <c r="CF112" s="4000"/>
      <c r="CG112" s="1902"/>
      <c r="CH112" s="1902"/>
      <c r="CI112" s="1902"/>
      <c r="CJ112" s="1899" t="str">
        <f>IF(N112&lt;O112,CONCATENATE("* El total de Procesados debe ser mayor o igual al total de Reactivos en el grupo de edad ",$N$11),"")</f>
        <v/>
      </c>
      <c r="CK112" s="1899" t="str">
        <f t="shared" si="304"/>
        <v/>
      </c>
      <c r="CL112" s="1899" t="str">
        <f t="shared" si="305"/>
        <v/>
      </c>
      <c r="CM112" s="1899" t="str">
        <f t="shared" si="300"/>
        <v/>
      </c>
      <c r="CN112" s="1899" t="str">
        <f t="shared" si="306"/>
        <v/>
      </c>
      <c r="CO112" s="1899" t="str">
        <f t="shared" si="307"/>
        <v/>
      </c>
      <c r="CP112" s="1899" t="str">
        <f t="shared" si="308"/>
        <v/>
      </c>
      <c r="CQ112" s="1899" t="str">
        <f t="shared" si="309"/>
        <v/>
      </c>
      <c r="CR112" s="1899" t="str">
        <f t="shared" si="310"/>
        <v/>
      </c>
      <c r="CS112" s="1899" t="str">
        <f t="shared" si="311"/>
        <v/>
      </c>
      <c r="CT112" s="1899" t="str">
        <f t="shared" si="312"/>
        <v/>
      </c>
      <c r="CU112" s="1899" t="str">
        <f>IF(AJ112&lt;AK112,CONCATENATE("* El total de Procesados debe ser mayor o igual al total de Reactivos en el grupo de edad ",$AJ$11),"")</f>
        <v/>
      </c>
      <c r="CV112" s="1899" t="str">
        <f>IF(AL112&lt;AM112,CONCATENATE("* El total de Procesados debe ser mayor o igual al total de Reactivos en el grupo de edad ",$AL$11),"")</f>
        <v/>
      </c>
      <c r="CW112" s="1899" t="str">
        <f>IF(AN112&lt;AO112,CONCATENATE("* El total de Procesados debe ser mayor o igual al total de Reactivos en el grupo de edad ",$AN$11),"")</f>
        <v/>
      </c>
      <c r="CX112" s="1899" t="str">
        <f>IF(AP112&lt;AQ112,CONCATENATE("* El total de Procesados debe ser mayor o igual al total de Reactivos en el grupo de edad ",$AP$11),"")</f>
        <v/>
      </c>
      <c r="DE112" s="1970"/>
      <c r="DF112" s="4005">
        <f t="shared" si="303"/>
        <v>0</v>
      </c>
      <c r="DG112" s="3989">
        <f t="shared" si="283"/>
        <v>0</v>
      </c>
      <c r="DH112" s="3989">
        <f t="shared" si="284"/>
        <v>0</v>
      </c>
      <c r="DI112" s="3989">
        <f t="shared" si="285"/>
        <v>0</v>
      </c>
      <c r="DJ112" s="1902"/>
      <c r="DK112" s="1902"/>
      <c r="DL112" s="1902"/>
      <c r="DM112" s="1902"/>
      <c r="DN112" s="1902"/>
      <c r="DO112" s="3989">
        <f>IF(N112&lt;O112,1,0)</f>
        <v>0</v>
      </c>
      <c r="DP112" s="3989">
        <f t="shared" si="313"/>
        <v>0</v>
      </c>
      <c r="DQ112" s="3989">
        <f t="shared" si="314"/>
        <v>0</v>
      </c>
      <c r="DR112" s="3989">
        <f t="shared" si="301"/>
        <v>0</v>
      </c>
      <c r="DS112" s="3989">
        <f t="shared" si="315"/>
        <v>0</v>
      </c>
      <c r="DT112" s="3989">
        <f t="shared" si="316"/>
        <v>0</v>
      </c>
      <c r="DU112" s="3989">
        <f t="shared" si="317"/>
        <v>0</v>
      </c>
      <c r="DV112" s="3989">
        <f t="shared" si="292"/>
        <v>0</v>
      </c>
      <c r="DW112" s="3989">
        <f t="shared" si="318"/>
        <v>0</v>
      </c>
      <c r="DX112" s="3989">
        <f t="shared" si="319"/>
        <v>0</v>
      </c>
      <c r="DY112" s="3989">
        <f t="shared" si="320"/>
        <v>0</v>
      </c>
      <c r="DZ112" s="3989">
        <f>IF(AJ112&lt;AK112,1,0)</f>
        <v>0</v>
      </c>
      <c r="EA112" s="3989">
        <f>IF(AL112&lt;AM112,1,0)</f>
        <v>0</v>
      </c>
      <c r="EB112" s="3989">
        <f>IF(AN112&lt;AO112,1,0)</f>
        <v>0</v>
      </c>
      <c r="EC112" s="3989">
        <f>IF(AP112&lt;AQ112,1,0)</f>
        <v>0</v>
      </c>
    </row>
    <row r="113" spans="1:133" x14ac:dyDescent="0.3">
      <c r="A113" s="4006" t="s">
        <v>1878</v>
      </c>
      <c r="B113" s="3991">
        <f>+D113+F113+H113+J113+L113+N113+P113+R113+T113+V113+X113+Z113+AB113+AD113+AF113+AH113+AJ113+AL113+AN113+AP113</f>
        <v>0</v>
      </c>
      <c r="C113" s="345">
        <f>+E113+G113+I113+K113+M113+O113+Q113+S113+U113+W113+Y113+AA113+AC113+AE113+AG113+AI113+AK113+AM113+AO113+AQ113</f>
        <v>0</v>
      </c>
      <c r="D113" s="3987"/>
      <c r="E113" s="3995"/>
      <c r="F113" s="3996"/>
      <c r="G113" s="3995"/>
      <c r="H113" s="3996"/>
      <c r="I113" s="3988"/>
      <c r="J113" s="3987"/>
      <c r="K113" s="3987"/>
      <c r="L113" s="3996"/>
      <c r="M113" s="3988"/>
      <c r="N113" s="3987"/>
      <c r="O113" s="3995"/>
      <c r="P113" s="3996"/>
      <c r="Q113" s="3995"/>
      <c r="R113" s="3996"/>
      <c r="S113" s="3995"/>
      <c r="T113" s="3996"/>
      <c r="U113" s="3995"/>
      <c r="V113" s="3996"/>
      <c r="W113" s="3995"/>
      <c r="X113" s="3996"/>
      <c r="Y113" s="3995"/>
      <c r="Z113" s="3996"/>
      <c r="AA113" s="3995"/>
      <c r="AB113" s="3996"/>
      <c r="AC113" s="3995"/>
      <c r="AD113" s="3996"/>
      <c r="AE113" s="3995"/>
      <c r="AF113" s="3996"/>
      <c r="AG113" s="3995"/>
      <c r="AH113" s="3996"/>
      <c r="AI113" s="3995"/>
      <c r="AJ113" s="3996"/>
      <c r="AK113" s="3995"/>
      <c r="AL113" s="3996"/>
      <c r="AM113" s="3995"/>
      <c r="AN113" s="3996"/>
      <c r="AO113" s="3995"/>
      <c r="AP113" s="3996"/>
      <c r="AQ113" s="3985"/>
      <c r="AR113" s="3987"/>
      <c r="AS113" s="3985"/>
      <c r="AT113" s="3986"/>
      <c r="AU113" s="3985"/>
      <c r="AV113" s="3987"/>
      <c r="AW113" s="3988"/>
      <c r="AX113" s="1898" t="str">
        <f>$CA113&amp;CB113&amp;CC113&amp;$CD113&amp;CE113&amp;CF113&amp;CG113&amp;CH113&amp;CI113&amp;CJ113&amp;CK113&amp;CL113&amp;CM113&amp;CN113&amp;CO113&amp;CP113&amp;CQ113&amp;CR113&amp;CS113&amp;CT113&amp;CU113&amp;CV113&amp;CW113&amp;CX113</f>
        <v/>
      </c>
      <c r="CA113" s="1899" t="str">
        <f t="shared" si="302"/>
        <v/>
      </c>
      <c r="CB113" s="1899" t="str">
        <f t="shared" si="266"/>
        <v/>
      </c>
      <c r="CC113" s="1899" t="str">
        <f t="shared" si="267"/>
        <v/>
      </c>
      <c r="CD113" s="1899" t="str">
        <f t="shared" si="268"/>
        <v/>
      </c>
      <c r="CE113" s="1899" t="str">
        <f>IF(D113&lt;E113,CONCATENATE("* El total de Procesados debe ser mayor o igual al total de Reactivos en el grupo de edad ",$D$11),"")</f>
        <v/>
      </c>
      <c r="CF113" s="1899" t="str">
        <f>IF(F113&lt;G113,CONCATENATE("* El total de Procesados debe ser mayor o igual al total de Reactivos en el grupo de edad ",$F$11),"")</f>
        <v/>
      </c>
      <c r="CG113" s="1899" t="str">
        <f>IF(H113&lt;I113,CONCATENATE("* El total de Procesados debe ser mayor o igual al total de Reactivos en el grupo de edad ",$H$11),"")</f>
        <v/>
      </c>
      <c r="CH113" s="1899" t="str">
        <f>IF(J113&lt;K113,CONCATENATE("* El total de Procesados debe ser mayor o igual al total de Reactivos en el grupo de edad ",$J$11),"")</f>
        <v/>
      </c>
      <c r="CI113" s="1899" t="str">
        <f>IF(L113&lt;M113,CONCATENATE("* El total de Procesados debe ser mayor o igual al total de Reactivos en el grupo de edad ",$L$11),"")</f>
        <v/>
      </c>
      <c r="CJ113" s="1899" t="str">
        <f>IF(N113&lt;O113,CONCATENATE("* El total de Procesados debe ser mayor o igual al total de Reactivos en el grupo de edad ",$N$11),"")</f>
        <v/>
      </c>
      <c r="CK113" s="1899" t="str">
        <f t="shared" si="304"/>
        <v/>
      </c>
      <c r="CL113" s="1899" t="str">
        <f t="shared" si="305"/>
        <v/>
      </c>
      <c r="CM113" s="1899" t="str">
        <f t="shared" si="300"/>
        <v/>
      </c>
      <c r="CN113" s="1899" t="str">
        <f t="shared" si="306"/>
        <v/>
      </c>
      <c r="CO113" s="1899" t="str">
        <f t="shared" si="307"/>
        <v/>
      </c>
      <c r="CP113" s="1899" t="str">
        <f t="shared" si="308"/>
        <v/>
      </c>
      <c r="CQ113" s="1899" t="str">
        <f t="shared" si="309"/>
        <v/>
      </c>
      <c r="CR113" s="1899" t="str">
        <f t="shared" si="310"/>
        <v/>
      </c>
      <c r="CS113" s="1899" t="str">
        <f t="shared" si="311"/>
        <v/>
      </c>
      <c r="CT113" s="1899" t="str">
        <f t="shared" si="312"/>
        <v/>
      </c>
      <c r="CU113" s="1899" t="str">
        <f>IF(AJ113&lt;AK113,CONCATENATE("* El total de Procesados debe ser mayor o igual al total de Reactivos en el grupo de edad ",$AJ$11),"")</f>
        <v/>
      </c>
      <c r="CV113" s="1899" t="str">
        <f>IF(AL113&lt;AM113,CONCATENATE("* El total de Procesados debe ser mayor o igual al total de Reactivos en el grupo de edad ",$AL$11),"")</f>
        <v/>
      </c>
      <c r="CW113" s="1899" t="str">
        <f>IF(AN113&lt;AO113,CONCATENATE("* El total de Procesados debe ser mayor o igual al total de Reactivos en el grupo de edad ",$AN$11),"")</f>
        <v/>
      </c>
      <c r="CX113" s="1899" t="str">
        <f>IF(AP113&lt;AQ113,CONCATENATE("* El total de Procesados debe ser mayor o igual al total de Reactivos en el grupo de edad ",$AP$11),"")</f>
        <v/>
      </c>
      <c r="DE113" s="1970"/>
      <c r="DF113" s="4005">
        <f t="shared" si="303"/>
        <v>0</v>
      </c>
      <c r="DG113" s="3989">
        <f t="shared" si="283"/>
        <v>0</v>
      </c>
      <c r="DH113" s="3989">
        <f t="shared" si="284"/>
        <v>0</v>
      </c>
      <c r="DI113" s="3989">
        <f t="shared" si="285"/>
        <v>0</v>
      </c>
      <c r="DJ113" s="3989">
        <f>IF(D113&lt;E113,1,0)</f>
        <v>0</v>
      </c>
      <c r="DK113" s="3989">
        <f>IF(F113&lt;G113,1,0)</f>
        <v>0</v>
      </c>
      <c r="DL113" s="3989">
        <f>IF(H113&lt;I113,1,0)</f>
        <v>0</v>
      </c>
      <c r="DM113" s="3989">
        <f>IF(J113&lt;K113,1,0)</f>
        <v>0</v>
      </c>
      <c r="DN113" s="3989">
        <f>IF(L113&lt;M113,1,0)</f>
        <v>0</v>
      </c>
      <c r="DO113" s="3989">
        <f>IF(N113&lt;O113,1,0)</f>
        <v>0</v>
      </c>
      <c r="DP113" s="3989">
        <f t="shared" si="313"/>
        <v>0</v>
      </c>
      <c r="DQ113" s="3989">
        <f t="shared" si="314"/>
        <v>0</v>
      </c>
      <c r="DR113" s="3989">
        <f t="shared" si="301"/>
        <v>0</v>
      </c>
      <c r="DS113" s="3989">
        <f t="shared" si="315"/>
        <v>0</v>
      </c>
      <c r="DT113" s="3989">
        <f t="shared" si="316"/>
        <v>0</v>
      </c>
      <c r="DU113" s="3989">
        <f t="shared" si="317"/>
        <v>0</v>
      </c>
      <c r="DV113" s="3989">
        <f t="shared" si="292"/>
        <v>0</v>
      </c>
      <c r="DW113" s="3989">
        <f t="shared" si="318"/>
        <v>0</v>
      </c>
      <c r="DX113" s="3989">
        <f t="shared" si="319"/>
        <v>0</v>
      </c>
      <c r="DY113" s="3989">
        <f t="shared" si="320"/>
        <v>0</v>
      </c>
      <c r="DZ113" s="3989">
        <f>IF(AJ113&lt;AK113,1,0)</f>
        <v>0</v>
      </c>
      <c r="EA113" s="3989">
        <f>IF(AL113&lt;AM113,1,0)</f>
        <v>0</v>
      </c>
      <c r="EB113" s="3989">
        <f>IF(AN113&lt;AO113,1,0)</f>
        <v>0</v>
      </c>
      <c r="EC113" s="3989">
        <f>IF(AP113&lt;AQ113,1,0)</f>
        <v>0</v>
      </c>
    </row>
    <row r="114" spans="1:133" x14ac:dyDescent="0.3">
      <c r="A114" s="3990" t="s">
        <v>1879</v>
      </c>
      <c r="B114" s="3991">
        <f>+P114+R114+T114+V114+X114+Z114+AB114+AD114+AF114+AH114+AJ114+AL114+AN114+AP114</f>
        <v>0</v>
      </c>
      <c r="C114" s="345">
        <f>+Q114+S114+U114+W114+Y114+AA114+AC114+AE114+AG114+AI114+AK114+AM114+AO114+AQ114</f>
        <v>0</v>
      </c>
      <c r="D114" s="4001"/>
      <c r="E114" s="3993"/>
      <c r="F114" s="3992"/>
      <c r="G114" s="3993"/>
      <c r="H114" s="3992"/>
      <c r="I114" s="3993"/>
      <c r="J114" s="3992"/>
      <c r="K114" s="3993"/>
      <c r="L114" s="3992"/>
      <c r="M114" s="3994"/>
      <c r="N114" s="4001"/>
      <c r="O114" s="3993"/>
      <c r="P114" s="3996"/>
      <c r="Q114" s="3995"/>
      <c r="R114" s="3996"/>
      <c r="S114" s="3995"/>
      <c r="T114" s="3996"/>
      <c r="U114" s="3995"/>
      <c r="V114" s="3996"/>
      <c r="W114" s="3995"/>
      <c r="X114" s="3996"/>
      <c r="Y114" s="3995"/>
      <c r="Z114" s="3996"/>
      <c r="AA114" s="3995"/>
      <c r="AB114" s="3996"/>
      <c r="AC114" s="3995"/>
      <c r="AD114" s="3996"/>
      <c r="AE114" s="3995"/>
      <c r="AF114" s="3996"/>
      <c r="AG114" s="3995"/>
      <c r="AH114" s="3996"/>
      <c r="AI114" s="3995"/>
      <c r="AJ114" s="3996"/>
      <c r="AK114" s="3995"/>
      <c r="AL114" s="3996"/>
      <c r="AM114" s="3995"/>
      <c r="AN114" s="3996"/>
      <c r="AO114" s="3995"/>
      <c r="AP114" s="3996"/>
      <c r="AQ114" s="3985"/>
      <c r="AR114" s="3987"/>
      <c r="AS114" s="3985"/>
      <c r="AT114" s="3986"/>
      <c r="AU114" s="3985"/>
      <c r="AV114" s="3987"/>
      <c r="AW114" s="3988"/>
      <c r="AX114" s="1898" t="str">
        <f>$CA114&amp;CB114&amp;CC114&amp;$CD114&amp;CJ114&amp;CK114&amp;CL114&amp;CM114&amp;CN114&amp;CO114&amp;CP114&amp;CQ114&amp;CR114&amp;CS114&amp;CT114&amp;CU114&amp;CV114&amp;CW114&amp;CX114</f>
        <v/>
      </c>
      <c r="CA114" s="1899" t="str">
        <f t="shared" si="302"/>
        <v/>
      </c>
      <c r="CB114" s="1899" t="str">
        <f t="shared" si="266"/>
        <v/>
      </c>
      <c r="CC114" s="1899" t="str">
        <f t="shared" si="267"/>
        <v/>
      </c>
      <c r="CD114" s="1899" t="str">
        <f t="shared" si="268"/>
        <v/>
      </c>
      <c r="CE114" s="4000"/>
      <c r="CF114" s="4000"/>
      <c r="CG114" s="1902"/>
      <c r="CH114" s="1902"/>
      <c r="CI114" s="1902"/>
      <c r="CJ114" s="4000"/>
      <c r="CK114" s="1899" t="str">
        <f t="shared" si="304"/>
        <v/>
      </c>
      <c r="CL114" s="1899" t="str">
        <f t="shared" si="305"/>
        <v/>
      </c>
      <c r="CM114" s="1899" t="str">
        <f t="shared" si="300"/>
        <v/>
      </c>
      <c r="CN114" s="1899" t="str">
        <f t="shared" si="306"/>
        <v/>
      </c>
      <c r="CO114" s="1899" t="str">
        <f t="shared" si="307"/>
        <v/>
      </c>
      <c r="CP114" s="1899" t="str">
        <f t="shared" si="308"/>
        <v/>
      </c>
      <c r="CQ114" s="1899" t="str">
        <f t="shared" si="309"/>
        <v/>
      </c>
      <c r="CR114" s="1899" t="str">
        <f t="shared" si="310"/>
        <v/>
      </c>
      <c r="CS114" s="1899" t="str">
        <f t="shared" si="311"/>
        <v/>
      </c>
      <c r="CT114" s="1899" t="str">
        <f t="shared" si="312"/>
        <v/>
      </c>
      <c r="CU114" s="1899" t="str">
        <f>IF(AJ114&lt;AK114,CONCATENATE("* El total de Procesados debe ser mayor o igual al total de Reactivos en el grupo de edad ",$AJ$11),"")</f>
        <v/>
      </c>
      <c r="CV114" s="1899" t="str">
        <f>IF(AL114&lt;AM114,CONCATENATE("* El total de Procesados debe ser mayor o igual al total de Reactivos en el grupo de edad ",$AL$11),"")</f>
        <v/>
      </c>
      <c r="CW114" s="1899" t="str">
        <f>IF(AN114&lt;AO114,CONCATENATE("* El total de Procesados debe ser mayor o igual al total de Reactivos en el grupo de edad ",$AN$11),"")</f>
        <v/>
      </c>
      <c r="CX114" s="1899" t="str">
        <f>IF(AP114&lt;AQ114,CONCATENATE("* El total de Procesados debe ser mayor o igual al total de Reactivos en el grupo de edad ",$AP$11),"")</f>
        <v/>
      </c>
      <c r="DE114" s="1970"/>
      <c r="DF114" s="4005">
        <f t="shared" si="303"/>
        <v>0</v>
      </c>
      <c r="DG114" s="3989">
        <f t="shared" si="283"/>
        <v>0</v>
      </c>
      <c r="DH114" s="3989">
        <f t="shared" si="284"/>
        <v>0</v>
      </c>
      <c r="DI114" s="3989">
        <f t="shared" si="285"/>
        <v>0</v>
      </c>
      <c r="DJ114" s="1902"/>
      <c r="DK114" s="1902"/>
      <c r="DL114" s="1902"/>
      <c r="DM114" s="1902"/>
      <c r="DN114" s="1902"/>
      <c r="DO114" s="1900"/>
      <c r="DP114" s="3989">
        <f t="shared" si="313"/>
        <v>0</v>
      </c>
      <c r="DQ114" s="3989">
        <f t="shared" si="314"/>
        <v>0</v>
      </c>
      <c r="DR114" s="3989">
        <f t="shared" si="301"/>
        <v>0</v>
      </c>
      <c r="DS114" s="3989">
        <f t="shared" si="315"/>
        <v>0</v>
      </c>
      <c r="DT114" s="3989">
        <f t="shared" si="316"/>
        <v>0</v>
      </c>
      <c r="DU114" s="3989">
        <f t="shared" si="317"/>
        <v>0</v>
      </c>
      <c r="DV114" s="3989">
        <f t="shared" si="292"/>
        <v>0</v>
      </c>
      <c r="DW114" s="3989">
        <f t="shared" si="318"/>
        <v>0</v>
      </c>
      <c r="DX114" s="3989">
        <f t="shared" si="319"/>
        <v>0</v>
      </c>
      <c r="DY114" s="3989">
        <f t="shared" si="320"/>
        <v>0</v>
      </c>
      <c r="DZ114" s="3989">
        <f>IF(AJ114&lt;AK114,1,0)</f>
        <v>0</v>
      </c>
      <c r="EA114" s="3989">
        <f>IF(AL114&lt;AM114,1,0)</f>
        <v>0</v>
      </c>
      <c r="EB114" s="3989">
        <f>IF(AN114&lt;AO114,1,0)</f>
        <v>0</v>
      </c>
      <c r="EC114" s="3989">
        <f>IF(AP114&lt;AQ114,1,0)</f>
        <v>0</v>
      </c>
    </row>
    <row r="115" spans="1:133" x14ac:dyDescent="0.3">
      <c r="A115" s="4006" t="s">
        <v>1880</v>
      </c>
      <c r="B115" s="3991">
        <f>+P115+R115+T115+V115+X115+Z115+AB115+AD115+AF115+AH115</f>
        <v>0</v>
      </c>
      <c r="C115" s="345">
        <f>+Q115+S115+U115+W115+Y115+AA115+AC115+AE115+AG115+AI115</f>
        <v>0</v>
      </c>
      <c r="D115" s="4001"/>
      <c r="E115" s="3993"/>
      <c r="F115" s="3992"/>
      <c r="G115" s="3993"/>
      <c r="H115" s="3992"/>
      <c r="I115" s="3993"/>
      <c r="J115" s="3992"/>
      <c r="K115" s="3993"/>
      <c r="L115" s="3992"/>
      <c r="M115" s="3994"/>
      <c r="N115" s="4001"/>
      <c r="O115" s="3993"/>
      <c r="P115" s="3996"/>
      <c r="Q115" s="3995"/>
      <c r="R115" s="3996"/>
      <c r="S115" s="3995"/>
      <c r="T115" s="3996"/>
      <c r="U115" s="3995"/>
      <c r="V115" s="3996"/>
      <c r="W115" s="3995"/>
      <c r="X115" s="3996"/>
      <c r="Y115" s="3995"/>
      <c r="Z115" s="3996"/>
      <c r="AA115" s="3995"/>
      <c r="AB115" s="3996"/>
      <c r="AC115" s="3995"/>
      <c r="AD115" s="3996"/>
      <c r="AE115" s="3995"/>
      <c r="AF115" s="3996"/>
      <c r="AG115" s="3995"/>
      <c r="AH115" s="3996"/>
      <c r="AI115" s="3995"/>
      <c r="AJ115" s="3992"/>
      <c r="AK115" s="3993"/>
      <c r="AL115" s="3992"/>
      <c r="AM115" s="3993"/>
      <c r="AN115" s="3992"/>
      <c r="AO115" s="3993"/>
      <c r="AP115" s="3992"/>
      <c r="AQ115" s="4003"/>
      <c r="AR115" s="3987"/>
      <c r="AS115" s="3985"/>
      <c r="AT115" s="3986"/>
      <c r="AU115" s="3985"/>
      <c r="AV115" s="3987"/>
      <c r="AW115" s="3988"/>
      <c r="AX115" s="1898" t="str">
        <f>$CA115&amp;CB115&amp;CC115&amp;$CD115&amp;CK115&amp;CL115&amp;CM115&amp;CN115&amp;CO115&amp;CP115&amp;CQ115&amp;CR115&amp;CS115&amp;CT115</f>
        <v/>
      </c>
      <c r="CA115" s="1899" t="str">
        <f t="shared" si="302"/>
        <v/>
      </c>
      <c r="CB115" s="1899" t="str">
        <f t="shared" si="266"/>
        <v/>
      </c>
      <c r="CC115" s="1899" t="str">
        <f t="shared" si="267"/>
        <v/>
      </c>
      <c r="CD115" s="1899" t="str">
        <f t="shared" si="268"/>
        <v/>
      </c>
      <c r="CE115" s="4000"/>
      <c r="CF115" s="4000"/>
      <c r="CG115" s="1902"/>
      <c r="CH115" s="1902"/>
      <c r="CI115" s="1902"/>
      <c r="CJ115" s="4000"/>
      <c r="CK115" s="1899" t="str">
        <f t="shared" si="304"/>
        <v/>
      </c>
      <c r="CL115" s="1899" t="str">
        <f t="shared" si="305"/>
        <v/>
      </c>
      <c r="CM115" s="1899" t="str">
        <f t="shared" si="300"/>
        <v/>
      </c>
      <c r="CN115" s="1899" t="str">
        <f t="shared" si="306"/>
        <v/>
      </c>
      <c r="CO115" s="1899" t="str">
        <f t="shared" si="307"/>
        <v/>
      </c>
      <c r="CP115" s="1899" t="str">
        <f t="shared" si="308"/>
        <v/>
      </c>
      <c r="CQ115" s="1899" t="str">
        <f t="shared" si="309"/>
        <v/>
      </c>
      <c r="CR115" s="1899" t="str">
        <f t="shared" si="310"/>
        <v/>
      </c>
      <c r="CS115" s="1899" t="str">
        <f t="shared" si="311"/>
        <v/>
      </c>
      <c r="CT115" s="1899" t="str">
        <f t="shared" si="312"/>
        <v/>
      </c>
      <c r="CU115" s="1900"/>
      <c r="CV115" s="1900"/>
      <c r="CW115" s="1900"/>
      <c r="CX115" s="1900"/>
      <c r="DE115" s="1970"/>
      <c r="DF115" s="4005">
        <f t="shared" si="303"/>
        <v>0</v>
      </c>
      <c r="DG115" s="3989">
        <f t="shared" si="283"/>
        <v>0</v>
      </c>
      <c r="DH115" s="3989">
        <f t="shared" si="284"/>
        <v>0</v>
      </c>
      <c r="DI115" s="3989">
        <f t="shared" si="285"/>
        <v>0</v>
      </c>
      <c r="DJ115" s="1902"/>
      <c r="DK115" s="1902"/>
      <c r="DL115" s="1902"/>
      <c r="DM115" s="1902"/>
      <c r="DN115" s="1902"/>
      <c r="DO115" s="1900"/>
      <c r="DP115" s="3989">
        <f t="shared" si="313"/>
        <v>0</v>
      </c>
      <c r="DQ115" s="3989">
        <f t="shared" si="314"/>
        <v>0</v>
      </c>
      <c r="DR115" s="3989">
        <f t="shared" si="301"/>
        <v>0</v>
      </c>
      <c r="DS115" s="3989">
        <f t="shared" si="315"/>
        <v>0</v>
      </c>
      <c r="DT115" s="3989">
        <f t="shared" si="316"/>
        <v>0</v>
      </c>
      <c r="DU115" s="3989">
        <f t="shared" si="317"/>
        <v>0</v>
      </c>
      <c r="DV115" s="3989">
        <f t="shared" si="292"/>
        <v>0</v>
      </c>
      <c r="DW115" s="3989">
        <f t="shared" si="318"/>
        <v>0</v>
      </c>
      <c r="DX115" s="3989">
        <f t="shared" si="319"/>
        <v>0</v>
      </c>
      <c r="DY115" s="3989">
        <f t="shared" si="320"/>
        <v>0</v>
      </c>
      <c r="DZ115" s="1900"/>
      <c r="EA115" s="1900"/>
      <c r="EB115" s="1900"/>
      <c r="EC115" s="1900"/>
    </row>
    <row r="116" spans="1:133" x14ac:dyDescent="0.3">
      <c r="A116" s="4006" t="s">
        <v>1881</v>
      </c>
      <c r="B116" s="3991">
        <f t="shared" ref="B116:C118" si="321">+D116+F116+H116+J116+L116+N116+P116+R116+T116+V116+X116+Z116+AB116+AD116+AF116+AH116+AJ116+AL116+AN116+AP116</f>
        <v>0</v>
      </c>
      <c r="C116" s="345">
        <f t="shared" si="321"/>
        <v>0</v>
      </c>
      <c r="D116" s="3987"/>
      <c r="E116" s="3995"/>
      <c r="F116" s="3996"/>
      <c r="G116" s="3995"/>
      <c r="H116" s="3996"/>
      <c r="I116" s="3988"/>
      <c r="J116" s="3987"/>
      <c r="K116" s="3987"/>
      <c r="L116" s="3996"/>
      <c r="M116" s="3988"/>
      <c r="N116" s="3987"/>
      <c r="O116" s="3995"/>
      <c r="P116" s="3996"/>
      <c r="Q116" s="3995"/>
      <c r="R116" s="3996"/>
      <c r="S116" s="3995"/>
      <c r="T116" s="3996"/>
      <c r="U116" s="3995"/>
      <c r="V116" s="3996"/>
      <c r="W116" s="3995"/>
      <c r="X116" s="3996"/>
      <c r="Y116" s="3995"/>
      <c r="Z116" s="3996"/>
      <c r="AA116" s="3995"/>
      <c r="AB116" s="3996"/>
      <c r="AC116" s="3995"/>
      <c r="AD116" s="3996"/>
      <c r="AE116" s="3995"/>
      <c r="AF116" s="3996"/>
      <c r="AG116" s="3995"/>
      <c r="AH116" s="3996"/>
      <c r="AI116" s="3995"/>
      <c r="AJ116" s="3996"/>
      <c r="AK116" s="3995"/>
      <c r="AL116" s="3996"/>
      <c r="AM116" s="3995"/>
      <c r="AN116" s="3996"/>
      <c r="AO116" s="3995"/>
      <c r="AP116" s="3996"/>
      <c r="AQ116" s="3985"/>
      <c r="AR116" s="3987"/>
      <c r="AS116" s="3985"/>
      <c r="AT116" s="3986"/>
      <c r="AU116" s="3985"/>
      <c r="AV116" s="3987"/>
      <c r="AW116" s="3988"/>
      <c r="AX116" s="1898" t="str">
        <f>$CA116&amp;CB116&amp;CC116&amp;$CD116&amp;CJ116&amp;CK116&amp;CL116&amp;CM116&amp;CN116&amp;CO116&amp;CP116&amp;CQ116&amp;CR116&amp;CS116&amp;CT116&amp;CU116&amp;CV116&amp;CW116&amp;CX116&amp;CE116&amp;CF116&amp;CG116&amp;CH116&amp;CI116</f>
        <v/>
      </c>
      <c r="CA116" s="1899" t="str">
        <f t="shared" si="302"/>
        <v/>
      </c>
      <c r="CB116" s="1899" t="str">
        <f t="shared" si="266"/>
        <v/>
      </c>
      <c r="CC116" s="1899" t="str">
        <f t="shared" si="267"/>
        <v/>
      </c>
      <c r="CD116" s="1899" t="str">
        <f t="shared" si="268"/>
        <v/>
      </c>
      <c r="CE116" s="1899" t="str">
        <f>IF(D116&lt;E116,CONCATENATE("* El total de Procesados debe ser mayor o igual al total de Reactivos en el grupo de edad ",$D$11),"")</f>
        <v/>
      </c>
      <c r="CF116" s="1899" t="str">
        <f>IF(F116&lt;G116,CONCATENATE("* El total de Procesados debe ser mayor o igual al total de Reactivos en el grupo de edad ",$F$11),"")</f>
        <v/>
      </c>
      <c r="CG116" s="1899" t="str">
        <f>IF(H116&lt;I116,CONCATENATE("* El total de Procesados debe ser mayor o igual al total de Reactivos en el grupo de edad ",$H$11),"")</f>
        <v/>
      </c>
      <c r="CH116" s="1899" t="str">
        <f>IF(J116&lt;K116,CONCATENATE("* El total de Procesados debe ser mayor o igual al total de Reactivos en el grupo de edad ",$J$11),"")</f>
        <v/>
      </c>
      <c r="CI116" s="1899" t="str">
        <f>IF(L116&lt;M116,CONCATENATE("* El total de Procesados debe ser mayor o igual al total de Reactivos en el grupo de edad ",$L$11),"")</f>
        <v/>
      </c>
      <c r="CJ116" s="1899" t="str">
        <f>IF(N116&lt;O116,CONCATENATE("* El total de Procesados debe ser mayor o igual al total de Reactivos en el grupo de edad ",$N$11),"")</f>
        <v/>
      </c>
      <c r="CK116" s="1899" t="str">
        <f t="shared" si="304"/>
        <v/>
      </c>
      <c r="CL116" s="1899" t="str">
        <f t="shared" si="305"/>
        <v/>
      </c>
      <c r="CM116" s="1899" t="str">
        <f t="shared" si="300"/>
        <v/>
      </c>
      <c r="CN116" s="1899" t="str">
        <f t="shared" si="306"/>
        <v/>
      </c>
      <c r="CO116" s="1899" t="str">
        <f t="shared" si="307"/>
        <v/>
      </c>
      <c r="CP116" s="1899" t="str">
        <f t="shared" si="308"/>
        <v/>
      </c>
      <c r="CQ116" s="1899" t="str">
        <f t="shared" si="309"/>
        <v/>
      </c>
      <c r="CR116" s="1899" t="str">
        <f t="shared" si="310"/>
        <v/>
      </c>
      <c r="CS116" s="1899" t="str">
        <f t="shared" si="311"/>
        <v/>
      </c>
      <c r="CT116" s="1899" t="str">
        <f t="shared" si="312"/>
        <v/>
      </c>
      <c r="CU116" s="1899" t="str">
        <f>IF(AJ116&lt;AK116,CONCATENATE("* El total de Procesados debe ser mayor o igual al total de Reactivos en el grupo de edad ",$AJ$11),"")</f>
        <v/>
      </c>
      <c r="CV116" s="1899" t="str">
        <f>IF(AL116&lt;AM116,CONCATENATE("* El total de Procesados debe ser mayor o igual al total de Reactivos en el grupo de edad ",$AL$11),"")</f>
        <v/>
      </c>
      <c r="CW116" s="1899" t="str">
        <f>IF(AN116&lt;AO116,CONCATENATE("* El total de Procesados debe ser mayor o igual al total de Reactivos en el grupo de edad ",$AN$11),"")</f>
        <v/>
      </c>
      <c r="CX116" s="1899" t="str">
        <f>IF(AP116&lt;AQ116,CONCATENATE("* El total de Procesados debe ser mayor o igual al total de Reactivos en el grupo de edad ",$AP$11),"")</f>
        <v/>
      </c>
      <c r="DE116" s="1970"/>
      <c r="DF116" s="4005">
        <f t="shared" si="303"/>
        <v>0</v>
      </c>
      <c r="DG116" s="3989">
        <f t="shared" si="283"/>
        <v>0</v>
      </c>
      <c r="DH116" s="3989">
        <f t="shared" si="284"/>
        <v>0</v>
      </c>
      <c r="DI116" s="3989">
        <f t="shared" si="285"/>
        <v>0</v>
      </c>
      <c r="DJ116" s="3989">
        <f>IF(D116&lt;E116,1,0)</f>
        <v>0</v>
      </c>
      <c r="DK116" s="3989">
        <f>IF(F116&lt;G116,1,0)</f>
        <v>0</v>
      </c>
      <c r="DL116" s="3989">
        <f>IF(H116&lt;I116,1,0)</f>
        <v>0</v>
      </c>
      <c r="DM116" s="3989">
        <f>IF(J116&lt;K116,1,0)</f>
        <v>0</v>
      </c>
      <c r="DN116" s="3989">
        <f>IF(L116&lt;M116,1,0)</f>
        <v>0</v>
      </c>
      <c r="DO116" s="3989">
        <f>IF(N116&lt;O116,1,0)</f>
        <v>0</v>
      </c>
      <c r="DP116" s="3989">
        <f t="shared" si="313"/>
        <v>0</v>
      </c>
      <c r="DQ116" s="3989">
        <f t="shared" si="314"/>
        <v>0</v>
      </c>
      <c r="DR116" s="3989">
        <f t="shared" si="301"/>
        <v>0</v>
      </c>
      <c r="DS116" s="3989">
        <f t="shared" si="315"/>
        <v>0</v>
      </c>
      <c r="DT116" s="3989">
        <f t="shared" si="316"/>
        <v>0</v>
      </c>
      <c r="DU116" s="3989">
        <f t="shared" si="317"/>
        <v>0</v>
      </c>
      <c r="DV116" s="3989">
        <f t="shared" si="292"/>
        <v>0</v>
      </c>
      <c r="DW116" s="3989">
        <f t="shared" si="318"/>
        <v>0</v>
      </c>
      <c r="DX116" s="3989">
        <f t="shared" si="319"/>
        <v>0</v>
      </c>
      <c r="DY116" s="3989">
        <f t="shared" si="320"/>
        <v>0</v>
      </c>
      <c r="DZ116" s="3989">
        <f>IF(AJ116&lt;AK116,1,0)</f>
        <v>0</v>
      </c>
      <c r="EA116" s="3989">
        <f>IF(AL116&lt;AM116,1,0)</f>
        <v>0</v>
      </c>
      <c r="EB116" s="3989">
        <f>IF(AN116&lt;AO116,1,0)</f>
        <v>0</v>
      </c>
      <c r="EC116" s="3989">
        <f>IF(AP116&lt;AQ116,1,0)</f>
        <v>0</v>
      </c>
    </row>
    <row r="117" spans="1:133" x14ac:dyDescent="0.3">
      <c r="A117" s="4006" t="s">
        <v>1882</v>
      </c>
      <c r="B117" s="3991">
        <f t="shared" si="321"/>
        <v>0</v>
      </c>
      <c r="C117" s="345">
        <f t="shared" si="321"/>
        <v>0</v>
      </c>
      <c r="D117" s="3987"/>
      <c r="E117" s="3995"/>
      <c r="F117" s="3996"/>
      <c r="G117" s="3995"/>
      <c r="H117" s="3996"/>
      <c r="I117" s="3988"/>
      <c r="J117" s="3987"/>
      <c r="K117" s="3987"/>
      <c r="L117" s="3996"/>
      <c r="M117" s="3988"/>
      <c r="N117" s="3987"/>
      <c r="O117" s="3995"/>
      <c r="P117" s="3996"/>
      <c r="Q117" s="3995"/>
      <c r="R117" s="3996"/>
      <c r="S117" s="3995"/>
      <c r="T117" s="3996"/>
      <c r="U117" s="3995"/>
      <c r="V117" s="3996"/>
      <c r="W117" s="3995"/>
      <c r="X117" s="3996"/>
      <c r="Y117" s="3995"/>
      <c r="Z117" s="3996"/>
      <c r="AA117" s="3995"/>
      <c r="AB117" s="3996"/>
      <c r="AC117" s="3995"/>
      <c r="AD117" s="3996"/>
      <c r="AE117" s="3995"/>
      <c r="AF117" s="3996"/>
      <c r="AG117" s="3995"/>
      <c r="AH117" s="3996"/>
      <c r="AI117" s="3995"/>
      <c r="AJ117" s="3996"/>
      <c r="AK117" s="3995"/>
      <c r="AL117" s="3996"/>
      <c r="AM117" s="3995"/>
      <c r="AN117" s="3996"/>
      <c r="AO117" s="3995"/>
      <c r="AP117" s="3996"/>
      <c r="AQ117" s="3985"/>
      <c r="AR117" s="3987"/>
      <c r="AS117" s="3985"/>
      <c r="AT117" s="3986"/>
      <c r="AU117" s="3985"/>
      <c r="AV117" s="3987"/>
      <c r="AW117" s="3988"/>
      <c r="AX117" s="1898" t="str">
        <f>$CA117&amp;CB117&amp;CC117&amp;$CD117&amp;CJ117&amp;CK117&amp;CL117&amp;CM117&amp;CN117&amp;CO117&amp;CP117&amp;CQ117&amp;CR117&amp;CS117&amp;CT117&amp;CU117&amp;CV117&amp;CW117&amp;CX117&amp;CE117&amp;CF117&amp;CG117&amp;CH117&amp;CI117</f>
        <v/>
      </c>
      <c r="CA117" s="1899" t="str">
        <f t="shared" si="302"/>
        <v/>
      </c>
      <c r="CB117" s="1899" t="str">
        <f t="shared" si="266"/>
        <v/>
      </c>
      <c r="CC117" s="1899" t="str">
        <f t="shared" si="267"/>
        <v/>
      </c>
      <c r="CD117" s="1899" t="str">
        <f t="shared" si="268"/>
        <v/>
      </c>
      <c r="CE117" s="1899" t="str">
        <f>IF(D117&lt;E117,CONCATENATE("* El total de Procesados debe ser mayor o igual al total de Reactivos en el grupo de edad ",$D$11),"")</f>
        <v/>
      </c>
      <c r="CF117" s="1899" t="str">
        <f>IF(F117&lt;G117,CONCATENATE("* El total de Procesados debe ser mayor o igual al total de Reactivos en el grupo de edad ",$F$11),"")</f>
        <v/>
      </c>
      <c r="CG117" s="1899" t="str">
        <f>IF(H117&lt;I117,CONCATENATE("* El total de Procesados debe ser mayor o igual al total de Reactivos en el grupo de edad ",$H$11),"")</f>
        <v/>
      </c>
      <c r="CH117" s="1899" t="str">
        <f>IF(J117&lt;K117,CONCATENATE("* El total de Procesados debe ser mayor o igual al total de Reactivos en el grupo de edad ",$J$11),"")</f>
        <v/>
      </c>
      <c r="CI117" s="1899" t="str">
        <f>IF(L117&lt;M117,CONCATENATE("* El total de Procesados debe ser mayor o igual al total de Reactivos en el grupo de edad ",$L$11),"")</f>
        <v/>
      </c>
      <c r="CJ117" s="1899" t="str">
        <f>IF(N117&lt;O117,CONCATENATE("* El total de Procesados debe ser mayor o igual al total de Reactivos en el grupo de edad ",$N$11),"")</f>
        <v/>
      </c>
      <c r="CK117" s="1899" t="str">
        <f t="shared" si="304"/>
        <v/>
      </c>
      <c r="CL117" s="1899" t="str">
        <f t="shared" si="305"/>
        <v/>
      </c>
      <c r="CM117" s="1899" t="str">
        <f t="shared" si="300"/>
        <v/>
      </c>
      <c r="CN117" s="1899" t="str">
        <f t="shared" si="306"/>
        <v/>
      </c>
      <c r="CO117" s="1899" t="str">
        <f t="shared" si="307"/>
        <v/>
      </c>
      <c r="CP117" s="1899" t="str">
        <f t="shared" si="308"/>
        <v/>
      </c>
      <c r="CQ117" s="1899" t="str">
        <f t="shared" si="309"/>
        <v/>
      </c>
      <c r="CR117" s="1899" t="str">
        <f t="shared" si="310"/>
        <v/>
      </c>
      <c r="CS117" s="1899" t="str">
        <f t="shared" si="311"/>
        <v/>
      </c>
      <c r="CT117" s="1899" t="str">
        <f t="shared" si="312"/>
        <v/>
      </c>
      <c r="CU117" s="1899" t="str">
        <f>IF(AJ117&lt;AK117,CONCATENATE("* El total de Procesados debe ser mayor o igual al total de Reactivos en el grupo de edad ",$AJ$11),"")</f>
        <v/>
      </c>
      <c r="CV117" s="1899" t="str">
        <f>IF(AL117&lt;AM117,CONCATENATE("* El total de Procesados debe ser mayor o igual al total de Reactivos en el grupo de edad ",$AL$11),"")</f>
        <v/>
      </c>
      <c r="CW117" s="1899" t="str">
        <f>IF(AN117&lt;AO117,CONCATENATE("* El total de Procesados debe ser mayor o igual al total de Reactivos en el grupo de edad ",$AN$11),"")</f>
        <v/>
      </c>
      <c r="CX117" s="1899" t="str">
        <f>IF(AP117&lt;AQ117,CONCATENATE("* El total de Procesados debe ser mayor o igual al total de Reactivos en el grupo de edad ",$AP$11),"")</f>
        <v/>
      </c>
      <c r="DE117" s="1970"/>
      <c r="DF117" s="4005">
        <f t="shared" si="303"/>
        <v>0</v>
      </c>
      <c r="DG117" s="3989">
        <f t="shared" si="283"/>
        <v>0</v>
      </c>
      <c r="DH117" s="3989">
        <f t="shared" si="284"/>
        <v>0</v>
      </c>
      <c r="DI117" s="3989">
        <f t="shared" si="285"/>
        <v>0</v>
      </c>
      <c r="DJ117" s="3989">
        <f>IF(D117&lt;E117,1,0)</f>
        <v>0</v>
      </c>
      <c r="DK117" s="3989">
        <f>IF(F117&lt;G117,1,0)</f>
        <v>0</v>
      </c>
      <c r="DL117" s="3989">
        <f>IF(H117&lt;I117,1,0)</f>
        <v>0</v>
      </c>
      <c r="DM117" s="3989">
        <f>IF(J117&lt;K117,1,0)</f>
        <v>0</v>
      </c>
      <c r="DN117" s="3989">
        <f>IF(L117&lt;M117,1,0)</f>
        <v>0</v>
      </c>
      <c r="DO117" s="3989">
        <f>IF(N117&lt;O117,1,0)</f>
        <v>0</v>
      </c>
      <c r="DP117" s="3989">
        <f t="shared" si="313"/>
        <v>0</v>
      </c>
      <c r="DQ117" s="3989">
        <f t="shared" si="314"/>
        <v>0</v>
      </c>
      <c r="DR117" s="3989">
        <f t="shared" si="301"/>
        <v>0</v>
      </c>
      <c r="DS117" s="3989">
        <f t="shared" si="315"/>
        <v>0</v>
      </c>
      <c r="DT117" s="3989">
        <f t="shared" si="316"/>
        <v>0</v>
      </c>
      <c r="DU117" s="3989">
        <f t="shared" si="317"/>
        <v>0</v>
      </c>
      <c r="DV117" s="3989">
        <f t="shared" si="292"/>
        <v>0</v>
      </c>
      <c r="DW117" s="3989">
        <f t="shared" si="318"/>
        <v>0</v>
      </c>
      <c r="DX117" s="3989">
        <f t="shared" si="319"/>
        <v>0</v>
      </c>
      <c r="DY117" s="3989">
        <f t="shared" si="320"/>
        <v>0</v>
      </c>
      <c r="DZ117" s="3989">
        <f>IF(AJ117&lt;AK117,1,0)</f>
        <v>0</v>
      </c>
      <c r="EA117" s="3989">
        <f>IF(AL117&lt;AM117,1,0)</f>
        <v>0</v>
      </c>
      <c r="EB117" s="3989">
        <f>IF(AN117&lt;AO117,1,0)</f>
        <v>0</v>
      </c>
      <c r="EC117" s="3989">
        <f>IF(AP117&lt;AQ117,1,0)</f>
        <v>0</v>
      </c>
    </row>
    <row r="118" spans="1:133" x14ac:dyDescent="0.3">
      <c r="A118" s="1027" t="s">
        <v>1883</v>
      </c>
      <c r="B118" s="1083">
        <f t="shared" si="321"/>
        <v>0</v>
      </c>
      <c r="C118" s="3429">
        <f t="shared" si="321"/>
        <v>0</v>
      </c>
      <c r="D118" s="1911"/>
      <c r="E118" s="1907"/>
      <c r="F118" s="876"/>
      <c r="G118" s="1907"/>
      <c r="H118" s="876"/>
      <c r="I118" s="2009"/>
      <c r="J118" s="1911"/>
      <c r="K118" s="1911"/>
      <c r="L118" s="876"/>
      <c r="M118" s="2009"/>
      <c r="N118" s="1911"/>
      <c r="O118" s="1907"/>
      <c r="P118" s="876"/>
      <c r="Q118" s="1907"/>
      <c r="R118" s="876"/>
      <c r="S118" s="1907"/>
      <c r="T118" s="876"/>
      <c r="U118" s="1907"/>
      <c r="V118" s="876"/>
      <c r="W118" s="1907"/>
      <c r="X118" s="876"/>
      <c r="Y118" s="1907"/>
      <c r="Z118" s="876"/>
      <c r="AA118" s="1907"/>
      <c r="AB118" s="876"/>
      <c r="AC118" s="1907"/>
      <c r="AD118" s="876"/>
      <c r="AE118" s="1907"/>
      <c r="AF118" s="876"/>
      <c r="AG118" s="1907"/>
      <c r="AH118" s="876"/>
      <c r="AI118" s="1907"/>
      <c r="AJ118" s="876"/>
      <c r="AK118" s="1907"/>
      <c r="AL118" s="876"/>
      <c r="AM118" s="1907"/>
      <c r="AN118" s="876"/>
      <c r="AO118" s="1907"/>
      <c r="AP118" s="876"/>
      <c r="AQ118" s="1953"/>
      <c r="AR118" s="1911"/>
      <c r="AS118" s="1953"/>
      <c r="AT118" s="1913"/>
      <c r="AU118" s="1953"/>
      <c r="AV118" s="1911"/>
      <c r="AW118" s="2009"/>
      <c r="AX118" s="1898" t="str">
        <f>$CA118&amp;CB118&amp;CC118&amp;$CD118&amp;CJ118&amp;CK118&amp;CL118&amp;CM118&amp;CN118&amp;CO118&amp;CP118&amp;CQ118&amp;CR118&amp;CS118&amp;CT118&amp;CU118&amp;CV118&amp;CW118&amp;CX118&amp;CE118&amp;CF118&amp;CG118&amp;CH118&amp;CI118</f>
        <v/>
      </c>
      <c r="CA118" s="1899" t="str">
        <f t="shared" si="302"/>
        <v/>
      </c>
      <c r="CB118" s="1899" t="str">
        <f t="shared" si="266"/>
        <v/>
      </c>
      <c r="CC118" s="1899" t="str">
        <f t="shared" si="267"/>
        <v/>
      </c>
      <c r="CD118" s="1899" t="str">
        <f t="shared" si="268"/>
        <v/>
      </c>
      <c r="CE118" s="1899" t="str">
        <f>IF(D118&lt;E118,CONCATENATE("* El total de Procesados debe ser mayor o igual al total de Reactivos en el grupo de edad ",$D$11),"")</f>
        <v/>
      </c>
      <c r="CF118" s="1899" t="str">
        <f>IF(F118&lt;G118,CONCATENATE("* El total de Procesados debe ser mayor o igual al total de Reactivos en el grupo de edad ",$F$11),"")</f>
        <v/>
      </c>
      <c r="CG118" s="1899" t="str">
        <f>IF(H118&lt;I118,CONCATENATE("* El total de Procesados debe ser mayor o igual al total de Reactivos en el grupo de edad ",$H$11),"")</f>
        <v/>
      </c>
      <c r="CH118" s="1899" t="str">
        <f>IF(J118&lt;K118,CONCATENATE("* El total de Procesados debe ser mayor o igual al total de Reactivos en el grupo de edad ",$J$11),"")</f>
        <v/>
      </c>
      <c r="CI118" s="1899" t="str">
        <f>IF(L118&lt;M118,CONCATENATE("* El total de Procesados debe ser mayor o igual al total de Reactivos en el grupo de edad ",$L$11),"")</f>
        <v/>
      </c>
      <c r="CJ118" s="1899" t="str">
        <f>IF(N118&lt;O118,CONCATENATE("* El total de Procesados debe ser mayor o igual al total de Reactivos en el grupo de edad ",$N$11),"")</f>
        <v/>
      </c>
      <c r="CK118" s="1899" t="str">
        <f t="shared" si="304"/>
        <v/>
      </c>
      <c r="CL118" s="1899" t="str">
        <f t="shared" si="305"/>
        <v/>
      </c>
      <c r="CM118" s="1899" t="str">
        <f t="shared" si="300"/>
        <v/>
      </c>
      <c r="CN118" s="1899" t="str">
        <f t="shared" si="306"/>
        <v/>
      </c>
      <c r="CO118" s="1899" t="str">
        <f t="shared" si="307"/>
        <v/>
      </c>
      <c r="CP118" s="1899" t="str">
        <f t="shared" si="308"/>
        <v/>
      </c>
      <c r="CQ118" s="1899" t="str">
        <f t="shared" si="309"/>
        <v/>
      </c>
      <c r="CR118" s="1899" t="str">
        <f t="shared" si="310"/>
        <v/>
      </c>
      <c r="CS118" s="1899" t="str">
        <f t="shared" si="311"/>
        <v/>
      </c>
      <c r="CT118" s="1899" t="str">
        <f t="shared" si="312"/>
        <v/>
      </c>
      <c r="CU118" s="1899" t="str">
        <f>IF(AJ118&lt;AK118,CONCATENATE("* El total de Procesados debe ser mayor o igual al total de Reactivos en el grupo de edad ",$AJ$11),"")</f>
        <v/>
      </c>
      <c r="CV118" s="1899" t="str">
        <f>IF(AL118&lt;AM118,CONCATENATE("* El total de Procesados debe ser mayor o igual al total de Reactivos en el grupo de edad ",$AL$11),"")</f>
        <v/>
      </c>
      <c r="CW118" s="1899" t="str">
        <f>IF(AN118&lt;AO118,CONCATENATE("* El total de Procesados debe ser mayor o igual al total de Reactivos en el grupo de edad ",$AN$11),"")</f>
        <v/>
      </c>
      <c r="CX118" s="1899" t="str">
        <f>IF(AP118&lt;AQ118,CONCATENATE("* El total de Procesados debe ser mayor o igual al total de Reactivos en el grupo de edad ",$AP$11),"")</f>
        <v/>
      </c>
      <c r="DE118" s="1970"/>
      <c r="DF118" s="4005">
        <f t="shared" si="303"/>
        <v>0</v>
      </c>
      <c r="DG118" s="3989">
        <f t="shared" si="283"/>
        <v>0</v>
      </c>
      <c r="DH118" s="3989">
        <f t="shared" si="284"/>
        <v>0</v>
      </c>
      <c r="DI118" s="3989">
        <f t="shared" si="285"/>
        <v>0</v>
      </c>
      <c r="DJ118" s="3989">
        <f>IF(D118&lt;E118,1,0)</f>
        <v>0</v>
      </c>
      <c r="DK118" s="3989">
        <f>IF(F118&lt;G118,1,0)</f>
        <v>0</v>
      </c>
      <c r="DL118" s="3989">
        <f>IF(H118&lt;I118,1,0)</f>
        <v>0</v>
      </c>
      <c r="DM118" s="3989">
        <f>IF(J118&lt;K118,1,0)</f>
        <v>0</v>
      </c>
      <c r="DN118" s="3989">
        <f>IF(L118&lt;M118,1,0)</f>
        <v>0</v>
      </c>
      <c r="DO118" s="3989">
        <f>IF(N118&lt;O118,1,0)</f>
        <v>0</v>
      </c>
      <c r="DP118" s="3989">
        <f t="shared" si="313"/>
        <v>0</v>
      </c>
      <c r="DQ118" s="3989">
        <f t="shared" si="314"/>
        <v>0</v>
      </c>
      <c r="DR118" s="3989">
        <f t="shared" si="301"/>
        <v>0</v>
      </c>
      <c r="DS118" s="3989">
        <f t="shared" si="315"/>
        <v>0</v>
      </c>
      <c r="DT118" s="3989">
        <f t="shared" si="316"/>
        <v>0</v>
      </c>
      <c r="DU118" s="3989">
        <f t="shared" si="317"/>
        <v>0</v>
      </c>
      <c r="DV118" s="3989">
        <f t="shared" si="292"/>
        <v>0</v>
      </c>
      <c r="DW118" s="3989">
        <f t="shared" si="318"/>
        <v>0</v>
      </c>
      <c r="DX118" s="3989">
        <f t="shared" si="319"/>
        <v>0</v>
      </c>
      <c r="DY118" s="3989">
        <f t="shared" si="320"/>
        <v>0</v>
      </c>
      <c r="DZ118" s="3989">
        <f>IF(AJ118&lt;AK118,1,0)</f>
        <v>0</v>
      </c>
      <c r="EA118" s="3989">
        <f>IF(AL118&lt;AM118,1,0)</f>
        <v>0</v>
      </c>
      <c r="EB118" s="3989">
        <f>IF(AN118&lt;AO118,1,0)</f>
        <v>0</v>
      </c>
      <c r="EC118" s="3989">
        <f>IF(AP118&lt;AQ118,1,0)</f>
        <v>0</v>
      </c>
    </row>
    <row r="119" spans="1:133" ht="18" customHeight="1" x14ac:dyDescent="0.3">
      <c r="A119" s="4004" t="s">
        <v>1890</v>
      </c>
      <c r="B119" s="4004"/>
      <c r="C119" s="4004"/>
      <c r="D119" s="4004"/>
      <c r="E119" s="4004"/>
      <c r="F119" s="4004"/>
      <c r="G119" s="4004"/>
      <c r="H119" s="4004"/>
      <c r="I119" s="4004"/>
      <c r="J119" s="4004"/>
      <c r="K119" s="4004"/>
      <c r="L119" s="4004"/>
      <c r="M119" s="4004"/>
      <c r="N119" s="4004"/>
      <c r="O119" s="4004"/>
      <c r="P119" s="4004"/>
      <c r="Q119" s="4004"/>
      <c r="R119" s="4004"/>
      <c r="S119" s="4004"/>
      <c r="T119" s="4004"/>
      <c r="U119" s="4004"/>
      <c r="V119" s="4004"/>
      <c r="W119" s="4004"/>
      <c r="X119" s="4004"/>
      <c r="Y119" s="4004"/>
      <c r="Z119" s="4004"/>
      <c r="AA119" s="4004"/>
      <c r="AB119" s="4004"/>
      <c r="AC119" s="4004"/>
      <c r="AD119" s="4004"/>
      <c r="AE119" s="4004"/>
      <c r="AF119" s="4004"/>
      <c r="AG119" s="4004"/>
      <c r="AH119" s="4004"/>
      <c r="AI119" s="4004"/>
      <c r="AJ119" s="4004"/>
      <c r="AK119" s="4004"/>
      <c r="AL119" s="4004"/>
      <c r="AM119" s="4004"/>
      <c r="AN119" s="4004"/>
      <c r="AO119" s="4004"/>
      <c r="AP119" s="4004"/>
      <c r="AQ119" s="4004"/>
      <c r="AR119" s="1971"/>
      <c r="AS119" s="1971"/>
      <c r="AT119" s="1971"/>
      <c r="AU119" s="1971"/>
      <c r="AV119" s="1971"/>
      <c r="AW119" s="1971"/>
      <c r="AX119" s="1898"/>
    </row>
    <row r="120" spans="1:133" x14ac:dyDescent="0.3">
      <c r="A120" s="6837" t="s">
        <v>1860</v>
      </c>
      <c r="B120" s="6223" t="s">
        <v>77</v>
      </c>
      <c r="C120" s="6308"/>
      <c r="D120" s="6839" t="s">
        <v>29</v>
      </c>
      <c r="E120" s="6840"/>
      <c r="F120" s="6840"/>
      <c r="G120" s="6840"/>
      <c r="H120" s="6840"/>
      <c r="I120" s="6840"/>
      <c r="J120" s="6840"/>
      <c r="K120" s="6840"/>
      <c r="L120" s="6840"/>
      <c r="M120" s="6840"/>
      <c r="N120" s="6840"/>
      <c r="O120" s="6840"/>
      <c r="P120" s="6840"/>
      <c r="Q120" s="6840"/>
      <c r="R120" s="6840"/>
      <c r="S120" s="6840"/>
      <c r="T120" s="6840"/>
      <c r="U120" s="6840"/>
      <c r="V120" s="6840"/>
      <c r="W120" s="6840"/>
      <c r="X120" s="6840"/>
      <c r="Y120" s="6840"/>
      <c r="Z120" s="6840"/>
      <c r="AA120" s="6840"/>
      <c r="AB120" s="6840"/>
      <c r="AC120" s="6840"/>
      <c r="AD120" s="6840"/>
      <c r="AE120" s="6840"/>
      <c r="AF120" s="6840"/>
      <c r="AG120" s="6840"/>
      <c r="AH120" s="6840"/>
      <c r="AI120" s="6840"/>
      <c r="AJ120" s="6840"/>
      <c r="AK120" s="6840"/>
      <c r="AL120" s="6840"/>
      <c r="AM120" s="6840"/>
      <c r="AN120" s="6840"/>
      <c r="AO120" s="6840"/>
      <c r="AP120" s="6840"/>
      <c r="AQ120" s="6841"/>
      <c r="AR120" s="6842" t="s">
        <v>1861</v>
      </c>
      <c r="AS120" s="6843"/>
      <c r="AT120" s="6844" t="s">
        <v>457</v>
      </c>
      <c r="AU120" s="6845"/>
      <c r="AV120" s="6224" t="s">
        <v>36</v>
      </c>
      <c r="AW120" s="6243" t="s">
        <v>37</v>
      </c>
    </row>
    <row r="121" spans="1:133" x14ac:dyDescent="0.3">
      <c r="A121" s="5755"/>
      <c r="B121" s="6481"/>
      <c r="C121" s="6645"/>
      <c r="D121" s="6848" t="s">
        <v>1862</v>
      </c>
      <c r="E121" s="6842"/>
      <c r="F121" s="6848" t="s">
        <v>935</v>
      </c>
      <c r="G121" s="6842"/>
      <c r="H121" s="6848" t="s">
        <v>1863</v>
      </c>
      <c r="I121" s="6849"/>
      <c r="J121" s="6842" t="s">
        <v>937</v>
      </c>
      <c r="K121" s="6842"/>
      <c r="L121" s="6848" t="s">
        <v>326</v>
      </c>
      <c r="M121" s="6842"/>
      <c r="N121" s="6848" t="s">
        <v>94</v>
      </c>
      <c r="O121" s="6842"/>
      <c r="P121" s="6848" t="s">
        <v>44</v>
      </c>
      <c r="Q121" s="6842"/>
      <c r="R121" s="6848" t="s">
        <v>45</v>
      </c>
      <c r="S121" s="6842"/>
      <c r="T121" s="6848" t="s">
        <v>46</v>
      </c>
      <c r="U121" s="6849"/>
      <c r="V121" s="6848" t="s">
        <v>47</v>
      </c>
      <c r="W121" s="6849"/>
      <c r="X121" s="6848" t="s">
        <v>48</v>
      </c>
      <c r="Y121" s="6849"/>
      <c r="Z121" s="6848" t="s">
        <v>49</v>
      </c>
      <c r="AA121" s="6849"/>
      <c r="AB121" s="6848" t="s">
        <v>50</v>
      </c>
      <c r="AC121" s="6849"/>
      <c r="AD121" s="6848" t="s">
        <v>51</v>
      </c>
      <c r="AE121" s="6849"/>
      <c r="AF121" s="6848" t="s">
        <v>52</v>
      </c>
      <c r="AG121" s="6849"/>
      <c r="AH121" s="6848" t="s">
        <v>53</v>
      </c>
      <c r="AI121" s="6849"/>
      <c r="AJ121" s="6848" t="s">
        <v>54</v>
      </c>
      <c r="AK121" s="6849"/>
      <c r="AL121" s="6848" t="s">
        <v>55</v>
      </c>
      <c r="AM121" s="6849"/>
      <c r="AN121" s="6848" t="s">
        <v>56</v>
      </c>
      <c r="AO121" s="6849"/>
      <c r="AP121" s="6848" t="s">
        <v>57</v>
      </c>
      <c r="AQ121" s="6843"/>
      <c r="AR121" s="6224" t="s">
        <v>58</v>
      </c>
      <c r="AS121" s="6851" t="s">
        <v>59</v>
      </c>
      <c r="AT121" s="6846"/>
      <c r="AU121" s="6847"/>
      <c r="AV121" s="6850"/>
      <c r="AW121" s="5759"/>
    </row>
    <row r="122" spans="1:133" x14ac:dyDescent="0.3">
      <c r="A122" s="6471"/>
      <c r="B122" s="3980" t="s">
        <v>1864</v>
      </c>
      <c r="C122" s="3979" t="s">
        <v>1865</v>
      </c>
      <c r="D122" s="3977" t="s">
        <v>1864</v>
      </c>
      <c r="E122" s="3978" t="s">
        <v>1865</v>
      </c>
      <c r="F122" s="3977" t="s">
        <v>1864</v>
      </c>
      <c r="G122" s="3978" t="s">
        <v>1865</v>
      </c>
      <c r="H122" s="3977" t="s">
        <v>1864</v>
      </c>
      <c r="I122" s="3979" t="s">
        <v>1865</v>
      </c>
      <c r="J122" s="3980" t="s">
        <v>1864</v>
      </c>
      <c r="K122" s="3978" t="s">
        <v>1865</v>
      </c>
      <c r="L122" s="3977" t="s">
        <v>1864</v>
      </c>
      <c r="M122" s="3978" t="s">
        <v>1865</v>
      </c>
      <c r="N122" s="3977" t="s">
        <v>1864</v>
      </c>
      <c r="O122" s="3978" t="s">
        <v>1865</v>
      </c>
      <c r="P122" s="3977" t="s">
        <v>1864</v>
      </c>
      <c r="Q122" s="3978" t="s">
        <v>1865</v>
      </c>
      <c r="R122" s="3977" t="s">
        <v>1864</v>
      </c>
      <c r="S122" s="3978" t="s">
        <v>1865</v>
      </c>
      <c r="T122" s="3977" t="s">
        <v>1864</v>
      </c>
      <c r="U122" s="3978" t="s">
        <v>1865</v>
      </c>
      <c r="V122" s="3977" t="s">
        <v>1864</v>
      </c>
      <c r="W122" s="3978" t="s">
        <v>1865</v>
      </c>
      <c r="X122" s="3977" t="s">
        <v>1864</v>
      </c>
      <c r="Y122" s="3978" t="s">
        <v>1865</v>
      </c>
      <c r="Z122" s="3977" t="s">
        <v>1864</v>
      </c>
      <c r="AA122" s="3978" t="s">
        <v>1865</v>
      </c>
      <c r="AB122" s="3977" t="s">
        <v>1864</v>
      </c>
      <c r="AC122" s="3978" t="s">
        <v>1865</v>
      </c>
      <c r="AD122" s="3977" t="s">
        <v>1864</v>
      </c>
      <c r="AE122" s="3978" t="s">
        <v>1865</v>
      </c>
      <c r="AF122" s="3977" t="s">
        <v>1864</v>
      </c>
      <c r="AG122" s="3978" t="s">
        <v>1865</v>
      </c>
      <c r="AH122" s="3977" t="s">
        <v>1864</v>
      </c>
      <c r="AI122" s="3978" t="s">
        <v>1865</v>
      </c>
      <c r="AJ122" s="3977" t="s">
        <v>1864</v>
      </c>
      <c r="AK122" s="3978" t="s">
        <v>1865</v>
      </c>
      <c r="AL122" s="3977" t="s">
        <v>1864</v>
      </c>
      <c r="AM122" s="3978" t="s">
        <v>1865</v>
      </c>
      <c r="AN122" s="3977" t="s">
        <v>1864</v>
      </c>
      <c r="AO122" s="3978" t="s">
        <v>1865</v>
      </c>
      <c r="AP122" s="3977" t="s">
        <v>1864</v>
      </c>
      <c r="AQ122" s="3981" t="s">
        <v>1865</v>
      </c>
      <c r="AR122" s="6626"/>
      <c r="AS122" s="5956"/>
      <c r="AT122" s="1784" t="s">
        <v>462</v>
      </c>
      <c r="AU122" s="1831" t="s">
        <v>463</v>
      </c>
      <c r="AV122" s="6626"/>
      <c r="AW122" s="6687"/>
    </row>
    <row r="123" spans="1:133" x14ac:dyDescent="0.3">
      <c r="A123" s="934" t="s">
        <v>1866</v>
      </c>
      <c r="B123" s="3308">
        <f t="shared" ref="B123:C130" si="322">+N123+P123+R123+T123+V123+X123+Z123+AB123+AD123+AF123+AH123+AJ123+AL123+AN123+AP123</f>
        <v>0</v>
      </c>
      <c r="C123" s="3983">
        <f t="shared" si="322"/>
        <v>0</v>
      </c>
      <c r="D123" s="4001"/>
      <c r="E123" s="3993"/>
      <c r="F123" s="3992"/>
      <c r="G123" s="3993"/>
      <c r="H123" s="3992"/>
      <c r="I123" s="3993"/>
      <c r="J123" s="3992"/>
      <c r="K123" s="3993"/>
      <c r="L123" s="3992"/>
      <c r="M123" s="3994"/>
      <c r="N123" s="3987"/>
      <c r="O123" s="3995"/>
      <c r="P123" s="3996"/>
      <c r="Q123" s="3995"/>
      <c r="R123" s="3996"/>
      <c r="S123" s="3995"/>
      <c r="T123" s="3996"/>
      <c r="U123" s="3995"/>
      <c r="V123" s="3996"/>
      <c r="W123" s="3995"/>
      <c r="X123" s="3996"/>
      <c r="Y123" s="3995"/>
      <c r="Z123" s="3996"/>
      <c r="AA123" s="3995"/>
      <c r="AB123" s="3996"/>
      <c r="AC123" s="3995"/>
      <c r="AD123" s="3996"/>
      <c r="AE123" s="3995"/>
      <c r="AF123" s="3996"/>
      <c r="AG123" s="3995"/>
      <c r="AH123" s="3996"/>
      <c r="AI123" s="3995"/>
      <c r="AJ123" s="3996"/>
      <c r="AK123" s="3995"/>
      <c r="AL123" s="3996"/>
      <c r="AM123" s="3995"/>
      <c r="AN123" s="3996"/>
      <c r="AO123" s="3995"/>
      <c r="AP123" s="3996"/>
      <c r="AQ123" s="3985"/>
      <c r="AR123" s="3984"/>
      <c r="AS123" s="3985"/>
      <c r="AT123" s="3986"/>
      <c r="AU123" s="3985"/>
      <c r="AV123" s="3987"/>
      <c r="AW123" s="3988"/>
      <c r="AX123" s="1898" t="str">
        <f t="shared" ref="AX123:AX130" si="323">$CA123&amp;CB123&amp;CC123&amp;$CD123&amp;CJ123&amp;CK123&amp;CL123&amp;CM123&amp;CN123&amp;CO123&amp;CP123&amp;CQ123&amp;CR123&amp;CS123&amp;CT123&amp;CU123&amp;CV123&amp;CW123&amp;CX123</f>
        <v/>
      </c>
      <c r="CA123" s="1899" t="str">
        <f>IF(B123&lt;&gt;(AS123)," * La suma de las columnas "&amp;AR$10&amp;""&amp;" DEBE SER IGUAL a los Exámenes Procesados. ","")</f>
        <v/>
      </c>
      <c r="CB123" s="1899" t="str">
        <f t="shared" ref="CB123:CB140" si="324">IF(AND($B123&gt;0,AND(AT123="",AU123="")),"* No olvide ingresar las columnas Trans Masculino o Femenino (*Digite CERO si no tiene). ",IF((AT123+AU123)&gt;$B123,"* El Número de Trans Masculino o Femenino no puede superar el Total Procesados. ",""))</f>
        <v/>
      </c>
      <c r="CC123" s="1899" t="str">
        <f t="shared" ref="CC123:CC140" si="325">IF(AND($B123&gt;0,AV123=""),"* No olvide ingresar la columna "&amp;AV$10&amp;""&amp;" *(Digite CERO si no tiene). ",IF(AV123&gt;$B123," *El Número de "&amp;AV$10&amp;""&amp;" no puede superar el Total Procesados. ",""))</f>
        <v/>
      </c>
      <c r="CD123" s="1899" t="str">
        <f t="shared" ref="CD123:CD140" si="326">IF(AND($B123&gt;0,AW123=""),"* No olvide ingresar la columna "&amp;AW$10&amp;""&amp;" *(Digite CERO si no tiene). ",IF(AW123&gt;$B123," *El Número de "&amp;AW$10&amp;""&amp;" no puede superar el Total Procesados. ",""))</f>
        <v/>
      </c>
      <c r="CE123" s="1900"/>
      <c r="CF123" s="1900"/>
      <c r="CG123" s="1900"/>
      <c r="CH123" s="1900"/>
      <c r="CI123" s="1900"/>
      <c r="CJ123" s="1899" t="str">
        <f t="shared" ref="CJ123:CJ131" si="327">IF(N123&lt;O123,CONCATENATE("* El total de Procesados debe ser mayor o igual al total de Reactivos en el grupo de edad ",$N$11),"")</f>
        <v/>
      </c>
      <c r="CK123" s="1899" t="str">
        <f t="shared" ref="CK123:CK131" si="328">IF(P123&lt;Q123,CONCATENATE("* El total de Procesados debe ser mayor o igual al total de Reactivos en el grupo de edad ",$P$11),"")</f>
        <v/>
      </c>
      <c r="CL123" s="1899" t="str">
        <f t="shared" ref="CL123:CL131" si="329">IF(R123&lt;S123,CONCATENATE("* El total de Procesados debe ser mayor o igual al total de Reactivos en el grupo de edad ",$R$11),"")</f>
        <v/>
      </c>
      <c r="CM123" s="1899" t="str">
        <f>IF($T123&lt;$U123,CONCATENATE("* El total de Procesados debe ser mayor o igual al total de Reactivos en el grupo de edad ",$T$11),"")</f>
        <v/>
      </c>
      <c r="CN123" s="1899" t="str">
        <f t="shared" ref="CN123:CN131" si="330">IF(V123&lt;W123,CONCATENATE("* El total de Procesados debe ser mayor o igual al total de Reactivos en el grupo de edad ",$V$11),"")</f>
        <v/>
      </c>
      <c r="CO123" s="1899" t="str">
        <f t="shared" ref="CO123:CO131" si="331">IF(X123&lt;Y123,CONCATENATE("* El total de Procesados debe ser mayor o igual al total de Reactivos en el grupo de edad ",$X$11),"")</f>
        <v/>
      </c>
      <c r="CP123" s="1899" t="str">
        <f t="shared" ref="CP123:CP131" si="332">IF(Z123&lt;AA123,CONCATENATE("* El total de Procesados debe ser mayor o igual al total de Reactivos en el grupo de edad ",$Z$11),"")</f>
        <v/>
      </c>
      <c r="CQ123" s="1899" t="str">
        <f t="shared" ref="CQ123:CQ131" si="333">IF(AB123&lt;AC123,CONCATENATE("* El total de Procesados debe ser mayor o igual al total de Reactivos en el grupo de edad ",$AB$11),"")</f>
        <v/>
      </c>
      <c r="CR123" s="1899" t="str">
        <f t="shared" ref="CR123:CR131" si="334">IF(AD123&lt;AE123,CONCATENATE("* El total de Procesados debe ser mayor o igual al total de Reactivos en el grupo de edad ",$AD$11),"")</f>
        <v/>
      </c>
      <c r="CS123" s="1899" t="str">
        <f t="shared" ref="CS123:CS131" si="335">IF(AF123&lt;AG123,CONCATENATE("* El total de Procesados debe ser mayor o igual al total de Reactivos en el grupo de edad ",$AF$11),"")</f>
        <v/>
      </c>
      <c r="CT123" s="1899" t="str">
        <f t="shared" ref="CT123:CT131" si="336">IF(AH123&lt;AI123,CONCATENATE("* El total de Procesados debe ser mayor o igual al total de Reactivos en el grupo de edad ",$AH$11),"")</f>
        <v/>
      </c>
      <c r="CU123" s="1899" t="str">
        <f t="shared" ref="CU123:CU131" si="337">IF(AJ123&lt;AK123,CONCATENATE("* El total de Procesados debe ser mayor o igual al total de Reactivos en el grupo de edad ",$AJ$11),"")</f>
        <v/>
      </c>
      <c r="CV123" s="1899" t="str">
        <f t="shared" ref="CV123:CV131" si="338">IF(AL123&lt;AM123,CONCATENATE("* El total de Procesados debe ser mayor o igual al total de Reactivos en el grupo de edad ",$AL$11),"")</f>
        <v/>
      </c>
      <c r="CW123" s="1899" t="str">
        <f t="shared" ref="CW123:CW131" si="339">IF(AN123&lt;AO123,CONCATENATE("* El total de Procesados debe ser mayor o igual al total de Reactivos en el grupo de edad ",$AN$11),"")</f>
        <v/>
      </c>
      <c r="CX123" s="1899" t="str">
        <f t="shared" ref="CX123:CX131" si="340">IF(AP123&lt;AQ123,CONCATENATE("* El total de Procesados debe ser mayor o igual al total de Reactivos en el grupo de edad ",$AP$11),"")</f>
        <v/>
      </c>
      <c r="DE123" s="1970"/>
      <c r="DF123" s="4005">
        <f>IF(B123&lt;&gt;(AS123),1,0)</f>
        <v>0</v>
      </c>
      <c r="DG123" s="3989">
        <f t="shared" ref="DG123:DG140" si="341">IF(AND($B123&gt;0,AND(AT123="",AU123="")),1,IF((AT123+AU123)&gt;$B123,1,0))</f>
        <v>0</v>
      </c>
      <c r="DH123" s="3989">
        <f t="shared" ref="DH123:DH140" si="342">IF(AND($B123&gt;0,AV123=""),1,IF(AV123&gt;$B123,1,0))</f>
        <v>0</v>
      </c>
      <c r="DI123" s="3989">
        <f t="shared" ref="DI123:DI140" si="343">IF(AND($B123&gt;0,AW123=""),1,IF(AW123&gt;$B123,1,0))</f>
        <v>0</v>
      </c>
      <c r="DJ123" s="1900"/>
      <c r="DK123" s="1900"/>
      <c r="DL123" s="1900"/>
      <c r="DM123" s="1900"/>
      <c r="DN123" s="1900"/>
      <c r="DO123" s="3989">
        <f t="shared" ref="DO123:DO131" si="344">IF(N123&lt;O123,1,0)</f>
        <v>0</v>
      </c>
      <c r="DP123" s="3989">
        <f t="shared" ref="DP123:DP131" si="345">IF(P123&lt;Q123,1,0)</f>
        <v>0</v>
      </c>
      <c r="DQ123" s="3989">
        <f t="shared" ref="DQ123:DQ131" si="346">IF(R123&lt;S123,1,0)</f>
        <v>0</v>
      </c>
      <c r="DR123" s="3989">
        <f>IF($T123&lt;$U123,1,0)</f>
        <v>0</v>
      </c>
      <c r="DS123" s="3989">
        <f t="shared" ref="DS123:DS131" si="347">IF(V123&lt;W123,1,0)</f>
        <v>0</v>
      </c>
      <c r="DT123" s="3989">
        <f t="shared" ref="DT123:DT131" si="348">IF(X123&lt;Y123,1,0)</f>
        <v>0</v>
      </c>
      <c r="DU123" s="3989">
        <f t="shared" ref="DU123:DU131" si="349">IF(Z123&lt;AA123,1,0)</f>
        <v>0</v>
      </c>
      <c r="DV123" s="3989">
        <f t="shared" ref="DV123:DV131" si="350">IF(AB123&lt;AC123,1,0)</f>
        <v>0</v>
      </c>
      <c r="DW123" s="3989">
        <f t="shared" ref="DW123:DW131" si="351">IF(AD123&lt;AE123,1,0)</f>
        <v>0</v>
      </c>
      <c r="DX123" s="3989">
        <f t="shared" ref="DX123:DX131" si="352">IF(AF123&lt;AG123,1,0)</f>
        <v>0</v>
      </c>
      <c r="DY123" s="3989">
        <f t="shared" ref="DY123:DY131" si="353">IF(AH123&lt;AI123,1,0)</f>
        <v>0</v>
      </c>
      <c r="DZ123" s="3989">
        <f t="shared" ref="DZ123:DZ131" si="354">IF(AJ123&lt;AK123,1,0)</f>
        <v>0</v>
      </c>
      <c r="EA123" s="3989">
        <f t="shared" ref="EA123:EA131" si="355">IF(AL123&lt;AM123,1,0)</f>
        <v>0</v>
      </c>
      <c r="EB123" s="3989">
        <f t="shared" ref="EB123:EB131" si="356">IF(AN123&lt;AO123,1,0)</f>
        <v>0</v>
      </c>
      <c r="EC123" s="3989">
        <f t="shared" ref="EC123:EC131" si="357">IF(AP123&lt;AQ123,1,0)</f>
        <v>0</v>
      </c>
    </row>
    <row r="124" spans="1:133" x14ac:dyDescent="0.3">
      <c r="A124" s="4006" t="s">
        <v>1867</v>
      </c>
      <c r="B124" s="3991">
        <f t="shared" si="322"/>
        <v>0</v>
      </c>
      <c r="C124" s="345">
        <f t="shared" si="322"/>
        <v>0</v>
      </c>
      <c r="D124" s="4001"/>
      <c r="E124" s="3993"/>
      <c r="F124" s="3992"/>
      <c r="G124" s="3993"/>
      <c r="H124" s="3992"/>
      <c r="I124" s="3993"/>
      <c r="J124" s="3992"/>
      <c r="K124" s="3993"/>
      <c r="L124" s="3992"/>
      <c r="M124" s="3994"/>
      <c r="N124" s="3987"/>
      <c r="O124" s="3995"/>
      <c r="P124" s="3996"/>
      <c r="Q124" s="3995"/>
      <c r="R124" s="3996"/>
      <c r="S124" s="3995"/>
      <c r="T124" s="3996"/>
      <c r="U124" s="3995"/>
      <c r="V124" s="3996"/>
      <c r="W124" s="3995"/>
      <c r="X124" s="3996"/>
      <c r="Y124" s="3995"/>
      <c r="Z124" s="3996"/>
      <c r="AA124" s="3995"/>
      <c r="AB124" s="3996"/>
      <c r="AC124" s="3995"/>
      <c r="AD124" s="3996"/>
      <c r="AE124" s="3995"/>
      <c r="AF124" s="3996"/>
      <c r="AG124" s="3995"/>
      <c r="AH124" s="3996"/>
      <c r="AI124" s="3995"/>
      <c r="AJ124" s="3996"/>
      <c r="AK124" s="3995"/>
      <c r="AL124" s="3996"/>
      <c r="AM124" s="3995"/>
      <c r="AN124" s="3996"/>
      <c r="AO124" s="3995"/>
      <c r="AP124" s="3996"/>
      <c r="AQ124" s="3985"/>
      <c r="AR124" s="3984"/>
      <c r="AS124" s="3985"/>
      <c r="AT124" s="3986"/>
      <c r="AU124" s="3985"/>
      <c r="AV124" s="3987"/>
      <c r="AW124" s="3988"/>
      <c r="AX124" s="1898" t="str">
        <f t="shared" si="323"/>
        <v/>
      </c>
      <c r="CA124" s="1899" t="str">
        <f>IF(B124&lt;&gt;(AS124)," * La suma de las columnas "&amp;AR$10&amp;""&amp;" DEBE SER IGUAL a los Exámenes Procesados. ","")</f>
        <v/>
      </c>
      <c r="CB124" s="1899" t="str">
        <f t="shared" si="324"/>
        <v/>
      </c>
      <c r="CC124" s="1899" t="str">
        <f t="shared" si="325"/>
        <v/>
      </c>
      <c r="CD124" s="1899" t="str">
        <f t="shared" si="326"/>
        <v/>
      </c>
      <c r="CE124" s="1900"/>
      <c r="CF124" s="1900"/>
      <c r="CG124" s="1900"/>
      <c r="CH124" s="1900"/>
      <c r="CI124" s="1900"/>
      <c r="CJ124" s="1899" t="str">
        <f t="shared" si="327"/>
        <v/>
      </c>
      <c r="CK124" s="1899" t="str">
        <f t="shared" si="328"/>
        <v/>
      </c>
      <c r="CL124" s="1899" t="str">
        <f t="shared" si="329"/>
        <v/>
      </c>
      <c r="CM124" s="1899" t="str">
        <f t="shared" ref="CM124:CM140" si="358">IF($T124&lt;$U124,CONCATENATE("* El total de Procesados debe ser mayor o igual al total de Reactivos en el grupo de edad ",$T$11),"")</f>
        <v/>
      </c>
      <c r="CN124" s="1899" t="str">
        <f t="shared" si="330"/>
        <v/>
      </c>
      <c r="CO124" s="1899" t="str">
        <f t="shared" si="331"/>
        <v/>
      </c>
      <c r="CP124" s="1899" t="str">
        <f t="shared" si="332"/>
        <v/>
      </c>
      <c r="CQ124" s="1899" t="str">
        <f t="shared" si="333"/>
        <v/>
      </c>
      <c r="CR124" s="1899" t="str">
        <f t="shared" si="334"/>
        <v/>
      </c>
      <c r="CS124" s="1899" t="str">
        <f t="shared" si="335"/>
        <v/>
      </c>
      <c r="CT124" s="1899" t="str">
        <f t="shared" si="336"/>
        <v/>
      </c>
      <c r="CU124" s="1899" t="str">
        <f t="shared" si="337"/>
        <v/>
      </c>
      <c r="CV124" s="1899" t="str">
        <f t="shared" si="338"/>
        <v/>
      </c>
      <c r="CW124" s="1899" t="str">
        <f t="shared" si="339"/>
        <v/>
      </c>
      <c r="CX124" s="1899" t="str">
        <f t="shared" si="340"/>
        <v/>
      </c>
      <c r="DE124" s="1970"/>
      <c r="DF124" s="4005">
        <f>IF(B124&lt;&gt;(AS124),1,0)</f>
        <v>0</v>
      </c>
      <c r="DG124" s="3989">
        <f t="shared" si="341"/>
        <v>0</v>
      </c>
      <c r="DH124" s="3989">
        <f t="shared" si="342"/>
        <v>0</v>
      </c>
      <c r="DI124" s="3989">
        <f t="shared" si="343"/>
        <v>0</v>
      </c>
      <c r="DJ124" s="1900"/>
      <c r="DK124" s="1900"/>
      <c r="DL124" s="1900"/>
      <c r="DM124" s="1900"/>
      <c r="DN124" s="1900"/>
      <c r="DO124" s="3989">
        <f t="shared" si="344"/>
        <v>0</v>
      </c>
      <c r="DP124" s="3989">
        <f t="shared" si="345"/>
        <v>0</v>
      </c>
      <c r="DQ124" s="3989">
        <f t="shared" si="346"/>
        <v>0</v>
      </c>
      <c r="DR124" s="3989">
        <f t="shared" ref="DR124:DR140" si="359">IF($T124&lt;$U124,1,0)</f>
        <v>0</v>
      </c>
      <c r="DS124" s="3989">
        <f t="shared" si="347"/>
        <v>0</v>
      </c>
      <c r="DT124" s="3989">
        <f t="shared" si="348"/>
        <v>0</v>
      </c>
      <c r="DU124" s="3989">
        <f t="shared" si="349"/>
        <v>0</v>
      </c>
      <c r="DV124" s="3989">
        <f t="shared" si="350"/>
        <v>0</v>
      </c>
      <c r="DW124" s="3989">
        <f t="shared" si="351"/>
        <v>0</v>
      </c>
      <c r="DX124" s="3989">
        <f t="shared" si="352"/>
        <v>0</v>
      </c>
      <c r="DY124" s="3989">
        <f t="shared" si="353"/>
        <v>0</v>
      </c>
      <c r="DZ124" s="3989">
        <f t="shared" si="354"/>
        <v>0</v>
      </c>
      <c r="EA124" s="3989">
        <f t="shared" si="355"/>
        <v>0</v>
      </c>
      <c r="EB124" s="3989">
        <f t="shared" si="356"/>
        <v>0</v>
      </c>
      <c r="EC124" s="3989">
        <f t="shared" si="357"/>
        <v>0</v>
      </c>
    </row>
    <row r="125" spans="1:133" x14ac:dyDescent="0.3">
      <c r="A125" s="4006" t="s">
        <v>1868</v>
      </c>
      <c r="B125" s="3991">
        <f t="shared" si="322"/>
        <v>0</v>
      </c>
      <c r="C125" s="345">
        <f t="shared" si="322"/>
        <v>0</v>
      </c>
      <c r="D125" s="4001"/>
      <c r="E125" s="3993"/>
      <c r="F125" s="3992"/>
      <c r="G125" s="3993"/>
      <c r="H125" s="3992"/>
      <c r="I125" s="3993"/>
      <c r="J125" s="3992"/>
      <c r="K125" s="3993"/>
      <c r="L125" s="3992"/>
      <c r="M125" s="3994"/>
      <c r="N125" s="3987"/>
      <c r="O125" s="3995"/>
      <c r="P125" s="3996"/>
      <c r="Q125" s="3995"/>
      <c r="R125" s="3996"/>
      <c r="S125" s="3995"/>
      <c r="T125" s="3996"/>
      <c r="U125" s="3995"/>
      <c r="V125" s="3996"/>
      <c r="W125" s="3995"/>
      <c r="X125" s="3996"/>
      <c r="Y125" s="3995"/>
      <c r="Z125" s="3996"/>
      <c r="AA125" s="3995"/>
      <c r="AB125" s="3996"/>
      <c r="AC125" s="3995"/>
      <c r="AD125" s="3996"/>
      <c r="AE125" s="3995"/>
      <c r="AF125" s="3996"/>
      <c r="AG125" s="3995"/>
      <c r="AH125" s="3996"/>
      <c r="AI125" s="3995"/>
      <c r="AJ125" s="3996"/>
      <c r="AK125" s="3995"/>
      <c r="AL125" s="3996"/>
      <c r="AM125" s="3995"/>
      <c r="AN125" s="3996"/>
      <c r="AO125" s="3995"/>
      <c r="AP125" s="3996"/>
      <c r="AQ125" s="3985"/>
      <c r="AR125" s="3984"/>
      <c r="AS125" s="3985"/>
      <c r="AT125" s="3986"/>
      <c r="AU125" s="3985"/>
      <c r="AV125" s="3987"/>
      <c r="AW125" s="3988"/>
      <c r="AX125" s="1898" t="str">
        <f t="shared" si="323"/>
        <v/>
      </c>
      <c r="CA125" s="1899" t="str">
        <f>IF(B125&lt;&gt;(AS125)," * La suma de las columnas "&amp;AR$10&amp;""&amp;" DEBE SER IGUAL a los Exámenes Procesados. ","")</f>
        <v/>
      </c>
      <c r="CB125" s="1899" t="str">
        <f t="shared" si="324"/>
        <v/>
      </c>
      <c r="CC125" s="1899" t="str">
        <f t="shared" si="325"/>
        <v/>
      </c>
      <c r="CD125" s="1899" t="str">
        <f t="shared" si="326"/>
        <v/>
      </c>
      <c r="CE125" s="1900"/>
      <c r="CF125" s="1900"/>
      <c r="CG125" s="1900"/>
      <c r="CH125" s="1900"/>
      <c r="CI125" s="1900"/>
      <c r="CJ125" s="1899" t="str">
        <f t="shared" si="327"/>
        <v/>
      </c>
      <c r="CK125" s="1899" t="str">
        <f t="shared" si="328"/>
        <v/>
      </c>
      <c r="CL125" s="1899" t="str">
        <f t="shared" si="329"/>
        <v/>
      </c>
      <c r="CM125" s="1899" t="str">
        <f t="shared" si="358"/>
        <v/>
      </c>
      <c r="CN125" s="1899" t="str">
        <f t="shared" si="330"/>
        <v/>
      </c>
      <c r="CO125" s="1899" t="str">
        <f t="shared" si="331"/>
        <v/>
      </c>
      <c r="CP125" s="1899" t="str">
        <f t="shared" si="332"/>
        <v/>
      </c>
      <c r="CQ125" s="1899" t="str">
        <f t="shared" si="333"/>
        <v/>
      </c>
      <c r="CR125" s="1899" t="str">
        <f t="shared" si="334"/>
        <v/>
      </c>
      <c r="CS125" s="1899" t="str">
        <f t="shared" si="335"/>
        <v/>
      </c>
      <c r="CT125" s="1899" t="str">
        <f t="shared" si="336"/>
        <v/>
      </c>
      <c r="CU125" s="1899" t="str">
        <f t="shared" si="337"/>
        <v/>
      </c>
      <c r="CV125" s="1899" t="str">
        <f t="shared" si="338"/>
        <v/>
      </c>
      <c r="CW125" s="1899" t="str">
        <f t="shared" si="339"/>
        <v/>
      </c>
      <c r="CX125" s="1899" t="str">
        <f t="shared" si="340"/>
        <v/>
      </c>
      <c r="DE125" s="1970"/>
      <c r="DF125" s="4005">
        <f>IF(B125&lt;&gt;(AS125),1,0)</f>
        <v>0</v>
      </c>
      <c r="DG125" s="3989">
        <f t="shared" si="341"/>
        <v>0</v>
      </c>
      <c r="DH125" s="3989">
        <f t="shared" si="342"/>
        <v>0</v>
      </c>
      <c r="DI125" s="3989">
        <f t="shared" si="343"/>
        <v>0</v>
      </c>
      <c r="DJ125" s="1900"/>
      <c r="DK125" s="1900"/>
      <c r="DL125" s="1900"/>
      <c r="DM125" s="1900"/>
      <c r="DN125" s="1900"/>
      <c r="DO125" s="3989">
        <f t="shared" si="344"/>
        <v>0</v>
      </c>
      <c r="DP125" s="3989">
        <f t="shared" si="345"/>
        <v>0</v>
      </c>
      <c r="DQ125" s="3989">
        <f t="shared" si="346"/>
        <v>0</v>
      </c>
      <c r="DR125" s="3989">
        <f t="shared" si="359"/>
        <v>0</v>
      </c>
      <c r="DS125" s="3989">
        <f t="shared" si="347"/>
        <v>0</v>
      </c>
      <c r="DT125" s="3989">
        <f t="shared" si="348"/>
        <v>0</v>
      </c>
      <c r="DU125" s="3989">
        <f t="shared" si="349"/>
        <v>0</v>
      </c>
      <c r="DV125" s="3989">
        <f t="shared" si="350"/>
        <v>0</v>
      </c>
      <c r="DW125" s="3989">
        <f t="shared" si="351"/>
        <v>0</v>
      </c>
      <c r="DX125" s="3989">
        <f t="shared" si="352"/>
        <v>0</v>
      </c>
      <c r="DY125" s="3989">
        <f t="shared" si="353"/>
        <v>0</v>
      </c>
      <c r="DZ125" s="3989">
        <f t="shared" si="354"/>
        <v>0</v>
      </c>
      <c r="EA125" s="3989">
        <f t="shared" si="355"/>
        <v>0</v>
      </c>
      <c r="EB125" s="3989">
        <f t="shared" si="356"/>
        <v>0</v>
      </c>
      <c r="EC125" s="3989">
        <f t="shared" si="357"/>
        <v>0</v>
      </c>
    </row>
    <row r="126" spans="1:133" x14ac:dyDescent="0.3">
      <c r="A126" s="4006" t="s">
        <v>1869</v>
      </c>
      <c r="B126" s="3991">
        <f t="shared" si="322"/>
        <v>0</v>
      </c>
      <c r="C126" s="345">
        <f t="shared" si="322"/>
        <v>0</v>
      </c>
      <c r="D126" s="4001"/>
      <c r="E126" s="3993"/>
      <c r="F126" s="3992"/>
      <c r="G126" s="3993"/>
      <c r="H126" s="3992"/>
      <c r="I126" s="3993"/>
      <c r="J126" s="3992"/>
      <c r="K126" s="3993"/>
      <c r="L126" s="3992"/>
      <c r="M126" s="3994"/>
      <c r="N126" s="3987"/>
      <c r="O126" s="3995"/>
      <c r="P126" s="3996"/>
      <c r="Q126" s="3995"/>
      <c r="R126" s="3996"/>
      <c r="S126" s="3995"/>
      <c r="T126" s="3996"/>
      <c r="U126" s="3995"/>
      <c r="V126" s="3996"/>
      <c r="W126" s="3995"/>
      <c r="X126" s="3996"/>
      <c r="Y126" s="3995"/>
      <c r="Z126" s="3996"/>
      <c r="AA126" s="3995"/>
      <c r="AB126" s="3996"/>
      <c r="AC126" s="3995"/>
      <c r="AD126" s="3996"/>
      <c r="AE126" s="3995"/>
      <c r="AF126" s="3996"/>
      <c r="AG126" s="3995"/>
      <c r="AH126" s="3996"/>
      <c r="AI126" s="3995"/>
      <c r="AJ126" s="3996"/>
      <c r="AK126" s="3995"/>
      <c r="AL126" s="3996"/>
      <c r="AM126" s="3995"/>
      <c r="AN126" s="3996"/>
      <c r="AO126" s="3995"/>
      <c r="AP126" s="3996"/>
      <c r="AQ126" s="3985"/>
      <c r="AR126" s="3984"/>
      <c r="AS126" s="3985"/>
      <c r="AT126" s="3986"/>
      <c r="AU126" s="3985"/>
      <c r="AV126" s="3987"/>
      <c r="AW126" s="3988"/>
      <c r="AX126" s="1898" t="str">
        <f t="shared" si="323"/>
        <v/>
      </c>
      <c r="CA126" s="1899" t="str">
        <f>IF(B126&lt;&gt;(AS126)," * La suma de las columnas "&amp;AR$10&amp;""&amp;" DEBE SER IGUAL a los Exámenes Procesados. ","")</f>
        <v/>
      </c>
      <c r="CB126" s="1899" t="str">
        <f t="shared" si="324"/>
        <v/>
      </c>
      <c r="CC126" s="1899" t="str">
        <f t="shared" si="325"/>
        <v/>
      </c>
      <c r="CD126" s="1899" t="str">
        <f t="shared" si="326"/>
        <v/>
      </c>
      <c r="CE126" s="1900"/>
      <c r="CF126" s="1900"/>
      <c r="CG126" s="1900"/>
      <c r="CH126" s="1900"/>
      <c r="CI126" s="1900"/>
      <c r="CJ126" s="1899" t="str">
        <f t="shared" si="327"/>
        <v/>
      </c>
      <c r="CK126" s="1899" t="str">
        <f t="shared" si="328"/>
        <v/>
      </c>
      <c r="CL126" s="1899" t="str">
        <f t="shared" si="329"/>
        <v/>
      </c>
      <c r="CM126" s="1899" t="str">
        <f t="shared" si="358"/>
        <v/>
      </c>
      <c r="CN126" s="1899" t="str">
        <f t="shared" si="330"/>
        <v/>
      </c>
      <c r="CO126" s="1899" t="str">
        <f t="shared" si="331"/>
        <v/>
      </c>
      <c r="CP126" s="1899" t="str">
        <f t="shared" si="332"/>
        <v/>
      </c>
      <c r="CQ126" s="1899" t="str">
        <f t="shared" si="333"/>
        <v/>
      </c>
      <c r="CR126" s="1899" t="str">
        <f t="shared" si="334"/>
        <v/>
      </c>
      <c r="CS126" s="1899" t="str">
        <f t="shared" si="335"/>
        <v/>
      </c>
      <c r="CT126" s="1899" t="str">
        <f t="shared" si="336"/>
        <v/>
      </c>
      <c r="CU126" s="1899" t="str">
        <f t="shared" si="337"/>
        <v/>
      </c>
      <c r="CV126" s="1899" t="str">
        <f t="shared" si="338"/>
        <v/>
      </c>
      <c r="CW126" s="1899" t="str">
        <f t="shared" si="339"/>
        <v/>
      </c>
      <c r="CX126" s="1899" t="str">
        <f t="shared" si="340"/>
        <v/>
      </c>
      <c r="DE126" s="1970"/>
      <c r="DF126" s="4005">
        <f>IF(B126&lt;&gt;(AS126),1,0)</f>
        <v>0</v>
      </c>
      <c r="DG126" s="3989">
        <f t="shared" si="341"/>
        <v>0</v>
      </c>
      <c r="DH126" s="3989">
        <f t="shared" si="342"/>
        <v>0</v>
      </c>
      <c r="DI126" s="3989">
        <f t="shared" si="343"/>
        <v>0</v>
      </c>
      <c r="DJ126" s="1900"/>
      <c r="DK126" s="1900"/>
      <c r="DL126" s="1900"/>
      <c r="DM126" s="1900"/>
      <c r="DN126" s="1900"/>
      <c r="DO126" s="3989">
        <f t="shared" si="344"/>
        <v>0</v>
      </c>
      <c r="DP126" s="3989">
        <f t="shared" si="345"/>
        <v>0</v>
      </c>
      <c r="DQ126" s="3989">
        <f t="shared" si="346"/>
        <v>0</v>
      </c>
      <c r="DR126" s="3989">
        <f t="shared" si="359"/>
        <v>0</v>
      </c>
      <c r="DS126" s="3989">
        <f t="shared" si="347"/>
        <v>0</v>
      </c>
      <c r="DT126" s="3989">
        <f t="shared" si="348"/>
        <v>0</v>
      </c>
      <c r="DU126" s="3989">
        <f t="shared" si="349"/>
        <v>0</v>
      </c>
      <c r="DV126" s="3989">
        <f t="shared" si="350"/>
        <v>0</v>
      </c>
      <c r="DW126" s="3989">
        <f t="shared" si="351"/>
        <v>0</v>
      </c>
      <c r="DX126" s="3989">
        <f t="shared" si="352"/>
        <v>0</v>
      </c>
      <c r="DY126" s="3989">
        <f t="shared" si="353"/>
        <v>0</v>
      </c>
      <c r="DZ126" s="3989">
        <f t="shared" si="354"/>
        <v>0</v>
      </c>
      <c r="EA126" s="3989">
        <f t="shared" si="355"/>
        <v>0</v>
      </c>
      <c r="EB126" s="3989">
        <f t="shared" si="356"/>
        <v>0</v>
      </c>
      <c r="EC126" s="3989">
        <f t="shared" si="357"/>
        <v>0</v>
      </c>
    </row>
    <row r="127" spans="1:133" x14ac:dyDescent="0.3">
      <c r="A127" s="4007" t="s">
        <v>1870</v>
      </c>
      <c r="B127" s="3991">
        <f t="shared" si="322"/>
        <v>0</v>
      </c>
      <c r="C127" s="345">
        <f t="shared" si="322"/>
        <v>0</v>
      </c>
      <c r="D127" s="4001"/>
      <c r="E127" s="3993"/>
      <c r="F127" s="3992"/>
      <c r="G127" s="3993"/>
      <c r="H127" s="3992"/>
      <c r="I127" s="3993"/>
      <c r="J127" s="3992"/>
      <c r="K127" s="3993"/>
      <c r="L127" s="3992"/>
      <c r="M127" s="3994"/>
      <c r="N127" s="3987"/>
      <c r="O127" s="3995"/>
      <c r="P127" s="3996"/>
      <c r="Q127" s="3995"/>
      <c r="R127" s="3996"/>
      <c r="S127" s="3995"/>
      <c r="T127" s="3996"/>
      <c r="U127" s="3995"/>
      <c r="V127" s="3996"/>
      <c r="W127" s="3995"/>
      <c r="X127" s="3996"/>
      <c r="Y127" s="3995"/>
      <c r="Z127" s="3996"/>
      <c r="AA127" s="3995"/>
      <c r="AB127" s="3996"/>
      <c r="AC127" s="3995"/>
      <c r="AD127" s="3996"/>
      <c r="AE127" s="3995"/>
      <c r="AF127" s="3996"/>
      <c r="AG127" s="3995"/>
      <c r="AH127" s="3996"/>
      <c r="AI127" s="3995"/>
      <c r="AJ127" s="3996"/>
      <c r="AK127" s="3995"/>
      <c r="AL127" s="3996"/>
      <c r="AM127" s="3995"/>
      <c r="AN127" s="3996"/>
      <c r="AO127" s="3995"/>
      <c r="AP127" s="3996"/>
      <c r="AQ127" s="3985"/>
      <c r="AR127" s="3984"/>
      <c r="AS127" s="3985"/>
      <c r="AT127" s="3986"/>
      <c r="AU127" s="3985"/>
      <c r="AV127" s="3987"/>
      <c r="AW127" s="3988"/>
      <c r="AX127" s="1898" t="str">
        <f t="shared" si="323"/>
        <v/>
      </c>
      <c r="CA127" s="1899" t="str">
        <f>IF(B127&lt;&gt;(AS127)," * La suma de las columnas "&amp;AR$10&amp;""&amp;" DEBE SER IGUAL a los Exámenes Procesados. ","")</f>
        <v/>
      </c>
      <c r="CB127" s="1899" t="str">
        <f t="shared" si="324"/>
        <v/>
      </c>
      <c r="CC127" s="1899" t="str">
        <f t="shared" si="325"/>
        <v/>
      </c>
      <c r="CD127" s="1899" t="str">
        <f t="shared" si="326"/>
        <v/>
      </c>
      <c r="CE127" s="1900"/>
      <c r="CF127" s="1900"/>
      <c r="CG127" s="1900"/>
      <c r="CH127" s="1900"/>
      <c r="CI127" s="1900"/>
      <c r="CJ127" s="1899" t="str">
        <f t="shared" si="327"/>
        <v/>
      </c>
      <c r="CK127" s="1899" t="str">
        <f t="shared" si="328"/>
        <v/>
      </c>
      <c r="CL127" s="1899" t="str">
        <f t="shared" si="329"/>
        <v/>
      </c>
      <c r="CM127" s="1899" t="str">
        <f t="shared" si="358"/>
        <v/>
      </c>
      <c r="CN127" s="1899" t="str">
        <f t="shared" si="330"/>
        <v/>
      </c>
      <c r="CO127" s="1899" t="str">
        <f t="shared" si="331"/>
        <v/>
      </c>
      <c r="CP127" s="1899" t="str">
        <f t="shared" si="332"/>
        <v/>
      </c>
      <c r="CQ127" s="1899" t="str">
        <f t="shared" si="333"/>
        <v/>
      </c>
      <c r="CR127" s="1899" t="str">
        <f t="shared" si="334"/>
        <v/>
      </c>
      <c r="CS127" s="1899" t="str">
        <f t="shared" si="335"/>
        <v/>
      </c>
      <c r="CT127" s="1899" t="str">
        <f t="shared" si="336"/>
        <v/>
      </c>
      <c r="CU127" s="1899" t="str">
        <f t="shared" si="337"/>
        <v/>
      </c>
      <c r="CV127" s="1899" t="str">
        <f t="shared" si="338"/>
        <v/>
      </c>
      <c r="CW127" s="1899" t="str">
        <f t="shared" si="339"/>
        <v/>
      </c>
      <c r="CX127" s="1899" t="str">
        <f t="shared" si="340"/>
        <v/>
      </c>
      <c r="DE127" s="1970"/>
      <c r="DF127" s="4005">
        <f>IF(B127&lt;&gt;(AS127),1,0)</f>
        <v>0</v>
      </c>
      <c r="DG127" s="3989">
        <f t="shared" si="341"/>
        <v>0</v>
      </c>
      <c r="DH127" s="3989">
        <f t="shared" si="342"/>
        <v>0</v>
      </c>
      <c r="DI127" s="3989">
        <f t="shared" si="343"/>
        <v>0</v>
      </c>
      <c r="DJ127" s="1900"/>
      <c r="DK127" s="1900"/>
      <c r="DL127" s="1900"/>
      <c r="DM127" s="1900"/>
      <c r="DN127" s="1900"/>
      <c r="DO127" s="3989">
        <f t="shared" si="344"/>
        <v>0</v>
      </c>
      <c r="DP127" s="3989">
        <f t="shared" si="345"/>
        <v>0</v>
      </c>
      <c r="DQ127" s="3989">
        <f t="shared" si="346"/>
        <v>0</v>
      </c>
      <c r="DR127" s="3989">
        <f t="shared" si="359"/>
        <v>0</v>
      </c>
      <c r="DS127" s="3989">
        <f t="shared" si="347"/>
        <v>0</v>
      </c>
      <c r="DT127" s="3989">
        <f t="shared" si="348"/>
        <v>0</v>
      </c>
      <c r="DU127" s="3989">
        <f t="shared" si="349"/>
        <v>0</v>
      </c>
      <c r="DV127" s="3989">
        <f t="shared" si="350"/>
        <v>0</v>
      </c>
      <c r="DW127" s="3989">
        <f t="shared" si="351"/>
        <v>0</v>
      </c>
      <c r="DX127" s="3989">
        <f t="shared" si="352"/>
        <v>0</v>
      </c>
      <c r="DY127" s="3989">
        <f t="shared" si="353"/>
        <v>0</v>
      </c>
      <c r="DZ127" s="3989">
        <f t="shared" si="354"/>
        <v>0</v>
      </c>
      <c r="EA127" s="3989">
        <f t="shared" si="355"/>
        <v>0</v>
      </c>
      <c r="EB127" s="3989">
        <f t="shared" si="356"/>
        <v>0</v>
      </c>
      <c r="EC127" s="3989">
        <f t="shared" si="357"/>
        <v>0</v>
      </c>
    </row>
    <row r="128" spans="1:133" x14ac:dyDescent="0.3">
      <c r="A128" s="4007" t="s">
        <v>1871</v>
      </c>
      <c r="B128" s="3991">
        <f t="shared" si="322"/>
        <v>0</v>
      </c>
      <c r="C128" s="345">
        <f t="shared" si="322"/>
        <v>0</v>
      </c>
      <c r="D128" s="4001"/>
      <c r="E128" s="3993"/>
      <c r="F128" s="3992"/>
      <c r="G128" s="3993"/>
      <c r="H128" s="3992"/>
      <c r="I128" s="3993"/>
      <c r="J128" s="3992"/>
      <c r="K128" s="3993"/>
      <c r="L128" s="3992"/>
      <c r="M128" s="3994"/>
      <c r="N128" s="3987"/>
      <c r="O128" s="3995"/>
      <c r="P128" s="3996"/>
      <c r="Q128" s="3995"/>
      <c r="R128" s="3996"/>
      <c r="S128" s="3995"/>
      <c r="T128" s="3996"/>
      <c r="U128" s="3995"/>
      <c r="V128" s="3996"/>
      <c r="W128" s="3995"/>
      <c r="X128" s="3996"/>
      <c r="Y128" s="3995"/>
      <c r="Z128" s="3996"/>
      <c r="AA128" s="3995"/>
      <c r="AB128" s="3996"/>
      <c r="AC128" s="3995"/>
      <c r="AD128" s="3996"/>
      <c r="AE128" s="3995"/>
      <c r="AF128" s="3996"/>
      <c r="AG128" s="3995"/>
      <c r="AH128" s="3996"/>
      <c r="AI128" s="3995"/>
      <c r="AJ128" s="3996"/>
      <c r="AK128" s="3995"/>
      <c r="AL128" s="3996"/>
      <c r="AM128" s="3995"/>
      <c r="AN128" s="3996"/>
      <c r="AO128" s="3995"/>
      <c r="AP128" s="3996"/>
      <c r="AQ128" s="3985"/>
      <c r="AR128" s="3987"/>
      <c r="AS128" s="3985"/>
      <c r="AT128" s="3986"/>
      <c r="AU128" s="3985"/>
      <c r="AV128" s="3987"/>
      <c r="AW128" s="3988"/>
      <c r="AX128" s="1898" t="str">
        <f t="shared" si="323"/>
        <v/>
      </c>
      <c r="CA128" s="1899" t="str">
        <f>IF(B128&lt;&gt;(AS128+AR128)," * La suma de las columnas "&amp;AR$10&amp;""&amp;" DEBE SER IGUAL a los Exámenes Procesados. ","")</f>
        <v/>
      </c>
      <c r="CB128" s="1899" t="str">
        <f t="shared" si="324"/>
        <v/>
      </c>
      <c r="CC128" s="1899" t="str">
        <f t="shared" si="325"/>
        <v/>
      </c>
      <c r="CD128" s="1899" t="str">
        <f t="shared" si="326"/>
        <v/>
      </c>
      <c r="CE128" s="1900"/>
      <c r="CF128" s="1900"/>
      <c r="CG128" s="1900"/>
      <c r="CH128" s="1900"/>
      <c r="CI128" s="1900"/>
      <c r="CJ128" s="1899" t="str">
        <f t="shared" si="327"/>
        <v/>
      </c>
      <c r="CK128" s="1899" t="str">
        <f t="shared" si="328"/>
        <v/>
      </c>
      <c r="CL128" s="1899" t="str">
        <f t="shared" si="329"/>
        <v/>
      </c>
      <c r="CM128" s="1899" t="str">
        <f t="shared" si="358"/>
        <v/>
      </c>
      <c r="CN128" s="1899" t="str">
        <f t="shared" si="330"/>
        <v/>
      </c>
      <c r="CO128" s="1899" t="str">
        <f t="shared" si="331"/>
        <v/>
      </c>
      <c r="CP128" s="1899" t="str">
        <f t="shared" si="332"/>
        <v/>
      </c>
      <c r="CQ128" s="1899" t="str">
        <f t="shared" si="333"/>
        <v/>
      </c>
      <c r="CR128" s="1899" t="str">
        <f t="shared" si="334"/>
        <v/>
      </c>
      <c r="CS128" s="1899" t="str">
        <f t="shared" si="335"/>
        <v/>
      </c>
      <c r="CT128" s="1899" t="str">
        <f t="shared" si="336"/>
        <v/>
      </c>
      <c r="CU128" s="1899" t="str">
        <f t="shared" si="337"/>
        <v/>
      </c>
      <c r="CV128" s="1899" t="str">
        <f t="shared" si="338"/>
        <v/>
      </c>
      <c r="CW128" s="1899" t="str">
        <f t="shared" si="339"/>
        <v/>
      </c>
      <c r="CX128" s="1899" t="str">
        <f t="shared" si="340"/>
        <v/>
      </c>
      <c r="DE128" s="1970"/>
      <c r="DF128" s="4005">
        <f>IF(B128&lt;&gt;(AS128+AR128),1,0)</f>
        <v>0</v>
      </c>
      <c r="DG128" s="3989">
        <f t="shared" si="341"/>
        <v>0</v>
      </c>
      <c r="DH128" s="3989">
        <f t="shared" si="342"/>
        <v>0</v>
      </c>
      <c r="DI128" s="3989">
        <f t="shared" si="343"/>
        <v>0</v>
      </c>
      <c r="DJ128" s="1900"/>
      <c r="DK128" s="1900"/>
      <c r="DL128" s="1900"/>
      <c r="DM128" s="1900"/>
      <c r="DN128" s="1900"/>
      <c r="DO128" s="3989">
        <f t="shared" si="344"/>
        <v>0</v>
      </c>
      <c r="DP128" s="3989">
        <f t="shared" si="345"/>
        <v>0</v>
      </c>
      <c r="DQ128" s="3989">
        <f t="shared" si="346"/>
        <v>0</v>
      </c>
      <c r="DR128" s="3989">
        <f t="shared" si="359"/>
        <v>0</v>
      </c>
      <c r="DS128" s="3989">
        <f t="shared" si="347"/>
        <v>0</v>
      </c>
      <c r="DT128" s="3989">
        <f t="shared" si="348"/>
        <v>0</v>
      </c>
      <c r="DU128" s="3989">
        <f t="shared" si="349"/>
        <v>0</v>
      </c>
      <c r="DV128" s="3989">
        <f t="shared" si="350"/>
        <v>0</v>
      </c>
      <c r="DW128" s="3989">
        <f t="shared" si="351"/>
        <v>0</v>
      </c>
      <c r="DX128" s="3989">
        <f t="shared" si="352"/>
        <v>0</v>
      </c>
      <c r="DY128" s="3989">
        <f t="shared" si="353"/>
        <v>0</v>
      </c>
      <c r="DZ128" s="3989">
        <f t="shared" si="354"/>
        <v>0</v>
      </c>
      <c r="EA128" s="3989">
        <f t="shared" si="355"/>
        <v>0</v>
      </c>
      <c r="EB128" s="3989">
        <f t="shared" si="356"/>
        <v>0</v>
      </c>
      <c r="EC128" s="3989">
        <f t="shared" si="357"/>
        <v>0</v>
      </c>
    </row>
    <row r="129" spans="1:133" x14ac:dyDescent="0.3">
      <c r="A129" s="4007" t="s">
        <v>1872</v>
      </c>
      <c r="B129" s="3991">
        <f t="shared" si="322"/>
        <v>0</v>
      </c>
      <c r="C129" s="345">
        <f t="shared" si="322"/>
        <v>0</v>
      </c>
      <c r="D129" s="4001"/>
      <c r="E129" s="3993"/>
      <c r="F129" s="3992"/>
      <c r="G129" s="3993"/>
      <c r="H129" s="3992"/>
      <c r="I129" s="3993"/>
      <c r="J129" s="3992"/>
      <c r="K129" s="3993"/>
      <c r="L129" s="3992"/>
      <c r="M129" s="3994"/>
      <c r="N129" s="3987"/>
      <c r="O129" s="3995"/>
      <c r="P129" s="3996"/>
      <c r="Q129" s="3995"/>
      <c r="R129" s="3996"/>
      <c r="S129" s="3995"/>
      <c r="T129" s="3996"/>
      <c r="U129" s="3995"/>
      <c r="V129" s="3996"/>
      <c r="W129" s="3995"/>
      <c r="X129" s="3996"/>
      <c r="Y129" s="3995"/>
      <c r="Z129" s="3996"/>
      <c r="AA129" s="3995"/>
      <c r="AB129" s="3996"/>
      <c r="AC129" s="3995"/>
      <c r="AD129" s="3996"/>
      <c r="AE129" s="3995"/>
      <c r="AF129" s="3996"/>
      <c r="AG129" s="3995"/>
      <c r="AH129" s="3996"/>
      <c r="AI129" s="3995"/>
      <c r="AJ129" s="3996"/>
      <c r="AK129" s="3995"/>
      <c r="AL129" s="3996"/>
      <c r="AM129" s="3995"/>
      <c r="AN129" s="3996"/>
      <c r="AO129" s="3995"/>
      <c r="AP129" s="3996"/>
      <c r="AQ129" s="3985"/>
      <c r="AR129" s="3984"/>
      <c r="AS129" s="3985"/>
      <c r="AT129" s="3986"/>
      <c r="AU129" s="3985"/>
      <c r="AV129" s="3987"/>
      <c r="AW129" s="3988"/>
      <c r="AX129" s="1898" t="str">
        <f t="shared" si="323"/>
        <v/>
      </c>
      <c r="CA129" s="1899" t="str">
        <f>IF(B129&lt;&gt;(AS129)," * La suma de las columnas "&amp;AR$10&amp;""&amp;" DEBE SER IGUAL a los Exámenes Procesados. ","")</f>
        <v/>
      </c>
      <c r="CB129" s="1899" t="str">
        <f t="shared" si="324"/>
        <v/>
      </c>
      <c r="CC129" s="1899" t="str">
        <f t="shared" si="325"/>
        <v/>
      </c>
      <c r="CD129" s="1899" t="str">
        <f t="shared" si="326"/>
        <v/>
      </c>
      <c r="CE129" s="1900"/>
      <c r="CF129" s="1900"/>
      <c r="CG129" s="1900"/>
      <c r="CH129" s="1900"/>
      <c r="CI129" s="1900"/>
      <c r="CJ129" s="1899" t="str">
        <f t="shared" si="327"/>
        <v/>
      </c>
      <c r="CK129" s="1899" t="str">
        <f t="shared" si="328"/>
        <v/>
      </c>
      <c r="CL129" s="1899" t="str">
        <f t="shared" si="329"/>
        <v/>
      </c>
      <c r="CM129" s="1899" t="str">
        <f t="shared" si="358"/>
        <v/>
      </c>
      <c r="CN129" s="1899" t="str">
        <f t="shared" si="330"/>
        <v/>
      </c>
      <c r="CO129" s="1899" t="str">
        <f t="shared" si="331"/>
        <v/>
      </c>
      <c r="CP129" s="1899" t="str">
        <f t="shared" si="332"/>
        <v/>
      </c>
      <c r="CQ129" s="1899" t="str">
        <f t="shared" si="333"/>
        <v/>
      </c>
      <c r="CR129" s="1899" t="str">
        <f t="shared" si="334"/>
        <v/>
      </c>
      <c r="CS129" s="1899" t="str">
        <f t="shared" si="335"/>
        <v/>
      </c>
      <c r="CT129" s="1899" t="str">
        <f t="shared" si="336"/>
        <v/>
      </c>
      <c r="CU129" s="1899" t="str">
        <f t="shared" si="337"/>
        <v/>
      </c>
      <c r="CV129" s="1899" t="str">
        <f t="shared" si="338"/>
        <v/>
      </c>
      <c r="CW129" s="1899" t="str">
        <f t="shared" si="339"/>
        <v/>
      </c>
      <c r="CX129" s="1899" t="str">
        <f t="shared" si="340"/>
        <v/>
      </c>
      <c r="DE129" s="1970"/>
      <c r="DF129" s="4005">
        <f>IF(B129&lt;&gt;(AS129),1,0)</f>
        <v>0</v>
      </c>
      <c r="DG129" s="3989">
        <f t="shared" si="341"/>
        <v>0</v>
      </c>
      <c r="DH129" s="3989">
        <f t="shared" si="342"/>
        <v>0</v>
      </c>
      <c r="DI129" s="3989">
        <f t="shared" si="343"/>
        <v>0</v>
      </c>
      <c r="DJ129" s="1900"/>
      <c r="DK129" s="1900"/>
      <c r="DL129" s="1900"/>
      <c r="DM129" s="1900"/>
      <c r="DN129" s="1900"/>
      <c r="DO129" s="3989">
        <f t="shared" si="344"/>
        <v>0</v>
      </c>
      <c r="DP129" s="3989">
        <f t="shared" si="345"/>
        <v>0</v>
      </c>
      <c r="DQ129" s="3989">
        <f t="shared" si="346"/>
        <v>0</v>
      </c>
      <c r="DR129" s="3989">
        <f t="shared" si="359"/>
        <v>0</v>
      </c>
      <c r="DS129" s="3989">
        <f t="shared" si="347"/>
        <v>0</v>
      </c>
      <c r="DT129" s="3989">
        <f t="shared" si="348"/>
        <v>0</v>
      </c>
      <c r="DU129" s="3989">
        <f t="shared" si="349"/>
        <v>0</v>
      </c>
      <c r="DV129" s="3989">
        <f t="shared" si="350"/>
        <v>0</v>
      </c>
      <c r="DW129" s="3989">
        <f t="shared" si="351"/>
        <v>0</v>
      </c>
      <c r="DX129" s="3989">
        <f t="shared" si="352"/>
        <v>0</v>
      </c>
      <c r="DY129" s="3989">
        <f t="shared" si="353"/>
        <v>0</v>
      </c>
      <c r="DZ129" s="3989">
        <f t="shared" si="354"/>
        <v>0</v>
      </c>
      <c r="EA129" s="3989">
        <f t="shared" si="355"/>
        <v>0</v>
      </c>
      <c r="EB129" s="3989">
        <f t="shared" si="356"/>
        <v>0</v>
      </c>
      <c r="EC129" s="3989">
        <f t="shared" si="357"/>
        <v>0</v>
      </c>
    </row>
    <row r="130" spans="1:133" x14ac:dyDescent="0.3">
      <c r="A130" s="4006" t="s">
        <v>1873</v>
      </c>
      <c r="B130" s="3991">
        <f t="shared" si="322"/>
        <v>0</v>
      </c>
      <c r="C130" s="345">
        <f t="shared" si="322"/>
        <v>0</v>
      </c>
      <c r="D130" s="4001"/>
      <c r="E130" s="3993"/>
      <c r="F130" s="3992"/>
      <c r="G130" s="3993"/>
      <c r="H130" s="3992"/>
      <c r="I130" s="3993"/>
      <c r="J130" s="3992"/>
      <c r="K130" s="3993"/>
      <c r="L130" s="3992"/>
      <c r="M130" s="3994"/>
      <c r="N130" s="3987"/>
      <c r="O130" s="3995"/>
      <c r="P130" s="3996"/>
      <c r="Q130" s="3995"/>
      <c r="R130" s="3996"/>
      <c r="S130" s="3995"/>
      <c r="T130" s="3996"/>
      <c r="U130" s="3995"/>
      <c r="V130" s="3996"/>
      <c r="W130" s="3995"/>
      <c r="X130" s="3996"/>
      <c r="Y130" s="3995"/>
      <c r="Z130" s="3996"/>
      <c r="AA130" s="3995"/>
      <c r="AB130" s="3996"/>
      <c r="AC130" s="3995"/>
      <c r="AD130" s="3996"/>
      <c r="AE130" s="3995"/>
      <c r="AF130" s="3996"/>
      <c r="AG130" s="3995"/>
      <c r="AH130" s="3996"/>
      <c r="AI130" s="3995"/>
      <c r="AJ130" s="3996"/>
      <c r="AK130" s="3995"/>
      <c r="AL130" s="3996"/>
      <c r="AM130" s="3995"/>
      <c r="AN130" s="3996"/>
      <c r="AO130" s="3995"/>
      <c r="AP130" s="3996"/>
      <c r="AQ130" s="3985"/>
      <c r="AR130" s="3984"/>
      <c r="AS130" s="3985"/>
      <c r="AT130" s="3986"/>
      <c r="AU130" s="3985"/>
      <c r="AV130" s="3987"/>
      <c r="AW130" s="3988"/>
      <c r="AX130" s="1898" t="str">
        <f t="shared" si="323"/>
        <v/>
      </c>
      <c r="CA130" s="1899" t="str">
        <f>IF(B130&lt;&gt;(AS130)," * La suma de las columnas "&amp;AR$10&amp;""&amp;" DEBE SER IGUAL a los Exámenes Procesados. ","")</f>
        <v/>
      </c>
      <c r="CB130" s="1899" t="str">
        <f t="shared" si="324"/>
        <v/>
      </c>
      <c r="CC130" s="1899" t="str">
        <f t="shared" si="325"/>
        <v/>
      </c>
      <c r="CD130" s="1899" t="str">
        <f t="shared" si="326"/>
        <v/>
      </c>
      <c r="CE130" s="1900"/>
      <c r="CF130" s="1900"/>
      <c r="CG130" s="1900"/>
      <c r="CH130" s="1900"/>
      <c r="CI130" s="1900"/>
      <c r="CJ130" s="1899" t="str">
        <f t="shared" si="327"/>
        <v/>
      </c>
      <c r="CK130" s="1899" t="str">
        <f t="shared" si="328"/>
        <v/>
      </c>
      <c r="CL130" s="1899" t="str">
        <f t="shared" si="329"/>
        <v/>
      </c>
      <c r="CM130" s="1899" t="str">
        <f t="shared" si="358"/>
        <v/>
      </c>
      <c r="CN130" s="1899" t="str">
        <f t="shared" si="330"/>
        <v/>
      </c>
      <c r="CO130" s="1899" t="str">
        <f t="shared" si="331"/>
        <v/>
      </c>
      <c r="CP130" s="1899" t="str">
        <f t="shared" si="332"/>
        <v/>
      </c>
      <c r="CQ130" s="1899" t="str">
        <f t="shared" si="333"/>
        <v/>
      </c>
      <c r="CR130" s="1899" t="str">
        <f t="shared" si="334"/>
        <v/>
      </c>
      <c r="CS130" s="1899" t="str">
        <f t="shared" si="335"/>
        <v/>
      </c>
      <c r="CT130" s="1899" t="str">
        <f t="shared" si="336"/>
        <v/>
      </c>
      <c r="CU130" s="1899" t="str">
        <f t="shared" si="337"/>
        <v/>
      </c>
      <c r="CV130" s="1899" t="str">
        <f t="shared" si="338"/>
        <v/>
      </c>
      <c r="CW130" s="1899" t="str">
        <f t="shared" si="339"/>
        <v/>
      </c>
      <c r="CX130" s="1899" t="str">
        <f t="shared" si="340"/>
        <v/>
      </c>
      <c r="DE130" s="1970"/>
      <c r="DF130" s="4005">
        <f>IF(B130&lt;&gt;(AS130),1,0)</f>
        <v>0</v>
      </c>
      <c r="DG130" s="3989">
        <f t="shared" si="341"/>
        <v>0</v>
      </c>
      <c r="DH130" s="3989">
        <f t="shared" si="342"/>
        <v>0</v>
      </c>
      <c r="DI130" s="3989">
        <f t="shared" si="343"/>
        <v>0</v>
      </c>
      <c r="DJ130" s="1900"/>
      <c r="DK130" s="1900"/>
      <c r="DL130" s="1900"/>
      <c r="DM130" s="1900"/>
      <c r="DN130" s="1900"/>
      <c r="DO130" s="3989">
        <f t="shared" si="344"/>
        <v>0</v>
      </c>
      <c r="DP130" s="3989">
        <f t="shared" si="345"/>
        <v>0</v>
      </c>
      <c r="DQ130" s="3989">
        <f t="shared" si="346"/>
        <v>0</v>
      </c>
      <c r="DR130" s="3989">
        <f t="shared" si="359"/>
        <v>0</v>
      </c>
      <c r="DS130" s="3989">
        <f t="shared" si="347"/>
        <v>0</v>
      </c>
      <c r="DT130" s="3989">
        <f t="shared" si="348"/>
        <v>0</v>
      </c>
      <c r="DU130" s="3989">
        <f t="shared" si="349"/>
        <v>0</v>
      </c>
      <c r="DV130" s="3989">
        <f t="shared" si="350"/>
        <v>0</v>
      </c>
      <c r="DW130" s="3989">
        <f t="shared" si="351"/>
        <v>0</v>
      </c>
      <c r="DX130" s="3989">
        <f t="shared" si="352"/>
        <v>0</v>
      </c>
      <c r="DY130" s="3989">
        <f t="shared" si="353"/>
        <v>0</v>
      </c>
      <c r="DZ130" s="3989">
        <f t="shared" si="354"/>
        <v>0</v>
      </c>
      <c r="EA130" s="3989">
        <f t="shared" si="355"/>
        <v>0</v>
      </c>
      <c r="EB130" s="3989">
        <f t="shared" si="356"/>
        <v>0</v>
      </c>
      <c r="EC130" s="3989">
        <f t="shared" si="357"/>
        <v>0</v>
      </c>
    </row>
    <row r="131" spans="1:133" x14ac:dyDescent="0.3">
      <c r="A131" s="4006" t="s">
        <v>1874</v>
      </c>
      <c r="B131" s="3991">
        <f>+D131+F131+H131+J131+L131+N131+P131+R131+T131+V131+X131+Z131+AB131+AD131+AF131+AH131+AJ131+AL131+AN131+AP131</f>
        <v>0</v>
      </c>
      <c r="C131" s="345">
        <f>+E131+G131+I131+K131+M131+O131+Q131+S131+U131+W131+Y131+AA131+AC131+AE131+AG131+AI131+AK131+AM131+AO131+AQ131</f>
        <v>0</v>
      </c>
      <c r="D131" s="3987"/>
      <c r="E131" s="3995"/>
      <c r="F131" s="3996"/>
      <c r="G131" s="3995"/>
      <c r="H131" s="3996"/>
      <c r="I131" s="3988"/>
      <c r="J131" s="3987"/>
      <c r="K131" s="3987"/>
      <c r="L131" s="3996"/>
      <c r="M131" s="3988"/>
      <c r="N131" s="3987"/>
      <c r="O131" s="3995"/>
      <c r="P131" s="3996"/>
      <c r="Q131" s="3995"/>
      <c r="R131" s="3996"/>
      <c r="S131" s="3995"/>
      <c r="T131" s="3996"/>
      <c r="U131" s="3995"/>
      <c r="V131" s="3996"/>
      <c r="W131" s="3995"/>
      <c r="X131" s="3996"/>
      <c r="Y131" s="3995"/>
      <c r="Z131" s="3996"/>
      <c r="AA131" s="3995"/>
      <c r="AB131" s="3996"/>
      <c r="AC131" s="3995"/>
      <c r="AD131" s="3996"/>
      <c r="AE131" s="3995"/>
      <c r="AF131" s="3996"/>
      <c r="AG131" s="3995"/>
      <c r="AH131" s="3996"/>
      <c r="AI131" s="3995"/>
      <c r="AJ131" s="3996"/>
      <c r="AK131" s="3995"/>
      <c r="AL131" s="3996"/>
      <c r="AM131" s="3995"/>
      <c r="AN131" s="3996"/>
      <c r="AO131" s="3995"/>
      <c r="AP131" s="3996"/>
      <c r="AQ131" s="3985"/>
      <c r="AR131" s="3984"/>
      <c r="AS131" s="3985"/>
      <c r="AT131" s="3986"/>
      <c r="AU131" s="3985"/>
      <c r="AV131" s="3987"/>
      <c r="AW131" s="3988"/>
      <c r="AX131" s="1898" t="str">
        <f>$CA131&amp;CB131&amp;CC131&amp;$CD131&amp;CJ131&amp;CE131&amp;CF131&amp;CG131&amp;CH131&amp;CI131&amp;CK131&amp;CL131&amp;CM131&amp;CN131&amp;CO131&amp;CP131&amp;CQ131&amp;CR131&amp;CS131&amp;CT131&amp;CU131&amp;CV131&amp;CW131&amp;CX131</f>
        <v/>
      </c>
      <c r="CA131" s="1899" t="str">
        <f>IF(B131&lt;&gt;(AS131)," * La suma de las columnas "&amp;AR$10&amp;""&amp;" DEBE SER IGUAL a los Exámenes Procesados. ","")</f>
        <v/>
      </c>
      <c r="CB131" s="1899" t="str">
        <f t="shared" si="324"/>
        <v/>
      </c>
      <c r="CC131" s="1899" t="str">
        <f t="shared" si="325"/>
        <v/>
      </c>
      <c r="CD131" s="1899" t="str">
        <f t="shared" si="326"/>
        <v/>
      </c>
      <c r="CE131" s="1899" t="str">
        <f>IF(D131&lt;E131,CONCATENATE("* El total de Procesados debe ser mayor o igual al total de Reactivos en el grupo de edad ",$D$11),"")</f>
        <v/>
      </c>
      <c r="CF131" s="1899" t="str">
        <f>IF(F131&lt;G131,CONCATENATE("* El total de Procesados debe ser mayor o igual al total de Reactivos en el grupo de edad ",$F$11),"")</f>
        <v/>
      </c>
      <c r="CG131" s="1899" t="str">
        <f>IF(H131&lt;I131,CONCATENATE("* El total de Procesados debe ser mayor o igual al total de Reactivos en el grupo de edad ",$H$11),"")</f>
        <v/>
      </c>
      <c r="CH131" s="1899" t="str">
        <f>IF(J131&lt;K131,CONCATENATE("* El total de Procesados debe ser mayor o igual al total de Reactivos en el grupo de edad ",$J$11),"")</f>
        <v/>
      </c>
      <c r="CI131" s="1899" t="str">
        <f>IF(L131&lt;M131,CONCATENATE("* El total de Procesados debe ser mayor o igual al total de Reactivos en el grupo de edad ",$L$11),"")</f>
        <v/>
      </c>
      <c r="CJ131" s="1899" t="str">
        <f t="shared" si="327"/>
        <v/>
      </c>
      <c r="CK131" s="1899" t="str">
        <f t="shared" si="328"/>
        <v/>
      </c>
      <c r="CL131" s="1899" t="str">
        <f t="shared" si="329"/>
        <v/>
      </c>
      <c r="CM131" s="1899" t="str">
        <f t="shared" si="358"/>
        <v/>
      </c>
      <c r="CN131" s="1899" t="str">
        <f t="shared" si="330"/>
        <v/>
      </c>
      <c r="CO131" s="1899" t="str">
        <f t="shared" si="331"/>
        <v/>
      </c>
      <c r="CP131" s="1899" t="str">
        <f t="shared" si="332"/>
        <v/>
      </c>
      <c r="CQ131" s="1899" t="str">
        <f t="shared" si="333"/>
        <v/>
      </c>
      <c r="CR131" s="1899" t="str">
        <f t="shared" si="334"/>
        <v/>
      </c>
      <c r="CS131" s="1899" t="str">
        <f t="shared" si="335"/>
        <v/>
      </c>
      <c r="CT131" s="1899" t="str">
        <f t="shared" si="336"/>
        <v/>
      </c>
      <c r="CU131" s="1899" t="str">
        <f t="shared" si="337"/>
        <v/>
      </c>
      <c r="CV131" s="1899" t="str">
        <f t="shared" si="338"/>
        <v/>
      </c>
      <c r="CW131" s="1899" t="str">
        <f t="shared" si="339"/>
        <v/>
      </c>
      <c r="CX131" s="1899" t="str">
        <f t="shared" si="340"/>
        <v/>
      </c>
      <c r="DE131" s="1970"/>
      <c r="DF131" s="4005">
        <f>IF(B131&lt;&gt;(AS131),1,0)</f>
        <v>0</v>
      </c>
      <c r="DG131" s="3989">
        <f t="shared" si="341"/>
        <v>0</v>
      </c>
      <c r="DH131" s="3989">
        <f t="shared" si="342"/>
        <v>0</v>
      </c>
      <c r="DI131" s="3989">
        <f t="shared" si="343"/>
        <v>0</v>
      </c>
      <c r="DJ131" s="3989">
        <f>IF(D131&lt;E131,1,0)</f>
        <v>0</v>
      </c>
      <c r="DK131" s="3989">
        <f>IF(F131&lt;G131,1,0)</f>
        <v>0</v>
      </c>
      <c r="DL131" s="3989">
        <f>IF(H131&lt;I131,1,0)</f>
        <v>0</v>
      </c>
      <c r="DM131" s="3989">
        <f>IF(J131&lt;K131,1,0)</f>
        <v>0</v>
      </c>
      <c r="DN131" s="3989">
        <f>IF(L131&lt;M131,1,0)</f>
        <v>0</v>
      </c>
      <c r="DO131" s="3989">
        <f t="shared" si="344"/>
        <v>0</v>
      </c>
      <c r="DP131" s="3989">
        <f t="shared" si="345"/>
        <v>0</v>
      </c>
      <c r="DQ131" s="3989">
        <f t="shared" si="346"/>
        <v>0</v>
      </c>
      <c r="DR131" s="3989">
        <f t="shared" si="359"/>
        <v>0</v>
      </c>
      <c r="DS131" s="3989">
        <f t="shared" si="347"/>
        <v>0</v>
      </c>
      <c r="DT131" s="3989">
        <f t="shared" si="348"/>
        <v>0</v>
      </c>
      <c r="DU131" s="3989">
        <f t="shared" si="349"/>
        <v>0</v>
      </c>
      <c r="DV131" s="3989">
        <f t="shared" si="350"/>
        <v>0</v>
      </c>
      <c r="DW131" s="3989">
        <f t="shared" si="351"/>
        <v>0</v>
      </c>
      <c r="DX131" s="3989">
        <f t="shared" si="352"/>
        <v>0</v>
      </c>
      <c r="DY131" s="3989">
        <f t="shared" si="353"/>
        <v>0</v>
      </c>
      <c r="DZ131" s="3989">
        <f t="shared" si="354"/>
        <v>0</v>
      </c>
      <c r="EA131" s="3989">
        <f t="shared" si="355"/>
        <v>0</v>
      </c>
      <c r="EB131" s="3989">
        <f t="shared" si="356"/>
        <v>0</v>
      </c>
      <c r="EC131" s="3989">
        <f t="shared" si="357"/>
        <v>0</v>
      </c>
    </row>
    <row r="132" spans="1:133" ht="20.399999999999999" x14ac:dyDescent="0.3">
      <c r="A132" s="4007" t="s">
        <v>1875</v>
      </c>
      <c r="B132" s="3991">
        <f>+D132+F132+H132</f>
        <v>0</v>
      </c>
      <c r="C132" s="345">
        <f>+E132+G132+I132</f>
        <v>0</v>
      </c>
      <c r="D132" s="3987"/>
      <c r="E132" s="3995"/>
      <c r="F132" s="3996"/>
      <c r="G132" s="3995"/>
      <c r="H132" s="3996"/>
      <c r="I132" s="3988"/>
      <c r="J132" s="3997"/>
      <c r="K132" s="3998"/>
      <c r="L132" s="3997"/>
      <c r="M132" s="3998"/>
      <c r="N132" s="3997"/>
      <c r="O132" s="3998"/>
      <c r="P132" s="3997"/>
      <c r="Q132" s="3998"/>
      <c r="R132" s="3997"/>
      <c r="S132" s="3998"/>
      <c r="T132" s="3997"/>
      <c r="U132" s="3998"/>
      <c r="V132" s="3997"/>
      <c r="W132" s="3998"/>
      <c r="X132" s="3997"/>
      <c r="Y132" s="3998"/>
      <c r="Z132" s="3997"/>
      <c r="AA132" s="3998"/>
      <c r="AB132" s="3997"/>
      <c r="AC132" s="3998"/>
      <c r="AD132" s="3997"/>
      <c r="AE132" s="3998"/>
      <c r="AF132" s="3997"/>
      <c r="AG132" s="3998"/>
      <c r="AH132" s="3997"/>
      <c r="AI132" s="3998"/>
      <c r="AJ132" s="3997"/>
      <c r="AK132" s="3998"/>
      <c r="AL132" s="3997"/>
      <c r="AM132" s="3998"/>
      <c r="AN132" s="3997"/>
      <c r="AO132" s="3998"/>
      <c r="AP132" s="3997"/>
      <c r="AQ132" s="3999"/>
      <c r="AR132" s="3987"/>
      <c r="AS132" s="3985"/>
      <c r="AT132" s="3986"/>
      <c r="AU132" s="3985"/>
      <c r="AV132" s="3987"/>
      <c r="AW132" s="3988"/>
      <c r="AX132" s="1898" t="str">
        <f>$CA132&amp;CB132&amp;CC132&amp;$CD132&amp;CE132&amp;CF132&amp;CG132</f>
        <v/>
      </c>
      <c r="CA132" s="1899" t="str">
        <f t="shared" ref="CA132:CA140" si="360">IF(B132&lt;&gt;(AS132+AR132)," * La suma de las columnas "&amp;AR$10&amp;""&amp;" DEBE SER IGUAL a los Exámenes Procesados. ","")</f>
        <v/>
      </c>
      <c r="CB132" s="1899" t="str">
        <f t="shared" si="324"/>
        <v/>
      </c>
      <c r="CC132" s="1899" t="str">
        <f t="shared" si="325"/>
        <v/>
      </c>
      <c r="CD132" s="1899" t="str">
        <f t="shared" si="326"/>
        <v/>
      </c>
      <c r="CE132" s="1899" t="str">
        <f>IF(D132&lt;E132,CONCATENATE("* El total de Procesados debe ser mayor o igual al total de Reactivos en el grupo de edad ",$D$11),"")</f>
        <v/>
      </c>
      <c r="CF132" s="1899" t="str">
        <f>IF(F132&lt;G132,CONCATENATE("* El total de Procesados debe ser mayor o igual al total de Reactivos en el grupo de edad ",$F$11),"")</f>
        <v/>
      </c>
      <c r="CG132" s="1899" t="str">
        <f>IF(H132&lt;I132,CONCATENATE("* El total de Procesados debe ser mayor o igual al total de Reactivos en el grupo de edad ",$H$11),"")</f>
        <v/>
      </c>
      <c r="CH132" s="1902"/>
      <c r="CI132" s="1902"/>
      <c r="CJ132" s="4000"/>
      <c r="CK132" s="1902"/>
      <c r="CL132" s="1902"/>
      <c r="CM132" s="1902"/>
      <c r="CN132" s="1902"/>
      <c r="CO132" s="1902"/>
      <c r="CP132" s="1902"/>
      <c r="CQ132" s="1902"/>
      <c r="CR132" s="1902"/>
      <c r="CS132" s="1902"/>
      <c r="CT132" s="1902"/>
      <c r="CU132" s="1902"/>
      <c r="CV132" s="1902"/>
      <c r="CW132" s="1902"/>
      <c r="CX132" s="1902"/>
      <c r="DE132" s="1970"/>
      <c r="DF132" s="4005">
        <f t="shared" ref="DF132:DF140" si="361">IF(B132&lt;&gt;(AS132+AR132),1,0)</f>
        <v>0</v>
      </c>
      <c r="DG132" s="3989">
        <f t="shared" si="341"/>
        <v>0</v>
      </c>
      <c r="DH132" s="3989">
        <f t="shared" si="342"/>
        <v>0</v>
      </c>
      <c r="DI132" s="3989">
        <f t="shared" si="343"/>
        <v>0</v>
      </c>
      <c r="DJ132" s="3989">
        <f>IF(D132&lt;E132,1,0)</f>
        <v>0</v>
      </c>
      <c r="DK132" s="3989">
        <f>IF(F132&lt;G132,1,0)</f>
        <v>0</v>
      </c>
      <c r="DL132" s="3989">
        <f>IF(H132&lt;I132,1,0)</f>
        <v>0</v>
      </c>
      <c r="DM132" s="1902"/>
      <c r="DN132" s="1902"/>
      <c r="DO132" s="1900"/>
      <c r="DP132" s="1900"/>
      <c r="DQ132" s="1900"/>
      <c r="DR132" s="1900"/>
      <c r="DS132" s="1900"/>
      <c r="DT132" s="1900"/>
      <c r="DU132" s="1900"/>
      <c r="DV132" s="1900"/>
      <c r="DW132" s="1900"/>
      <c r="DX132" s="1900"/>
      <c r="DY132" s="1900"/>
      <c r="DZ132" s="1900"/>
      <c r="EA132" s="1900"/>
      <c r="EB132" s="1900"/>
      <c r="EC132" s="1900"/>
    </row>
    <row r="133" spans="1:133" x14ac:dyDescent="0.3">
      <c r="A133" s="4007" t="s">
        <v>1876</v>
      </c>
      <c r="B133" s="3991">
        <f>+P133+R133+T133+V133+X133+Z133+AB133+AD133+AF133+AH133+AJ133+AL133+AN133+AP133</f>
        <v>0</v>
      </c>
      <c r="C133" s="345">
        <f>+Q133+S133+U133+W133+Y133+AA133+AC133+AE133+AG133+AI133+AK133+AM133+AO133+AQ133</f>
        <v>0</v>
      </c>
      <c r="D133" s="4001"/>
      <c r="E133" s="3993"/>
      <c r="F133" s="3992"/>
      <c r="G133" s="3993"/>
      <c r="H133" s="3992"/>
      <c r="I133" s="3993"/>
      <c r="J133" s="3992"/>
      <c r="K133" s="3993"/>
      <c r="L133" s="3992"/>
      <c r="M133" s="3994"/>
      <c r="N133" s="4001"/>
      <c r="O133" s="3993"/>
      <c r="P133" s="3996"/>
      <c r="Q133" s="3995"/>
      <c r="R133" s="3996"/>
      <c r="S133" s="3995"/>
      <c r="T133" s="3996"/>
      <c r="U133" s="3995"/>
      <c r="V133" s="3996"/>
      <c r="W133" s="3995"/>
      <c r="X133" s="3996"/>
      <c r="Y133" s="3995"/>
      <c r="Z133" s="3996"/>
      <c r="AA133" s="3995"/>
      <c r="AB133" s="3996"/>
      <c r="AC133" s="3995"/>
      <c r="AD133" s="3996"/>
      <c r="AE133" s="3995"/>
      <c r="AF133" s="3996"/>
      <c r="AG133" s="3995"/>
      <c r="AH133" s="3996"/>
      <c r="AI133" s="3995"/>
      <c r="AJ133" s="3996"/>
      <c r="AK133" s="3995"/>
      <c r="AL133" s="3996"/>
      <c r="AM133" s="3995"/>
      <c r="AN133" s="3996"/>
      <c r="AO133" s="3995"/>
      <c r="AP133" s="3996"/>
      <c r="AQ133" s="3985"/>
      <c r="AR133" s="3987"/>
      <c r="AS133" s="3985"/>
      <c r="AT133" s="3986"/>
      <c r="AU133" s="3985"/>
      <c r="AV133" s="3987"/>
      <c r="AW133" s="3988"/>
      <c r="AX133" s="1898" t="str">
        <f>$CA133&amp;CB133&amp;CC133&amp;$CD133&amp;CK133&amp;CL133&amp;CM133&amp;CN133&amp;CO133&amp;CP133&amp;CQ133&amp;CR133&amp;CS133&amp;CT133&amp;CU133&amp;CV133&amp;CW133&amp;CX133</f>
        <v/>
      </c>
      <c r="CA133" s="1899" t="str">
        <f t="shared" si="360"/>
        <v/>
      </c>
      <c r="CB133" s="1899" t="str">
        <f t="shared" si="324"/>
        <v/>
      </c>
      <c r="CC133" s="1899" t="str">
        <f t="shared" si="325"/>
        <v/>
      </c>
      <c r="CD133" s="1899" t="str">
        <f t="shared" si="326"/>
        <v/>
      </c>
      <c r="CE133" s="4000"/>
      <c r="CF133" s="4000"/>
      <c r="CG133" s="1902"/>
      <c r="CH133" s="1902"/>
      <c r="CI133" s="1902"/>
      <c r="CJ133" s="4000"/>
      <c r="CK133" s="1899" t="str">
        <f t="shared" ref="CK133:CK140" si="362">IF(P133&lt;Q133,CONCATENATE("* El total de Procesados debe ser mayor o igual al total de Reactivos en el grupo de edad ",$P$11),"")</f>
        <v/>
      </c>
      <c r="CL133" s="1899" t="str">
        <f t="shared" ref="CL133:CL140" si="363">IF(R133&lt;S133,CONCATENATE("* El total de Procesados debe ser mayor o igual al total de Reactivos en el grupo de edad ",$R$11),"")</f>
        <v/>
      </c>
      <c r="CM133" s="1899" t="str">
        <f t="shared" si="358"/>
        <v/>
      </c>
      <c r="CN133" s="1899" t="str">
        <f t="shared" ref="CN133:CN140" si="364">IF(V133&lt;W133,CONCATENATE("* El total de Procesados debe ser mayor o igual al total de Reactivos en el grupo de edad ",$V$11),"")</f>
        <v/>
      </c>
      <c r="CO133" s="1899" t="str">
        <f t="shared" ref="CO133:CO140" si="365">IF(X133&lt;Y133,CONCATENATE("* El total de Procesados debe ser mayor o igual al total de Reactivos en el grupo de edad ",$X$11),"")</f>
        <v/>
      </c>
      <c r="CP133" s="1899" t="str">
        <f t="shared" ref="CP133:CP140" si="366">IF(Z133&lt;AA133,CONCATENATE("* El total de Procesados debe ser mayor o igual al total de Reactivos en el grupo de edad ",$Z$11),"")</f>
        <v/>
      </c>
      <c r="CQ133" s="1899" t="str">
        <f t="shared" ref="CQ133:CQ140" si="367">IF(AB133&lt;AC133,CONCATENATE("* El total de Procesados debe ser mayor o igual al total de Reactivos en el grupo de edad ",$AB$11),"")</f>
        <v/>
      </c>
      <c r="CR133" s="1899" t="str">
        <f t="shared" ref="CR133:CR140" si="368">IF(AD133&lt;AE133,CONCATENATE("* El total de Procesados debe ser mayor o igual al total de Reactivos en el grupo de edad ",$AD$11),"")</f>
        <v/>
      </c>
      <c r="CS133" s="1899" t="str">
        <f t="shared" ref="CS133:CS140" si="369">IF(AF133&lt;AG133,CONCATENATE("* El total de Procesados debe ser mayor o igual al total de Reactivos en el grupo de edad ",$AF$11),"")</f>
        <v/>
      </c>
      <c r="CT133" s="1899" t="str">
        <f t="shared" ref="CT133:CT140" si="370">IF(AH133&lt;AI133,CONCATENATE("* El total de Procesados debe ser mayor o igual al total de Reactivos en el grupo de edad ",$AH$11),"")</f>
        <v/>
      </c>
      <c r="CU133" s="1899" t="str">
        <f>IF(AJ133&lt;AK133,CONCATENATE("* El total de Procesados debe ser mayor o igual al total de Reactivos en el grupo de edad ",$AJ$11),"")</f>
        <v/>
      </c>
      <c r="CV133" s="1899" t="str">
        <f>IF(AL133&lt;AM133,CONCATENATE("* El total de Procesados debe ser mayor o igual al total de Reactivos en el grupo de edad ",$AL$11),"")</f>
        <v/>
      </c>
      <c r="CW133" s="1899" t="str">
        <f>IF(AN133&lt;AO133,CONCATENATE("* El total de Procesados debe ser mayor o igual al total de Reactivos en el grupo de edad ",$AN$11),"")</f>
        <v/>
      </c>
      <c r="CX133" s="1899" t="str">
        <f>IF(AP133&lt;AQ133,CONCATENATE("* El total de Procesados debe ser mayor o igual al total de Reactivos en el grupo de edad ",$AP$11),"")</f>
        <v/>
      </c>
      <c r="DE133" s="1970"/>
      <c r="DF133" s="4005">
        <f t="shared" si="361"/>
        <v>0</v>
      </c>
      <c r="DG133" s="3989">
        <f t="shared" si="341"/>
        <v>0</v>
      </c>
      <c r="DH133" s="3989">
        <f t="shared" si="342"/>
        <v>0</v>
      </c>
      <c r="DI133" s="3989">
        <f t="shared" si="343"/>
        <v>0</v>
      </c>
      <c r="DJ133" s="1902"/>
      <c r="DK133" s="1902"/>
      <c r="DL133" s="1902"/>
      <c r="DM133" s="1902"/>
      <c r="DN133" s="1902"/>
      <c r="DO133" s="1900"/>
      <c r="DP133" s="3989">
        <f t="shared" ref="DP133:DP140" si="371">IF(P133&lt;Q133,1,0)</f>
        <v>0</v>
      </c>
      <c r="DQ133" s="3989">
        <f t="shared" ref="DQ133:DQ140" si="372">IF(R133&lt;S133,1,0)</f>
        <v>0</v>
      </c>
      <c r="DR133" s="3989">
        <f t="shared" si="359"/>
        <v>0</v>
      </c>
      <c r="DS133" s="3989">
        <f t="shared" ref="DS133:DS140" si="373">IF(V133&lt;W133,1,0)</f>
        <v>0</v>
      </c>
      <c r="DT133" s="3989">
        <f t="shared" ref="DT133:DT140" si="374">IF(X133&lt;Y133,1,0)</f>
        <v>0</v>
      </c>
      <c r="DU133" s="3989">
        <f t="shared" ref="DU133:DU140" si="375">IF(Z133&lt;AA133,1,0)</f>
        <v>0</v>
      </c>
      <c r="DV133" s="3989">
        <f t="shared" ref="DV133:DV140" si="376">IF(AB133&lt;AC133,1,0)</f>
        <v>0</v>
      </c>
      <c r="DW133" s="3989">
        <f t="shared" ref="DW133:DW140" si="377">IF(AD133&lt;AE133,1,0)</f>
        <v>0</v>
      </c>
      <c r="DX133" s="3989">
        <f t="shared" ref="DX133:DX140" si="378">IF(AF133&lt;AG133,1,0)</f>
        <v>0</v>
      </c>
      <c r="DY133" s="3989">
        <f t="shared" ref="DY133:DY140" si="379">IF(AH133&lt;AI133,1,0)</f>
        <v>0</v>
      </c>
      <c r="DZ133" s="3989">
        <f>IF(AJ133&lt;AK133,1,0)</f>
        <v>0</v>
      </c>
      <c r="EA133" s="3989">
        <f>IF(AL133&lt;AM133,1,0)</f>
        <v>0</v>
      </c>
      <c r="EB133" s="3989">
        <f>IF(AN133&lt;AO133,1,0)</f>
        <v>0</v>
      </c>
      <c r="EC133" s="3989">
        <f>IF(AP133&lt;AQ133,1,0)</f>
        <v>0</v>
      </c>
    </row>
    <row r="134" spans="1:133" x14ac:dyDescent="0.3">
      <c r="A134" s="4006" t="s">
        <v>1877</v>
      </c>
      <c r="B134" s="3991">
        <f>+N134+P134+R134+T134+V134+X134+Z134+AB134+AD134+AF134+AH134+AJ134+AL134+AN134+AP134</f>
        <v>0</v>
      </c>
      <c r="C134" s="345">
        <f>+O134+Q134+S134+U134+W134+Y134+AA134+AC134+AE134+AG134+AI134+AK134+AM134+AO134+AQ134</f>
        <v>0</v>
      </c>
      <c r="D134" s="3984"/>
      <c r="E134" s="3998"/>
      <c r="F134" s="3997"/>
      <c r="G134" s="3998"/>
      <c r="H134" s="3997"/>
      <c r="I134" s="4002"/>
      <c r="J134" s="3984"/>
      <c r="K134" s="3984"/>
      <c r="L134" s="3997"/>
      <c r="M134" s="4002"/>
      <c r="N134" s="3987"/>
      <c r="O134" s="3995"/>
      <c r="P134" s="3996"/>
      <c r="Q134" s="3995"/>
      <c r="R134" s="3996"/>
      <c r="S134" s="3995"/>
      <c r="T134" s="3996"/>
      <c r="U134" s="3995"/>
      <c r="V134" s="3996"/>
      <c r="W134" s="3995"/>
      <c r="X134" s="3996"/>
      <c r="Y134" s="3995"/>
      <c r="Z134" s="3996"/>
      <c r="AA134" s="3995"/>
      <c r="AB134" s="3996"/>
      <c r="AC134" s="3995"/>
      <c r="AD134" s="3996"/>
      <c r="AE134" s="3995"/>
      <c r="AF134" s="3996"/>
      <c r="AG134" s="3995"/>
      <c r="AH134" s="3996"/>
      <c r="AI134" s="3995"/>
      <c r="AJ134" s="3996"/>
      <c r="AK134" s="3995"/>
      <c r="AL134" s="3996"/>
      <c r="AM134" s="3995"/>
      <c r="AN134" s="3996"/>
      <c r="AO134" s="3995"/>
      <c r="AP134" s="3996"/>
      <c r="AQ134" s="3985"/>
      <c r="AR134" s="3987"/>
      <c r="AS134" s="3985"/>
      <c r="AT134" s="3986"/>
      <c r="AU134" s="3985"/>
      <c r="AV134" s="3987"/>
      <c r="AW134" s="3988"/>
      <c r="AX134" s="1898" t="str">
        <f>$CA134&amp;CB134&amp;CC134&amp;$CD134&amp;CJ134&amp;CK134&amp;CL134&amp;CM134&amp;CN134&amp;CO134&amp;CP134&amp;CQ134&amp;CR134&amp;CS134&amp;CT134&amp;CU134&amp;CV134&amp;CW134&amp;CX134</f>
        <v/>
      </c>
      <c r="CA134" s="1899" t="str">
        <f t="shared" si="360"/>
        <v/>
      </c>
      <c r="CB134" s="1899" t="str">
        <f t="shared" si="324"/>
        <v/>
      </c>
      <c r="CC134" s="1899" t="str">
        <f t="shared" si="325"/>
        <v/>
      </c>
      <c r="CD134" s="1899" t="str">
        <f t="shared" si="326"/>
        <v/>
      </c>
      <c r="CE134" s="4000"/>
      <c r="CF134" s="4000"/>
      <c r="CG134" s="1902"/>
      <c r="CH134" s="1902"/>
      <c r="CI134" s="1902"/>
      <c r="CJ134" s="1899" t="str">
        <f>IF(N134&lt;O134,CONCATENATE("* El total de Procesados debe ser mayor o igual al total de Reactivos en el grupo de edad ",$N$11),"")</f>
        <v/>
      </c>
      <c r="CK134" s="1899" t="str">
        <f t="shared" si="362"/>
        <v/>
      </c>
      <c r="CL134" s="1899" t="str">
        <f t="shared" si="363"/>
        <v/>
      </c>
      <c r="CM134" s="1899" t="str">
        <f t="shared" si="358"/>
        <v/>
      </c>
      <c r="CN134" s="1899" t="str">
        <f t="shared" si="364"/>
        <v/>
      </c>
      <c r="CO134" s="1899" t="str">
        <f t="shared" si="365"/>
        <v/>
      </c>
      <c r="CP134" s="1899" t="str">
        <f t="shared" si="366"/>
        <v/>
      </c>
      <c r="CQ134" s="1899" t="str">
        <f t="shared" si="367"/>
        <v/>
      </c>
      <c r="CR134" s="1899" t="str">
        <f t="shared" si="368"/>
        <v/>
      </c>
      <c r="CS134" s="1899" t="str">
        <f t="shared" si="369"/>
        <v/>
      </c>
      <c r="CT134" s="1899" t="str">
        <f t="shared" si="370"/>
        <v/>
      </c>
      <c r="CU134" s="1899" t="str">
        <f>IF(AJ134&lt;AK134,CONCATENATE("* El total de Procesados debe ser mayor o igual al total de Reactivos en el grupo de edad ",$AJ$11),"")</f>
        <v/>
      </c>
      <c r="CV134" s="1899" t="str">
        <f>IF(AL134&lt;AM134,CONCATENATE("* El total de Procesados debe ser mayor o igual al total de Reactivos en el grupo de edad ",$AL$11),"")</f>
        <v/>
      </c>
      <c r="CW134" s="1899" t="str">
        <f>IF(AN134&lt;AO134,CONCATENATE("* El total de Procesados debe ser mayor o igual al total de Reactivos en el grupo de edad ",$AN$11),"")</f>
        <v/>
      </c>
      <c r="CX134" s="1899" t="str">
        <f>IF(AP134&lt;AQ134,CONCATENATE("* El total de Procesados debe ser mayor o igual al total de Reactivos en el grupo de edad ",$AP$11),"")</f>
        <v/>
      </c>
      <c r="DE134" s="1970"/>
      <c r="DF134" s="4005">
        <f t="shared" si="361"/>
        <v>0</v>
      </c>
      <c r="DG134" s="3989">
        <f t="shared" si="341"/>
        <v>0</v>
      </c>
      <c r="DH134" s="3989">
        <f t="shared" si="342"/>
        <v>0</v>
      </c>
      <c r="DI134" s="3989">
        <f t="shared" si="343"/>
        <v>0</v>
      </c>
      <c r="DJ134" s="1902"/>
      <c r="DK134" s="1902"/>
      <c r="DL134" s="1902"/>
      <c r="DM134" s="1902"/>
      <c r="DN134" s="1902"/>
      <c r="DO134" s="3989">
        <f>IF(N134&lt;O134,1,0)</f>
        <v>0</v>
      </c>
      <c r="DP134" s="3989">
        <f t="shared" si="371"/>
        <v>0</v>
      </c>
      <c r="DQ134" s="3989">
        <f t="shared" si="372"/>
        <v>0</v>
      </c>
      <c r="DR134" s="3989">
        <f t="shared" si="359"/>
        <v>0</v>
      </c>
      <c r="DS134" s="3989">
        <f t="shared" si="373"/>
        <v>0</v>
      </c>
      <c r="DT134" s="3989">
        <f t="shared" si="374"/>
        <v>0</v>
      </c>
      <c r="DU134" s="3989">
        <f t="shared" si="375"/>
        <v>0</v>
      </c>
      <c r="DV134" s="3989">
        <f t="shared" si="376"/>
        <v>0</v>
      </c>
      <c r="DW134" s="3989">
        <f t="shared" si="377"/>
        <v>0</v>
      </c>
      <c r="DX134" s="3989">
        <f t="shared" si="378"/>
        <v>0</v>
      </c>
      <c r="DY134" s="3989">
        <f t="shared" si="379"/>
        <v>0</v>
      </c>
      <c r="DZ134" s="3989">
        <f>IF(AJ134&lt;AK134,1,0)</f>
        <v>0</v>
      </c>
      <c r="EA134" s="3989">
        <f>IF(AL134&lt;AM134,1,0)</f>
        <v>0</v>
      </c>
      <c r="EB134" s="3989">
        <f>IF(AN134&lt;AO134,1,0)</f>
        <v>0</v>
      </c>
      <c r="EC134" s="3989">
        <f>IF(AP134&lt;AQ134,1,0)</f>
        <v>0</v>
      </c>
    </row>
    <row r="135" spans="1:133" x14ac:dyDescent="0.3">
      <c r="A135" s="4006" t="s">
        <v>1878</v>
      </c>
      <c r="B135" s="3991">
        <f>+D135+F135+H135+J135+L135+N135+P135+R135+T135+V135+X135+Z135+AB135+AD135+AF135+AH135+AJ135+AL135+AN135+AP135</f>
        <v>0</v>
      </c>
      <c r="C135" s="345">
        <f>+E135+G135+I135+K135+M135+O135+Q135+S135+U135+W135+Y135+AA135+AC135+AE135+AG135+AI135+AK135+AM135+AO135+AQ135</f>
        <v>0</v>
      </c>
      <c r="D135" s="3987"/>
      <c r="E135" s="3995"/>
      <c r="F135" s="3996"/>
      <c r="G135" s="3995"/>
      <c r="H135" s="3996"/>
      <c r="I135" s="3988"/>
      <c r="J135" s="3987"/>
      <c r="K135" s="3987"/>
      <c r="L135" s="3996"/>
      <c r="M135" s="3988"/>
      <c r="N135" s="3987"/>
      <c r="O135" s="3995"/>
      <c r="P135" s="3996"/>
      <c r="Q135" s="3995"/>
      <c r="R135" s="3996"/>
      <c r="S135" s="3995"/>
      <c r="T135" s="3996"/>
      <c r="U135" s="3995"/>
      <c r="V135" s="3996"/>
      <c r="W135" s="3995"/>
      <c r="X135" s="3996"/>
      <c r="Y135" s="3995"/>
      <c r="Z135" s="3996"/>
      <c r="AA135" s="3995"/>
      <c r="AB135" s="3996"/>
      <c r="AC135" s="3995"/>
      <c r="AD135" s="3996"/>
      <c r="AE135" s="3995"/>
      <c r="AF135" s="3996"/>
      <c r="AG135" s="3995"/>
      <c r="AH135" s="3996"/>
      <c r="AI135" s="3995"/>
      <c r="AJ135" s="3996"/>
      <c r="AK135" s="3995"/>
      <c r="AL135" s="3996"/>
      <c r="AM135" s="3995"/>
      <c r="AN135" s="3996"/>
      <c r="AO135" s="3995"/>
      <c r="AP135" s="3996"/>
      <c r="AQ135" s="3985"/>
      <c r="AR135" s="3987"/>
      <c r="AS135" s="3985"/>
      <c r="AT135" s="3986"/>
      <c r="AU135" s="3985"/>
      <c r="AV135" s="3987"/>
      <c r="AW135" s="3988"/>
      <c r="AX135" s="1898" t="str">
        <f>$CA135&amp;CB135&amp;CC135&amp;$CD135&amp;CE135&amp;CF135&amp;CG135&amp;CH135&amp;CI135&amp;CJ135&amp;CK135&amp;CL135&amp;CM135&amp;CN135&amp;CO135&amp;CP135&amp;CQ135&amp;CR135&amp;CS135&amp;CT135&amp;CU135&amp;CV135&amp;CW135&amp;CX135</f>
        <v/>
      </c>
      <c r="CA135" s="1899" t="str">
        <f t="shared" si="360"/>
        <v/>
      </c>
      <c r="CB135" s="1899" t="str">
        <f t="shared" si="324"/>
        <v/>
      </c>
      <c r="CC135" s="1899" t="str">
        <f t="shared" si="325"/>
        <v/>
      </c>
      <c r="CD135" s="1899" t="str">
        <f t="shared" si="326"/>
        <v/>
      </c>
      <c r="CE135" s="1899" t="str">
        <f>IF(D135&lt;E135,CONCATENATE("* El total de Procesados debe ser mayor o igual al total de Reactivos en el grupo de edad ",$D$11),"")</f>
        <v/>
      </c>
      <c r="CF135" s="1899" t="str">
        <f>IF(F135&lt;G135,CONCATENATE("* El total de Procesados debe ser mayor o igual al total de Reactivos en el grupo de edad ",$F$11),"")</f>
        <v/>
      </c>
      <c r="CG135" s="1899" t="str">
        <f>IF(H135&lt;I135,CONCATENATE("* El total de Procesados debe ser mayor o igual al total de Reactivos en el grupo de edad ",$H$11),"")</f>
        <v/>
      </c>
      <c r="CH135" s="1899" t="str">
        <f>IF(J135&lt;K135,CONCATENATE("* El total de Procesados debe ser mayor o igual al total de Reactivos en el grupo de edad ",$J$11),"")</f>
        <v/>
      </c>
      <c r="CI135" s="1899" t="str">
        <f>IF(L135&lt;M135,CONCATENATE("* El total de Procesados debe ser mayor o igual al total de Reactivos en el grupo de edad ",$L$11),"")</f>
        <v/>
      </c>
      <c r="CJ135" s="1899" t="str">
        <f>IF(N135&lt;O135,CONCATENATE("* El total de Procesados debe ser mayor o igual al total de Reactivos en el grupo de edad ",$N$11),"")</f>
        <v/>
      </c>
      <c r="CK135" s="1899" t="str">
        <f t="shared" si="362"/>
        <v/>
      </c>
      <c r="CL135" s="1899" t="str">
        <f t="shared" si="363"/>
        <v/>
      </c>
      <c r="CM135" s="1899" t="str">
        <f t="shared" si="358"/>
        <v/>
      </c>
      <c r="CN135" s="1899" t="str">
        <f t="shared" si="364"/>
        <v/>
      </c>
      <c r="CO135" s="1899" t="str">
        <f t="shared" si="365"/>
        <v/>
      </c>
      <c r="CP135" s="1899" t="str">
        <f t="shared" si="366"/>
        <v/>
      </c>
      <c r="CQ135" s="1899" t="str">
        <f t="shared" si="367"/>
        <v/>
      </c>
      <c r="CR135" s="1899" t="str">
        <f t="shared" si="368"/>
        <v/>
      </c>
      <c r="CS135" s="1899" t="str">
        <f t="shared" si="369"/>
        <v/>
      </c>
      <c r="CT135" s="1899" t="str">
        <f t="shared" si="370"/>
        <v/>
      </c>
      <c r="CU135" s="1899" t="str">
        <f>IF(AJ135&lt;AK135,CONCATENATE("* El total de Procesados debe ser mayor o igual al total de Reactivos en el grupo de edad ",$AJ$11),"")</f>
        <v/>
      </c>
      <c r="CV135" s="1899" t="str">
        <f>IF(AL135&lt;AM135,CONCATENATE("* El total de Procesados debe ser mayor o igual al total de Reactivos en el grupo de edad ",$AL$11),"")</f>
        <v/>
      </c>
      <c r="CW135" s="1899" t="str">
        <f>IF(AN135&lt;AO135,CONCATENATE("* El total de Procesados debe ser mayor o igual al total de Reactivos en el grupo de edad ",$AN$11),"")</f>
        <v/>
      </c>
      <c r="CX135" s="1899" t="str">
        <f>IF(AP135&lt;AQ135,CONCATENATE("* El total de Procesados debe ser mayor o igual al total de Reactivos en el grupo de edad ",$AP$11),"")</f>
        <v/>
      </c>
      <c r="DE135" s="1970"/>
      <c r="DF135" s="4005">
        <f t="shared" si="361"/>
        <v>0</v>
      </c>
      <c r="DG135" s="3989">
        <f t="shared" si="341"/>
        <v>0</v>
      </c>
      <c r="DH135" s="3989">
        <f t="shared" si="342"/>
        <v>0</v>
      </c>
      <c r="DI135" s="3989">
        <f t="shared" si="343"/>
        <v>0</v>
      </c>
      <c r="DJ135" s="3989">
        <f>IF(D135&lt;E135,1,0)</f>
        <v>0</v>
      </c>
      <c r="DK135" s="3989">
        <f>IF(F135&lt;G135,1,0)</f>
        <v>0</v>
      </c>
      <c r="DL135" s="3989">
        <f>IF(H135&lt;I135,1,0)</f>
        <v>0</v>
      </c>
      <c r="DM135" s="3989">
        <f>IF(J135&lt;K135,1,0)</f>
        <v>0</v>
      </c>
      <c r="DN135" s="3989">
        <f>IF(L135&lt;M135,1,0)</f>
        <v>0</v>
      </c>
      <c r="DO135" s="3989">
        <f>IF(N135&lt;O135,1,0)</f>
        <v>0</v>
      </c>
      <c r="DP135" s="3989">
        <f t="shared" si="371"/>
        <v>0</v>
      </c>
      <c r="DQ135" s="3989">
        <f t="shared" si="372"/>
        <v>0</v>
      </c>
      <c r="DR135" s="3989">
        <f t="shared" si="359"/>
        <v>0</v>
      </c>
      <c r="DS135" s="3989">
        <f t="shared" si="373"/>
        <v>0</v>
      </c>
      <c r="DT135" s="3989">
        <f t="shared" si="374"/>
        <v>0</v>
      </c>
      <c r="DU135" s="3989">
        <f t="shared" si="375"/>
        <v>0</v>
      </c>
      <c r="DV135" s="3989">
        <f t="shared" si="376"/>
        <v>0</v>
      </c>
      <c r="DW135" s="3989">
        <f t="shared" si="377"/>
        <v>0</v>
      </c>
      <c r="DX135" s="3989">
        <f t="shared" si="378"/>
        <v>0</v>
      </c>
      <c r="DY135" s="3989">
        <f t="shared" si="379"/>
        <v>0</v>
      </c>
      <c r="DZ135" s="3989">
        <f>IF(AJ135&lt;AK135,1,0)</f>
        <v>0</v>
      </c>
      <c r="EA135" s="3989">
        <f>IF(AL135&lt;AM135,1,0)</f>
        <v>0</v>
      </c>
      <c r="EB135" s="3989">
        <f>IF(AN135&lt;AO135,1,0)</f>
        <v>0</v>
      </c>
      <c r="EC135" s="3989">
        <f>IF(AP135&lt;AQ135,1,0)</f>
        <v>0</v>
      </c>
    </row>
    <row r="136" spans="1:133" x14ac:dyDescent="0.3">
      <c r="A136" s="3990" t="s">
        <v>1879</v>
      </c>
      <c r="B136" s="3991">
        <f>+P136+R136+T136+V136+X136+Z136+AB136+AD136+AF136+AH136+AJ136+AL136+AN136+AP136</f>
        <v>0</v>
      </c>
      <c r="C136" s="345">
        <f>+Q136+S136+U136+W136+Y136+AA136+AC136+AE136+AG136+AI136+AK136+AM136+AO136+AQ136</f>
        <v>0</v>
      </c>
      <c r="D136" s="4001"/>
      <c r="E136" s="3993"/>
      <c r="F136" s="3992"/>
      <c r="G136" s="3993"/>
      <c r="H136" s="3992"/>
      <c r="I136" s="3993"/>
      <c r="J136" s="3992"/>
      <c r="K136" s="3993"/>
      <c r="L136" s="3992"/>
      <c r="M136" s="3994"/>
      <c r="N136" s="4001"/>
      <c r="O136" s="3993"/>
      <c r="P136" s="3996"/>
      <c r="Q136" s="3995"/>
      <c r="R136" s="3996"/>
      <c r="S136" s="3995"/>
      <c r="T136" s="3996"/>
      <c r="U136" s="3995"/>
      <c r="V136" s="3996"/>
      <c r="W136" s="3995"/>
      <c r="X136" s="3996"/>
      <c r="Y136" s="3995"/>
      <c r="Z136" s="3996"/>
      <c r="AA136" s="3995"/>
      <c r="AB136" s="3996"/>
      <c r="AC136" s="3995"/>
      <c r="AD136" s="3996"/>
      <c r="AE136" s="3995"/>
      <c r="AF136" s="3996"/>
      <c r="AG136" s="3995"/>
      <c r="AH136" s="3996"/>
      <c r="AI136" s="3995"/>
      <c r="AJ136" s="3996"/>
      <c r="AK136" s="3995"/>
      <c r="AL136" s="3996"/>
      <c r="AM136" s="3995"/>
      <c r="AN136" s="3996"/>
      <c r="AO136" s="3995"/>
      <c r="AP136" s="3996"/>
      <c r="AQ136" s="3985"/>
      <c r="AR136" s="3987"/>
      <c r="AS136" s="3985"/>
      <c r="AT136" s="3986"/>
      <c r="AU136" s="3985"/>
      <c r="AV136" s="3987"/>
      <c r="AW136" s="3988"/>
      <c r="AX136" s="1898" t="str">
        <f>$CA136&amp;CB136&amp;CC136&amp;$CD136&amp;CJ136&amp;CK136&amp;CL136&amp;CM136&amp;CN136&amp;CO136&amp;CP136&amp;CQ136&amp;CR136&amp;CS136&amp;CT136&amp;CU136&amp;CV136&amp;CW136&amp;CX136</f>
        <v/>
      </c>
      <c r="CA136" s="1899" t="str">
        <f t="shared" si="360"/>
        <v/>
      </c>
      <c r="CB136" s="1899" t="str">
        <f t="shared" si="324"/>
        <v/>
      </c>
      <c r="CC136" s="1899" t="str">
        <f t="shared" si="325"/>
        <v/>
      </c>
      <c r="CD136" s="1899" t="str">
        <f t="shared" si="326"/>
        <v/>
      </c>
      <c r="CE136" s="4000"/>
      <c r="CF136" s="4000"/>
      <c r="CG136" s="1902"/>
      <c r="CH136" s="1902"/>
      <c r="CI136" s="1902"/>
      <c r="CJ136" s="4000"/>
      <c r="CK136" s="1899" t="str">
        <f t="shared" si="362"/>
        <v/>
      </c>
      <c r="CL136" s="1899" t="str">
        <f t="shared" si="363"/>
        <v/>
      </c>
      <c r="CM136" s="1899" t="str">
        <f t="shared" si="358"/>
        <v/>
      </c>
      <c r="CN136" s="1899" t="str">
        <f t="shared" si="364"/>
        <v/>
      </c>
      <c r="CO136" s="1899" t="str">
        <f t="shared" si="365"/>
        <v/>
      </c>
      <c r="CP136" s="1899" t="str">
        <f t="shared" si="366"/>
        <v/>
      </c>
      <c r="CQ136" s="1899" t="str">
        <f t="shared" si="367"/>
        <v/>
      </c>
      <c r="CR136" s="1899" t="str">
        <f t="shared" si="368"/>
        <v/>
      </c>
      <c r="CS136" s="1899" t="str">
        <f t="shared" si="369"/>
        <v/>
      </c>
      <c r="CT136" s="1899" t="str">
        <f t="shared" si="370"/>
        <v/>
      </c>
      <c r="CU136" s="1899" t="str">
        <f>IF(AJ136&lt;AK136,CONCATENATE("* El total de Procesados debe ser mayor o igual al total de Reactivos en el grupo de edad ",$AJ$11),"")</f>
        <v/>
      </c>
      <c r="CV136" s="1899" t="str">
        <f>IF(AL136&lt;AM136,CONCATENATE("* El total de Procesados debe ser mayor o igual al total de Reactivos en el grupo de edad ",$AL$11),"")</f>
        <v/>
      </c>
      <c r="CW136" s="1899" t="str">
        <f>IF(AN136&lt;AO136,CONCATENATE("* El total de Procesados debe ser mayor o igual al total de Reactivos en el grupo de edad ",$AN$11),"")</f>
        <v/>
      </c>
      <c r="CX136" s="1899" t="str">
        <f>IF(AP136&lt;AQ136,CONCATENATE("* El total de Procesados debe ser mayor o igual al total de Reactivos en el grupo de edad ",$AP$11),"")</f>
        <v/>
      </c>
      <c r="DE136" s="1970"/>
      <c r="DF136" s="4005">
        <f t="shared" si="361"/>
        <v>0</v>
      </c>
      <c r="DG136" s="3989">
        <f t="shared" si="341"/>
        <v>0</v>
      </c>
      <c r="DH136" s="3989">
        <f t="shared" si="342"/>
        <v>0</v>
      </c>
      <c r="DI136" s="3989">
        <f t="shared" si="343"/>
        <v>0</v>
      </c>
      <c r="DJ136" s="1902"/>
      <c r="DK136" s="1902"/>
      <c r="DL136" s="1902"/>
      <c r="DM136" s="1902"/>
      <c r="DN136" s="1902"/>
      <c r="DO136" s="1900"/>
      <c r="DP136" s="3989">
        <f t="shared" si="371"/>
        <v>0</v>
      </c>
      <c r="DQ136" s="3989">
        <f t="shared" si="372"/>
        <v>0</v>
      </c>
      <c r="DR136" s="3989">
        <f t="shared" si="359"/>
        <v>0</v>
      </c>
      <c r="DS136" s="3989">
        <f t="shared" si="373"/>
        <v>0</v>
      </c>
      <c r="DT136" s="3989">
        <f t="shared" si="374"/>
        <v>0</v>
      </c>
      <c r="DU136" s="3989">
        <f t="shared" si="375"/>
        <v>0</v>
      </c>
      <c r="DV136" s="3989">
        <f t="shared" si="376"/>
        <v>0</v>
      </c>
      <c r="DW136" s="3989">
        <f t="shared" si="377"/>
        <v>0</v>
      </c>
      <c r="DX136" s="3989">
        <f t="shared" si="378"/>
        <v>0</v>
      </c>
      <c r="DY136" s="3989">
        <f t="shared" si="379"/>
        <v>0</v>
      </c>
      <c r="DZ136" s="3989">
        <f>IF(AJ136&lt;AK136,1,0)</f>
        <v>0</v>
      </c>
      <c r="EA136" s="3989">
        <f>IF(AL136&lt;AM136,1,0)</f>
        <v>0</v>
      </c>
      <c r="EB136" s="3989">
        <f>IF(AN136&lt;AO136,1,0)</f>
        <v>0</v>
      </c>
      <c r="EC136" s="3989">
        <f>IF(AP136&lt;AQ136,1,0)</f>
        <v>0</v>
      </c>
    </row>
    <row r="137" spans="1:133" x14ac:dyDescent="0.3">
      <c r="A137" s="4006" t="s">
        <v>1880</v>
      </c>
      <c r="B137" s="3991">
        <f>+P137+R137+T137+V137+X137+Z137+AB137+AD137+AF137+AH137</f>
        <v>0</v>
      </c>
      <c r="C137" s="345">
        <f>+Q137+S137+U137+W137+Y137+AA137+AC137+AE137+AG137+AI137</f>
        <v>0</v>
      </c>
      <c r="D137" s="4001"/>
      <c r="E137" s="3993"/>
      <c r="F137" s="3992"/>
      <c r="G137" s="3993"/>
      <c r="H137" s="3992"/>
      <c r="I137" s="3993"/>
      <c r="J137" s="3992"/>
      <c r="K137" s="3993"/>
      <c r="L137" s="3992"/>
      <c r="M137" s="3994"/>
      <c r="N137" s="4001"/>
      <c r="O137" s="3993"/>
      <c r="P137" s="3996"/>
      <c r="Q137" s="3995"/>
      <c r="R137" s="3996"/>
      <c r="S137" s="3995"/>
      <c r="T137" s="3996"/>
      <c r="U137" s="3995"/>
      <c r="V137" s="3996"/>
      <c r="W137" s="3995"/>
      <c r="X137" s="3996"/>
      <c r="Y137" s="3995"/>
      <c r="Z137" s="3996"/>
      <c r="AA137" s="3995"/>
      <c r="AB137" s="3996"/>
      <c r="AC137" s="3995"/>
      <c r="AD137" s="3996"/>
      <c r="AE137" s="3995"/>
      <c r="AF137" s="3996"/>
      <c r="AG137" s="3995"/>
      <c r="AH137" s="3996"/>
      <c r="AI137" s="3995"/>
      <c r="AJ137" s="3992"/>
      <c r="AK137" s="3993"/>
      <c r="AL137" s="3992"/>
      <c r="AM137" s="3993"/>
      <c r="AN137" s="3992"/>
      <c r="AO137" s="3993"/>
      <c r="AP137" s="3992"/>
      <c r="AQ137" s="4003"/>
      <c r="AR137" s="3987"/>
      <c r="AS137" s="3985"/>
      <c r="AT137" s="3986"/>
      <c r="AU137" s="3985"/>
      <c r="AV137" s="3987"/>
      <c r="AW137" s="3988"/>
      <c r="AX137" s="1898" t="str">
        <f>$CA137&amp;CB137&amp;CC137&amp;$CD137&amp;CK137&amp;CL137&amp;CM137&amp;CN137&amp;CO137&amp;CP137&amp;CQ137&amp;CR137&amp;CS137&amp;CT137</f>
        <v/>
      </c>
      <c r="CA137" s="1899" t="str">
        <f t="shared" si="360"/>
        <v/>
      </c>
      <c r="CB137" s="1899" t="str">
        <f t="shared" si="324"/>
        <v/>
      </c>
      <c r="CC137" s="1899" t="str">
        <f t="shared" si="325"/>
        <v/>
      </c>
      <c r="CD137" s="1899" t="str">
        <f t="shared" si="326"/>
        <v/>
      </c>
      <c r="CE137" s="4000"/>
      <c r="CF137" s="4000"/>
      <c r="CG137" s="1902"/>
      <c r="CH137" s="1902"/>
      <c r="CI137" s="1902"/>
      <c r="CJ137" s="4000"/>
      <c r="CK137" s="1899" t="str">
        <f t="shared" si="362"/>
        <v/>
      </c>
      <c r="CL137" s="1899" t="str">
        <f t="shared" si="363"/>
        <v/>
      </c>
      <c r="CM137" s="1899" t="str">
        <f t="shared" si="358"/>
        <v/>
      </c>
      <c r="CN137" s="1899" t="str">
        <f t="shared" si="364"/>
        <v/>
      </c>
      <c r="CO137" s="1899" t="str">
        <f t="shared" si="365"/>
        <v/>
      </c>
      <c r="CP137" s="1899" t="str">
        <f t="shared" si="366"/>
        <v/>
      </c>
      <c r="CQ137" s="1899" t="str">
        <f t="shared" si="367"/>
        <v/>
      </c>
      <c r="CR137" s="1899" t="str">
        <f t="shared" si="368"/>
        <v/>
      </c>
      <c r="CS137" s="1899" t="str">
        <f t="shared" si="369"/>
        <v/>
      </c>
      <c r="CT137" s="1899" t="str">
        <f t="shared" si="370"/>
        <v/>
      </c>
      <c r="CU137" s="1900"/>
      <c r="CV137" s="1900"/>
      <c r="CW137" s="1900"/>
      <c r="CX137" s="1900"/>
      <c r="DE137" s="1970"/>
      <c r="DF137" s="4005">
        <f t="shared" si="361"/>
        <v>0</v>
      </c>
      <c r="DG137" s="3989">
        <f t="shared" si="341"/>
        <v>0</v>
      </c>
      <c r="DH137" s="3989">
        <f t="shared" si="342"/>
        <v>0</v>
      </c>
      <c r="DI137" s="3989">
        <f t="shared" si="343"/>
        <v>0</v>
      </c>
      <c r="DJ137" s="1902"/>
      <c r="DK137" s="1902"/>
      <c r="DL137" s="1902"/>
      <c r="DM137" s="1902"/>
      <c r="DN137" s="1902"/>
      <c r="DO137" s="1900"/>
      <c r="DP137" s="3989">
        <f t="shared" si="371"/>
        <v>0</v>
      </c>
      <c r="DQ137" s="3989">
        <f t="shared" si="372"/>
        <v>0</v>
      </c>
      <c r="DR137" s="3989">
        <f t="shared" si="359"/>
        <v>0</v>
      </c>
      <c r="DS137" s="3989">
        <f t="shared" si="373"/>
        <v>0</v>
      </c>
      <c r="DT137" s="3989">
        <f t="shared" si="374"/>
        <v>0</v>
      </c>
      <c r="DU137" s="3989">
        <f t="shared" si="375"/>
        <v>0</v>
      </c>
      <c r="DV137" s="3989">
        <f t="shared" si="376"/>
        <v>0</v>
      </c>
      <c r="DW137" s="3989">
        <f t="shared" si="377"/>
        <v>0</v>
      </c>
      <c r="DX137" s="3989">
        <f t="shared" si="378"/>
        <v>0</v>
      </c>
      <c r="DY137" s="3989">
        <f t="shared" si="379"/>
        <v>0</v>
      </c>
      <c r="DZ137" s="1900"/>
      <c r="EA137" s="1900"/>
      <c r="EB137" s="1900"/>
      <c r="EC137" s="1900"/>
    </row>
    <row r="138" spans="1:133" x14ac:dyDescent="0.3">
      <c r="A138" s="4006" t="s">
        <v>1881</v>
      </c>
      <c r="B138" s="3991">
        <f t="shared" ref="B138:C140" si="380">+D138+F138+H138+J138+L138+N138+P138+R138+T138+V138+X138+Z138+AB138+AD138+AF138+AH138+AJ138+AL138+AN138+AP138</f>
        <v>0</v>
      </c>
      <c r="C138" s="345">
        <f t="shared" si="380"/>
        <v>0</v>
      </c>
      <c r="D138" s="3987"/>
      <c r="E138" s="3995"/>
      <c r="F138" s="3996"/>
      <c r="G138" s="3995"/>
      <c r="H138" s="3996"/>
      <c r="I138" s="3988"/>
      <c r="J138" s="3987"/>
      <c r="K138" s="3987"/>
      <c r="L138" s="3996"/>
      <c r="M138" s="3988"/>
      <c r="N138" s="3987"/>
      <c r="O138" s="3995"/>
      <c r="P138" s="3996"/>
      <c r="Q138" s="3995"/>
      <c r="R138" s="3996"/>
      <c r="S138" s="3995"/>
      <c r="T138" s="3996"/>
      <c r="U138" s="3995"/>
      <c r="V138" s="3996"/>
      <c r="W138" s="3995"/>
      <c r="X138" s="3996"/>
      <c r="Y138" s="3995"/>
      <c r="Z138" s="3996"/>
      <c r="AA138" s="3995"/>
      <c r="AB138" s="3996"/>
      <c r="AC138" s="3995"/>
      <c r="AD138" s="3996"/>
      <c r="AE138" s="3995"/>
      <c r="AF138" s="3996"/>
      <c r="AG138" s="3995"/>
      <c r="AH138" s="3996"/>
      <c r="AI138" s="3995"/>
      <c r="AJ138" s="3996"/>
      <c r="AK138" s="3995"/>
      <c r="AL138" s="3996"/>
      <c r="AM138" s="3995"/>
      <c r="AN138" s="3996"/>
      <c r="AO138" s="3995"/>
      <c r="AP138" s="3996"/>
      <c r="AQ138" s="3985"/>
      <c r="AR138" s="3987"/>
      <c r="AS138" s="3985"/>
      <c r="AT138" s="3986"/>
      <c r="AU138" s="3985"/>
      <c r="AV138" s="3987"/>
      <c r="AW138" s="3988"/>
      <c r="AX138" s="1898" t="str">
        <f>$CA138&amp;CB138&amp;CC138&amp;$CD138&amp;CJ138&amp;CK138&amp;CL138&amp;CM138&amp;CN138&amp;CO138&amp;CP138&amp;CQ138&amp;CR138&amp;CS138&amp;CT138&amp;CU138&amp;CV138&amp;CW138&amp;CX138&amp;CE138&amp;CF138&amp;CG138&amp;CH138&amp;CI138</f>
        <v/>
      </c>
      <c r="CA138" s="1899" t="str">
        <f t="shared" si="360"/>
        <v/>
      </c>
      <c r="CB138" s="1899" t="str">
        <f t="shared" si="324"/>
        <v/>
      </c>
      <c r="CC138" s="1899" t="str">
        <f t="shared" si="325"/>
        <v/>
      </c>
      <c r="CD138" s="1899" t="str">
        <f t="shared" si="326"/>
        <v/>
      </c>
      <c r="CE138" s="1899" t="str">
        <f>IF(D138&lt;E138,CONCATENATE("* El total de Procesados debe ser mayor o igual al total de Reactivos en el grupo de edad ",$D$11),"")</f>
        <v/>
      </c>
      <c r="CF138" s="1899" t="str">
        <f>IF(F138&lt;G138,CONCATENATE("* El total de Procesados debe ser mayor o igual al total de Reactivos en el grupo de edad ",$F$11),"")</f>
        <v/>
      </c>
      <c r="CG138" s="1899" t="str">
        <f>IF(H138&lt;I138,CONCATENATE("* El total de Procesados debe ser mayor o igual al total de Reactivos en el grupo de edad ",$H$11),"")</f>
        <v/>
      </c>
      <c r="CH138" s="1899" t="str">
        <f>IF(J138&lt;K138,CONCATENATE("* El total de Procesados debe ser mayor o igual al total de Reactivos en el grupo de edad ",$J$11),"")</f>
        <v/>
      </c>
      <c r="CI138" s="1899" t="str">
        <f>IF(L138&lt;M138,CONCATENATE("* El total de Procesados debe ser mayor o igual al total de Reactivos en el grupo de edad ",$L$11),"")</f>
        <v/>
      </c>
      <c r="CJ138" s="1899" t="str">
        <f>IF(N138&lt;O138,CONCATENATE("* El total de Procesados debe ser mayor o igual al total de Reactivos en el grupo de edad ",$N$11),"")</f>
        <v/>
      </c>
      <c r="CK138" s="1899" t="str">
        <f t="shared" si="362"/>
        <v/>
      </c>
      <c r="CL138" s="1899" t="str">
        <f t="shared" si="363"/>
        <v/>
      </c>
      <c r="CM138" s="1899" t="str">
        <f t="shared" si="358"/>
        <v/>
      </c>
      <c r="CN138" s="1899" t="str">
        <f t="shared" si="364"/>
        <v/>
      </c>
      <c r="CO138" s="1899" t="str">
        <f t="shared" si="365"/>
        <v/>
      </c>
      <c r="CP138" s="1899" t="str">
        <f t="shared" si="366"/>
        <v/>
      </c>
      <c r="CQ138" s="1899" t="str">
        <f t="shared" si="367"/>
        <v/>
      </c>
      <c r="CR138" s="1899" t="str">
        <f t="shared" si="368"/>
        <v/>
      </c>
      <c r="CS138" s="1899" t="str">
        <f t="shared" si="369"/>
        <v/>
      </c>
      <c r="CT138" s="1899" t="str">
        <f t="shared" si="370"/>
        <v/>
      </c>
      <c r="CU138" s="1899" t="str">
        <f>IF(AJ138&lt;AK138,CONCATENATE("* El total de Procesados debe ser mayor o igual al total de Reactivos en el grupo de edad ",$AJ$11),"")</f>
        <v/>
      </c>
      <c r="CV138" s="1899" t="str">
        <f>IF(AL138&lt;AM138,CONCATENATE("* El total de Procesados debe ser mayor o igual al total de Reactivos en el grupo de edad ",$AL$11),"")</f>
        <v/>
      </c>
      <c r="CW138" s="1899" t="str">
        <f>IF(AN138&lt;AO138,CONCATENATE("* El total de Procesados debe ser mayor o igual al total de Reactivos en el grupo de edad ",$AN$11),"")</f>
        <v/>
      </c>
      <c r="CX138" s="1899" t="str">
        <f>IF(AP138&lt;AQ138,CONCATENATE("* El total de Procesados debe ser mayor o igual al total de Reactivos en el grupo de edad ",$AP$11),"")</f>
        <v/>
      </c>
      <c r="DE138" s="1970"/>
      <c r="DF138" s="4005">
        <f t="shared" si="361"/>
        <v>0</v>
      </c>
      <c r="DG138" s="3989">
        <f t="shared" si="341"/>
        <v>0</v>
      </c>
      <c r="DH138" s="3989">
        <f t="shared" si="342"/>
        <v>0</v>
      </c>
      <c r="DI138" s="3989">
        <f t="shared" si="343"/>
        <v>0</v>
      </c>
      <c r="DJ138" s="3989">
        <f>IF(D138&lt;E138,1,0)</f>
        <v>0</v>
      </c>
      <c r="DK138" s="3989">
        <f>IF(F138&lt;G138,1,0)</f>
        <v>0</v>
      </c>
      <c r="DL138" s="3989">
        <f>IF(H138&lt;I138,1,0)</f>
        <v>0</v>
      </c>
      <c r="DM138" s="3989">
        <f>IF(J138&lt;K138,1,0)</f>
        <v>0</v>
      </c>
      <c r="DN138" s="3989">
        <f>IF(L138&lt;M138,1,0)</f>
        <v>0</v>
      </c>
      <c r="DO138" s="3989">
        <f>IF(N138&lt;O138,1,0)</f>
        <v>0</v>
      </c>
      <c r="DP138" s="3989">
        <f t="shared" si="371"/>
        <v>0</v>
      </c>
      <c r="DQ138" s="3989">
        <f t="shared" si="372"/>
        <v>0</v>
      </c>
      <c r="DR138" s="3989">
        <f t="shared" si="359"/>
        <v>0</v>
      </c>
      <c r="DS138" s="3989">
        <f t="shared" si="373"/>
        <v>0</v>
      </c>
      <c r="DT138" s="3989">
        <f t="shared" si="374"/>
        <v>0</v>
      </c>
      <c r="DU138" s="3989">
        <f t="shared" si="375"/>
        <v>0</v>
      </c>
      <c r="DV138" s="3989">
        <f t="shared" si="376"/>
        <v>0</v>
      </c>
      <c r="DW138" s="3989">
        <f t="shared" si="377"/>
        <v>0</v>
      </c>
      <c r="DX138" s="3989">
        <f t="shared" si="378"/>
        <v>0</v>
      </c>
      <c r="DY138" s="3989">
        <f t="shared" si="379"/>
        <v>0</v>
      </c>
      <c r="DZ138" s="3989">
        <f>IF(AJ138&lt;AK138,1,0)</f>
        <v>0</v>
      </c>
      <c r="EA138" s="3989">
        <f>IF(AL138&lt;AM138,1,0)</f>
        <v>0</v>
      </c>
      <c r="EB138" s="3989">
        <f>IF(AN138&lt;AO138,1,0)</f>
        <v>0</v>
      </c>
      <c r="EC138" s="3989">
        <f>IF(AP138&lt;AQ138,1,0)</f>
        <v>0</v>
      </c>
    </row>
    <row r="139" spans="1:133" x14ac:dyDescent="0.3">
      <c r="A139" s="4006" t="s">
        <v>1882</v>
      </c>
      <c r="B139" s="3991">
        <f t="shared" si="380"/>
        <v>0</v>
      </c>
      <c r="C139" s="345">
        <f t="shared" si="380"/>
        <v>0</v>
      </c>
      <c r="D139" s="3987"/>
      <c r="E139" s="3995"/>
      <c r="F139" s="3996"/>
      <c r="G139" s="3995"/>
      <c r="H139" s="3996"/>
      <c r="I139" s="3988"/>
      <c r="J139" s="3987"/>
      <c r="K139" s="3987"/>
      <c r="L139" s="3996"/>
      <c r="M139" s="3988"/>
      <c r="N139" s="3987"/>
      <c r="O139" s="3995"/>
      <c r="P139" s="3996"/>
      <c r="Q139" s="3995"/>
      <c r="R139" s="3996"/>
      <c r="S139" s="3995"/>
      <c r="T139" s="3996"/>
      <c r="U139" s="3995"/>
      <c r="V139" s="3996"/>
      <c r="W139" s="3995"/>
      <c r="X139" s="3996"/>
      <c r="Y139" s="3995"/>
      <c r="Z139" s="3996"/>
      <c r="AA139" s="3995"/>
      <c r="AB139" s="3996"/>
      <c r="AC139" s="3995"/>
      <c r="AD139" s="3996"/>
      <c r="AE139" s="3995"/>
      <c r="AF139" s="3996"/>
      <c r="AG139" s="3995"/>
      <c r="AH139" s="3996"/>
      <c r="AI139" s="3995"/>
      <c r="AJ139" s="3996"/>
      <c r="AK139" s="3995"/>
      <c r="AL139" s="3996"/>
      <c r="AM139" s="3995"/>
      <c r="AN139" s="3996"/>
      <c r="AO139" s="3995"/>
      <c r="AP139" s="3996"/>
      <c r="AQ139" s="3985"/>
      <c r="AR139" s="3987"/>
      <c r="AS139" s="3985"/>
      <c r="AT139" s="3986"/>
      <c r="AU139" s="3985"/>
      <c r="AV139" s="3987"/>
      <c r="AW139" s="3988"/>
      <c r="AX139" s="1898" t="str">
        <f>$CA139&amp;CB139&amp;CC139&amp;$CD139&amp;CJ139&amp;CK139&amp;CL139&amp;CM139&amp;CN139&amp;CO139&amp;CP139&amp;CQ139&amp;CR139&amp;CS139&amp;CT139&amp;CU139&amp;CV139&amp;CW139&amp;CX139&amp;CE139&amp;CF139&amp;CG139&amp;CH139&amp;CI139</f>
        <v/>
      </c>
      <c r="CA139" s="1899" t="str">
        <f t="shared" si="360"/>
        <v/>
      </c>
      <c r="CB139" s="1899" t="str">
        <f t="shared" si="324"/>
        <v/>
      </c>
      <c r="CC139" s="1899" t="str">
        <f t="shared" si="325"/>
        <v/>
      </c>
      <c r="CD139" s="1899" t="str">
        <f t="shared" si="326"/>
        <v/>
      </c>
      <c r="CE139" s="1899" t="str">
        <f>IF(D139&lt;E139,CONCATENATE("* El total de Procesados debe ser mayor o igual al total de Reactivos en el grupo de edad ",$D$11),"")</f>
        <v/>
      </c>
      <c r="CF139" s="1899" t="str">
        <f>IF(F139&lt;G139,CONCATENATE("* El total de Procesados debe ser mayor o igual al total de Reactivos en el grupo de edad ",$F$11),"")</f>
        <v/>
      </c>
      <c r="CG139" s="1899" t="str">
        <f>IF(H139&lt;I139,CONCATENATE("* El total de Procesados debe ser mayor o igual al total de Reactivos en el grupo de edad ",$H$11),"")</f>
        <v/>
      </c>
      <c r="CH139" s="1899" t="str">
        <f>IF(J139&lt;K139,CONCATENATE("* El total de Procesados debe ser mayor o igual al total de Reactivos en el grupo de edad ",$J$11),"")</f>
        <v/>
      </c>
      <c r="CI139" s="1899" t="str">
        <f>IF(L139&lt;M139,CONCATENATE("* El total de Procesados debe ser mayor o igual al total de Reactivos en el grupo de edad ",$L$11),"")</f>
        <v/>
      </c>
      <c r="CJ139" s="1899" t="str">
        <f>IF(N139&lt;O139,CONCATENATE("* El total de Procesados debe ser mayor o igual al total de Reactivos en el grupo de edad ",$N$11),"")</f>
        <v/>
      </c>
      <c r="CK139" s="1899" t="str">
        <f t="shared" si="362"/>
        <v/>
      </c>
      <c r="CL139" s="1899" t="str">
        <f t="shared" si="363"/>
        <v/>
      </c>
      <c r="CM139" s="1899" t="str">
        <f t="shared" si="358"/>
        <v/>
      </c>
      <c r="CN139" s="1899" t="str">
        <f t="shared" si="364"/>
        <v/>
      </c>
      <c r="CO139" s="1899" t="str">
        <f t="shared" si="365"/>
        <v/>
      </c>
      <c r="CP139" s="1899" t="str">
        <f t="shared" si="366"/>
        <v/>
      </c>
      <c r="CQ139" s="1899" t="str">
        <f t="shared" si="367"/>
        <v/>
      </c>
      <c r="CR139" s="1899" t="str">
        <f t="shared" si="368"/>
        <v/>
      </c>
      <c r="CS139" s="1899" t="str">
        <f t="shared" si="369"/>
        <v/>
      </c>
      <c r="CT139" s="1899" t="str">
        <f t="shared" si="370"/>
        <v/>
      </c>
      <c r="CU139" s="1899" t="str">
        <f>IF(AJ139&lt;AK139,CONCATENATE("* El total de Procesados debe ser mayor o igual al total de Reactivos en el grupo de edad ",$AJ$11),"")</f>
        <v/>
      </c>
      <c r="CV139" s="1899" t="str">
        <f>IF(AL139&lt;AM139,CONCATENATE("* El total de Procesados debe ser mayor o igual al total de Reactivos en el grupo de edad ",$AL$11),"")</f>
        <v/>
      </c>
      <c r="CW139" s="1899" t="str">
        <f>IF(AN139&lt;AO139,CONCATENATE("* El total de Procesados debe ser mayor o igual al total de Reactivos en el grupo de edad ",$AN$11),"")</f>
        <v/>
      </c>
      <c r="CX139" s="1899" t="str">
        <f>IF(AP139&lt;AQ139,CONCATENATE("* El total de Procesados debe ser mayor o igual al total de Reactivos en el grupo de edad ",$AP$11),"")</f>
        <v/>
      </c>
      <c r="DE139" s="1970"/>
      <c r="DF139" s="4005">
        <f t="shared" si="361"/>
        <v>0</v>
      </c>
      <c r="DG139" s="3989">
        <f t="shared" si="341"/>
        <v>0</v>
      </c>
      <c r="DH139" s="3989">
        <f t="shared" si="342"/>
        <v>0</v>
      </c>
      <c r="DI139" s="3989">
        <f t="shared" si="343"/>
        <v>0</v>
      </c>
      <c r="DJ139" s="3989">
        <f>IF(D139&lt;E139,1,0)</f>
        <v>0</v>
      </c>
      <c r="DK139" s="3989">
        <f>IF(F139&lt;G139,1,0)</f>
        <v>0</v>
      </c>
      <c r="DL139" s="3989">
        <f>IF(H139&lt;I139,1,0)</f>
        <v>0</v>
      </c>
      <c r="DM139" s="3989">
        <f>IF(J139&lt;K139,1,0)</f>
        <v>0</v>
      </c>
      <c r="DN139" s="3989">
        <f>IF(L139&lt;M139,1,0)</f>
        <v>0</v>
      </c>
      <c r="DO139" s="3989">
        <f>IF(N139&lt;O139,1,0)</f>
        <v>0</v>
      </c>
      <c r="DP139" s="3989">
        <f t="shared" si="371"/>
        <v>0</v>
      </c>
      <c r="DQ139" s="3989">
        <f t="shared" si="372"/>
        <v>0</v>
      </c>
      <c r="DR139" s="3989">
        <f t="shared" si="359"/>
        <v>0</v>
      </c>
      <c r="DS139" s="3989">
        <f t="shared" si="373"/>
        <v>0</v>
      </c>
      <c r="DT139" s="3989">
        <f t="shared" si="374"/>
        <v>0</v>
      </c>
      <c r="DU139" s="3989">
        <f t="shared" si="375"/>
        <v>0</v>
      </c>
      <c r="DV139" s="3989">
        <f t="shared" si="376"/>
        <v>0</v>
      </c>
      <c r="DW139" s="3989">
        <f t="shared" si="377"/>
        <v>0</v>
      </c>
      <c r="DX139" s="3989">
        <f t="shared" si="378"/>
        <v>0</v>
      </c>
      <c r="DY139" s="3989">
        <f t="shared" si="379"/>
        <v>0</v>
      </c>
      <c r="DZ139" s="3989">
        <f>IF(AJ139&lt;AK139,1,0)</f>
        <v>0</v>
      </c>
      <c r="EA139" s="3989">
        <f>IF(AL139&lt;AM139,1,0)</f>
        <v>0</v>
      </c>
      <c r="EB139" s="3989">
        <f>IF(AN139&lt;AO139,1,0)</f>
        <v>0</v>
      </c>
      <c r="EC139" s="3989">
        <f>IF(AP139&lt;AQ139,1,0)</f>
        <v>0</v>
      </c>
    </row>
    <row r="140" spans="1:133" x14ac:dyDescent="0.3">
      <c r="A140" s="1027" t="s">
        <v>1883</v>
      </c>
      <c r="B140" s="1083">
        <f t="shared" si="380"/>
        <v>0</v>
      </c>
      <c r="C140" s="3429">
        <f t="shared" si="380"/>
        <v>0</v>
      </c>
      <c r="D140" s="1911"/>
      <c r="E140" s="1907"/>
      <c r="F140" s="876"/>
      <c r="G140" s="1907"/>
      <c r="H140" s="876"/>
      <c r="I140" s="2009"/>
      <c r="J140" s="1911"/>
      <c r="K140" s="1911"/>
      <c r="L140" s="876"/>
      <c r="M140" s="2009"/>
      <c r="N140" s="1911"/>
      <c r="O140" s="1907"/>
      <c r="P140" s="876"/>
      <c r="Q140" s="1907"/>
      <c r="R140" s="876"/>
      <c r="S140" s="1907"/>
      <c r="T140" s="876"/>
      <c r="U140" s="1907"/>
      <c r="V140" s="876"/>
      <c r="W140" s="1907"/>
      <c r="X140" s="876"/>
      <c r="Y140" s="1907"/>
      <c r="Z140" s="876"/>
      <c r="AA140" s="1907"/>
      <c r="AB140" s="876"/>
      <c r="AC140" s="1907"/>
      <c r="AD140" s="876"/>
      <c r="AE140" s="1907"/>
      <c r="AF140" s="876"/>
      <c r="AG140" s="1907"/>
      <c r="AH140" s="876"/>
      <c r="AI140" s="1907"/>
      <c r="AJ140" s="876"/>
      <c r="AK140" s="1907"/>
      <c r="AL140" s="876"/>
      <c r="AM140" s="1907"/>
      <c r="AN140" s="876"/>
      <c r="AO140" s="1907"/>
      <c r="AP140" s="876"/>
      <c r="AQ140" s="1953"/>
      <c r="AR140" s="1911"/>
      <c r="AS140" s="1953"/>
      <c r="AT140" s="1913"/>
      <c r="AU140" s="1953"/>
      <c r="AV140" s="1911"/>
      <c r="AW140" s="2009"/>
      <c r="AX140" s="1898" t="str">
        <f>$CA140&amp;CB140&amp;CC140&amp;$CD140&amp;CJ140&amp;CK140&amp;CL140&amp;CM140&amp;CN140&amp;CO140&amp;CP140&amp;CQ140&amp;CR140&amp;CS140&amp;CT140&amp;CU140&amp;CV140&amp;CW140&amp;CX140&amp;CE140&amp;CF140&amp;CG140&amp;CH140&amp;CI140</f>
        <v/>
      </c>
      <c r="CA140" s="1899" t="str">
        <f t="shared" si="360"/>
        <v/>
      </c>
      <c r="CB140" s="1899" t="str">
        <f t="shared" si="324"/>
        <v/>
      </c>
      <c r="CC140" s="1899" t="str">
        <f t="shared" si="325"/>
        <v/>
      </c>
      <c r="CD140" s="1899" t="str">
        <f t="shared" si="326"/>
        <v/>
      </c>
      <c r="CE140" s="1899" t="str">
        <f>IF(D140&lt;E140,CONCATENATE("* El total de Procesados debe ser mayor o igual al total de Reactivos en el grupo de edad ",$D$11),"")</f>
        <v/>
      </c>
      <c r="CF140" s="1899" t="str">
        <f>IF(F140&lt;G140,CONCATENATE("* El total de Procesados debe ser mayor o igual al total de Reactivos en el grupo de edad ",$F$11),"")</f>
        <v/>
      </c>
      <c r="CG140" s="1899" t="str">
        <f>IF(H140&lt;I140,CONCATENATE("* El total de Procesados debe ser mayor o igual al total de Reactivos en el grupo de edad ",$H$11),"")</f>
        <v/>
      </c>
      <c r="CH140" s="1899" t="str">
        <f>IF(J140&lt;K140,CONCATENATE("* El total de Procesados debe ser mayor o igual al total de Reactivos en el grupo de edad ",$J$11),"")</f>
        <v/>
      </c>
      <c r="CI140" s="1899" t="str">
        <f>IF(L140&lt;M140,CONCATENATE("* El total de Procesados debe ser mayor o igual al total de Reactivos en el grupo de edad ",$L$11),"")</f>
        <v/>
      </c>
      <c r="CJ140" s="1899" t="str">
        <f>IF(N140&lt;O140,CONCATENATE("* El total de Procesados debe ser mayor o igual al total de Reactivos en el grupo de edad ",$N$11),"")</f>
        <v/>
      </c>
      <c r="CK140" s="1899" t="str">
        <f t="shared" si="362"/>
        <v/>
      </c>
      <c r="CL140" s="1899" t="str">
        <f t="shared" si="363"/>
        <v/>
      </c>
      <c r="CM140" s="1899" t="str">
        <f t="shared" si="358"/>
        <v/>
      </c>
      <c r="CN140" s="1899" t="str">
        <f t="shared" si="364"/>
        <v/>
      </c>
      <c r="CO140" s="1899" t="str">
        <f t="shared" si="365"/>
        <v/>
      </c>
      <c r="CP140" s="1899" t="str">
        <f t="shared" si="366"/>
        <v/>
      </c>
      <c r="CQ140" s="1899" t="str">
        <f t="shared" si="367"/>
        <v/>
      </c>
      <c r="CR140" s="1899" t="str">
        <f t="shared" si="368"/>
        <v/>
      </c>
      <c r="CS140" s="1899" t="str">
        <f t="shared" si="369"/>
        <v/>
      </c>
      <c r="CT140" s="1899" t="str">
        <f t="shared" si="370"/>
        <v/>
      </c>
      <c r="CU140" s="1899" t="str">
        <f>IF(AJ140&lt;AK140,CONCATENATE("* El total de Procesados debe ser mayor o igual al total de Reactivos en el grupo de edad ",$AJ$11),"")</f>
        <v/>
      </c>
      <c r="CV140" s="1899" t="str">
        <f>IF(AL140&lt;AM140,CONCATENATE("* El total de Procesados debe ser mayor o igual al total de Reactivos en el grupo de edad ",$AL$11),"")</f>
        <v/>
      </c>
      <c r="CW140" s="1899" t="str">
        <f>IF(AN140&lt;AO140,CONCATENATE("* El total de Procesados debe ser mayor o igual al total de Reactivos en el grupo de edad ",$AN$11),"")</f>
        <v/>
      </c>
      <c r="CX140" s="1899" t="str">
        <f>IF(AP140&lt;AQ140,CONCATENATE("* El total de Procesados debe ser mayor o igual al total de Reactivos en el grupo de edad ",$AP$11),"")</f>
        <v/>
      </c>
      <c r="DE140" s="1970"/>
      <c r="DF140" s="4005">
        <f t="shared" si="361"/>
        <v>0</v>
      </c>
      <c r="DG140" s="3989">
        <f t="shared" si="341"/>
        <v>0</v>
      </c>
      <c r="DH140" s="3989">
        <f t="shared" si="342"/>
        <v>0</v>
      </c>
      <c r="DI140" s="3989">
        <f t="shared" si="343"/>
        <v>0</v>
      </c>
      <c r="DJ140" s="3989">
        <f>IF(D140&lt;E140,1,0)</f>
        <v>0</v>
      </c>
      <c r="DK140" s="3989">
        <f>IF(F140&lt;G140,1,0)</f>
        <v>0</v>
      </c>
      <c r="DL140" s="3989">
        <f>IF(H140&lt;I140,1,0)</f>
        <v>0</v>
      </c>
      <c r="DM140" s="3989">
        <f>IF(J140&lt;K140,1,0)</f>
        <v>0</v>
      </c>
      <c r="DN140" s="3989">
        <f>IF(L140&lt;M140,1,0)</f>
        <v>0</v>
      </c>
      <c r="DO140" s="3989">
        <f>IF(N140&lt;O140,1,0)</f>
        <v>0</v>
      </c>
      <c r="DP140" s="3989">
        <f t="shared" si="371"/>
        <v>0</v>
      </c>
      <c r="DQ140" s="3989">
        <f t="shared" si="372"/>
        <v>0</v>
      </c>
      <c r="DR140" s="3989">
        <f t="shared" si="359"/>
        <v>0</v>
      </c>
      <c r="DS140" s="3989">
        <f t="shared" si="373"/>
        <v>0</v>
      </c>
      <c r="DT140" s="3989">
        <f t="shared" si="374"/>
        <v>0</v>
      </c>
      <c r="DU140" s="3989">
        <f t="shared" si="375"/>
        <v>0</v>
      </c>
      <c r="DV140" s="3989">
        <f t="shared" si="376"/>
        <v>0</v>
      </c>
      <c r="DW140" s="3989">
        <f t="shared" si="377"/>
        <v>0</v>
      </c>
      <c r="DX140" s="3989">
        <f t="shared" si="378"/>
        <v>0</v>
      </c>
      <c r="DY140" s="3989">
        <f t="shared" si="379"/>
        <v>0</v>
      </c>
      <c r="DZ140" s="3989">
        <f>IF(AJ140&lt;AK140,1,0)</f>
        <v>0</v>
      </c>
      <c r="EA140" s="3989">
        <f>IF(AL140&lt;AM140,1,0)</f>
        <v>0</v>
      </c>
      <c r="EB140" s="3989">
        <f>IF(AN140&lt;AO140,1,0)</f>
        <v>0</v>
      </c>
      <c r="EC140" s="3989">
        <f>IF(AP140&lt;AQ140,1,0)</f>
        <v>0</v>
      </c>
    </row>
    <row r="141" spans="1:133" ht="18" customHeight="1" x14ac:dyDescent="0.3">
      <c r="A141" s="6852" t="s">
        <v>1891</v>
      </c>
      <c r="B141" s="6852"/>
      <c r="C141" s="6852"/>
      <c r="D141" s="6852"/>
      <c r="E141" s="6852"/>
      <c r="F141" s="6852"/>
      <c r="G141" s="6852"/>
      <c r="H141" s="6852"/>
      <c r="I141" s="6852"/>
      <c r="J141" s="6852"/>
      <c r="K141" s="6852"/>
      <c r="L141" s="6852"/>
      <c r="M141" s="6852"/>
      <c r="N141" s="6852"/>
      <c r="O141" s="6852"/>
      <c r="P141" s="6852"/>
    </row>
    <row r="142" spans="1:133" x14ac:dyDescent="0.3">
      <c r="A142" s="6853" t="s">
        <v>1892</v>
      </c>
      <c r="B142" s="6243"/>
      <c r="C142" s="6839" t="s">
        <v>1893</v>
      </c>
      <c r="D142" s="6840"/>
      <c r="E142" s="6854"/>
      <c r="F142" s="6855" t="s">
        <v>1894</v>
      </c>
      <c r="G142" s="6855"/>
      <c r="H142" s="6855"/>
      <c r="I142" s="6855" t="s">
        <v>1895</v>
      </c>
      <c r="J142" s="6855"/>
      <c r="K142" s="6855"/>
      <c r="L142" s="6855" t="s">
        <v>1896</v>
      </c>
      <c r="M142" s="6855"/>
      <c r="N142" s="6855"/>
      <c r="O142" s="6839" t="s">
        <v>720</v>
      </c>
      <c r="P142" s="6854"/>
    </row>
    <row r="143" spans="1:133" x14ac:dyDescent="0.3">
      <c r="A143" s="6466"/>
      <c r="B143" s="6687"/>
      <c r="C143" s="3977" t="s">
        <v>1864</v>
      </c>
      <c r="D143" s="3978" t="s">
        <v>1865</v>
      </c>
      <c r="E143" s="3976" t="s">
        <v>1897</v>
      </c>
      <c r="F143" s="3977" t="s">
        <v>1864</v>
      </c>
      <c r="G143" s="3978" t="s">
        <v>1865</v>
      </c>
      <c r="H143" s="3976" t="s">
        <v>1897</v>
      </c>
      <c r="I143" s="3977" t="s">
        <v>1864</v>
      </c>
      <c r="J143" s="3978" t="s">
        <v>1865</v>
      </c>
      <c r="K143" s="3976" t="s">
        <v>1897</v>
      </c>
      <c r="L143" s="3977" t="s">
        <v>1864</v>
      </c>
      <c r="M143" s="3978" t="s">
        <v>1865</v>
      </c>
      <c r="N143" s="3976" t="s">
        <v>1897</v>
      </c>
      <c r="O143" s="3977" t="s">
        <v>1864</v>
      </c>
      <c r="P143" s="3979" t="s">
        <v>1865</v>
      </c>
    </row>
    <row r="144" spans="1:133" x14ac:dyDescent="0.3">
      <c r="A144" s="6856" t="s">
        <v>1898</v>
      </c>
      <c r="B144" s="6857"/>
      <c r="C144" s="4010"/>
      <c r="D144" s="4011"/>
      <c r="E144" s="29"/>
      <c r="F144" s="4010"/>
      <c r="G144" s="4011"/>
      <c r="H144" s="29"/>
      <c r="I144" s="4010"/>
      <c r="J144" s="4011"/>
      <c r="K144" s="29"/>
      <c r="L144" s="4010"/>
      <c r="M144" s="4011"/>
      <c r="N144" s="29"/>
      <c r="O144" s="4010"/>
      <c r="P144" s="4012"/>
      <c r="Q144" s="1898" t="str">
        <f>$CA144&amp;CB144&amp;$CC144&amp;CD144&amp;$CE144&amp;CF144&amp;$CG144&amp;CH144&amp;$CI144</f>
        <v/>
      </c>
      <c r="R144" s="1898"/>
      <c r="S144" s="1898"/>
      <c r="T144" s="1898"/>
      <c r="U144" s="1898"/>
      <c r="V144" s="1898"/>
      <c r="W144" s="1898"/>
      <c r="X144" s="1898"/>
      <c r="Y144" s="1898"/>
      <c r="Z144" s="1898"/>
      <c r="AA144" s="1898"/>
      <c r="AB144" s="1898"/>
      <c r="AC144" s="2183"/>
      <c r="AD144" s="2183"/>
      <c r="AE144" s="2184"/>
      <c r="AF144" s="2184"/>
      <c r="AG144" s="2184"/>
      <c r="AH144" s="2184"/>
      <c r="AI144" s="2184"/>
      <c r="AJ144" s="2184"/>
      <c r="AK144" s="2184"/>
      <c r="AL144" s="2184"/>
      <c r="AM144" s="2184"/>
      <c r="AN144" s="2184"/>
      <c r="AO144" s="2184"/>
      <c r="AP144" s="2184"/>
      <c r="AQ144" s="2184"/>
      <c r="AR144" s="2184"/>
      <c r="AS144" s="2184"/>
      <c r="AT144" s="2184"/>
      <c r="AU144" s="2184"/>
      <c r="AV144" s="2184"/>
      <c r="AW144" s="2184"/>
      <c r="AX144" s="2183"/>
      <c r="AY144" s="2183"/>
      <c r="AZ144" s="2183"/>
      <c r="BA144" s="2183"/>
      <c r="BB144" s="2183"/>
      <c r="BC144" s="2183"/>
      <c r="BD144" s="2183"/>
      <c r="BE144" s="2183"/>
      <c r="BF144" s="2183"/>
      <c r="BG144" s="2183"/>
      <c r="BH144" s="2183"/>
      <c r="BI144" s="2183"/>
      <c r="BJ144" s="2183"/>
      <c r="BK144" s="2183"/>
      <c r="BL144" s="2183"/>
      <c r="BM144" s="2183"/>
      <c r="BN144" s="2184"/>
      <c r="BO144" s="2184"/>
      <c r="BP144" s="2184"/>
      <c r="BQ144" s="2184"/>
      <c r="BR144" s="2184"/>
      <c r="BS144" s="2184"/>
      <c r="BT144" s="2184"/>
      <c r="BU144" s="2184"/>
      <c r="BV144" s="2183"/>
      <c r="BW144" s="2183"/>
      <c r="BX144" s="3968"/>
      <c r="BY144" s="3968"/>
      <c r="BZ144" s="3968"/>
      <c r="CA144" s="1899" t="str">
        <f>IF(C144&gt;=D144,"","* Los Exámenes Reactivos de Hepatitis B NO DEBEN ser mayor a los Exámenes Procesados. ")</f>
        <v/>
      </c>
      <c r="CB144" s="1899" t="str">
        <f>IF(C144&gt;=E144,"","* Los Exámenes Confirmados de Hepatitis B NO DEBEN ser mayor a los exámenes Procesados. ")</f>
        <v/>
      </c>
      <c r="CC144" s="1899" t="str">
        <f>IF(F144&gt;=G144,"","* Los Exámenes Reactivos de Hepatitis C NO DEBEN ser mayor a los Exámenes Procesados. ")</f>
        <v/>
      </c>
      <c r="CD144" s="1899" t="str">
        <f>IF(F144&gt;=H144,"","* Los Exámenes Confirmados de Hepatitis C NO DEBEN ser mayor a los Exámenes Procesados. ")</f>
        <v/>
      </c>
      <c r="CE144" s="1899" t="str">
        <f>IF(I144&gt;=J144,"","* Los Exámenes Reactivos de CHAGAS NO DEBEN ser mayor a los Exámenes Procesados. ")</f>
        <v/>
      </c>
      <c r="CF144" s="1899" t="str">
        <f>IF(I144&gt;=K144,"","* Los Exámenes Confirmados de CHAGAS NO DEBEN ser mayor a los Exámenes Procesados. ")</f>
        <v/>
      </c>
      <c r="CG144" s="1899" t="str">
        <f>IF(L144&gt;=M144,"","* Los Exámenes Reactivos de HTLV1 NO DEBEN ser mayor a los Exámenes Procesados. ")</f>
        <v/>
      </c>
      <c r="CH144" s="1899" t="str">
        <f>IF(L144&gt;=N144,"","* Los Exámenes Confirmados de HTLV1 NO DEBEN ser mayor a los Exámenes Procesados. ")</f>
        <v/>
      </c>
      <c r="CI144" s="1899" t="str">
        <f>IF(O144&gt;=P144,"","* Los exámenes Reactivos de SIFILIS NO DEBEN ser mayor a los exámenes Procesados. ")</f>
        <v/>
      </c>
      <c r="CJ144" s="3969"/>
      <c r="DF144" s="3989">
        <f>IF(C144&gt;=D144,0,1)</f>
        <v>0</v>
      </c>
      <c r="DG144" s="3989">
        <f>IF(E144&gt;C144,1,0)</f>
        <v>0</v>
      </c>
      <c r="DH144" s="3989">
        <f>IF(F144&gt;=G144,0,1)</f>
        <v>0</v>
      </c>
      <c r="DI144" s="3989">
        <f>IF(F144&gt;=H144,0,1)</f>
        <v>0</v>
      </c>
      <c r="DJ144" s="3989">
        <f>IF(I144&gt;=J144,0,1)</f>
        <v>0</v>
      </c>
      <c r="DK144" s="3989">
        <f>IF(I144&gt;=K144,0,1)</f>
        <v>0</v>
      </c>
      <c r="DL144" s="3989">
        <f>IF(L144&gt;=M144,0,1)</f>
        <v>0</v>
      </c>
      <c r="DM144" s="3989">
        <f>IF(L144&gt;=N144,0,1)</f>
        <v>0</v>
      </c>
      <c r="DN144" s="3989">
        <f>IF(O144&gt;=P144,0,1)</f>
        <v>0</v>
      </c>
    </row>
    <row r="145" spans="1:118" x14ac:dyDescent="0.3">
      <c r="A145" s="6659" t="s">
        <v>1899</v>
      </c>
      <c r="B145" s="3318" t="s">
        <v>1900</v>
      </c>
      <c r="C145" s="3361"/>
      <c r="D145" s="960"/>
      <c r="E145" s="4013"/>
      <c r="F145" s="3361"/>
      <c r="G145" s="960"/>
      <c r="H145" s="4013"/>
      <c r="I145" s="3361"/>
      <c r="J145" s="960"/>
      <c r="K145" s="4013"/>
      <c r="L145" s="3361"/>
      <c r="M145" s="960"/>
      <c r="N145" s="4013"/>
      <c r="O145" s="3361"/>
      <c r="P145" s="890"/>
      <c r="Q145" s="1898" t="str">
        <f t="shared" ref="Q145:Q148" si="381">$CA145&amp;CB145&amp;$CC145&amp;CD145&amp;$CE145&amp;CF145&amp;$CG145&amp;CH145&amp;$CI145</f>
        <v/>
      </c>
      <c r="R145" s="1898"/>
      <c r="S145" s="1898"/>
      <c r="T145" s="1898"/>
      <c r="U145" s="1898"/>
      <c r="V145" s="1898"/>
      <c r="W145" s="1898"/>
      <c r="X145" s="1898"/>
      <c r="Y145" s="1898"/>
      <c r="Z145" s="1898"/>
      <c r="AA145" s="1898"/>
      <c r="AB145" s="1898"/>
      <c r="AC145" s="2183"/>
      <c r="AD145" s="2183"/>
      <c r="AE145" s="2184"/>
      <c r="AF145" s="2184"/>
      <c r="AG145" s="2184"/>
      <c r="AH145" s="2184"/>
      <c r="AI145" s="2184"/>
      <c r="AJ145" s="2184"/>
      <c r="AK145" s="2184"/>
      <c r="AL145" s="2184"/>
      <c r="AM145" s="2184"/>
      <c r="AN145" s="2184"/>
      <c r="AO145" s="2184"/>
      <c r="AP145" s="2184"/>
      <c r="AQ145" s="2184"/>
      <c r="AR145" s="2184"/>
      <c r="AS145" s="2184"/>
      <c r="AT145" s="2184"/>
      <c r="AU145" s="2184"/>
      <c r="AV145" s="2184"/>
      <c r="AW145" s="2184"/>
      <c r="AX145" s="2183"/>
      <c r="AY145" s="2183"/>
      <c r="AZ145" s="2183"/>
      <c r="BA145" s="2183"/>
      <c r="BB145" s="2183"/>
      <c r="BC145" s="2183"/>
      <c r="BD145" s="2183"/>
      <c r="BE145" s="2183"/>
      <c r="BF145" s="2183"/>
      <c r="BG145" s="2183"/>
      <c r="BH145" s="2183"/>
      <c r="BI145" s="2183"/>
      <c r="BJ145" s="2183"/>
      <c r="BK145" s="2183"/>
      <c r="BL145" s="2183"/>
      <c r="BM145" s="2183"/>
      <c r="BN145" s="2184"/>
      <c r="BO145" s="2184"/>
      <c r="BP145" s="2184"/>
      <c r="BQ145" s="2184"/>
      <c r="BR145" s="2184"/>
      <c r="BS145" s="2184"/>
      <c r="BT145" s="2184"/>
      <c r="BU145" s="2184"/>
      <c r="BV145" s="2183"/>
      <c r="BW145" s="2183"/>
      <c r="BX145" s="3968"/>
      <c r="BY145" s="3968"/>
      <c r="BZ145" s="3968"/>
      <c r="CA145" s="1899" t="str">
        <f t="shared" ref="CA145:CA148" si="382">IF(C145&gt;=D145,"","* Los Exámenes Reactivos de Hepatitis B NO DEBEN ser mayor a los Exámenes Procesados. ")</f>
        <v/>
      </c>
      <c r="CB145" s="1899" t="str">
        <f t="shared" ref="CB145:CB148" si="383">IF(C145&gt;=E145,"","* Los Exámenes Confirmados de Hepatitis B NO DEBEN ser mayor a los exámenes Procesados. ")</f>
        <v/>
      </c>
      <c r="CC145" s="1899" t="str">
        <f t="shared" ref="CC145:CC148" si="384">IF(F145&gt;=G145,"","* Los Exámenes Reactivos de Hepatitis C NO DEBEN ser mayor a los Exámenes Procesados. ")</f>
        <v/>
      </c>
      <c r="CD145" s="1899" t="str">
        <f t="shared" ref="CD145:CD148" si="385">IF(F145&gt;=H145,"","* Los Exámenes Confirmados de Hepatitis C NO DEBEN ser mayor a los Exámenes Procesados. ")</f>
        <v/>
      </c>
      <c r="CE145" s="1899" t="str">
        <f t="shared" ref="CE145:CE148" si="386">IF(I145&gt;=J145,"","* Los Exámenes Reactivos de CHAGAS NO DEBEN ser mayor a los Exámenes Procesados. ")</f>
        <v/>
      </c>
      <c r="CF145" s="1899" t="str">
        <f t="shared" ref="CF145:CF148" si="387">IF(I145&gt;=K145,"","* Los Exámenes Confirmados de CHAGAS NO DEBEN ser mayor a los Exámenes Procesados. ")</f>
        <v/>
      </c>
      <c r="CG145" s="1899" t="str">
        <f t="shared" ref="CG145:CG148" si="388">IF(L145&gt;=M145,"","* Los Exámenes Reactivos de HTLV1 NO DEBEN ser mayor a los Exámenes Procesados. ")</f>
        <v/>
      </c>
      <c r="CH145" s="1899" t="str">
        <f t="shared" ref="CH145:CH148" si="389">IF(L145&gt;=N145,"","* Los Exámenes Confirmados de HTLV1 NO DEBEN ser mayor a los Exámenes Procesados. ")</f>
        <v/>
      </c>
      <c r="CI145" s="1899" t="str">
        <f t="shared" ref="CI145:CI148" si="390">IF(O145&gt;=P145,"","* Los exámenes Reactivos de SIFILIS NO DEBEN ser mayor a los exámenes Procesados. ")</f>
        <v/>
      </c>
      <c r="CJ145" s="3969"/>
      <c r="DF145" s="3989">
        <f>IF(C145&gt;=D145,0,1)</f>
        <v>0</v>
      </c>
      <c r="DG145" s="3989">
        <f>IF(E145&gt;C145,1,0)</f>
        <v>0</v>
      </c>
      <c r="DH145" s="3989">
        <f>IF(F145&gt;=G145,0,1)</f>
        <v>0</v>
      </c>
      <c r="DI145" s="3989">
        <f>IF(F145&gt;=H145,0,1)</f>
        <v>0</v>
      </c>
      <c r="DJ145" s="3989">
        <f>IF(I145&gt;=J145,0,1)</f>
        <v>0</v>
      </c>
      <c r="DK145" s="3989">
        <f>IF(I145&gt;=K145,0,1)</f>
        <v>0</v>
      </c>
      <c r="DL145" s="3989">
        <f>IF(L145&gt;=M145,0,1)</f>
        <v>0</v>
      </c>
      <c r="DM145" s="3989">
        <f>IF(L145&gt;=N145,0,1)</f>
        <v>0</v>
      </c>
      <c r="DN145" s="3989">
        <f>IF(O145&gt;=P145,0,1)</f>
        <v>0</v>
      </c>
    </row>
    <row r="146" spans="1:118" x14ac:dyDescent="0.3">
      <c r="A146" s="6858"/>
      <c r="B146" s="4007" t="s">
        <v>1901</v>
      </c>
      <c r="C146" s="327"/>
      <c r="D146" s="1039"/>
      <c r="E146" s="142"/>
      <c r="F146" s="327"/>
      <c r="G146" s="1039"/>
      <c r="H146" s="142"/>
      <c r="I146" s="327"/>
      <c r="J146" s="1039"/>
      <c r="K146" s="142"/>
      <c r="L146" s="327"/>
      <c r="M146" s="1039"/>
      <c r="N146" s="142"/>
      <c r="O146" s="327"/>
      <c r="P146" s="905"/>
      <c r="Q146" s="1898" t="str">
        <f t="shared" si="381"/>
        <v/>
      </c>
      <c r="R146" s="1898"/>
      <c r="S146" s="1898"/>
      <c r="T146" s="1898"/>
      <c r="U146" s="1898"/>
      <c r="V146" s="1898"/>
      <c r="W146" s="1898"/>
      <c r="X146" s="1898"/>
      <c r="Y146" s="1898"/>
      <c r="Z146" s="1898"/>
      <c r="AA146" s="1898"/>
      <c r="AB146" s="1898"/>
      <c r="AC146" s="2183"/>
      <c r="AD146" s="2183"/>
      <c r="AE146" s="2184"/>
      <c r="AF146" s="2184"/>
      <c r="AG146" s="2184"/>
      <c r="AH146" s="2184"/>
      <c r="AI146" s="2184"/>
      <c r="AJ146" s="2184"/>
      <c r="AK146" s="2184"/>
      <c r="AL146" s="2184"/>
      <c r="AM146" s="2184"/>
      <c r="AN146" s="2184"/>
      <c r="AO146" s="2184"/>
      <c r="AP146" s="2184"/>
      <c r="AQ146" s="2184"/>
      <c r="AR146" s="2184"/>
      <c r="AS146" s="2184"/>
      <c r="AT146" s="2184"/>
      <c r="AU146" s="2184"/>
      <c r="AV146" s="2184"/>
      <c r="AW146" s="2184"/>
      <c r="AX146" s="2183"/>
      <c r="AY146" s="2183"/>
      <c r="AZ146" s="2183"/>
      <c r="BA146" s="2183"/>
      <c r="BB146" s="2183"/>
      <c r="BC146" s="2183"/>
      <c r="BD146" s="2183"/>
      <c r="BE146" s="2183"/>
      <c r="BF146" s="2183"/>
      <c r="BG146" s="2183"/>
      <c r="BH146" s="2183"/>
      <c r="BI146" s="2183"/>
      <c r="BJ146" s="2183"/>
      <c r="BK146" s="2183"/>
      <c r="BL146" s="2183"/>
      <c r="BM146" s="2183"/>
      <c r="BN146" s="2184"/>
      <c r="BO146" s="2184"/>
      <c r="BP146" s="2184"/>
      <c r="BQ146" s="2184"/>
      <c r="BR146" s="2184"/>
      <c r="BS146" s="2184"/>
      <c r="BT146" s="2184"/>
      <c r="BU146" s="2184"/>
      <c r="BV146" s="2183"/>
      <c r="BW146" s="2183"/>
      <c r="BX146" s="3968"/>
      <c r="BY146" s="3968"/>
      <c r="BZ146" s="3968"/>
      <c r="CA146" s="1899" t="str">
        <f t="shared" si="382"/>
        <v/>
      </c>
      <c r="CB146" s="1899" t="str">
        <f t="shared" si="383"/>
        <v/>
      </c>
      <c r="CC146" s="1899" t="str">
        <f t="shared" si="384"/>
        <v/>
      </c>
      <c r="CD146" s="1899" t="str">
        <f t="shared" si="385"/>
        <v/>
      </c>
      <c r="CE146" s="1899" t="str">
        <f t="shared" si="386"/>
        <v/>
      </c>
      <c r="CF146" s="1899" t="str">
        <f t="shared" si="387"/>
        <v/>
      </c>
      <c r="CG146" s="1899" t="str">
        <f t="shared" si="388"/>
        <v/>
      </c>
      <c r="CH146" s="1899" t="str">
        <f t="shared" si="389"/>
        <v/>
      </c>
      <c r="CI146" s="1899" t="str">
        <f t="shared" si="390"/>
        <v/>
      </c>
      <c r="CJ146" s="3969"/>
      <c r="DF146" s="3989">
        <f>IF(C146&gt;=D146,0,1)</f>
        <v>0</v>
      </c>
      <c r="DG146" s="3989">
        <f>IF(E146&gt;C146,1,0)</f>
        <v>0</v>
      </c>
      <c r="DH146" s="3989">
        <f>IF(F146&gt;=G146,0,1)</f>
        <v>0</v>
      </c>
      <c r="DI146" s="3989">
        <f>IF(F146&gt;=H146,0,1)</f>
        <v>0</v>
      </c>
      <c r="DJ146" s="3989">
        <f>IF(I146&gt;=J146,0,1)</f>
        <v>0</v>
      </c>
      <c r="DK146" s="3989">
        <f>IF(I146&gt;=K146,0,1)</f>
        <v>0</v>
      </c>
      <c r="DL146" s="3989">
        <f>IF(L146&gt;=M146,0,1)</f>
        <v>0</v>
      </c>
      <c r="DM146" s="3989">
        <f>IF(L146&gt;=N146,0,1)</f>
        <v>0</v>
      </c>
      <c r="DN146" s="3989">
        <f>IF(O146&gt;=P146,0,1)</f>
        <v>0</v>
      </c>
    </row>
    <row r="147" spans="1:118" x14ac:dyDescent="0.3">
      <c r="A147" s="6044"/>
      <c r="B147" s="3659" t="s">
        <v>1902</v>
      </c>
      <c r="C147" s="897"/>
      <c r="D147" s="1914"/>
      <c r="E147" s="3499"/>
      <c r="F147" s="897"/>
      <c r="G147" s="1914"/>
      <c r="H147" s="3499"/>
      <c r="I147" s="897"/>
      <c r="J147" s="1914"/>
      <c r="K147" s="3499"/>
      <c r="L147" s="897"/>
      <c r="M147" s="1914"/>
      <c r="N147" s="3499"/>
      <c r="O147" s="897"/>
      <c r="P147" s="325"/>
      <c r="Q147" s="1898" t="str">
        <f t="shared" si="381"/>
        <v/>
      </c>
      <c r="R147" s="1898"/>
      <c r="S147" s="1898"/>
      <c r="T147" s="1898"/>
      <c r="U147" s="1898"/>
      <c r="V147" s="1898"/>
      <c r="W147" s="1898"/>
      <c r="X147" s="1898"/>
      <c r="Y147" s="1898"/>
      <c r="Z147" s="1898"/>
      <c r="AA147" s="1898"/>
      <c r="AB147" s="1898"/>
      <c r="AC147" s="2183"/>
      <c r="AD147" s="2183"/>
      <c r="AE147" s="2184"/>
      <c r="AF147" s="2184"/>
      <c r="AG147" s="2184"/>
      <c r="AH147" s="2184"/>
      <c r="AI147" s="2184"/>
      <c r="AJ147" s="2184"/>
      <c r="AK147" s="2184"/>
      <c r="AL147" s="2184"/>
      <c r="AM147" s="2184"/>
      <c r="AN147" s="2184"/>
      <c r="AO147" s="2184"/>
      <c r="AP147" s="2184"/>
      <c r="AQ147" s="2184"/>
      <c r="AR147" s="2184"/>
      <c r="AS147" s="2184"/>
      <c r="AT147" s="2184"/>
      <c r="AU147" s="2184"/>
      <c r="AV147" s="2184"/>
      <c r="AW147" s="2184"/>
      <c r="AX147" s="2183"/>
      <c r="AY147" s="2183"/>
      <c r="AZ147" s="2183"/>
      <c r="BA147" s="2183"/>
      <c r="BB147" s="2183"/>
      <c r="BC147" s="2183"/>
      <c r="BD147" s="2183"/>
      <c r="BE147" s="2183"/>
      <c r="BF147" s="2183"/>
      <c r="BG147" s="2183"/>
      <c r="BH147" s="2183"/>
      <c r="BI147" s="2183"/>
      <c r="BJ147" s="2183"/>
      <c r="BK147" s="2183"/>
      <c r="BL147" s="2183"/>
      <c r="BM147" s="2183"/>
      <c r="BN147" s="2184"/>
      <c r="BO147" s="2184"/>
      <c r="BP147" s="2184"/>
      <c r="BQ147" s="2184"/>
      <c r="BR147" s="2184"/>
      <c r="BS147" s="2184"/>
      <c r="BT147" s="2184"/>
      <c r="BU147" s="2184"/>
      <c r="BV147" s="2183"/>
      <c r="BW147" s="2183"/>
      <c r="BX147" s="3968"/>
      <c r="BY147" s="3968"/>
      <c r="BZ147" s="3968"/>
      <c r="CA147" s="1899" t="str">
        <f t="shared" si="382"/>
        <v/>
      </c>
      <c r="CB147" s="1899" t="str">
        <f t="shared" si="383"/>
        <v/>
      </c>
      <c r="CC147" s="1899" t="str">
        <f t="shared" si="384"/>
        <v/>
      </c>
      <c r="CD147" s="1899" t="str">
        <f t="shared" si="385"/>
        <v/>
      </c>
      <c r="CE147" s="1899" t="str">
        <f t="shared" si="386"/>
        <v/>
      </c>
      <c r="CF147" s="1899" t="str">
        <f t="shared" si="387"/>
        <v/>
      </c>
      <c r="CG147" s="1899" t="str">
        <f t="shared" si="388"/>
        <v/>
      </c>
      <c r="CH147" s="1899" t="str">
        <f t="shared" si="389"/>
        <v/>
      </c>
      <c r="CI147" s="1899" t="str">
        <f t="shared" si="390"/>
        <v/>
      </c>
      <c r="CJ147" s="3969"/>
      <c r="DF147" s="3989">
        <f>IF(C147&gt;=D147,0,1)</f>
        <v>0</v>
      </c>
      <c r="DG147" s="3989">
        <f>IF(E147&gt;C147,1,0)</f>
        <v>0</v>
      </c>
      <c r="DH147" s="3989">
        <f>IF(F147&gt;=G147,0,1)</f>
        <v>0</v>
      </c>
      <c r="DI147" s="3989">
        <f>IF(F147&gt;=H147,0,1)</f>
        <v>0</v>
      </c>
      <c r="DJ147" s="3989">
        <f>IF(I147&gt;=J147,0,1)</f>
        <v>0</v>
      </c>
      <c r="DK147" s="3989">
        <f>IF(I147&gt;=K147,0,1)</f>
        <v>0</v>
      </c>
      <c r="DL147" s="3989">
        <f>IF(L147&gt;=M147,0,1)</f>
        <v>0</v>
      </c>
      <c r="DM147" s="3989">
        <f>IF(L147&gt;=N147,0,1)</f>
        <v>0</v>
      </c>
      <c r="DN147" s="3989">
        <f>IF(O147&gt;=P147,0,1)</f>
        <v>0</v>
      </c>
    </row>
    <row r="148" spans="1:118" x14ac:dyDescent="0.3">
      <c r="A148" s="6859" t="s">
        <v>1903</v>
      </c>
      <c r="B148" s="6860"/>
      <c r="C148" s="897"/>
      <c r="D148" s="1914"/>
      <c r="E148" s="3499"/>
      <c r="F148" s="897"/>
      <c r="G148" s="1914"/>
      <c r="H148" s="3499"/>
      <c r="I148" s="897"/>
      <c r="J148" s="1914"/>
      <c r="K148" s="3499"/>
      <c r="L148" s="897"/>
      <c r="M148" s="1914"/>
      <c r="N148" s="3499"/>
      <c r="O148" s="897"/>
      <c r="P148" s="325"/>
      <c r="Q148" s="1898" t="str">
        <f t="shared" si="381"/>
        <v/>
      </c>
      <c r="R148" s="1898"/>
      <c r="S148" s="1898"/>
      <c r="T148" s="1898"/>
      <c r="U148" s="1898"/>
      <c r="V148" s="1898"/>
      <c r="W148" s="1898"/>
      <c r="X148" s="1898"/>
      <c r="Y148" s="1898"/>
      <c r="Z148" s="1898"/>
      <c r="AA148" s="1898"/>
      <c r="AB148" s="1898"/>
      <c r="AC148" s="2183"/>
      <c r="AD148" s="2183"/>
      <c r="AE148" s="2184"/>
      <c r="AF148" s="2184"/>
      <c r="AG148" s="2184"/>
      <c r="AH148" s="2184"/>
      <c r="AI148" s="2184"/>
      <c r="AJ148" s="2184"/>
      <c r="AK148" s="2184"/>
      <c r="AL148" s="2184"/>
      <c r="AM148" s="2184"/>
      <c r="AN148" s="2184"/>
      <c r="AO148" s="2184"/>
      <c r="AP148" s="2184"/>
      <c r="AQ148" s="2184"/>
      <c r="AR148" s="2184"/>
      <c r="AS148" s="2184"/>
      <c r="AT148" s="2184"/>
      <c r="AU148" s="2184"/>
      <c r="AV148" s="2184"/>
      <c r="AW148" s="2184"/>
      <c r="AX148" s="2183"/>
      <c r="AY148" s="2183"/>
      <c r="AZ148" s="2183"/>
      <c r="BA148" s="2183"/>
      <c r="BB148" s="2183"/>
      <c r="BC148" s="2183"/>
      <c r="BD148" s="2183"/>
      <c r="BE148" s="2183"/>
      <c r="BF148" s="2183"/>
      <c r="BG148" s="2183"/>
      <c r="BH148" s="2183"/>
      <c r="BI148" s="2183"/>
      <c r="BJ148" s="2183"/>
      <c r="BK148" s="2183"/>
      <c r="BL148" s="2183"/>
      <c r="BM148" s="2183"/>
      <c r="BN148" s="2184"/>
      <c r="BO148" s="2184"/>
      <c r="BP148" s="2184"/>
      <c r="BQ148" s="2184"/>
      <c r="BR148" s="2184"/>
      <c r="BS148" s="2184"/>
      <c r="BT148" s="2184"/>
      <c r="BU148" s="2184"/>
      <c r="BV148" s="2183"/>
      <c r="BW148" s="2183"/>
      <c r="BX148" s="3968"/>
      <c r="BY148" s="3968"/>
      <c r="BZ148" s="3968"/>
      <c r="CA148" s="1899" t="str">
        <f t="shared" si="382"/>
        <v/>
      </c>
      <c r="CB148" s="1899" t="str">
        <f t="shared" si="383"/>
        <v/>
      </c>
      <c r="CC148" s="1899" t="str">
        <f t="shared" si="384"/>
        <v/>
      </c>
      <c r="CD148" s="1899" t="str">
        <f t="shared" si="385"/>
        <v/>
      </c>
      <c r="CE148" s="1899" t="str">
        <f t="shared" si="386"/>
        <v/>
      </c>
      <c r="CF148" s="1899" t="str">
        <f t="shared" si="387"/>
        <v/>
      </c>
      <c r="CG148" s="1899" t="str">
        <f t="shared" si="388"/>
        <v/>
      </c>
      <c r="CH148" s="1899" t="str">
        <f t="shared" si="389"/>
        <v/>
      </c>
      <c r="CI148" s="1899" t="str">
        <f t="shared" si="390"/>
        <v/>
      </c>
      <c r="CJ148" s="3969"/>
      <c r="DF148" s="3989">
        <f>IF(C148&gt;=D148,0,1)</f>
        <v>0</v>
      </c>
      <c r="DG148" s="3989">
        <f>IF(E148&gt;C148,1,0)</f>
        <v>0</v>
      </c>
      <c r="DH148" s="3989">
        <f>IF(F148&gt;=G148,0,1)</f>
        <v>0</v>
      </c>
      <c r="DI148" s="3989">
        <f>IF(F148&gt;=H148,0,1)</f>
        <v>0</v>
      </c>
      <c r="DJ148" s="3989">
        <f>IF(I148&gt;=J148,0,1)</f>
        <v>0</v>
      </c>
      <c r="DK148" s="3989">
        <f>IF(I148&gt;=K148,0,1)</f>
        <v>0</v>
      </c>
      <c r="DL148" s="3989">
        <f>IF(L148&gt;=M148,0,1)</f>
        <v>0</v>
      </c>
      <c r="DM148" s="3989">
        <f>IF(L148&gt;=N148,0,1)</f>
        <v>0</v>
      </c>
      <c r="DN148" s="3989">
        <f>IF(O148&gt;=P148,0,1)</f>
        <v>0</v>
      </c>
    </row>
    <row r="149" spans="1:118" s="6" customFormat="1" ht="18" customHeight="1" x14ac:dyDescent="0.25">
      <c r="A149" s="6852" t="s">
        <v>1904</v>
      </c>
      <c r="B149" s="6852"/>
      <c r="C149" s="6852"/>
      <c r="D149" s="6852"/>
      <c r="E149" s="6852"/>
      <c r="F149" s="6852"/>
      <c r="G149" s="6852"/>
      <c r="H149" s="6852"/>
      <c r="I149" s="6852"/>
      <c r="J149" s="6852"/>
      <c r="K149" s="6852"/>
      <c r="L149" s="6852"/>
      <c r="M149" s="6852"/>
      <c r="N149" s="6852"/>
      <c r="O149" s="6852"/>
      <c r="P149" s="6852"/>
    </row>
    <row r="150" spans="1:118" x14ac:dyDescent="0.3">
      <c r="A150" s="6853" t="s">
        <v>1892</v>
      </c>
      <c r="B150" s="6243"/>
      <c r="C150" s="6839" t="s">
        <v>1893</v>
      </c>
      <c r="D150" s="6840"/>
      <c r="E150" s="6854"/>
      <c r="F150" s="6855" t="s">
        <v>1894</v>
      </c>
      <c r="G150" s="6855"/>
      <c r="H150" s="6855"/>
      <c r="I150" s="6855" t="s">
        <v>1895</v>
      </c>
      <c r="J150" s="6855"/>
      <c r="K150" s="6855"/>
      <c r="L150" s="6855" t="s">
        <v>1896</v>
      </c>
      <c r="M150" s="6855"/>
      <c r="N150" s="6855"/>
      <c r="O150" s="6839" t="s">
        <v>720</v>
      </c>
      <c r="P150" s="6854"/>
    </row>
    <row r="151" spans="1:118" x14ac:dyDescent="0.3">
      <c r="A151" s="6466"/>
      <c r="B151" s="6687"/>
      <c r="C151" s="4014" t="s">
        <v>1864</v>
      </c>
      <c r="D151" s="4015" t="s">
        <v>1865</v>
      </c>
      <c r="E151" s="4016" t="s">
        <v>1897</v>
      </c>
      <c r="F151" s="4014" t="s">
        <v>1864</v>
      </c>
      <c r="G151" s="4015" t="s">
        <v>1865</v>
      </c>
      <c r="H151" s="4016" t="s">
        <v>1897</v>
      </c>
      <c r="I151" s="4014" t="s">
        <v>1864</v>
      </c>
      <c r="J151" s="4015" t="s">
        <v>1865</v>
      </c>
      <c r="K151" s="4016" t="s">
        <v>1897</v>
      </c>
      <c r="L151" s="4014" t="s">
        <v>1864</v>
      </c>
      <c r="M151" s="4015" t="s">
        <v>1865</v>
      </c>
      <c r="N151" s="4016" t="s">
        <v>1897</v>
      </c>
      <c r="O151" s="4014" t="s">
        <v>1864</v>
      </c>
      <c r="P151" s="4017" t="s">
        <v>1865</v>
      </c>
    </row>
    <row r="152" spans="1:118" x14ac:dyDescent="0.3">
      <c r="A152" s="6861" t="s">
        <v>1898</v>
      </c>
      <c r="B152" s="6862"/>
      <c r="C152" s="4010"/>
      <c r="D152" s="4011"/>
      <c r="E152" s="29"/>
      <c r="F152" s="4010"/>
      <c r="G152" s="4011"/>
      <c r="H152" s="29"/>
      <c r="I152" s="4010"/>
      <c r="J152" s="4011"/>
      <c r="K152" s="29"/>
      <c r="L152" s="4010"/>
      <c r="M152" s="4011"/>
      <c r="N152" s="29"/>
      <c r="O152" s="4010"/>
      <c r="P152" s="4012"/>
      <c r="Q152" s="1898" t="str">
        <f>$CA152&amp;CB152&amp;$CC152&amp;CD152&amp;$CE152&amp;CF152&amp;$CG152&amp;CH152&amp;$CI152</f>
        <v/>
      </c>
      <c r="R152" s="1898"/>
      <c r="S152" s="1898"/>
      <c r="T152" s="1898"/>
      <c r="U152" s="1898"/>
      <c r="V152" s="1898"/>
      <c r="W152" s="1898"/>
      <c r="X152" s="1898"/>
      <c r="Y152" s="1898"/>
      <c r="Z152" s="1898"/>
      <c r="AA152" s="1898"/>
      <c r="AB152" s="1898"/>
      <c r="AC152" s="2183"/>
      <c r="AD152" s="2183"/>
      <c r="AE152" s="2184"/>
      <c r="AF152" s="2184"/>
      <c r="AG152" s="2184"/>
      <c r="AH152" s="2184"/>
      <c r="AI152" s="2184"/>
      <c r="AJ152" s="2184"/>
      <c r="AK152" s="2184"/>
      <c r="AL152" s="2184"/>
      <c r="AM152" s="2184"/>
      <c r="AN152" s="2184"/>
      <c r="AO152" s="2184"/>
      <c r="AP152" s="2184"/>
      <c r="AQ152" s="2184"/>
      <c r="AR152" s="2184"/>
      <c r="AS152" s="2184"/>
      <c r="AT152" s="2184"/>
      <c r="AU152" s="2184"/>
      <c r="AV152" s="2184"/>
      <c r="AW152" s="2184"/>
      <c r="AX152" s="2183"/>
      <c r="AY152" s="2183"/>
      <c r="AZ152" s="2183"/>
      <c r="BA152" s="2183"/>
      <c r="BB152" s="2183"/>
      <c r="BC152" s="2183"/>
      <c r="BD152" s="2183"/>
      <c r="BE152" s="2183"/>
      <c r="BF152" s="2183"/>
      <c r="BG152" s="2183"/>
      <c r="BH152" s="2183"/>
      <c r="BI152" s="2183"/>
      <c r="BJ152" s="2183"/>
      <c r="BK152" s="2183"/>
      <c r="BL152" s="2183"/>
      <c r="BM152" s="2183"/>
      <c r="BN152" s="2184"/>
      <c r="BO152" s="2184"/>
      <c r="BP152" s="2184"/>
      <c r="BQ152" s="2184"/>
      <c r="BR152" s="2184"/>
      <c r="BS152" s="2184"/>
      <c r="BT152" s="2184"/>
      <c r="BU152" s="2184"/>
      <c r="BV152" s="2183"/>
      <c r="BW152" s="2183"/>
      <c r="BX152" s="3968"/>
      <c r="BY152" s="3968"/>
      <c r="BZ152" s="3968"/>
      <c r="CA152" s="1899" t="str">
        <f>IF(C152&gt;=D152,"","* Los Exámenes Reactivos de Hepatitis B NO DEBEN ser mayor a los Exámenes Procesados. ")</f>
        <v/>
      </c>
      <c r="CB152" s="1899" t="str">
        <f>IF(C152&gt;=E152,"","* Los Exámenes Confirmados de Hepatitis B NO DEBEN ser mayor a los exámenes Procesados. ")</f>
        <v/>
      </c>
      <c r="CC152" s="1899" t="str">
        <f>IF(F152&gt;=G152,"","* Los Exámenes Reactivos de Hepatitis C NO DEBEN ser mayor a los Exámenes Procesados. ")</f>
        <v/>
      </c>
      <c r="CD152" s="1899" t="str">
        <f>IF(F152&gt;=H152,"","* Los Exámenes Confirmados de Hepatitis C NO DEBEN ser mayor a los Exámenes Procesados. ")</f>
        <v/>
      </c>
      <c r="CE152" s="1899" t="str">
        <f>IF(I152&gt;=J152,"","* Los Exámenes Reactivos de CHAGAS NO DEBEN ser mayor a los Exámenes Procesados. ")</f>
        <v/>
      </c>
      <c r="CF152" s="1899" t="str">
        <f>IF(I152&gt;=K152,"","* Los Exámenes Confirmados de CHAGAS NO DEBEN ser mayor a los Exámenes Procesados. ")</f>
        <v/>
      </c>
      <c r="CG152" s="1899" t="str">
        <f>IF(L152&gt;=M152,"","* Los Exámenes Reactivos de HTLV1 NO DEBEN ser mayor a los Exámenes Procesados. ")</f>
        <v/>
      </c>
      <c r="CH152" s="1899" t="str">
        <f>IF(L152&gt;=N152,"","* Los Exámenes Confirmados de HTLV1 NO DEBEN ser mayor a los Exámenes Procesados. ")</f>
        <v/>
      </c>
      <c r="CI152" s="1899" t="str">
        <f>IF(O152&gt;=P152,"","* Los exámenes Reactivos de SIFILIS NO DEBEN ser mayor a los exámenes Procesados. ")</f>
        <v/>
      </c>
      <c r="CJ152" s="3969"/>
      <c r="DF152" s="3989">
        <f>IF(C152&gt;=D152,0,1)</f>
        <v>0</v>
      </c>
      <c r="DG152" s="3989">
        <f>IF(E152&gt;C152,1,0)</f>
        <v>0</v>
      </c>
      <c r="DH152" s="3989">
        <f>IF(F152&gt;=G152,0,1)</f>
        <v>0</v>
      </c>
      <c r="DI152" s="3989">
        <f>IF(F152&gt;=H152,0,1)</f>
        <v>0</v>
      </c>
      <c r="DJ152" s="3989">
        <f>IF(I152&gt;=J152,0,1)</f>
        <v>0</v>
      </c>
      <c r="DK152" s="3989">
        <f>IF(I152&gt;=K152,0,1)</f>
        <v>0</v>
      </c>
      <c r="DL152" s="3989">
        <f>IF(L152&gt;=M152,0,1)</f>
        <v>0</v>
      </c>
      <c r="DM152" s="3989">
        <f>IF(L152&gt;=N152,0,1)</f>
        <v>0</v>
      </c>
      <c r="DN152" s="3989">
        <f>IF(O152&gt;=P152,0,1)</f>
        <v>0</v>
      </c>
    </row>
    <row r="153" spans="1:118" x14ac:dyDescent="0.3">
      <c r="A153" s="6659" t="s">
        <v>1899</v>
      </c>
      <c r="B153" s="3804" t="s">
        <v>1900</v>
      </c>
      <c r="C153" s="3361"/>
      <c r="D153" s="960"/>
      <c r="E153" s="4013"/>
      <c r="F153" s="3361"/>
      <c r="G153" s="960"/>
      <c r="H153" s="4013"/>
      <c r="I153" s="3361"/>
      <c r="J153" s="960"/>
      <c r="K153" s="4013"/>
      <c r="L153" s="3361"/>
      <c r="M153" s="960"/>
      <c r="N153" s="4013"/>
      <c r="O153" s="3361"/>
      <c r="P153" s="890"/>
      <c r="Q153" s="1898" t="str">
        <f t="shared" ref="Q153:Q156" si="391">$CA153&amp;CB153&amp;$CC153&amp;CD153&amp;$CE153&amp;CF153&amp;$CG153&amp;CH153&amp;$CI153</f>
        <v/>
      </c>
      <c r="R153" s="1898"/>
      <c r="S153" s="1898"/>
      <c r="T153" s="1898"/>
      <c r="U153" s="1898"/>
      <c r="V153" s="1898"/>
      <c r="W153" s="1898"/>
      <c r="X153" s="1898"/>
      <c r="Y153" s="1898"/>
      <c r="Z153" s="1898"/>
      <c r="AA153" s="1898"/>
      <c r="AB153" s="1898"/>
      <c r="AC153" s="2183"/>
      <c r="AD153" s="2183"/>
      <c r="AE153" s="2184"/>
      <c r="AF153" s="2184"/>
      <c r="AG153" s="2184"/>
      <c r="AH153" s="2184"/>
      <c r="AI153" s="2184"/>
      <c r="AJ153" s="2184"/>
      <c r="AK153" s="2184"/>
      <c r="AL153" s="2184"/>
      <c r="AM153" s="2184"/>
      <c r="AN153" s="2184"/>
      <c r="AO153" s="2184"/>
      <c r="AP153" s="2184"/>
      <c r="AQ153" s="2184"/>
      <c r="AR153" s="2184"/>
      <c r="AS153" s="2184"/>
      <c r="AT153" s="2184"/>
      <c r="AU153" s="2184"/>
      <c r="AV153" s="2184"/>
      <c r="AW153" s="2184"/>
      <c r="AX153" s="2183"/>
      <c r="AY153" s="2183"/>
      <c r="AZ153" s="2183"/>
      <c r="BA153" s="2183"/>
      <c r="BB153" s="2183"/>
      <c r="BC153" s="2183"/>
      <c r="BD153" s="2183"/>
      <c r="BE153" s="2183"/>
      <c r="BF153" s="2183"/>
      <c r="BG153" s="2183"/>
      <c r="BH153" s="2183"/>
      <c r="BI153" s="2183"/>
      <c r="BJ153" s="2183"/>
      <c r="BK153" s="2183"/>
      <c r="BL153" s="2183"/>
      <c r="BM153" s="2183"/>
      <c r="BN153" s="2184"/>
      <c r="BO153" s="2184"/>
      <c r="BP153" s="2184"/>
      <c r="BQ153" s="2184"/>
      <c r="BR153" s="2184"/>
      <c r="BS153" s="2184"/>
      <c r="BT153" s="2184"/>
      <c r="BU153" s="2184"/>
      <c r="BV153" s="2183"/>
      <c r="BW153" s="2183"/>
      <c r="BX153" s="3968"/>
      <c r="BY153" s="3968"/>
      <c r="BZ153" s="3968"/>
      <c r="CA153" s="1899" t="str">
        <f t="shared" ref="CA153:CA156" si="392">IF(C153&gt;=D153,"","* Los Exámenes Reactivos de Hepatitis B NO DEBEN ser mayor a los Exámenes Procesados. ")</f>
        <v/>
      </c>
      <c r="CB153" s="1899" t="str">
        <f t="shared" ref="CB153:CB156" si="393">IF(C153&gt;=E153,"","* Los Exámenes Confirmados de Hepatitis B NO DEBEN ser mayor a los exámenes Procesados. ")</f>
        <v/>
      </c>
      <c r="CC153" s="1899" t="str">
        <f t="shared" ref="CC153:CC156" si="394">IF(F153&gt;=G153,"","* Los Exámenes Reactivos de Hepatitis C NO DEBEN ser mayor a los Exámenes Procesados. ")</f>
        <v/>
      </c>
      <c r="CD153" s="1899" t="str">
        <f t="shared" ref="CD153:CD156" si="395">IF(F153&gt;=H153,"","* Los Exámenes Confirmados de Hepatitis C NO DEBEN ser mayor a los Exámenes Procesados. ")</f>
        <v/>
      </c>
      <c r="CE153" s="1899" t="str">
        <f t="shared" ref="CE153:CE156" si="396">IF(I153&gt;=J153,"","* Los Exámenes Reactivos de CHAGAS NO DEBEN ser mayor a los Exámenes Procesados. ")</f>
        <v/>
      </c>
      <c r="CF153" s="1899" t="str">
        <f t="shared" ref="CF153:CF156" si="397">IF(I153&gt;=K153,"","* Los Exámenes Confirmados de CHAGAS NO DEBEN ser mayor a los Exámenes Procesados. ")</f>
        <v/>
      </c>
      <c r="CG153" s="1899" t="str">
        <f t="shared" ref="CG153:CG156" si="398">IF(L153&gt;=M153,"","* Los Exámenes Reactivos de HTLV1 NO DEBEN ser mayor a los Exámenes Procesados. ")</f>
        <v/>
      </c>
      <c r="CH153" s="1899" t="str">
        <f t="shared" ref="CH153:CH156" si="399">IF(L153&gt;=N153,"","* Los Exámenes Confirmados de HTLV1 NO DEBEN ser mayor a los Exámenes Procesados. ")</f>
        <v/>
      </c>
      <c r="CI153" s="1899" t="str">
        <f t="shared" ref="CI153:CI156" si="400">IF(O153&gt;=P153,"","* Los exámenes Reactivos de SIFILIS NO DEBEN ser mayor a los exámenes Procesados. ")</f>
        <v/>
      </c>
      <c r="CJ153" s="3969"/>
      <c r="DF153" s="3989">
        <f>IF(C153&gt;=D153,0,1)</f>
        <v>0</v>
      </c>
      <c r="DG153" s="3989">
        <f>IF(E153&gt;C153,1,0)</f>
        <v>0</v>
      </c>
      <c r="DH153" s="3989">
        <f>IF(F153&gt;=G153,0,1)</f>
        <v>0</v>
      </c>
      <c r="DI153" s="3989">
        <f>IF(F153&gt;=H153,0,1)</f>
        <v>0</v>
      </c>
      <c r="DJ153" s="3989">
        <f>IF(I153&gt;=J153,0,1)</f>
        <v>0</v>
      </c>
      <c r="DK153" s="3989">
        <f>IF(I153&gt;=K153,0,1)</f>
        <v>0</v>
      </c>
      <c r="DL153" s="3989">
        <f>IF(L153&gt;=M153,0,1)</f>
        <v>0</v>
      </c>
      <c r="DM153" s="3989">
        <f>IF(L153&gt;=N153,0,1)</f>
        <v>0</v>
      </c>
      <c r="DN153" s="3989">
        <f>IF(O153&gt;=P153,0,1)</f>
        <v>0</v>
      </c>
    </row>
    <row r="154" spans="1:118" x14ac:dyDescent="0.3">
      <c r="A154" s="6858"/>
      <c r="B154" s="4018" t="s">
        <v>1901</v>
      </c>
      <c r="C154" s="327"/>
      <c r="D154" s="1039"/>
      <c r="E154" s="142"/>
      <c r="F154" s="327"/>
      <c r="G154" s="1039"/>
      <c r="H154" s="142"/>
      <c r="I154" s="327"/>
      <c r="J154" s="1039"/>
      <c r="K154" s="142"/>
      <c r="L154" s="327"/>
      <c r="M154" s="1039"/>
      <c r="N154" s="142"/>
      <c r="O154" s="327"/>
      <c r="P154" s="905"/>
      <c r="Q154" s="1898" t="str">
        <f t="shared" si="391"/>
        <v/>
      </c>
      <c r="R154" s="1898"/>
      <c r="S154" s="1898"/>
      <c r="T154" s="1898"/>
      <c r="U154" s="1898"/>
      <c r="V154" s="1898"/>
      <c r="W154" s="1898"/>
      <c r="X154" s="1898"/>
      <c r="Y154" s="1898"/>
      <c r="Z154" s="1898"/>
      <c r="AA154" s="1898"/>
      <c r="AB154" s="1898"/>
      <c r="AC154" s="2183"/>
      <c r="AD154" s="2183"/>
      <c r="AE154" s="2184"/>
      <c r="AF154" s="2184"/>
      <c r="AG154" s="2184"/>
      <c r="AH154" s="2184"/>
      <c r="AI154" s="2184"/>
      <c r="AJ154" s="2184"/>
      <c r="AK154" s="2184"/>
      <c r="AL154" s="2184"/>
      <c r="AM154" s="2184"/>
      <c r="AN154" s="2184"/>
      <c r="AO154" s="2184"/>
      <c r="AP154" s="2184"/>
      <c r="AQ154" s="2184"/>
      <c r="AR154" s="2184"/>
      <c r="AS154" s="2184"/>
      <c r="AT154" s="2184"/>
      <c r="AU154" s="2184"/>
      <c r="AV154" s="2184"/>
      <c r="AW154" s="2184"/>
      <c r="AX154" s="2183"/>
      <c r="AY154" s="2183"/>
      <c r="AZ154" s="2183"/>
      <c r="BA154" s="2183"/>
      <c r="BB154" s="2183"/>
      <c r="BC154" s="2183"/>
      <c r="BD154" s="2183"/>
      <c r="BE154" s="2183"/>
      <c r="BF154" s="2183"/>
      <c r="BG154" s="2183"/>
      <c r="BH154" s="2183"/>
      <c r="BI154" s="2183"/>
      <c r="BJ154" s="2183"/>
      <c r="BK154" s="2183"/>
      <c r="BL154" s="2183"/>
      <c r="BM154" s="2183"/>
      <c r="BN154" s="2184"/>
      <c r="BO154" s="2184"/>
      <c r="BP154" s="2184"/>
      <c r="BQ154" s="2184"/>
      <c r="BR154" s="2184"/>
      <c r="BS154" s="2184"/>
      <c r="BT154" s="2184"/>
      <c r="BU154" s="2184"/>
      <c r="BV154" s="2183"/>
      <c r="BW154" s="2183"/>
      <c r="BX154" s="3968"/>
      <c r="BY154" s="3968"/>
      <c r="BZ154" s="3968"/>
      <c r="CA154" s="1899" t="str">
        <f t="shared" si="392"/>
        <v/>
      </c>
      <c r="CB154" s="1899" t="str">
        <f t="shared" si="393"/>
        <v/>
      </c>
      <c r="CC154" s="1899" t="str">
        <f t="shared" si="394"/>
        <v/>
      </c>
      <c r="CD154" s="1899" t="str">
        <f t="shared" si="395"/>
        <v/>
      </c>
      <c r="CE154" s="1899" t="str">
        <f t="shared" si="396"/>
        <v/>
      </c>
      <c r="CF154" s="1899" t="str">
        <f t="shared" si="397"/>
        <v/>
      </c>
      <c r="CG154" s="1899" t="str">
        <f t="shared" si="398"/>
        <v/>
      </c>
      <c r="CH154" s="1899" t="str">
        <f t="shared" si="399"/>
        <v/>
      </c>
      <c r="CI154" s="1899" t="str">
        <f t="shared" si="400"/>
        <v/>
      </c>
      <c r="CJ154" s="3969"/>
      <c r="DF154" s="3989">
        <f>IF(C154&gt;=D154,0,1)</f>
        <v>0</v>
      </c>
      <c r="DG154" s="3989">
        <f>IF(E154&gt;C154,1,0)</f>
        <v>0</v>
      </c>
      <c r="DH154" s="3989">
        <f>IF(F154&gt;=G154,0,1)</f>
        <v>0</v>
      </c>
      <c r="DI154" s="3989">
        <f>IF(F154&gt;=H154,0,1)</f>
        <v>0</v>
      </c>
      <c r="DJ154" s="3989">
        <f>IF(I154&gt;=J154,0,1)</f>
        <v>0</v>
      </c>
      <c r="DK154" s="3989">
        <f>IF(I154&gt;=K154,0,1)</f>
        <v>0</v>
      </c>
      <c r="DL154" s="3989">
        <f>IF(L154&gt;=M154,0,1)</f>
        <v>0</v>
      </c>
      <c r="DM154" s="3989">
        <f>IF(L154&gt;=N154,0,1)</f>
        <v>0</v>
      </c>
      <c r="DN154" s="3989">
        <f>IF(O154&gt;=P154,0,1)</f>
        <v>0</v>
      </c>
    </row>
    <row r="155" spans="1:118" x14ac:dyDescent="0.3">
      <c r="A155" s="6044"/>
      <c r="B155" s="3515" t="s">
        <v>1902</v>
      </c>
      <c r="C155" s="897"/>
      <c r="D155" s="1914"/>
      <c r="E155" s="3499"/>
      <c r="F155" s="897"/>
      <c r="G155" s="1914"/>
      <c r="H155" s="3499"/>
      <c r="I155" s="897"/>
      <c r="J155" s="1914"/>
      <c r="K155" s="3499"/>
      <c r="L155" s="897"/>
      <c r="M155" s="1914"/>
      <c r="N155" s="3499"/>
      <c r="O155" s="897"/>
      <c r="P155" s="325"/>
      <c r="Q155" s="1898" t="str">
        <f t="shared" si="391"/>
        <v/>
      </c>
      <c r="R155" s="1898"/>
      <c r="S155" s="1898"/>
      <c r="T155" s="1898"/>
      <c r="U155" s="1898"/>
      <c r="V155" s="1898"/>
      <c r="W155" s="1898"/>
      <c r="X155" s="1898"/>
      <c r="Y155" s="1898"/>
      <c r="Z155" s="1898"/>
      <c r="AA155" s="1898"/>
      <c r="AB155" s="1898"/>
      <c r="AC155" s="2183"/>
      <c r="AD155" s="2183"/>
      <c r="AE155" s="2184"/>
      <c r="AF155" s="2184"/>
      <c r="AG155" s="2184"/>
      <c r="AH155" s="2184"/>
      <c r="AI155" s="2184"/>
      <c r="AJ155" s="2184"/>
      <c r="AK155" s="2184"/>
      <c r="AL155" s="2184"/>
      <c r="AM155" s="2184"/>
      <c r="AN155" s="2184"/>
      <c r="AO155" s="2184"/>
      <c r="AP155" s="2184"/>
      <c r="AQ155" s="2184"/>
      <c r="AR155" s="2184"/>
      <c r="AS155" s="2184"/>
      <c r="AT155" s="2184"/>
      <c r="AU155" s="2184"/>
      <c r="AV155" s="2184"/>
      <c r="AW155" s="2184"/>
      <c r="AX155" s="2183"/>
      <c r="AY155" s="2183"/>
      <c r="AZ155" s="2183"/>
      <c r="BA155" s="2183"/>
      <c r="BB155" s="2183"/>
      <c r="BC155" s="2183"/>
      <c r="BD155" s="2183"/>
      <c r="BE155" s="2183"/>
      <c r="BF155" s="2183"/>
      <c r="BG155" s="2183"/>
      <c r="BH155" s="2183"/>
      <c r="BI155" s="2183"/>
      <c r="BJ155" s="2183"/>
      <c r="BK155" s="2183"/>
      <c r="BL155" s="2183"/>
      <c r="BM155" s="2183"/>
      <c r="BN155" s="2184"/>
      <c r="BO155" s="2184"/>
      <c r="BP155" s="2184"/>
      <c r="BQ155" s="2184"/>
      <c r="BR155" s="2184"/>
      <c r="BS155" s="2184"/>
      <c r="BT155" s="2184"/>
      <c r="BU155" s="2184"/>
      <c r="BV155" s="2183"/>
      <c r="BW155" s="2183"/>
      <c r="BX155" s="3968"/>
      <c r="BY155" s="3968"/>
      <c r="BZ155" s="3968"/>
      <c r="CA155" s="1899" t="str">
        <f t="shared" si="392"/>
        <v/>
      </c>
      <c r="CB155" s="1899" t="str">
        <f t="shared" si="393"/>
        <v/>
      </c>
      <c r="CC155" s="1899" t="str">
        <f t="shared" si="394"/>
        <v/>
      </c>
      <c r="CD155" s="1899" t="str">
        <f t="shared" si="395"/>
        <v/>
      </c>
      <c r="CE155" s="1899" t="str">
        <f t="shared" si="396"/>
        <v/>
      </c>
      <c r="CF155" s="1899" t="str">
        <f t="shared" si="397"/>
        <v/>
      </c>
      <c r="CG155" s="1899" t="str">
        <f t="shared" si="398"/>
        <v/>
      </c>
      <c r="CH155" s="1899" t="str">
        <f t="shared" si="399"/>
        <v/>
      </c>
      <c r="CI155" s="1899" t="str">
        <f t="shared" si="400"/>
        <v/>
      </c>
      <c r="CJ155" s="3969"/>
      <c r="DF155" s="3989">
        <f>IF(C155&gt;=D155,0,1)</f>
        <v>0</v>
      </c>
      <c r="DG155" s="3989">
        <f>IF(E155&gt;C155,1,0)</f>
        <v>0</v>
      </c>
      <c r="DH155" s="3989">
        <f>IF(F155&gt;=G155,0,1)</f>
        <v>0</v>
      </c>
      <c r="DI155" s="3989">
        <f>IF(F155&gt;=H155,0,1)</f>
        <v>0</v>
      </c>
      <c r="DJ155" s="3989">
        <f>IF(I155&gt;=J155,0,1)</f>
        <v>0</v>
      </c>
      <c r="DK155" s="3989">
        <f>IF(I155&gt;=K155,0,1)</f>
        <v>0</v>
      </c>
      <c r="DL155" s="3989">
        <f>IF(L155&gt;=M155,0,1)</f>
        <v>0</v>
      </c>
      <c r="DM155" s="3989">
        <f>IF(L155&gt;=N155,0,1)</f>
        <v>0</v>
      </c>
      <c r="DN155" s="3989">
        <f>IF(O155&gt;=P155,0,1)</f>
        <v>0</v>
      </c>
    </row>
    <row r="156" spans="1:118" x14ac:dyDescent="0.3">
      <c r="A156" s="6863" t="s">
        <v>1903</v>
      </c>
      <c r="B156" s="6864"/>
      <c r="C156" s="897"/>
      <c r="D156" s="1914"/>
      <c r="E156" s="3499"/>
      <c r="F156" s="897"/>
      <c r="G156" s="1914"/>
      <c r="H156" s="3499"/>
      <c r="I156" s="897"/>
      <c r="J156" s="1914"/>
      <c r="K156" s="3499"/>
      <c r="L156" s="897"/>
      <c r="M156" s="1914"/>
      <c r="N156" s="3499"/>
      <c r="O156" s="897"/>
      <c r="P156" s="325"/>
      <c r="Q156" s="1898" t="str">
        <f t="shared" si="391"/>
        <v/>
      </c>
      <c r="R156" s="1898"/>
      <c r="S156" s="1898"/>
      <c r="T156" s="1898"/>
      <c r="U156" s="1898"/>
      <c r="V156" s="1898"/>
      <c r="W156" s="1898"/>
      <c r="X156" s="1898"/>
      <c r="Y156" s="1898"/>
      <c r="Z156" s="1898"/>
      <c r="AA156" s="1898"/>
      <c r="AB156" s="1898"/>
      <c r="AC156" s="2183"/>
      <c r="AD156" s="2183"/>
      <c r="AE156" s="2184"/>
      <c r="AF156" s="2184"/>
      <c r="AG156" s="2184"/>
      <c r="AH156" s="2184"/>
      <c r="AI156" s="2184"/>
      <c r="AJ156" s="2184"/>
      <c r="AK156" s="2184"/>
      <c r="AL156" s="2184"/>
      <c r="AM156" s="2184"/>
      <c r="AN156" s="2184"/>
      <c r="AO156" s="2184"/>
      <c r="AP156" s="2184"/>
      <c r="AQ156" s="2184"/>
      <c r="AR156" s="2184"/>
      <c r="AS156" s="2184"/>
      <c r="AT156" s="2184"/>
      <c r="AU156" s="2184"/>
      <c r="AV156" s="2184"/>
      <c r="AW156" s="2184"/>
      <c r="AX156" s="2183"/>
      <c r="AY156" s="2183"/>
      <c r="AZ156" s="2183"/>
      <c r="BA156" s="2183"/>
      <c r="BB156" s="2183"/>
      <c r="BC156" s="2183"/>
      <c r="BD156" s="2183"/>
      <c r="BE156" s="2183"/>
      <c r="BF156" s="2183"/>
      <c r="BG156" s="2183"/>
      <c r="BH156" s="2183"/>
      <c r="BI156" s="2183"/>
      <c r="BJ156" s="2183"/>
      <c r="BK156" s="2183"/>
      <c r="BL156" s="2183"/>
      <c r="BM156" s="2183"/>
      <c r="BN156" s="2184"/>
      <c r="BO156" s="2184"/>
      <c r="BP156" s="2184"/>
      <c r="BQ156" s="2184"/>
      <c r="BR156" s="2184"/>
      <c r="BS156" s="2184"/>
      <c r="BT156" s="2184"/>
      <c r="BU156" s="2184"/>
      <c r="BV156" s="2183"/>
      <c r="BW156" s="2183"/>
      <c r="BX156" s="3968"/>
      <c r="BY156" s="3968"/>
      <c r="BZ156" s="3968"/>
      <c r="CA156" s="1899" t="str">
        <f t="shared" si="392"/>
        <v/>
      </c>
      <c r="CB156" s="1899" t="str">
        <f t="shared" si="393"/>
        <v/>
      </c>
      <c r="CC156" s="1899" t="str">
        <f t="shared" si="394"/>
        <v/>
      </c>
      <c r="CD156" s="1899" t="str">
        <f t="shared" si="395"/>
        <v/>
      </c>
      <c r="CE156" s="1899" t="str">
        <f t="shared" si="396"/>
        <v/>
      </c>
      <c r="CF156" s="1899" t="str">
        <f t="shared" si="397"/>
        <v/>
      </c>
      <c r="CG156" s="1899" t="str">
        <f t="shared" si="398"/>
        <v/>
      </c>
      <c r="CH156" s="1899" t="str">
        <f t="shared" si="399"/>
        <v/>
      </c>
      <c r="CI156" s="1899" t="str">
        <f t="shared" si="400"/>
        <v/>
      </c>
      <c r="CJ156" s="3969"/>
      <c r="DF156" s="3989">
        <f>IF(C156&gt;=D156,0,1)</f>
        <v>0</v>
      </c>
      <c r="DG156" s="3989">
        <f>IF(E156&gt;C156,1,0)</f>
        <v>0</v>
      </c>
      <c r="DH156" s="3989">
        <f>IF(F156&gt;=G156,0,1)</f>
        <v>0</v>
      </c>
      <c r="DI156" s="3989">
        <f>IF(F156&gt;=H156,0,1)</f>
        <v>0</v>
      </c>
      <c r="DJ156" s="3989">
        <f>IF(I156&gt;=J156,0,1)</f>
        <v>0</v>
      </c>
      <c r="DK156" s="3989">
        <f>IF(I156&gt;=K156,0,1)</f>
        <v>0</v>
      </c>
      <c r="DL156" s="3989">
        <f>IF(L156&gt;=M156,0,1)</f>
        <v>0</v>
      </c>
      <c r="DM156" s="3989">
        <f>IF(L156&gt;=N156,0,1)</f>
        <v>0</v>
      </c>
      <c r="DN156" s="3989">
        <f>IF(O156&gt;=P156,0,1)</f>
        <v>0</v>
      </c>
    </row>
    <row r="157" spans="1:118" ht="18" customHeight="1" x14ac:dyDescent="0.3">
      <c r="A157" s="6852" t="s">
        <v>1905</v>
      </c>
      <c r="B157" s="6852"/>
      <c r="C157" s="6852"/>
      <c r="D157" s="6852"/>
      <c r="E157" s="6852"/>
      <c r="F157" s="6852"/>
      <c r="G157" s="6852"/>
      <c r="H157" s="6852"/>
      <c r="I157" s="4019"/>
      <c r="J157" s="4019"/>
      <c r="K157" s="4019"/>
      <c r="L157" s="4019"/>
      <c r="M157" s="4019"/>
      <c r="N157" s="4019"/>
      <c r="O157" s="4019"/>
      <c r="P157" s="4019"/>
      <c r="Q157" s="4019"/>
      <c r="R157" s="4019"/>
      <c r="S157" s="4019"/>
      <c r="T157" s="4019"/>
      <c r="U157" s="4019"/>
      <c r="V157" s="4019"/>
      <c r="W157" s="4019"/>
      <c r="X157" s="4019"/>
      <c r="Y157" s="4019"/>
      <c r="Z157" s="4019"/>
      <c r="AA157" s="4019"/>
      <c r="AB157" s="4019"/>
      <c r="AC157" s="4019"/>
      <c r="AD157" s="4019"/>
      <c r="AE157" s="4019"/>
      <c r="AF157" s="4019"/>
      <c r="AG157" s="4019"/>
      <c r="AH157" s="4019"/>
      <c r="AI157" s="4019"/>
      <c r="AJ157" s="4019"/>
      <c r="AK157" s="1971"/>
      <c r="AL157" s="1971"/>
      <c r="AM157" s="1971"/>
      <c r="AN157" s="1971"/>
      <c r="AO157" s="1971"/>
      <c r="AP157" s="1971"/>
      <c r="AQ157" s="1971"/>
      <c r="AR157" s="1971"/>
      <c r="AS157" s="1971"/>
      <c r="AT157" s="1971"/>
      <c r="AU157" s="1971"/>
      <c r="AV157" s="1971"/>
      <c r="AW157" s="1971"/>
      <c r="AX157" s="1971"/>
    </row>
    <row r="158" spans="1:118" x14ac:dyDescent="0.3">
      <c r="A158" s="6853" t="s">
        <v>1892</v>
      </c>
      <c r="B158" s="6243"/>
      <c r="C158" s="6223" t="s">
        <v>77</v>
      </c>
      <c r="D158" s="6308"/>
      <c r="E158" s="6839" t="s">
        <v>29</v>
      </c>
      <c r="F158" s="6840"/>
      <c r="G158" s="6840"/>
      <c r="H158" s="6840"/>
      <c r="I158" s="6840"/>
      <c r="J158" s="6840"/>
      <c r="K158" s="6840"/>
      <c r="L158" s="6840"/>
      <c r="M158" s="6840"/>
      <c r="N158" s="6840"/>
      <c r="O158" s="6840"/>
      <c r="P158" s="6840"/>
      <c r="Q158" s="6840"/>
      <c r="R158" s="6840"/>
      <c r="S158" s="6840"/>
      <c r="T158" s="6840"/>
      <c r="U158" s="6840"/>
      <c r="V158" s="6840"/>
      <c r="W158" s="6840"/>
      <c r="X158" s="6840"/>
      <c r="Y158" s="6840"/>
      <c r="Z158" s="6840"/>
      <c r="AA158" s="6840"/>
      <c r="AB158" s="6840"/>
      <c r="AC158" s="6840"/>
      <c r="AD158" s="6840"/>
      <c r="AE158" s="6840"/>
      <c r="AF158" s="6840"/>
      <c r="AG158" s="6840"/>
      <c r="AH158" s="6840"/>
      <c r="AI158" s="6840"/>
      <c r="AJ158" s="6841"/>
      <c r="AK158" s="6865" t="s">
        <v>1906</v>
      </c>
      <c r="AL158" s="6865"/>
      <c r="AM158" s="6865"/>
      <c r="AN158" s="6866"/>
      <c r="AO158" s="6867" t="s">
        <v>457</v>
      </c>
      <c r="AP158" s="6865"/>
      <c r="AQ158" s="6865"/>
      <c r="AR158" s="6866"/>
      <c r="AS158" s="6844" t="s">
        <v>322</v>
      </c>
      <c r="AT158" s="6845"/>
      <c r="AU158" s="6844" t="s">
        <v>37</v>
      </c>
      <c r="AV158" s="6845"/>
      <c r="AW158" s="6242" t="s">
        <v>1907</v>
      </c>
      <c r="AX158" s="6243"/>
    </row>
    <row r="159" spans="1:118" x14ac:dyDescent="0.3">
      <c r="A159" s="5776"/>
      <c r="B159" s="5759"/>
      <c r="C159" s="6481"/>
      <c r="D159" s="6645"/>
      <c r="E159" s="6848" t="s">
        <v>1908</v>
      </c>
      <c r="F159" s="6842"/>
      <c r="G159" s="6848" t="s">
        <v>1863</v>
      </c>
      <c r="H159" s="6842"/>
      <c r="I159" s="6848" t="s">
        <v>937</v>
      </c>
      <c r="J159" s="6842"/>
      <c r="K159" s="6839" t="s">
        <v>326</v>
      </c>
      <c r="L159" s="6854"/>
      <c r="M159" s="6839" t="s">
        <v>94</v>
      </c>
      <c r="N159" s="6854"/>
      <c r="O159" s="6839" t="s">
        <v>44</v>
      </c>
      <c r="P159" s="6854"/>
      <c r="Q159" s="6839" t="s">
        <v>45</v>
      </c>
      <c r="R159" s="6854"/>
      <c r="S159" s="6839" t="s">
        <v>46</v>
      </c>
      <c r="T159" s="6854"/>
      <c r="U159" s="6839" t="s">
        <v>47</v>
      </c>
      <c r="V159" s="6854"/>
      <c r="W159" s="6839" t="s">
        <v>48</v>
      </c>
      <c r="X159" s="6854"/>
      <c r="Y159" s="6839" t="s">
        <v>49</v>
      </c>
      <c r="Z159" s="6854"/>
      <c r="AA159" s="6839" t="s">
        <v>50</v>
      </c>
      <c r="AB159" s="6854"/>
      <c r="AC159" s="6839" t="s">
        <v>51</v>
      </c>
      <c r="AD159" s="6854"/>
      <c r="AE159" s="6839" t="s">
        <v>52</v>
      </c>
      <c r="AF159" s="6854"/>
      <c r="AG159" s="6839" t="s">
        <v>53</v>
      </c>
      <c r="AH159" s="6854"/>
      <c r="AI159" s="6839" t="s">
        <v>1909</v>
      </c>
      <c r="AJ159" s="6841"/>
      <c r="AK159" s="6870" t="s">
        <v>58</v>
      </c>
      <c r="AL159" s="6871"/>
      <c r="AM159" s="6868" t="s">
        <v>59</v>
      </c>
      <c r="AN159" s="6869"/>
      <c r="AO159" s="6870" t="s">
        <v>462</v>
      </c>
      <c r="AP159" s="6871"/>
      <c r="AQ159" s="6872" t="s">
        <v>463</v>
      </c>
      <c r="AR159" s="6869"/>
      <c r="AS159" s="6846"/>
      <c r="AT159" s="6847"/>
      <c r="AU159" s="6846"/>
      <c r="AV159" s="6847"/>
      <c r="AW159" s="6467"/>
      <c r="AX159" s="6687"/>
    </row>
    <row r="160" spans="1:118" ht="30.6" x14ac:dyDescent="0.3">
      <c r="A160" s="6466"/>
      <c r="B160" s="6687"/>
      <c r="C160" s="3977" t="s">
        <v>1864</v>
      </c>
      <c r="D160" s="3978" t="s">
        <v>1910</v>
      </c>
      <c r="E160" s="3977" t="s">
        <v>1864</v>
      </c>
      <c r="F160" s="3978" t="s">
        <v>1910</v>
      </c>
      <c r="G160" s="3977" t="s">
        <v>1864</v>
      </c>
      <c r="H160" s="3978" t="s">
        <v>1910</v>
      </c>
      <c r="I160" s="3977" t="s">
        <v>1864</v>
      </c>
      <c r="J160" s="3978" t="s">
        <v>1910</v>
      </c>
      <c r="K160" s="3977" t="s">
        <v>1864</v>
      </c>
      <c r="L160" s="3978" t="s">
        <v>1910</v>
      </c>
      <c r="M160" s="3977" t="s">
        <v>1864</v>
      </c>
      <c r="N160" s="3978" t="s">
        <v>1910</v>
      </c>
      <c r="O160" s="3977" t="s">
        <v>1864</v>
      </c>
      <c r="P160" s="3978" t="s">
        <v>1910</v>
      </c>
      <c r="Q160" s="3977" t="s">
        <v>1864</v>
      </c>
      <c r="R160" s="3978" t="s">
        <v>1910</v>
      </c>
      <c r="S160" s="3977" t="s">
        <v>1864</v>
      </c>
      <c r="T160" s="3978" t="s">
        <v>1910</v>
      </c>
      <c r="U160" s="3977" t="s">
        <v>1864</v>
      </c>
      <c r="V160" s="3978" t="s">
        <v>1910</v>
      </c>
      <c r="W160" s="3977" t="s">
        <v>1864</v>
      </c>
      <c r="X160" s="3978" t="s">
        <v>1910</v>
      </c>
      <c r="Y160" s="3977" t="s">
        <v>1864</v>
      </c>
      <c r="Z160" s="3978" t="s">
        <v>1910</v>
      </c>
      <c r="AA160" s="3977" t="s">
        <v>1864</v>
      </c>
      <c r="AB160" s="3978" t="s">
        <v>1910</v>
      </c>
      <c r="AC160" s="3977" t="s">
        <v>1864</v>
      </c>
      <c r="AD160" s="3978" t="s">
        <v>1910</v>
      </c>
      <c r="AE160" s="3977" t="s">
        <v>1864</v>
      </c>
      <c r="AF160" s="3978" t="s">
        <v>1910</v>
      </c>
      <c r="AG160" s="3977" t="s">
        <v>1864</v>
      </c>
      <c r="AH160" s="3978" t="s">
        <v>1910</v>
      </c>
      <c r="AI160" s="3977" t="s">
        <v>1864</v>
      </c>
      <c r="AJ160" s="3981" t="s">
        <v>1910</v>
      </c>
      <c r="AK160" s="3980" t="s">
        <v>1864</v>
      </c>
      <c r="AL160" s="3978" t="s">
        <v>1910</v>
      </c>
      <c r="AM160" s="3977" t="s">
        <v>1864</v>
      </c>
      <c r="AN160" s="3978" t="s">
        <v>1910</v>
      </c>
      <c r="AO160" s="4022" t="s">
        <v>1864</v>
      </c>
      <c r="AP160" s="3978" t="s">
        <v>1910</v>
      </c>
      <c r="AQ160" s="3977" t="s">
        <v>1864</v>
      </c>
      <c r="AR160" s="3978" t="s">
        <v>1910</v>
      </c>
      <c r="AS160" s="4022" t="s">
        <v>1864</v>
      </c>
      <c r="AT160" s="3978" t="s">
        <v>1910</v>
      </c>
      <c r="AU160" s="4022" t="s">
        <v>1864</v>
      </c>
      <c r="AV160" s="3979" t="s">
        <v>1910</v>
      </c>
      <c r="AW160" s="4022" t="s">
        <v>1864</v>
      </c>
      <c r="AX160" s="3979" t="s">
        <v>1910</v>
      </c>
    </row>
    <row r="161" spans="1:130" x14ac:dyDescent="0.3">
      <c r="A161" s="6873" t="s">
        <v>1911</v>
      </c>
      <c r="B161" s="6874"/>
      <c r="C161" s="3991">
        <f t="shared" ref="C161:D163" si="401">+M161+O161+Q161+S161+U161+W161+Y161+AA161+AC161+AE161</f>
        <v>0</v>
      </c>
      <c r="D161" s="3119">
        <f t="shared" si="401"/>
        <v>0</v>
      </c>
      <c r="E161" s="4023"/>
      <c r="F161" s="3209"/>
      <c r="G161" s="4023"/>
      <c r="H161" s="3209"/>
      <c r="I161" s="4023"/>
      <c r="J161" s="3209"/>
      <c r="K161" s="4023"/>
      <c r="L161" s="3209"/>
      <c r="M161" s="3361"/>
      <c r="N161" s="960"/>
      <c r="O161" s="3361"/>
      <c r="P161" s="960"/>
      <c r="Q161" s="3361"/>
      <c r="R161" s="960"/>
      <c r="S161" s="3361"/>
      <c r="T161" s="960"/>
      <c r="U161" s="3361"/>
      <c r="V161" s="960"/>
      <c r="W161" s="3361"/>
      <c r="X161" s="960"/>
      <c r="Y161" s="3361"/>
      <c r="Z161" s="960"/>
      <c r="AA161" s="3361"/>
      <c r="AB161" s="960"/>
      <c r="AC161" s="3361"/>
      <c r="AD161" s="960"/>
      <c r="AE161" s="3361"/>
      <c r="AF161" s="960"/>
      <c r="AG161" s="4023"/>
      <c r="AH161" s="1033"/>
      <c r="AI161" s="4023"/>
      <c r="AJ161" s="1014"/>
      <c r="AK161" s="4024"/>
      <c r="AL161" s="4025"/>
      <c r="AM161" s="327"/>
      <c r="AN161" s="1918"/>
      <c r="AO161" s="3986"/>
      <c r="AP161" s="330"/>
      <c r="AQ161" s="3987"/>
      <c r="AR161" s="4026"/>
      <c r="AS161" s="3986"/>
      <c r="AT161" s="4026"/>
      <c r="AU161" s="3986"/>
      <c r="AV161" s="330"/>
      <c r="AW161" s="3986"/>
      <c r="AX161" s="330"/>
      <c r="AY161" s="1898" t="str">
        <f>$CA161&amp;$CC161&amp;CD161&amp;CE161&amp;CF161&amp;CG161&amp;CH161&amp;CI161&amp;CJ161&amp;CK161&amp;CL161&amp;CM161&amp;CN161&amp;CO161&amp;CP161&amp;CQ161&amp;CR161&amp;CS161&amp;CT161&amp;CU161&amp;CV161&amp;CW161</f>
        <v/>
      </c>
      <c r="CA161" s="4027" t="str">
        <f>IF(D161&gt;C161," * El Total de Exámenes Confirmados Positivos por ISP NO DEBE SUPERAR los  Exámenes Procesados. ","")</f>
        <v/>
      </c>
      <c r="CB161" s="4028"/>
      <c r="CC161" s="1899" t="str">
        <f>IF(AN161&gt;AM161," * El número de Exámenes por Sexo Mujeres Confirmados positivos por ISP NO PUEDE Superar al número de Procesados. ","")</f>
        <v/>
      </c>
      <c r="CD161" s="1970"/>
      <c r="CE161" s="1970"/>
      <c r="CF161" s="1970"/>
      <c r="CG161" s="1970"/>
      <c r="CH161" s="1970"/>
      <c r="CI161" s="1899" t="str">
        <f>IF(AND(C161&gt;0,AND(AO161="",AQ161=""))," * No olvide digitar los exámenes procesados Trans (Masculino y Femenino). Digite Cero si no tiene.",IF((AO161+AQ161)&gt;C161," * Los exámenes procesados en Trans (Masculino y Femenino) no pueden ser mayor que el Total de exámenes procesados.",""))</f>
        <v/>
      </c>
      <c r="CJ161" s="1971"/>
      <c r="CK161" s="1899" t="str">
        <f>IF((AM161+AK161)&lt;&gt;C161," * El N° de exámenes Procesados por SEXO (Hombres + Mujeres)no puede ser distinto al Total de exámenes procesados","")</f>
        <v/>
      </c>
      <c r="CL161" s="1899" t="str">
        <f>IF((AN161+AL161)&lt;&gt;D161," * El N° de exámenes Confirmados positivos por ISP por Sexo (Hombres+Mujeres) no puede ser distinto al N° Total de exámenes Confirmados positivos por ISP ","")</f>
        <v/>
      </c>
      <c r="CM161" s="1899" t="str">
        <f>IF(AND(C161&gt;0,AS161="")," * No olvide digitar los examanes de Pueblos Originarios Procesados. Digite Cero si no tiene.",IF(AS161&gt;C161," * Los exámenes de Pueblos originarios Procesados no pueden ser mayor que el Total de exámenes procesados.",""))</f>
        <v/>
      </c>
      <c r="CN161" s="1899" t="str">
        <f>IF(AND(C161&gt;0,AU161="")," * No olvide digitar los exámenes Procesados de Migrantes. Digite Cero si no tiene.",IF(AU161&gt;C161," * Los exámenes procesados de Migrantes no pueden ser mayor que el Total de exámenes procesados.",""))</f>
        <v/>
      </c>
      <c r="CO161" s="1899" t="str">
        <f>IF(AND(D161&gt;0,AND(AP161="",AR161=""))," * No olvide digitar los exámenes Confirmados positivos por ISP de Trans (Masculino y Femenino). Digite Cero si no tiene.",IF((AP161+AR161)&gt;D161," * Los exámenes confirmados positivos por ISP de Trans (Masculino y Femenino) no pueden ser mayor que el Total de exámenes Confirmados positivos por ISP.",""))</f>
        <v/>
      </c>
      <c r="CP161" s="1899" t="str">
        <f>IF(AND(D161&gt;0,AT161="")," * No olvide digitar los exámenes Confirmados positivos por ISP de Pueblos Originarios. Digite Cero si no tiene.",IF(AT161&gt;D161," * Los exámenes Confirmados positivos por ISP de Pueblos originarios no pueden ser mayor que el Total de exámenes Procesados por ISP.",""))</f>
        <v/>
      </c>
      <c r="CQ161" s="1899" t="str">
        <f>IF(AND(D161&gt;0,AV161="")," * No olvide digitar los exámenes Confirmados positivos por ISP de Migrantes. Digite Cero si no tiene.",IF(AV161&gt;D161," * Los exámenes Confirmados positivos por ISP de Migrantes no pueden ser mayor que el Total de exámenes Procesados por ISP.",""))</f>
        <v/>
      </c>
      <c r="CR161" s="1970"/>
      <c r="CS161" s="1970"/>
      <c r="CT161" s="3024" t="str">
        <f>IF(AND((M161+O161)&gt;0,AW161=""),"*No olvide digitar los Exámenes Procesados de 14-18 años. Digite cero si no tiene.",IF(AW161&gt;(M161+O161),"* El Total de Procesados de 14-18 años NO DEBE ser mayor al Total de Procesados registrados en los grupos de edad 10 a 14 + 15 a 19 años. ",""))</f>
        <v/>
      </c>
      <c r="CU161" s="3024" t="str">
        <f>IF(AND((N161+P161)&gt;0,AX161=""),"*No olvide digitar los Exámenes Confirmados Positivos por ISP de 14-18 años. Digite cero si no tiene.",IF(AX161&gt;(N161+P161),"* El Total de Confirmados de 14-18 años NO DEBE ser mayor al Total de Confirmados Positivos por ISP registrados en los grupos de edad 10 a 14 + 15 a 19 años. ",""))</f>
        <v/>
      </c>
      <c r="DF161" s="4029">
        <f t="shared" ref="DF161:DF183" si="402">IF(D161&gt;C161,1,0)</f>
        <v>0</v>
      </c>
      <c r="DG161" s="4028"/>
      <c r="DH161" s="4005">
        <f t="shared" ref="DH161:DH183" si="403">IF(AN161&gt;AM161,1,0)</f>
        <v>0</v>
      </c>
      <c r="DI161" s="1970"/>
      <c r="DJ161" s="1970"/>
      <c r="DK161" s="1970"/>
      <c r="DL161" s="1970"/>
      <c r="DM161" s="1970"/>
      <c r="DN161" s="4005">
        <f t="shared" ref="DN161:DN183" si="404">IF(AND(C161&gt;0,AND(AO161="",AQ161="")),1,IF((AO161+AQ161)&gt;C161,1,0))</f>
        <v>0</v>
      </c>
      <c r="DO161" s="1971"/>
      <c r="DP161" s="4005">
        <f t="shared" ref="DP161:DP183" si="405">IF((AM161+AK161)&lt;&gt;C161,1,0)</f>
        <v>0</v>
      </c>
      <c r="DQ161" s="4005">
        <f t="shared" ref="DQ161:DQ183" si="406">IF((AN161+AL161)&lt;&gt;D161,1,0)</f>
        <v>0</v>
      </c>
      <c r="DR161" s="4005">
        <f t="shared" ref="DR161:DR183" si="407">IF(AND(C161&gt;0,AS161=""),1,IF(AS161&gt;C161,1,0))</f>
        <v>0</v>
      </c>
      <c r="DS161" s="4005">
        <f t="shared" ref="DS161:DS183" si="408">IF(AND(C161&gt;0,AU161=""),1,IF(AU161&gt;C161,1,0))</f>
        <v>0</v>
      </c>
      <c r="DT161" s="4005">
        <f t="shared" ref="DT161:DT183" si="409">IF(AND(D161&gt;0,AND(AP161="",AR161="")),1,IF((AP161+AR161)&gt;D161,1,0))</f>
        <v>0</v>
      </c>
      <c r="DU161" s="4005">
        <f t="shared" ref="DU161:DU183" si="410">IF(AND(D161&gt;0,AT161=""),1,IF(AT161&gt;D161,1,0))</f>
        <v>0</v>
      </c>
      <c r="DV161" s="4005">
        <f t="shared" ref="DV161:DV183" si="411">IF(AND(D161&gt;0,AV161=""),1,IF(AV161&gt;D161,1,0))</f>
        <v>0</v>
      </c>
      <c r="DW161" s="1970"/>
      <c r="DX161" s="1970"/>
      <c r="DY161" s="3026">
        <f>IF(AND((M161+O161)&gt;0,AW161=""),1,IF(AW161&gt;(M161+O161),1,0))</f>
        <v>0</v>
      </c>
      <c r="DZ161" s="3026">
        <f>IF(AND((N161+P161)&gt;0,AX161=""),1,IF(AX161&gt;(N161+P161),1,0))</f>
        <v>0</v>
      </c>
    </row>
    <row r="162" spans="1:130" x14ac:dyDescent="0.3">
      <c r="A162" s="6875" t="s">
        <v>1912</v>
      </c>
      <c r="B162" s="6876"/>
      <c r="C162" s="3991">
        <f t="shared" si="401"/>
        <v>0</v>
      </c>
      <c r="D162" s="3123">
        <f t="shared" si="401"/>
        <v>0</v>
      </c>
      <c r="E162" s="3992"/>
      <c r="F162" s="3993"/>
      <c r="G162" s="3992"/>
      <c r="H162" s="3993"/>
      <c r="I162" s="3992"/>
      <c r="J162" s="3993"/>
      <c r="K162" s="3992"/>
      <c r="L162" s="3993"/>
      <c r="M162" s="327"/>
      <c r="N162" s="1039"/>
      <c r="O162" s="327"/>
      <c r="P162" s="1039"/>
      <c r="Q162" s="327"/>
      <c r="R162" s="1039"/>
      <c r="S162" s="327"/>
      <c r="T162" s="1039"/>
      <c r="U162" s="327"/>
      <c r="V162" s="1039"/>
      <c r="W162" s="327"/>
      <c r="X162" s="1039"/>
      <c r="Y162" s="327"/>
      <c r="Z162" s="1039"/>
      <c r="AA162" s="327"/>
      <c r="AB162" s="1039"/>
      <c r="AC162" s="327"/>
      <c r="AD162" s="1039"/>
      <c r="AE162" s="327"/>
      <c r="AF162" s="1039"/>
      <c r="AG162" s="3992"/>
      <c r="AH162" s="3994"/>
      <c r="AI162" s="3992"/>
      <c r="AJ162" s="4003"/>
      <c r="AK162" s="3984"/>
      <c r="AL162" s="2352"/>
      <c r="AM162" s="3996"/>
      <c r="AN162" s="4026"/>
      <c r="AO162" s="3986"/>
      <c r="AP162" s="330"/>
      <c r="AQ162" s="3987"/>
      <c r="AR162" s="4026"/>
      <c r="AS162" s="3986"/>
      <c r="AT162" s="4026"/>
      <c r="AU162" s="3986"/>
      <c r="AV162" s="330"/>
      <c r="AW162" s="3986"/>
      <c r="AX162" s="330"/>
      <c r="AY162" s="1898" t="str">
        <f t="shared" ref="AY162:AY163" si="412">$CA162&amp;$CC162&amp;CD162&amp;CE162&amp;CF162&amp;CG162&amp;CH162&amp;CI162&amp;CJ162&amp;CK162&amp;CL162&amp;CM162&amp;CN162&amp;CO162&amp;CP162&amp;CQ162&amp;CR162&amp;CS162&amp;CT162&amp;CU162&amp;CV162&amp;CW162</f>
        <v/>
      </c>
      <c r="CA162" s="4027" t="str">
        <f t="shared" ref="CA162:CA183" si="413">IF(D162&gt;C162," * El Total de Exámenes Confirmados Positivos por ISP NO DEBE SUPERAR los  Exámenes Procesados. ","")</f>
        <v/>
      </c>
      <c r="CB162" s="4028"/>
      <c r="CC162" s="1899" t="str">
        <f t="shared" ref="CC162:CC183" si="414">IF(AN162&gt;AM162," * El número de Exámenes por Sexo Mujeres Confirmados positivos por ISP NO PUEDE Superar al número de Procesados. ","")</f>
        <v/>
      </c>
      <c r="CD162" s="1970"/>
      <c r="CE162" s="1970"/>
      <c r="CF162" s="1970"/>
      <c r="CG162" s="1970"/>
      <c r="CH162" s="1970"/>
      <c r="CI162" s="1899" t="str">
        <f t="shared" ref="CI162:CI183" si="415">IF(AND(C162&gt;0,AND(AO162="",AQ162=""))," * No olvide digitar los exámenes procesados Trans (Masculino y Femenino). Digite Cero si no tiene.",IF((AO162+AQ162)&gt;C162," * Los exámenes procesados en Trans (Masculino y Femenino) no pueden ser mayor que el Total de exámenes procesados.",""))</f>
        <v/>
      </c>
      <c r="CJ162" s="1971"/>
      <c r="CK162" s="1899" t="str">
        <f t="shared" ref="CK162:CK169" si="416">IF((AM162+AK162)&lt;&gt;C162," * El N° de exámenes Procesados por SEXO (Hombres + Mujeres)no puede ser distinto al Total de exámenes procesados","")</f>
        <v/>
      </c>
      <c r="CL162" s="1899" t="str">
        <f t="shared" ref="CL162:CL169" si="417">IF((AN162+AL162)&lt;&gt;D162," * El N° de exámenes Confirmados positivos por ISP por Sexo (Hombres+Mujeres) no puede ser distinto al N° Total de exámenes Confirmados positivos por ISP ","")</f>
        <v/>
      </c>
      <c r="CM162" s="1899" t="str">
        <f t="shared" ref="CM162:CM169" si="418">IF(AND(C162&gt;0,AS162="")," * No olvide digitar los examanes de Pueblos Originarios Procesados. Digite Cero si no tiene.",IF(AS162&gt;C162," * Los exámenes de Pueblos originarios Procesados no pueden ser mayor que el Total de exámenes procesados.",""))</f>
        <v/>
      </c>
      <c r="CN162" s="1899" t="str">
        <f t="shared" ref="CN162:CN169" si="419">IF(AND(C162&gt;0,AU162="")," * No olvide digitar los exámenes Procesados de Migrantes. Digite Cero si no tiene.",IF(AU162&gt;C162," * Los exámenes procesados de Migrantes no pueden ser mayor que el Total de exámenes procesados.",""))</f>
        <v/>
      </c>
      <c r="CO162" s="1899" t="str">
        <f t="shared" ref="CO162:CO169" si="420">IF(AND(D162&gt;0,AND(AP162="",AR162=""))," * No olvide digitar los exámenes Confirmados positivos por ISP de Trans (Masculino y Femenino). Digite Cero si no tiene.",IF((AP162+AR162)&gt;D162," * Los exámenes confirmados positivos por ISP de Trans (Masculino y Femenino) no pueden ser mayor que el Total de exámenes Confirmados positivos por ISP.",""))</f>
        <v/>
      </c>
      <c r="CP162" s="1899" t="str">
        <f t="shared" ref="CP162:CP169" si="421">IF(AND(D162&gt;0,AT162="")," * No olvide digitar los exámenes Confirmados positivos por ISP de Pueblos Originarios. Digite Cero si no tiene.",IF(AT162&gt;D162," * Los exámenes Confirmados positivos por ISP de Pueblos originarios no pueden ser mayor que el Total de exámenes Procesados por ISP.",""))</f>
        <v/>
      </c>
      <c r="CQ162" s="1899" t="str">
        <f t="shared" ref="CQ162:CQ169" si="422">IF(AND(D162&gt;0,AV162="")," * No olvide digitar los exámenes Confirmados positivos por ISP de Migrantes. Digite Cero si no tiene.",IF(AV162&gt;D162," * Los exámenes Confirmados positivos por ISP de Migrantes no pueden ser mayor que el Total de exámenes Procesados por ISP.",""))</f>
        <v/>
      </c>
      <c r="CR162" s="1970"/>
      <c r="CS162" s="1970"/>
      <c r="CT162" s="3024" t="str">
        <f t="shared" ref="CT162:CT169" si="423">IF(AND((M162+O162)&gt;0,AW162=""),"*No olvide digitar los Exámenes Procesados de 14-18 años. Digite cero si no tiene.",IF(AW162&gt;(M162+O162),"* El Total de Procesados de 14-18 años NO DEBE ser mayor al Total de Procesados registrados en los grupos de edad 10 a 14 + 15 a 19 años. ",""))</f>
        <v/>
      </c>
      <c r="CU162" s="3024" t="str">
        <f t="shared" ref="CU162:CU169" si="424">IF(AND((N162+P162)&gt;0,AX162=""),"*No olvide digitar los Exámenes Confirmados Positivos por ISP de 14-18 años. Digite cero si no tiene.",IF(AX162&gt;(N162+P162),"* El Total de Confirmados de 14-18 años NO DEBE ser mayor al Total de Confirmados Positivos por ISP registrados en los grupos de edad 10 a 14 + 15 a 19 años. ",""))</f>
        <v/>
      </c>
      <c r="DF162" s="4029">
        <f t="shared" si="402"/>
        <v>0</v>
      </c>
      <c r="DG162" s="4028"/>
      <c r="DH162" s="4005">
        <f t="shared" si="403"/>
        <v>0</v>
      </c>
      <c r="DI162" s="1970"/>
      <c r="DJ162" s="1970"/>
      <c r="DK162" s="1970"/>
      <c r="DL162" s="1970"/>
      <c r="DM162" s="1970"/>
      <c r="DN162" s="4005">
        <f t="shared" si="404"/>
        <v>0</v>
      </c>
      <c r="DO162" s="1971"/>
      <c r="DP162" s="4005">
        <f t="shared" si="405"/>
        <v>0</v>
      </c>
      <c r="DQ162" s="4005">
        <f t="shared" si="406"/>
        <v>0</v>
      </c>
      <c r="DR162" s="4005">
        <f t="shared" si="407"/>
        <v>0</v>
      </c>
      <c r="DS162" s="4005">
        <f t="shared" si="408"/>
        <v>0</v>
      </c>
      <c r="DT162" s="4005">
        <f t="shared" si="409"/>
        <v>0</v>
      </c>
      <c r="DU162" s="4005">
        <f t="shared" si="410"/>
        <v>0</v>
      </c>
      <c r="DV162" s="4005">
        <f t="shared" si="411"/>
        <v>0</v>
      </c>
      <c r="DW162" s="1970"/>
      <c r="DX162" s="1970"/>
      <c r="DY162" s="3026">
        <f t="shared" ref="DY162:DY169" si="425">IF(AND((M162+O162)&gt;0,AW162=""),1,IF(AW162&gt;(M162+O162),1,0))</f>
        <v>0</v>
      </c>
      <c r="DZ162" s="3026">
        <f t="shared" ref="DZ162:DZ169" si="426">IF(AND((N162+P162)&gt;0,AX162=""),1,IF(AX162&gt;(N162+P162),1,0))</f>
        <v>0</v>
      </c>
    </row>
    <row r="163" spans="1:130" x14ac:dyDescent="0.3">
      <c r="A163" s="6875" t="s">
        <v>1913</v>
      </c>
      <c r="B163" s="6876"/>
      <c r="C163" s="3991">
        <f t="shared" si="401"/>
        <v>0</v>
      </c>
      <c r="D163" s="3123">
        <f t="shared" si="401"/>
        <v>0</v>
      </c>
      <c r="E163" s="3992"/>
      <c r="F163" s="3993"/>
      <c r="G163" s="3992"/>
      <c r="H163" s="3993"/>
      <c r="I163" s="3992"/>
      <c r="J163" s="3993"/>
      <c r="K163" s="3992"/>
      <c r="L163" s="3993"/>
      <c r="M163" s="3996"/>
      <c r="N163" s="3995"/>
      <c r="O163" s="3996"/>
      <c r="P163" s="3995"/>
      <c r="Q163" s="3996"/>
      <c r="R163" s="3995"/>
      <c r="S163" s="3996"/>
      <c r="T163" s="3995"/>
      <c r="U163" s="3996"/>
      <c r="V163" s="3995"/>
      <c r="W163" s="3996"/>
      <c r="X163" s="3995"/>
      <c r="Y163" s="3996"/>
      <c r="Z163" s="3995"/>
      <c r="AA163" s="3996"/>
      <c r="AB163" s="3995"/>
      <c r="AC163" s="3996"/>
      <c r="AD163" s="3995"/>
      <c r="AE163" s="3996"/>
      <c r="AF163" s="3995"/>
      <c r="AG163" s="3992"/>
      <c r="AH163" s="3994"/>
      <c r="AI163" s="3992"/>
      <c r="AJ163" s="4003"/>
      <c r="AK163" s="3984"/>
      <c r="AL163" s="2352"/>
      <c r="AM163" s="3996"/>
      <c r="AN163" s="4026"/>
      <c r="AO163" s="3986"/>
      <c r="AP163" s="330"/>
      <c r="AQ163" s="3987"/>
      <c r="AR163" s="4026"/>
      <c r="AS163" s="3986"/>
      <c r="AT163" s="4026"/>
      <c r="AU163" s="3986"/>
      <c r="AV163" s="330"/>
      <c r="AW163" s="3986"/>
      <c r="AX163" s="330"/>
      <c r="AY163" s="1898" t="str">
        <f t="shared" si="412"/>
        <v/>
      </c>
      <c r="CA163" s="4027" t="str">
        <f t="shared" si="413"/>
        <v/>
      </c>
      <c r="CB163" s="4028"/>
      <c r="CC163" s="1899" t="str">
        <f t="shared" si="414"/>
        <v/>
      </c>
      <c r="CD163" s="1970"/>
      <c r="CE163" s="1970"/>
      <c r="CF163" s="1970"/>
      <c r="CG163" s="1970"/>
      <c r="CH163" s="1970"/>
      <c r="CI163" s="1899" t="str">
        <f t="shared" si="415"/>
        <v/>
      </c>
      <c r="CJ163" s="1971"/>
      <c r="CK163" s="1899" t="str">
        <f t="shared" si="416"/>
        <v/>
      </c>
      <c r="CL163" s="1899" t="str">
        <f t="shared" si="417"/>
        <v/>
      </c>
      <c r="CM163" s="1899" t="str">
        <f t="shared" si="418"/>
        <v/>
      </c>
      <c r="CN163" s="1899" t="str">
        <f t="shared" si="419"/>
        <v/>
      </c>
      <c r="CO163" s="1899" t="str">
        <f t="shared" si="420"/>
        <v/>
      </c>
      <c r="CP163" s="1899" t="str">
        <f t="shared" si="421"/>
        <v/>
      </c>
      <c r="CQ163" s="1899" t="str">
        <f t="shared" si="422"/>
        <v/>
      </c>
      <c r="CR163" s="1970"/>
      <c r="CS163" s="1970"/>
      <c r="CT163" s="3024" t="str">
        <f t="shared" si="423"/>
        <v/>
      </c>
      <c r="CU163" s="3024" t="str">
        <f t="shared" si="424"/>
        <v/>
      </c>
      <c r="DF163" s="4029">
        <f t="shared" si="402"/>
        <v>0</v>
      </c>
      <c r="DG163" s="4028"/>
      <c r="DH163" s="4005">
        <f t="shared" si="403"/>
        <v>0</v>
      </c>
      <c r="DI163" s="1970"/>
      <c r="DJ163" s="1970"/>
      <c r="DK163" s="1970"/>
      <c r="DL163" s="1970"/>
      <c r="DM163" s="1970"/>
      <c r="DN163" s="4005">
        <f t="shared" si="404"/>
        <v>0</v>
      </c>
      <c r="DO163" s="1971"/>
      <c r="DP163" s="4005">
        <f t="shared" si="405"/>
        <v>0</v>
      </c>
      <c r="DQ163" s="4005">
        <f t="shared" si="406"/>
        <v>0</v>
      </c>
      <c r="DR163" s="4005">
        <f t="shared" si="407"/>
        <v>0</v>
      </c>
      <c r="DS163" s="4005">
        <f t="shared" si="408"/>
        <v>0</v>
      </c>
      <c r="DT163" s="4005">
        <f t="shared" si="409"/>
        <v>0</v>
      </c>
      <c r="DU163" s="4005">
        <f t="shared" si="410"/>
        <v>0</v>
      </c>
      <c r="DV163" s="4005">
        <f t="shared" si="411"/>
        <v>0</v>
      </c>
      <c r="DW163" s="1970"/>
      <c r="DX163" s="1970"/>
      <c r="DY163" s="3026">
        <f t="shared" si="425"/>
        <v>0</v>
      </c>
      <c r="DZ163" s="3026">
        <f t="shared" si="426"/>
        <v>0</v>
      </c>
    </row>
    <row r="164" spans="1:130" x14ac:dyDescent="0.3">
      <c r="A164" s="6875" t="s">
        <v>1876</v>
      </c>
      <c r="B164" s="6876"/>
      <c r="C164" s="3991">
        <f>+O164+Q164+S164+U164+W164+Y164+AA164+AC164+AE164+AG164+AI164</f>
        <v>0</v>
      </c>
      <c r="D164" s="4030">
        <f>+P164+R164+T164+V164+X164+Z164+AB164+AD164+AF164+AH164+AJ164</f>
        <v>0</v>
      </c>
      <c r="E164" s="3992"/>
      <c r="F164" s="3993"/>
      <c r="G164" s="3992"/>
      <c r="H164" s="3993"/>
      <c r="I164" s="3992"/>
      <c r="J164" s="3993"/>
      <c r="K164" s="3992"/>
      <c r="L164" s="3993"/>
      <c r="M164" s="3992"/>
      <c r="N164" s="3993"/>
      <c r="O164" s="3996"/>
      <c r="P164" s="3995"/>
      <c r="Q164" s="3996"/>
      <c r="R164" s="3995"/>
      <c r="S164" s="3996"/>
      <c r="T164" s="3995"/>
      <c r="U164" s="3996"/>
      <c r="V164" s="3995"/>
      <c r="W164" s="3996"/>
      <c r="X164" s="3995"/>
      <c r="Y164" s="3996"/>
      <c r="Z164" s="3995"/>
      <c r="AA164" s="3996"/>
      <c r="AB164" s="3995"/>
      <c r="AC164" s="3996"/>
      <c r="AD164" s="3995"/>
      <c r="AE164" s="3996"/>
      <c r="AF164" s="3995"/>
      <c r="AG164" s="3996"/>
      <c r="AH164" s="3995"/>
      <c r="AI164" s="3996"/>
      <c r="AJ164" s="3995"/>
      <c r="AK164" s="3986"/>
      <c r="AL164" s="330"/>
      <c r="AM164" s="3996"/>
      <c r="AN164" s="4026"/>
      <c r="AO164" s="3986"/>
      <c r="AP164" s="330"/>
      <c r="AQ164" s="3987"/>
      <c r="AR164" s="4026"/>
      <c r="AS164" s="3986"/>
      <c r="AT164" s="4026"/>
      <c r="AU164" s="3986"/>
      <c r="AV164" s="330"/>
      <c r="AW164" s="3986"/>
      <c r="AX164" s="330"/>
      <c r="AY164" s="1898" t="str">
        <f>$CA164&amp;CB164&amp;$CC164&amp;CD164&amp;CE164&amp;CF164&amp;CG164&amp;CH164&amp;CI164&amp;CJ164&amp;CK164&amp;CL164&amp;CM164&amp;CN164&amp;CO164&amp;CP164&amp;CQ164&amp;CR164&amp;CS164&amp;CT164&amp;CU164&amp;CV164&amp;CW164</f>
        <v/>
      </c>
      <c r="CA164" s="4027" t="str">
        <f t="shared" si="413"/>
        <v/>
      </c>
      <c r="CB164" s="1899" t="str">
        <f>IF(AL164&gt;AK164," * El número de Exámenes por Sexo Hombres Confirmados positivos por ISP NO PUEDE Superar al número de Procesados. ","")</f>
        <v/>
      </c>
      <c r="CC164" s="1899" t="str">
        <f t="shared" si="414"/>
        <v/>
      </c>
      <c r="CD164" s="1970"/>
      <c r="CE164" s="1970"/>
      <c r="CF164" s="1970"/>
      <c r="CG164" s="1970"/>
      <c r="CH164" s="1970"/>
      <c r="CI164" s="1899" t="str">
        <f t="shared" si="415"/>
        <v/>
      </c>
      <c r="CJ164" s="1971"/>
      <c r="CK164" s="1899" t="str">
        <f t="shared" si="416"/>
        <v/>
      </c>
      <c r="CL164" s="1899" t="str">
        <f t="shared" si="417"/>
        <v/>
      </c>
      <c r="CM164" s="1899" t="str">
        <f t="shared" si="418"/>
        <v/>
      </c>
      <c r="CN164" s="1899" t="str">
        <f t="shared" si="419"/>
        <v/>
      </c>
      <c r="CO164" s="1899" t="str">
        <f t="shared" si="420"/>
        <v/>
      </c>
      <c r="CP164" s="1899" t="str">
        <f t="shared" si="421"/>
        <v/>
      </c>
      <c r="CQ164" s="1899" t="str">
        <f t="shared" si="422"/>
        <v/>
      </c>
      <c r="CR164" s="1970"/>
      <c r="CS164" s="1970"/>
      <c r="CT164" s="3024" t="str">
        <f t="shared" si="423"/>
        <v/>
      </c>
      <c r="CU164" s="3024" t="str">
        <f t="shared" si="424"/>
        <v/>
      </c>
      <c r="DF164" s="4029">
        <f t="shared" si="402"/>
        <v>0</v>
      </c>
      <c r="DG164" s="4005">
        <f t="shared" ref="DG164:DG183" si="427">IF(AL164&gt;AK164,1,0)</f>
        <v>0</v>
      </c>
      <c r="DH164" s="4005">
        <f t="shared" si="403"/>
        <v>0</v>
      </c>
      <c r="DI164" s="1970"/>
      <c r="DJ164" s="1970"/>
      <c r="DK164" s="1970"/>
      <c r="DL164" s="1970"/>
      <c r="DM164" s="1970"/>
      <c r="DN164" s="4005">
        <f t="shared" si="404"/>
        <v>0</v>
      </c>
      <c r="DO164" s="1971"/>
      <c r="DP164" s="4005">
        <f t="shared" si="405"/>
        <v>0</v>
      </c>
      <c r="DQ164" s="4005">
        <f t="shared" si="406"/>
        <v>0</v>
      </c>
      <c r="DR164" s="4005">
        <f t="shared" si="407"/>
        <v>0</v>
      </c>
      <c r="DS164" s="4005">
        <f t="shared" si="408"/>
        <v>0</v>
      </c>
      <c r="DT164" s="4005">
        <f t="shared" si="409"/>
        <v>0</v>
      </c>
      <c r="DU164" s="4005">
        <f t="shared" si="410"/>
        <v>0</v>
      </c>
      <c r="DV164" s="4005">
        <f t="shared" si="411"/>
        <v>0</v>
      </c>
      <c r="DW164" s="1970"/>
      <c r="DX164" s="1970"/>
      <c r="DY164" s="3026">
        <f t="shared" si="425"/>
        <v>0</v>
      </c>
      <c r="DZ164" s="3026">
        <f t="shared" si="426"/>
        <v>0</v>
      </c>
    </row>
    <row r="165" spans="1:130" x14ac:dyDescent="0.3">
      <c r="A165" s="6875" t="s">
        <v>1882</v>
      </c>
      <c r="B165" s="6876"/>
      <c r="C165" s="3991">
        <f>+E165+G165+I165+K165+M165+O165+Q165+S165+U165+W165+Y165+AA165+AC165+AE165+AG165+AI165</f>
        <v>0</v>
      </c>
      <c r="D165" s="4030">
        <f>+F165+H165+J165+L165+N165+P165+R165+T165+V165+X165+Z165+AB165+AD165+AF165+AH165+AJ165</f>
        <v>0</v>
      </c>
      <c r="E165" s="3996"/>
      <c r="F165" s="3995"/>
      <c r="G165" s="3996"/>
      <c r="H165" s="3995"/>
      <c r="I165" s="3996"/>
      <c r="J165" s="3995"/>
      <c r="K165" s="3996"/>
      <c r="L165" s="3995"/>
      <c r="M165" s="3996"/>
      <c r="N165" s="3995"/>
      <c r="O165" s="3996"/>
      <c r="P165" s="3995"/>
      <c r="Q165" s="3996"/>
      <c r="R165" s="3995"/>
      <c r="S165" s="3996"/>
      <c r="T165" s="3995"/>
      <c r="U165" s="3996"/>
      <c r="V165" s="3995"/>
      <c r="W165" s="3996"/>
      <c r="X165" s="3995"/>
      <c r="Y165" s="3996"/>
      <c r="Z165" s="3995"/>
      <c r="AA165" s="3996"/>
      <c r="AB165" s="3995"/>
      <c r="AC165" s="3996"/>
      <c r="AD165" s="3995"/>
      <c r="AE165" s="3996"/>
      <c r="AF165" s="3995"/>
      <c r="AG165" s="3996"/>
      <c r="AH165" s="3995"/>
      <c r="AI165" s="3996"/>
      <c r="AJ165" s="3995"/>
      <c r="AK165" s="4031"/>
      <c r="AL165" s="874"/>
      <c r="AM165" s="4032"/>
      <c r="AN165" s="4026"/>
      <c r="AO165" s="3986"/>
      <c r="AP165" s="330"/>
      <c r="AQ165" s="3987"/>
      <c r="AR165" s="4026"/>
      <c r="AS165" s="3986"/>
      <c r="AT165" s="4026"/>
      <c r="AU165" s="3986"/>
      <c r="AV165" s="330"/>
      <c r="AW165" s="3986"/>
      <c r="AX165" s="330"/>
      <c r="AY165" s="1898" t="str">
        <f t="shared" ref="AY165:AY182" si="428">$CA165&amp;CB165&amp;$CC165&amp;CD165&amp;CE165&amp;CF165&amp;CG165&amp;CH165&amp;CI165&amp;CJ165&amp;CK165&amp;CL165&amp;CM165&amp;CN165&amp;CO165&amp;CP165&amp;CQ165&amp;CR165&amp;CS165&amp;CT165&amp;CU165&amp;CV165&amp;CW165</f>
        <v/>
      </c>
      <c r="CA165" s="4027" t="str">
        <f t="shared" si="413"/>
        <v/>
      </c>
      <c r="CB165" s="1899" t="str">
        <f t="shared" ref="CB165:CB183" si="429">IF(AL165&gt;AK165," * El número de Exámenes por Sexo Hombres Confirmados positivos por ISP NO PUEDE Superar al número de Procesados. ","")</f>
        <v/>
      </c>
      <c r="CC165" s="1899" t="str">
        <f t="shared" si="414"/>
        <v/>
      </c>
      <c r="CD165" s="1970"/>
      <c r="CE165" s="1970"/>
      <c r="CF165" s="1970"/>
      <c r="CG165" s="1970"/>
      <c r="CH165" s="1970"/>
      <c r="CI165" s="1899" t="str">
        <f t="shared" si="415"/>
        <v/>
      </c>
      <c r="CJ165" s="1971"/>
      <c r="CK165" s="1899" t="str">
        <f t="shared" si="416"/>
        <v/>
      </c>
      <c r="CL165" s="1899" t="str">
        <f t="shared" si="417"/>
        <v/>
      </c>
      <c r="CM165" s="1899" t="str">
        <f t="shared" si="418"/>
        <v/>
      </c>
      <c r="CN165" s="1899" t="str">
        <f t="shared" si="419"/>
        <v/>
      </c>
      <c r="CO165" s="1899" t="str">
        <f t="shared" si="420"/>
        <v/>
      </c>
      <c r="CP165" s="1899" t="str">
        <f t="shared" si="421"/>
        <v/>
      </c>
      <c r="CQ165" s="1899" t="str">
        <f t="shared" si="422"/>
        <v/>
      </c>
      <c r="CR165" s="1970"/>
      <c r="CS165" s="1970"/>
      <c r="CT165" s="3024" t="str">
        <f t="shared" si="423"/>
        <v/>
      </c>
      <c r="CU165" s="3024" t="str">
        <f t="shared" si="424"/>
        <v/>
      </c>
      <c r="DF165" s="4029">
        <f t="shared" si="402"/>
        <v>0</v>
      </c>
      <c r="DG165" s="4005">
        <f t="shared" si="427"/>
        <v>0</v>
      </c>
      <c r="DH165" s="4005">
        <f t="shared" si="403"/>
        <v>0</v>
      </c>
      <c r="DI165" s="1970"/>
      <c r="DJ165" s="1970"/>
      <c r="DK165" s="1970"/>
      <c r="DL165" s="1970"/>
      <c r="DM165" s="1970"/>
      <c r="DN165" s="4005">
        <f t="shared" si="404"/>
        <v>0</v>
      </c>
      <c r="DO165" s="1971"/>
      <c r="DP165" s="4005">
        <f t="shared" si="405"/>
        <v>0</v>
      </c>
      <c r="DQ165" s="4005">
        <f t="shared" si="406"/>
        <v>0</v>
      </c>
      <c r="DR165" s="4005">
        <f t="shared" si="407"/>
        <v>0</v>
      </c>
      <c r="DS165" s="4005">
        <f t="shared" si="408"/>
        <v>0</v>
      </c>
      <c r="DT165" s="4005">
        <f t="shared" si="409"/>
        <v>0</v>
      </c>
      <c r="DU165" s="4005">
        <f t="shared" si="410"/>
        <v>0</v>
      </c>
      <c r="DV165" s="4005">
        <f t="shared" si="411"/>
        <v>0</v>
      </c>
      <c r="DW165" s="1970"/>
      <c r="DX165" s="1970"/>
      <c r="DY165" s="3026">
        <f t="shared" si="425"/>
        <v>0</v>
      </c>
      <c r="DZ165" s="3026">
        <f t="shared" si="426"/>
        <v>0</v>
      </c>
    </row>
    <row r="166" spans="1:130" x14ac:dyDescent="0.3">
      <c r="A166" s="6875" t="s">
        <v>1914</v>
      </c>
      <c r="B166" s="6876"/>
      <c r="C166" s="3991">
        <f>+E166+G166+I166+K166+M166+O166+Q166+S166+U166+W166+Y166+AA166+AC166+AE166+AG166+AI166</f>
        <v>0</v>
      </c>
      <c r="D166" s="3123">
        <f>+F166+H166+J166+L166+N166+P166+R166+T166+V166+X166+Z166+AB166+AD166+AF166+AH166+AJ166</f>
        <v>0</v>
      </c>
      <c r="E166" s="3996"/>
      <c r="F166" s="3995"/>
      <c r="G166" s="3996"/>
      <c r="H166" s="3995"/>
      <c r="I166" s="3996"/>
      <c r="J166" s="3995"/>
      <c r="K166" s="3996"/>
      <c r="L166" s="3995"/>
      <c r="M166" s="3996"/>
      <c r="N166" s="3995"/>
      <c r="O166" s="3996"/>
      <c r="P166" s="3995"/>
      <c r="Q166" s="3996"/>
      <c r="R166" s="3995"/>
      <c r="S166" s="3996"/>
      <c r="T166" s="3995"/>
      <c r="U166" s="3996"/>
      <c r="V166" s="3995"/>
      <c r="W166" s="3996"/>
      <c r="X166" s="3995"/>
      <c r="Y166" s="3996"/>
      <c r="Z166" s="3995"/>
      <c r="AA166" s="3996"/>
      <c r="AB166" s="3995"/>
      <c r="AC166" s="3996"/>
      <c r="AD166" s="3995"/>
      <c r="AE166" s="3996"/>
      <c r="AF166" s="3995"/>
      <c r="AG166" s="3996"/>
      <c r="AH166" s="3995"/>
      <c r="AI166" s="3996"/>
      <c r="AJ166" s="3995"/>
      <c r="AK166" s="3986"/>
      <c r="AL166" s="330"/>
      <c r="AM166" s="3996"/>
      <c r="AN166" s="4026"/>
      <c r="AO166" s="3986"/>
      <c r="AP166" s="330"/>
      <c r="AQ166" s="3987"/>
      <c r="AR166" s="4026"/>
      <c r="AS166" s="3986"/>
      <c r="AT166" s="4026"/>
      <c r="AU166" s="3986"/>
      <c r="AV166" s="330"/>
      <c r="AW166" s="3986"/>
      <c r="AX166" s="330"/>
      <c r="AY166" s="1898" t="str">
        <f t="shared" si="428"/>
        <v/>
      </c>
      <c r="CA166" s="4027" t="str">
        <f t="shared" si="413"/>
        <v/>
      </c>
      <c r="CB166" s="1899" t="str">
        <f t="shared" si="429"/>
        <v/>
      </c>
      <c r="CC166" s="1899" t="str">
        <f t="shared" si="414"/>
        <v/>
      </c>
      <c r="CD166" s="1970"/>
      <c r="CE166" s="1970"/>
      <c r="CF166" s="1970"/>
      <c r="CG166" s="1970"/>
      <c r="CH166" s="1970"/>
      <c r="CI166" s="1899" t="str">
        <f t="shared" si="415"/>
        <v/>
      </c>
      <c r="CJ166" s="1971"/>
      <c r="CK166" s="1899" t="str">
        <f t="shared" si="416"/>
        <v/>
      </c>
      <c r="CL166" s="1899" t="str">
        <f t="shared" si="417"/>
        <v/>
      </c>
      <c r="CM166" s="1899" t="str">
        <f t="shared" si="418"/>
        <v/>
      </c>
      <c r="CN166" s="1899" t="str">
        <f t="shared" si="419"/>
        <v/>
      </c>
      <c r="CO166" s="1899" t="str">
        <f t="shared" si="420"/>
        <v/>
      </c>
      <c r="CP166" s="1899" t="str">
        <f t="shared" si="421"/>
        <v/>
      </c>
      <c r="CQ166" s="1899" t="str">
        <f t="shared" si="422"/>
        <v/>
      </c>
      <c r="CR166" s="1970"/>
      <c r="CS166" s="1970"/>
      <c r="CT166" s="3024" t="str">
        <f t="shared" si="423"/>
        <v/>
      </c>
      <c r="CU166" s="3024" t="str">
        <f t="shared" si="424"/>
        <v/>
      </c>
      <c r="DF166" s="4029">
        <f t="shared" si="402"/>
        <v>0</v>
      </c>
      <c r="DG166" s="4005">
        <f t="shared" si="427"/>
        <v>0</v>
      </c>
      <c r="DH166" s="4005">
        <f t="shared" si="403"/>
        <v>0</v>
      </c>
      <c r="DI166" s="1970"/>
      <c r="DJ166" s="1970"/>
      <c r="DK166" s="1970"/>
      <c r="DL166" s="1970"/>
      <c r="DM166" s="1970"/>
      <c r="DN166" s="4005">
        <f t="shared" si="404"/>
        <v>0</v>
      </c>
      <c r="DO166" s="1971"/>
      <c r="DP166" s="4005">
        <f t="shared" si="405"/>
        <v>0</v>
      </c>
      <c r="DQ166" s="4005">
        <f t="shared" si="406"/>
        <v>0</v>
      </c>
      <c r="DR166" s="4005">
        <f t="shared" si="407"/>
        <v>0</v>
      </c>
      <c r="DS166" s="4005">
        <f t="shared" si="408"/>
        <v>0</v>
      </c>
      <c r="DT166" s="4005">
        <f t="shared" si="409"/>
        <v>0</v>
      </c>
      <c r="DU166" s="4005">
        <f t="shared" si="410"/>
        <v>0</v>
      </c>
      <c r="DV166" s="4005">
        <f t="shared" si="411"/>
        <v>0</v>
      </c>
      <c r="DW166" s="1970"/>
      <c r="DX166" s="1970"/>
      <c r="DY166" s="3026">
        <f t="shared" si="425"/>
        <v>0</v>
      </c>
      <c r="DZ166" s="3026">
        <f t="shared" si="426"/>
        <v>0</v>
      </c>
    </row>
    <row r="167" spans="1:130" x14ac:dyDescent="0.3">
      <c r="A167" s="6875" t="s">
        <v>1915</v>
      </c>
      <c r="B167" s="6876"/>
      <c r="C167" s="3991">
        <f>+O167+Q167+S167+U167+W167+Y167+AA167+AC167+AE167+AG167+AI167</f>
        <v>0</v>
      </c>
      <c r="D167" s="3123">
        <f>+P167+R167+T167+V167+X167+Z167+AB167+AD167+AF167+AH167+AJ167</f>
        <v>0</v>
      </c>
      <c r="E167" s="3992"/>
      <c r="F167" s="3993"/>
      <c r="G167" s="3992"/>
      <c r="H167" s="3993"/>
      <c r="I167" s="3992"/>
      <c r="J167" s="3993"/>
      <c r="K167" s="3992"/>
      <c r="L167" s="3993"/>
      <c r="M167" s="3992"/>
      <c r="N167" s="3993"/>
      <c r="O167" s="3996"/>
      <c r="P167" s="3995"/>
      <c r="Q167" s="3996"/>
      <c r="R167" s="3995"/>
      <c r="S167" s="3996"/>
      <c r="T167" s="3995"/>
      <c r="U167" s="3996"/>
      <c r="V167" s="3995"/>
      <c r="W167" s="3996"/>
      <c r="X167" s="3995"/>
      <c r="Y167" s="3996"/>
      <c r="Z167" s="3995"/>
      <c r="AA167" s="3996"/>
      <c r="AB167" s="3995"/>
      <c r="AC167" s="3996"/>
      <c r="AD167" s="3995"/>
      <c r="AE167" s="3996"/>
      <c r="AF167" s="3995"/>
      <c r="AG167" s="3996"/>
      <c r="AH167" s="3995"/>
      <c r="AI167" s="3996"/>
      <c r="AJ167" s="3995"/>
      <c r="AK167" s="3986"/>
      <c r="AL167" s="330"/>
      <c r="AM167" s="3996"/>
      <c r="AN167" s="4026"/>
      <c r="AO167" s="3986"/>
      <c r="AP167" s="330"/>
      <c r="AQ167" s="3987"/>
      <c r="AR167" s="4026"/>
      <c r="AS167" s="3986"/>
      <c r="AT167" s="4026"/>
      <c r="AU167" s="3986"/>
      <c r="AV167" s="330"/>
      <c r="AW167" s="3986"/>
      <c r="AX167" s="330"/>
      <c r="AY167" s="1898" t="str">
        <f t="shared" si="428"/>
        <v/>
      </c>
      <c r="CA167" s="4027" t="str">
        <f t="shared" si="413"/>
        <v/>
      </c>
      <c r="CB167" s="1899" t="str">
        <f t="shared" si="429"/>
        <v/>
      </c>
      <c r="CC167" s="1899" t="str">
        <f t="shared" si="414"/>
        <v/>
      </c>
      <c r="CD167" s="1970"/>
      <c r="CE167" s="1970"/>
      <c r="CF167" s="1970"/>
      <c r="CG167" s="1970"/>
      <c r="CH167" s="1970"/>
      <c r="CI167" s="1899" t="str">
        <f t="shared" si="415"/>
        <v/>
      </c>
      <c r="CJ167" s="1971"/>
      <c r="CK167" s="1899" t="str">
        <f t="shared" si="416"/>
        <v/>
      </c>
      <c r="CL167" s="1899" t="str">
        <f t="shared" si="417"/>
        <v/>
      </c>
      <c r="CM167" s="1899" t="str">
        <f t="shared" si="418"/>
        <v/>
      </c>
      <c r="CN167" s="1899" t="str">
        <f t="shared" si="419"/>
        <v/>
      </c>
      <c r="CO167" s="1899" t="str">
        <f t="shared" si="420"/>
        <v/>
      </c>
      <c r="CP167" s="1899" t="str">
        <f t="shared" si="421"/>
        <v/>
      </c>
      <c r="CQ167" s="1899" t="str">
        <f t="shared" si="422"/>
        <v/>
      </c>
      <c r="CR167" s="1970"/>
      <c r="CS167" s="1970"/>
      <c r="CT167" s="3024" t="str">
        <f t="shared" si="423"/>
        <v/>
      </c>
      <c r="CU167" s="3024" t="str">
        <f t="shared" si="424"/>
        <v/>
      </c>
      <c r="DF167" s="4029">
        <f t="shared" si="402"/>
        <v>0</v>
      </c>
      <c r="DG167" s="4005">
        <f t="shared" si="427"/>
        <v>0</v>
      </c>
      <c r="DH167" s="4005">
        <f t="shared" si="403"/>
        <v>0</v>
      </c>
      <c r="DI167" s="1970"/>
      <c r="DJ167" s="1970"/>
      <c r="DK167" s="1970"/>
      <c r="DL167" s="1970"/>
      <c r="DM167" s="1970"/>
      <c r="DN167" s="4005">
        <f t="shared" si="404"/>
        <v>0</v>
      </c>
      <c r="DO167" s="1971"/>
      <c r="DP167" s="4005">
        <f t="shared" si="405"/>
        <v>0</v>
      </c>
      <c r="DQ167" s="4005">
        <f t="shared" si="406"/>
        <v>0</v>
      </c>
      <c r="DR167" s="4005">
        <f t="shared" si="407"/>
        <v>0</v>
      </c>
      <c r="DS167" s="4005">
        <f t="shared" si="408"/>
        <v>0</v>
      </c>
      <c r="DT167" s="4005">
        <f t="shared" si="409"/>
        <v>0</v>
      </c>
      <c r="DU167" s="4005">
        <f t="shared" si="410"/>
        <v>0</v>
      </c>
      <c r="DV167" s="4005">
        <f t="shared" si="411"/>
        <v>0</v>
      </c>
      <c r="DW167" s="1970"/>
      <c r="DX167" s="1970"/>
      <c r="DY167" s="3026">
        <f t="shared" si="425"/>
        <v>0</v>
      </c>
      <c r="DZ167" s="3026">
        <f t="shared" si="426"/>
        <v>0</v>
      </c>
    </row>
    <row r="168" spans="1:130" x14ac:dyDescent="0.3">
      <c r="A168" s="6875" t="s">
        <v>1879</v>
      </c>
      <c r="B168" s="6876"/>
      <c r="C168" s="3991">
        <f>+O168+Q168+S168+U168+W168+Y168+AA168+AC168+AE168+AG168+AI168</f>
        <v>0</v>
      </c>
      <c r="D168" s="3123">
        <f>+P168+R168+T168+V168+X168+Z168+AB168+AD168+AF168+AH168+AJ168</f>
        <v>0</v>
      </c>
      <c r="E168" s="3992"/>
      <c r="F168" s="3993"/>
      <c r="G168" s="3992"/>
      <c r="H168" s="3993"/>
      <c r="I168" s="3992"/>
      <c r="J168" s="3993"/>
      <c r="K168" s="3992"/>
      <c r="L168" s="3993"/>
      <c r="M168" s="3992"/>
      <c r="N168" s="3993"/>
      <c r="O168" s="3996"/>
      <c r="P168" s="3995"/>
      <c r="Q168" s="3996"/>
      <c r="R168" s="3995"/>
      <c r="S168" s="3996"/>
      <c r="T168" s="3995"/>
      <c r="U168" s="3996"/>
      <c r="V168" s="3995"/>
      <c r="W168" s="3996"/>
      <c r="X168" s="3995"/>
      <c r="Y168" s="3996"/>
      <c r="Z168" s="3995"/>
      <c r="AA168" s="3996"/>
      <c r="AB168" s="3995"/>
      <c r="AC168" s="3996"/>
      <c r="AD168" s="3995"/>
      <c r="AE168" s="3996"/>
      <c r="AF168" s="3995"/>
      <c r="AG168" s="3996"/>
      <c r="AH168" s="3995"/>
      <c r="AI168" s="3996"/>
      <c r="AJ168" s="3995"/>
      <c r="AK168" s="3986"/>
      <c r="AL168" s="330"/>
      <c r="AM168" s="3996"/>
      <c r="AN168" s="4026"/>
      <c r="AO168" s="3986"/>
      <c r="AP168" s="330"/>
      <c r="AQ168" s="3987"/>
      <c r="AR168" s="4026"/>
      <c r="AS168" s="3986"/>
      <c r="AT168" s="4026"/>
      <c r="AU168" s="3986"/>
      <c r="AV168" s="330"/>
      <c r="AW168" s="3986"/>
      <c r="AX168" s="330"/>
      <c r="AY168" s="1898" t="str">
        <f t="shared" si="428"/>
        <v/>
      </c>
      <c r="CA168" s="4027" t="str">
        <f t="shared" si="413"/>
        <v/>
      </c>
      <c r="CB168" s="1899" t="str">
        <f t="shared" si="429"/>
        <v/>
      </c>
      <c r="CC168" s="1899" t="str">
        <f t="shared" si="414"/>
        <v/>
      </c>
      <c r="CD168" s="1970"/>
      <c r="CE168" s="1970"/>
      <c r="CF168" s="1970"/>
      <c r="CG168" s="1970"/>
      <c r="CH168" s="1970"/>
      <c r="CI168" s="1899" t="str">
        <f t="shared" si="415"/>
        <v/>
      </c>
      <c r="CJ168" s="1971"/>
      <c r="CK168" s="1899" t="str">
        <f t="shared" si="416"/>
        <v/>
      </c>
      <c r="CL168" s="1899" t="str">
        <f t="shared" si="417"/>
        <v/>
      </c>
      <c r="CM168" s="1899" t="str">
        <f t="shared" si="418"/>
        <v/>
      </c>
      <c r="CN168" s="1899" t="str">
        <f t="shared" si="419"/>
        <v/>
      </c>
      <c r="CO168" s="1899" t="str">
        <f t="shared" si="420"/>
        <v/>
      </c>
      <c r="CP168" s="1899" t="str">
        <f t="shared" si="421"/>
        <v/>
      </c>
      <c r="CQ168" s="1899" t="str">
        <f t="shared" si="422"/>
        <v/>
      </c>
      <c r="CR168" s="1970"/>
      <c r="CS168" s="1970"/>
      <c r="CT168" s="3024" t="str">
        <f t="shared" si="423"/>
        <v/>
      </c>
      <c r="CU168" s="3024" t="str">
        <f t="shared" si="424"/>
        <v/>
      </c>
      <c r="DF168" s="4029">
        <f t="shared" si="402"/>
        <v>0</v>
      </c>
      <c r="DG168" s="4005">
        <f t="shared" si="427"/>
        <v>0</v>
      </c>
      <c r="DH168" s="4005">
        <f t="shared" si="403"/>
        <v>0</v>
      </c>
      <c r="DI168" s="1970"/>
      <c r="DJ168" s="1970"/>
      <c r="DK168" s="1970"/>
      <c r="DL168" s="1970"/>
      <c r="DM168" s="1970"/>
      <c r="DN168" s="4005">
        <f t="shared" si="404"/>
        <v>0</v>
      </c>
      <c r="DO168" s="1971"/>
      <c r="DP168" s="4005">
        <f t="shared" si="405"/>
        <v>0</v>
      </c>
      <c r="DQ168" s="4005">
        <f t="shared" si="406"/>
        <v>0</v>
      </c>
      <c r="DR168" s="4005">
        <f t="shared" si="407"/>
        <v>0</v>
      </c>
      <c r="DS168" s="4005">
        <f t="shared" si="408"/>
        <v>0</v>
      </c>
      <c r="DT168" s="4005">
        <f t="shared" si="409"/>
        <v>0</v>
      </c>
      <c r="DU168" s="4005">
        <f t="shared" si="410"/>
        <v>0</v>
      </c>
      <c r="DV168" s="4005">
        <f t="shared" si="411"/>
        <v>0</v>
      </c>
      <c r="DW168" s="1970"/>
      <c r="DX168" s="1970"/>
      <c r="DY168" s="3026">
        <f t="shared" si="425"/>
        <v>0</v>
      </c>
      <c r="DZ168" s="3026">
        <f t="shared" si="426"/>
        <v>0</v>
      </c>
    </row>
    <row r="169" spans="1:130" x14ac:dyDescent="0.3">
      <c r="A169" s="6877" t="s">
        <v>1916</v>
      </c>
      <c r="B169" s="6878"/>
      <c r="C169" s="638">
        <f>+E169+G169+I169+K169+M169+O169+Q169+S169+U169+W169+Y169+AA169+AC169+AE169+AG169+AI169</f>
        <v>0</v>
      </c>
      <c r="D169" s="3313">
        <f>+F169+H169+J169+L169+N169+P169+R169+T169+V169+X169+Z169+AB169+AD169+AF169+AH169+AJ169</f>
        <v>0</v>
      </c>
      <c r="E169" s="212"/>
      <c r="F169" s="1018"/>
      <c r="G169" s="212"/>
      <c r="H169" s="1018"/>
      <c r="I169" s="212"/>
      <c r="J169" s="1018"/>
      <c r="K169" s="212"/>
      <c r="L169" s="1018"/>
      <c r="M169" s="212"/>
      <c r="N169" s="1018"/>
      <c r="O169" s="212"/>
      <c r="P169" s="1018"/>
      <c r="Q169" s="212"/>
      <c r="R169" s="1018"/>
      <c r="S169" s="212"/>
      <c r="T169" s="1018"/>
      <c r="U169" s="212"/>
      <c r="V169" s="1018"/>
      <c r="W169" s="212"/>
      <c r="X169" s="1018"/>
      <c r="Y169" s="212"/>
      <c r="Z169" s="1018"/>
      <c r="AA169" s="212"/>
      <c r="AB169" s="1018"/>
      <c r="AC169" s="212"/>
      <c r="AD169" s="1018"/>
      <c r="AE169" s="212"/>
      <c r="AF169" s="1018"/>
      <c r="AG169" s="212"/>
      <c r="AH169" s="1018"/>
      <c r="AI169" s="212"/>
      <c r="AJ169" s="1018"/>
      <c r="AK169" s="1017"/>
      <c r="AL169" s="34"/>
      <c r="AM169" s="212"/>
      <c r="AN169" s="3526"/>
      <c r="AO169" s="1017"/>
      <c r="AP169" s="34"/>
      <c r="AQ169" s="1162"/>
      <c r="AR169" s="3526"/>
      <c r="AS169" s="1913"/>
      <c r="AT169" s="1912"/>
      <c r="AU169" s="1017"/>
      <c r="AV169" s="34"/>
      <c r="AW169" s="1017"/>
      <c r="AX169" s="34"/>
      <c r="AY169" s="1898" t="str">
        <f t="shared" si="428"/>
        <v/>
      </c>
      <c r="CA169" s="4027" t="str">
        <f t="shared" si="413"/>
        <v/>
      </c>
      <c r="CB169" s="1899" t="str">
        <f t="shared" si="429"/>
        <v/>
      </c>
      <c r="CC169" s="1899" t="str">
        <f t="shared" si="414"/>
        <v/>
      </c>
      <c r="CD169" s="1970"/>
      <c r="CE169" s="1970"/>
      <c r="CF169" s="1970"/>
      <c r="CG169" s="1970"/>
      <c r="CH169" s="1970"/>
      <c r="CI169" s="1899" t="str">
        <f t="shared" si="415"/>
        <v/>
      </c>
      <c r="CJ169" s="1971"/>
      <c r="CK169" s="1899" t="str">
        <f t="shared" si="416"/>
        <v/>
      </c>
      <c r="CL169" s="1899" t="str">
        <f t="shared" si="417"/>
        <v/>
      </c>
      <c r="CM169" s="1899" t="str">
        <f t="shared" si="418"/>
        <v/>
      </c>
      <c r="CN169" s="1899" t="str">
        <f t="shared" si="419"/>
        <v/>
      </c>
      <c r="CO169" s="1899" t="str">
        <f t="shared" si="420"/>
        <v/>
      </c>
      <c r="CP169" s="1899" t="str">
        <f t="shared" si="421"/>
        <v/>
      </c>
      <c r="CQ169" s="1899" t="str">
        <f t="shared" si="422"/>
        <v/>
      </c>
      <c r="CR169" s="1970"/>
      <c r="CS169" s="1970"/>
      <c r="CT169" s="3024" t="str">
        <f t="shared" si="423"/>
        <v/>
      </c>
      <c r="CU169" s="3024" t="str">
        <f t="shared" si="424"/>
        <v/>
      </c>
      <c r="DF169" s="4029">
        <f t="shared" si="402"/>
        <v>0</v>
      </c>
      <c r="DG169" s="4005">
        <f t="shared" si="427"/>
        <v>0</v>
      </c>
      <c r="DH169" s="4005">
        <f t="shared" si="403"/>
        <v>0</v>
      </c>
      <c r="DI169" s="1970"/>
      <c r="DJ169" s="1970"/>
      <c r="DK169" s="1970"/>
      <c r="DL169" s="1970"/>
      <c r="DM169" s="1970"/>
      <c r="DN169" s="4005">
        <f t="shared" si="404"/>
        <v>0</v>
      </c>
      <c r="DO169" s="1971"/>
      <c r="DP169" s="4005">
        <f t="shared" si="405"/>
        <v>0</v>
      </c>
      <c r="DQ169" s="4005">
        <f t="shared" si="406"/>
        <v>0</v>
      </c>
      <c r="DR169" s="4005">
        <f t="shared" si="407"/>
        <v>0</v>
      </c>
      <c r="DS169" s="4005">
        <f t="shared" si="408"/>
        <v>0</v>
      </c>
      <c r="DT169" s="4005">
        <f t="shared" si="409"/>
        <v>0</v>
      </c>
      <c r="DU169" s="4005">
        <f t="shared" si="410"/>
        <v>0</v>
      </c>
      <c r="DV169" s="4005">
        <f t="shared" si="411"/>
        <v>0</v>
      </c>
      <c r="DW169" s="1970"/>
      <c r="DX169" s="1970"/>
      <c r="DY169" s="3026">
        <f t="shared" si="425"/>
        <v>0</v>
      </c>
      <c r="DZ169" s="3026">
        <f t="shared" si="426"/>
        <v>0</v>
      </c>
    </row>
    <row r="170" spans="1:130" x14ac:dyDescent="0.3">
      <c r="A170" s="6659" t="s">
        <v>1899</v>
      </c>
      <c r="B170" s="3804" t="s">
        <v>1900</v>
      </c>
      <c r="C170" s="303">
        <f t="shared" ref="C170:D172" si="430">+O170+Q170+S170+U170+W170+Y170+AA170+AC170+AE170+AG170</f>
        <v>0</v>
      </c>
      <c r="D170" s="3119">
        <f t="shared" si="430"/>
        <v>0</v>
      </c>
      <c r="E170" s="4023"/>
      <c r="F170" s="3209"/>
      <c r="G170" s="4023"/>
      <c r="H170" s="3209"/>
      <c r="I170" s="4023"/>
      <c r="J170" s="3209"/>
      <c r="K170" s="4023"/>
      <c r="L170" s="3209"/>
      <c r="M170" s="4023"/>
      <c r="N170" s="3209"/>
      <c r="O170" s="3361"/>
      <c r="P170" s="960"/>
      <c r="Q170" s="3361"/>
      <c r="R170" s="960"/>
      <c r="S170" s="3361"/>
      <c r="T170" s="960"/>
      <c r="U170" s="3361"/>
      <c r="V170" s="960"/>
      <c r="W170" s="3361"/>
      <c r="X170" s="960"/>
      <c r="Y170" s="3361"/>
      <c r="Z170" s="960"/>
      <c r="AA170" s="3361"/>
      <c r="AB170" s="960"/>
      <c r="AC170" s="3361"/>
      <c r="AD170" s="960"/>
      <c r="AE170" s="3361"/>
      <c r="AF170" s="960"/>
      <c r="AG170" s="3361"/>
      <c r="AH170" s="960"/>
      <c r="AI170" s="4033"/>
      <c r="AJ170" s="4034"/>
      <c r="AK170" s="3126"/>
      <c r="AL170" s="4013"/>
      <c r="AM170" s="3361"/>
      <c r="AN170" s="4035"/>
      <c r="AO170" s="3126"/>
      <c r="AP170" s="4013"/>
      <c r="AQ170" s="4036"/>
      <c r="AR170" s="4035"/>
      <c r="AS170" s="337"/>
      <c r="AT170" s="1918"/>
      <c r="AU170" s="4036"/>
      <c r="AV170" s="4035"/>
      <c r="AW170" s="4037"/>
      <c r="AX170" s="4038"/>
      <c r="AY170" s="1898" t="str">
        <f>$CA170&amp;CB170&amp;$CC170&amp;CD170&amp;CE170&amp;CF170&amp;CG170&amp;CH170&amp;CI170&amp;CJ170&amp;CK170&amp;CL170&amp;CM170&amp;CN170&amp;CO170&amp;CP170&amp;CQ170&amp;CR170&amp;CS170</f>
        <v/>
      </c>
      <c r="CA170" s="4027" t="str">
        <f t="shared" si="413"/>
        <v/>
      </c>
      <c r="CB170" s="1899" t="str">
        <f t="shared" si="429"/>
        <v/>
      </c>
      <c r="CC170" s="1899" t="str">
        <f t="shared" si="414"/>
        <v/>
      </c>
      <c r="CD170" s="1970"/>
      <c r="CE170" s="1970"/>
      <c r="CF170" s="1970"/>
      <c r="CG170" s="1970"/>
      <c r="CH170" s="1970"/>
      <c r="CI170" s="1899" t="str">
        <f t="shared" si="415"/>
        <v/>
      </c>
      <c r="CJ170" s="1971"/>
      <c r="CK170" s="1899" t="str">
        <f t="shared" ref="CK170:CK183" si="431">IF((AM170+AK170)&lt;&gt;C170," * El N° de exámenes Procesados por SEXO (Hombres + Mujeres)no puede ser distinto al Total de exámenes procesados","")</f>
        <v/>
      </c>
      <c r="CL170" s="1899" t="str">
        <f t="shared" ref="CL170:CL183" si="432">IF((AN170+AL170)&lt;&gt;D170," * El N° de exámenes Confirmados positivos por ISP por Sexo (Hombres+Mujeres) no puede ser distinto al N° Total de exámenes Confirmados positivos por ISP ","")</f>
        <v/>
      </c>
      <c r="CM170" s="1899" t="str">
        <f t="shared" ref="CM170:CM183" si="433">IF(AND(C170&gt;0,AS170="")," * No olvide digitar los examanes de Pueblos Originarios Procesados. Digite Cero si no tiene.",IF(AS170&gt;C170," * Los exámenes de Pueblos originarios Procesados no pueden ser mayor que el Total de exámenes procesados.",""))</f>
        <v/>
      </c>
      <c r="CN170" s="1899" t="str">
        <f t="shared" ref="CN170:CN183" si="434">IF(AND(C170&gt;0,AU170="")," * No olvide digitar los exámenes Procesados de Migrantes. Digite Cero si no tiene.",IF(AU170&gt;C170," * Los exámenes procesados de Migrantes no pueden ser mayor que el Total de exámenes procesados.",""))</f>
        <v/>
      </c>
      <c r="CO170" s="1899" t="str">
        <f t="shared" ref="CO170:CO183" si="435">IF(AND(D170&gt;0,AND(AP170="",AR170=""))," * No olvide digitar los exámenes Confirmados positivos por ISP de Trans (Masculino y Femenino). Digite Cero si no tiene.",IF((AP170+AR170)&gt;D170," * Los exámenes confirmados positivos por ISP de Trans (Masculino y Femenino) no pueden ser mayor que el Total de exámenes Confirmados positivos por ISP.",""))</f>
        <v/>
      </c>
      <c r="CP170" s="1899" t="str">
        <f t="shared" ref="CP170:CP183" si="436">IF(AND(D170&gt;0,AT170="")," * No olvide digitar los exámenes Confirmados positivos por ISP de Pueblos Originarios. Digite Cero si no tiene.",IF(AT170&gt;D170," * Los exámenes Confirmados positivos por ISP de Pueblos originarios no pueden ser mayor que el Total de exámenes Procesados por ISP.",""))</f>
        <v/>
      </c>
      <c r="CQ170" s="1899" t="str">
        <f t="shared" ref="CQ170:CQ183" si="437">IF(AND(D170&gt;0,AV170="")," * No olvide digitar los exámenes Confirmados positivos por ISP de Migrantes. Digite Cero si no tiene.",IF(AV170&gt;D170," * Los exámenes Confirmados positivos por ISP de Migrantes no pueden ser mayor que el Total de exámenes Procesados por ISP.",""))</f>
        <v/>
      </c>
      <c r="CR170" s="1970"/>
      <c r="CS170" s="1970"/>
      <c r="CT170" s="1903"/>
      <c r="CU170" s="1903"/>
      <c r="DF170" s="4029">
        <f t="shared" si="402"/>
        <v>0</v>
      </c>
      <c r="DG170" s="4005">
        <f t="shared" si="427"/>
        <v>0</v>
      </c>
      <c r="DH170" s="4005">
        <f t="shared" si="403"/>
        <v>0</v>
      </c>
      <c r="DI170" s="1970"/>
      <c r="DJ170" s="1970"/>
      <c r="DK170" s="1970"/>
      <c r="DL170" s="1970"/>
      <c r="DM170" s="1970"/>
      <c r="DN170" s="4005">
        <f t="shared" si="404"/>
        <v>0</v>
      </c>
      <c r="DO170" s="1971"/>
      <c r="DP170" s="4005">
        <f t="shared" si="405"/>
        <v>0</v>
      </c>
      <c r="DQ170" s="4005">
        <f t="shared" si="406"/>
        <v>0</v>
      </c>
      <c r="DR170" s="4005">
        <f t="shared" si="407"/>
        <v>0</v>
      </c>
      <c r="DS170" s="4005">
        <f t="shared" si="408"/>
        <v>0</v>
      </c>
      <c r="DT170" s="4005">
        <f t="shared" si="409"/>
        <v>0</v>
      </c>
      <c r="DU170" s="4005">
        <f t="shared" si="410"/>
        <v>0</v>
      </c>
      <c r="DV170" s="4005">
        <f t="shared" si="411"/>
        <v>0</v>
      </c>
      <c r="DW170" s="1970"/>
      <c r="DX170" s="1970"/>
      <c r="DY170" s="1903"/>
      <c r="DZ170" s="1903"/>
    </row>
    <row r="171" spans="1:130" x14ac:dyDescent="0.3">
      <c r="A171" s="6858"/>
      <c r="B171" s="4018" t="s">
        <v>1901</v>
      </c>
      <c r="C171" s="3991">
        <f t="shared" si="430"/>
        <v>0</v>
      </c>
      <c r="D171" s="3123">
        <f t="shared" si="430"/>
        <v>0</v>
      </c>
      <c r="E171" s="3992"/>
      <c r="F171" s="3993"/>
      <c r="G171" s="3992"/>
      <c r="H171" s="3993"/>
      <c r="I171" s="3992"/>
      <c r="J171" s="3993"/>
      <c r="K171" s="3992"/>
      <c r="L171" s="3993"/>
      <c r="M171" s="3992"/>
      <c r="N171" s="3993"/>
      <c r="O171" s="3996"/>
      <c r="P171" s="3995"/>
      <c r="Q171" s="3996"/>
      <c r="R171" s="3995"/>
      <c r="S171" s="3996"/>
      <c r="T171" s="3995"/>
      <c r="U171" s="3996"/>
      <c r="V171" s="3995"/>
      <c r="W171" s="3996"/>
      <c r="X171" s="3995"/>
      <c r="Y171" s="3996"/>
      <c r="Z171" s="3995"/>
      <c r="AA171" s="3996"/>
      <c r="AB171" s="3995"/>
      <c r="AC171" s="3996"/>
      <c r="AD171" s="3995"/>
      <c r="AE171" s="3996"/>
      <c r="AF171" s="3995"/>
      <c r="AG171" s="3996"/>
      <c r="AH171" s="3995"/>
      <c r="AI171" s="3992"/>
      <c r="AJ171" s="3994"/>
      <c r="AK171" s="3986"/>
      <c r="AL171" s="330"/>
      <c r="AM171" s="3996"/>
      <c r="AN171" s="4026"/>
      <c r="AO171" s="3986"/>
      <c r="AP171" s="330"/>
      <c r="AQ171" s="3987"/>
      <c r="AR171" s="4026"/>
      <c r="AS171" s="3986"/>
      <c r="AT171" s="4026"/>
      <c r="AU171" s="3987"/>
      <c r="AV171" s="4026"/>
      <c r="AW171" s="4039"/>
      <c r="AX171" s="2352"/>
      <c r="AY171" s="1898" t="str">
        <f t="shared" ref="AY171" si="438">$CA171&amp;CB171&amp;$CC171&amp;CD171&amp;CE171&amp;CF171&amp;CG171&amp;CH171&amp;CI171&amp;CJ171&amp;CK171&amp;CL171&amp;CM171&amp;CN171&amp;CO171&amp;CP171&amp;CQ171&amp;CR171&amp;CS171</f>
        <v/>
      </c>
      <c r="CA171" s="4027" t="str">
        <f t="shared" si="413"/>
        <v/>
      </c>
      <c r="CB171" s="1899" t="str">
        <f t="shared" si="429"/>
        <v/>
      </c>
      <c r="CC171" s="1899" t="str">
        <f t="shared" si="414"/>
        <v/>
      </c>
      <c r="CD171" s="1970"/>
      <c r="CE171" s="1970"/>
      <c r="CF171" s="1970"/>
      <c r="CG171" s="1970"/>
      <c r="CH171" s="1970"/>
      <c r="CI171" s="1899" t="str">
        <f t="shared" si="415"/>
        <v/>
      </c>
      <c r="CJ171" s="1971"/>
      <c r="CK171" s="1899" t="str">
        <f t="shared" si="431"/>
        <v/>
      </c>
      <c r="CL171" s="1899" t="str">
        <f t="shared" si="432"/>
        <v/>
      </c>
      <c r="CM171" s="1899" t="str">
        <f t="shared" si="433"/>
        <v/>
      </c>
      <c r="CN171" s="1899" t="str">
        <f t="shared" si="434"/>
        <v/>
      </c>
      <c r="CO171" s="1899" t="str">
        <f t="shared" si="435"/>
        <v/>
      </c>
      <c r="CP171" s="1899" t="str">
        <f t="shared" si="436"/>
        <v/>
      </c>
      <c r="CQ171" s="1899" t="str">
        <f t="shared" si="437"/>
        <v/>
      </c>
      <c r="CR171" s="1970"/>
      <c r="CS171" s="1970"/>
      <c r="CT171" s="1903"/>
      <c r="CU171" s="1903"/>
      <c r="DF171" s="4029">
        <f t="shared" si="402"/>
        <v>0</v>
      </c>
      <c r="DG171" s="4005">
        <f t="shared" si="427"/>
        <v>0</v>
      </c>
      <c r="DH171" s="4005">
        <f t="shared" si="403"/>
        <v>0</v>
      </c>
      <c r="DI171" s="1970"/>
      <c r="DJ171" s="1970"/>
      <c r="DK171" s="1970"/>
      <c r="DL171" s="1970"/>
      <c r="DM171" s="1970"/>
      <c r="DN171" s="4005">
        <f t="shared" si="404"/>
        <v>0</v>
      </c>
      <c r="DO171" s="1971"/>
      <c r="DP171" s="4005">
        <f t="shared" si="405"/>
        <v>0</v>
      </c>
      <c r="DQ171" s="4005">
        <f t="shared" si="406"/>
        <v>0</v>
      </c>
      <c r="DR171" s="4005">
        <f t="shared" si="407"/>
        <v>0</v>
      </c>
      <c r="DS171" s="4005">
        <f t="shared" si="408"/>
        <v>0</v>
      </c>
      <c r="DT171" s="4005">
        <f t="shared" si="409"/>
        <v>0</v>
      </c>
      <c r="DU171" s="4005">
        <f t="shared" si="410"/>
        <v>0</v>
      </c>
      <c r="DV171" s="4005">
        <f t="shared" si="411"/>
        <v>0</v>
      </c>
      <c r="DW171" s="1970"/>
      <c r="DX171" s="1970"/>
      <c r="DY171" s="1903"/>
      <c r="DZ171" s="1903"/>
    </row>
    <row r="172" spans="1:130" x14ac:dyDescent="0.3">
      <c r="A172" s="6044"/>
      <c r="B172" s="417" t="s">
        <v>1902</v>
      </c>
      <c r="C172" s="638">
        <f t="shared" si="430"/>
        <v>0</v>
      </c>
      <c r="D172" s="3121">
        <f t="shared" si="430"/>
        <v>0</v>
      </c>
      <c r="E172" s="1905"/>
      <c r="F172" s="1909"/>
      <c r="G172" s="1905"/>
      <c r="H172" s="1909"/>
      <c r="I172" s="1905"/>
      <c r="J172" s="1909"/>
      <c r="K172" s="1905"/>
      <c r="L172" s="1909"/>
      <c r="M172" s="1905"/>
      <c r="N172" s="1909"/>
      <c r="O172" s="876"/>
      <c r="P172" s="1907"/>
      <c r="Q172" s="876"/>
      <c r="R172" s="1907"/>
      <c r="S172" s="876"/>
      <c r="T172" s="1907"/>
      <c r="U172" s="876"/>
      <c r="V172" s="1907"/>
      <c r="W172" s="876"/>
      <c r="X172" s="1907"/>
      <c r="Y172" s="876"/>
      <c r="Z172" s="1907"/>
      <c r="AA172" s="876"/>
      <c r="AB172" s="1907"/>
      <c r="AC172" s="876"/>
      <c r="AD172" s="1907"/>
      <c r="AE172" s="876"/>
      <c r="AF172" s="1907"/>
      <c r="AG172" s="876"/>
      <c r="AH172" s="1907"/>
      <c r="AI172" s="1905"/>
      <c r="AJ172" s="1910"/>
      <c r="AK172" s="1913"/>
      <c r="AL172" s="877"/>
      <c r="AM172" s="876"/>
      <c r="AN172" s="1912"/>
      <c r="AO172" s="1913"/>
      <c r="AP172" s="877"/>
      <c r="AQ172" s="1911"/>
      <c r="AR172" s="1912"/>
      <c r="AS172" s="1913"/>
      <c r="AT172" s="1912"/>
      <c r="AU172" s="1911"/>
      <c r="AV172" s="1912"/>
      <c r="AW172" s="4040"/>
      <c r="AX172" s="1943"/>
      <c r="AY172" s="1898" t="str">
        <f>$CA172&amp;CB172&amp;$CC172&amp;CD172&amp;CE172&amp;CF172&amp;CG172&amp;CH172&amp;CI172&amp;CJ172&amp;CK172&amp;CL172&amp;CM172&amp;CN172&amp;CO172&amp;CP172&amp;CQ172&amp;CR172&amp;CS172</f>
        <v/>
      </c>
      <c r="CA172" s="4027" t="str">
        <f t="shared" si="413"/>
        <v/>
      </c>
      <c r="CB172" s="1899" t="str">
        <f t="shared" si="429"/>
        <v/>
      </c>
      <c r="CC172" s="1899" t="str">
        <f t="shared" si="414"/>
        <v/>
      </c>
      <c r="CD172" s="1970"/>
      <c r="CE172" s="1970"/>
      <c r="CF172" s="1970"/>
      <c r="CG172" s="1970"/>
      <c r="CH172" s="1970"/>
      <c r="CI172" s="1899" t="str">
        <f t="shared" si="415"/>
        <v/>
      </c>
      <c r="CJ172" s="1971"/>
      <c r="CK172" s="1899" t="str">
        <f t="shared" si="431"/>
        <v/>
      </c>
      <c r="CL172" s="1899" t="str">
        <f t="shared" si="432"/>
        <v/>
      </c>
      <c r="CM172" s="1899" t="str">
        <f t="shared" si="433"/>
        <v/>
      </c>
      <c r="CN172" s="1899" t="str">
        <f t="shared" si="434"/>
        <v/>
      </c>
      <c r="CO172" s="1899" t="str">
        <f t="shared" si="435"/>
        <v/>
      </c>
      <c r="CP172" s="1899" t="str">
        <f t="shared" si="436"/>
        <v/>
      </c>
      <c r="CQ172" s="1899" t="str">
        <f t="shared" si="437"/>
        <v/>
      </c>
      <c r="CR172" s="1970"/>
      <c r="CS172" s="1970"/>
      <c r="CT172" s="1903"/>
      <c r="CU172" s="1903"/>
      <c r="DF172" s="4029">
        <f t="shared" si="402"/>
        <v>0</v>
      </c>
      <c r="DG172" s="4005">
        <f t="shared" si="427"/>
        <v>0</v>
      </c>
      <c r="DH172" s="4005">
        <f t="shared" si="403"/>
        <v>0</v>
      </c>
      <c r="DI172" s="1970"/>
      <c r="DJ172" s="1970"/>
      <c r="DK172" s="1970"/>
      <c r="DL172" s="1970"/>
      <c r="DM172" s="1970"/>
      <c r="DN172" s="4005">
        <f t="shared" si="404"/>
        <v>0</v>
      </c>
      <c r="DO172" s="1971"/>
      <c r="DP172" s="4005">
        <f t="shared" si="405"/>
        <v>0</v>
      </c>
      <c r="DQ172" s="4005">
        <f t="shared" si="406"/>
        <v>0</v>
      </c>
      <c r="DR172" s="4005">
        <f t="shared" si="407"/>
        <v>0</v>
      </c>
      <c r="DS172" s="4005">
        <f t="shared" si="408"/>
        <v>0</v>
      </c>
      <c r="DT172" s="4005">
        <f t="shared" si="409"/>
        <v>0</v>
      </c>
      <c r="DU172" s="4005">
        <f t="shared" si="410"/>
        <v>0</v>
      </c>
      <c r="DV172" s="4005">
        <f t="shared" si="411"/>
        <v>0</v>
      </c>
      <c r="DW172" s="1970"/>
      <c r="DX172" s="1970"/>
      <c r="DY172" s="1903"/>
      <c r="DZ172" s="1903"/>
    </row>
    <row r="173" spans="1:130" x14ac:dyDescent="0.3">
      <c r="A173" s="6879" t="s">
        <v>1881</v>
      </c>
      <c r="B173" s="6880"/>
      <c r="C173" s="303">
        <f t="shared" ref="C173:D175" si="439">+E173+G173+I173+K173+M173+O173+Q173+S173+U173+W173+Y173+AA173+AC173+AE173+AG173+AI173</f>
        <v>0</v>
      </c>
      <c r="D173" s="3123">
        <f t="shared" si="439"/>
        <v>0</v>
      </c>
      <c r="E173" s="327"/>
      <c r="F173" s="1039"/>
      <c r="G173" s="327"/>
      <c r="H173" s="1039"/>
      <c r="I173" s="327"/>
      <c r="J173" s="1039"/>
      <c r="K173" s="327"/>
      <c r="L173" s="1039"/>
      <c r="M173" s="20"/>
      <c r="N173" s="232"/>
      <c r="O173" s="20"/>
      <c r="P173" s="232"/>
      <c r="Q173" s="20"/>
      <c r="R173" s="232"/>
      <c r="S173" s="20"/>
      <c r="T173" s="232"/>
      <c r="U173" s="20"/>
      <c r="V173" s="232"/>
      <c r="W173" s="20"/>
      <c r="X173" s="232"/>
      <c r="Y173" s="20"/>
      <c r="Z173" s="232"/>
      <c r="AA173" s="20"/>
      <c r="AB173" s="232"/>
      <c r="AC173" s="20"/>
      <c r="AD173" s="2431"/>
      <c r="AE173" s="20"/>
      <c r="AF173" s="2431"/>
      <c r="AG173" s="4010"/>
      <c r="AH173" s="4012"/>
      <c r="AI173" s="20"/>
      <c r="AJ173" s="232"/>
      <c r="AK173" s="337"/>
      <c r="AL173" s="142"/>
      <c r="AM173" s="327"/>
      <c r="AN173" s="1918"/>
      <c r="AO173" s="337"/>
      <c r="AP173" s="142"/>
      <c r="AQ173" s="44"/>
      <c r="AR173" s="1918"/>
      <c r="AS173" s="337"/>
      <c r="AT173" s="1918"/>
      <c r="AU173" s="337"/>
      <c r="AV173" s="142"/>
      <c r="AW173" s="337"/>
      <c r="AX173" s="142"/>
      <c r="AY173" s="1898" t="str">
        <f t="shared" si="428"/>
        <v/>
      </c>
      <c r="CA173" s="4027" t="str">
        <f t="shared" si="413"/>
        <v/>
      </c>
      <c r="CB173" s="1899" t="str">
        <f t="shared" si="429"/>
        <v/>
      </c>
      <c r="CC173" s="1899" t="str">
        <f t="shared" si="414"/>
        <v/>
      </c>
      <c r="CD173" s="1970"/>
      <c r="CE173" s="1970"/>
      <c r="CF173" s="1970"/>
      <c r="CG173" s="1970"/>
      <c r="CH173" s="1970"/>
      <c r="CI173" s="1899" t="str">
        <f t="shared" si="415"/>
        <v/>
      </c>
      <c r="CJ173" s="1971"/>
      <c r="CK173" s="1899" t="str">
        <f t="shared" si="431"/>
        <v/>
      </c>
      <c r="CL173" s="1899" t="str">
        <f t="shared" si="432"/>
        <v/>
      </c>
      <c r="CM173" s="1899" t="str">
        <f t="shared" si="433"/>
        <v/>
      </c>
      <c r="CN173" s="1899" t="str">
        <f t="shared" si="434"/>
        <v/>
      </c>
      <c r="CO173" s="1899" t="str">
        <f t="shared" si="435"/>
        <v/>
      </c>
      <c r="CP173" s="1899" t="str">
        <f t="shared" si="436"/>
        <v/>
      </c>
      <c r="CQ173" s="1899" t="str">
        <f t="shared" si="437"/>
        <v/>
      </c>
      <c r="CR173" s="1970"/>
      <c r="CS173" s="1970"/>
      <c r="CT173" s="3024" t="str">
        <f t="shared" ref="CT173:CT183" si="440">IF(AND((M173+O173)&gt;0,AW173=""),"*No olvide digitar los Exámenes Procesados de 14-18 años. Digite cero si no tiene.",IF(AW173&gt;(M173+O173),"* El Total de Procesados de 14-18 años NO DEBE ser mayor al Total de Procesados registrados en los grupos de edad 10 a 14 + 15 a 19 años. ",""))</f>
        <v/>
      </c>
      <c r="CU173" s="3024" t="str">
        <f>IF(AND((N173+P173)&gt;0,AX173=""),"*No olvide digitar los Exámenes Confirmados Positivos por ISP de 14-18 años. Digite cero si no tiene.",IF(AX173&gt;(N173+P173),"* El Total de Confirmados de 14-18 años NO DEBE ser mayor al Total de Confirmados Positivos por ISP registrados en los grupos de edad 10 a 14 + 15 a 19 años. ",""))</f>
        <v/>
      </c>
      <c r="DF173" s="4029">
        <f t="shared" si="402"/>
        <v>0</v>
      </c>
      <c r="DG173" s="4005">
        <f t="shared" si="427"/>
        <v>0</v>
      </c>
      <c r="DH173" s="4005">
        <f t="shared" si="403"/>
        <v>0</v>
      </c>
      <c r="DI173" s="1970"/>
      <c r="DJ173" s="1970"/>
      <c r="DK173" s="1970"/>
      <c r="DL173" s="1970"/>
      <c r="DM173" s="1970"/>
      <c r="DN173" s="4005">
        <f t="shared" si="404"/>
        <v>0</v>
      </c>
      <c r="DO173" s="1971"/>
      <c r="DP173" s="4005">
        <f t="shared" si="405"/>
        <v>0</v>
      </c>
      <c r="DQ173" s="4005">
        <f t="shared" si="406"/>
        <v>0</v>
      </c>
      <c r="DR173" s="4005">
        <f t="shared" si="407"/>
        <v>0</v>
      </c>
      <c r="DS173" s="4005">
        <f t="shared" si="408"/>
        <v>0</v>
      </c>
      <c r="DT173" s="4005">
        <f t="shared" si="409"/>
        <v>0</v>
      </c>
      <c r="DU173" s="4005">
        <f t="shared" si="410"/>
        <v>0</v>
      </c>
      <c r="DV173" s="4005">
        <f t="shared" si="411"/>
        <v>0</v>
      </c>
      <c r="DW173" s="1970"/>
      <c r="DX173" s="1970"/>
      <c r="DY173" s="3026">
        <f t="shared" ref="DY173:DY183" si="441">IF(AND((M173+O173)&gt;0,AW173=""),1,IF(AW173&gt;(M173+O173),1,0))</f>
        <v>0</v>
      </c>
      <c r="DZ173" s="3026">
        <f t="shared" ref="DZ173:DZ183" si="442">IF(AND((N173+P173)&gt;0,AX173=""),1,IF(AX173&gt;(N173+P173),1,0))</f>
        <v>0</v>
      </c>
    </row>
    <row r="174" spans="1:130" x14ac:dyDescent="0.3">
      <c r="A174" s="6875" t="s">
        <v>1917</v>
      </c>
      <c r="B174" s="6876"/>
      <c r="C174" s="3991">
        <f t="shared" si="439"/>
        <v>0</v>
      </c>
      <c r="D174" s="4030">
        <f t="shared" si="439"/>
        <v>0</v>
      </c>
      <c r="E174" s="3996"/>
      <c r="F174" s="3995"/>
      <c r="G174" s="3996"/>
      <c r="H174" s="3995"/>
      <c r="I174" s="3996"/>
      <c r="J174" s="3995"/>
      <c r="K174" s="3996"/>
      <c r="L174" s="3995"/>
      <c r="M174" s="3996"/>
      <c r="N174" s="3995"/>
      <c r="O174" s="212"/>
      <c r="P174" s="1018"/>
      <c r="Q174" s="212"/>
      <c r="R174" s="1018"/>
      <c r="S174" s="212"/>
      <c r="T174" s="1018"/>
      <c r="U174" s="212"/>
      <c r="V174" s="1018"/>
      <c r="W174" s="212"/>
      <c r="X174" s="1018"/>
      <c r="Y174" s="212"/>
      <c r="Z174" s="1018"/>
      <c r="AA174" s="212"/>
      <c r="AB174" s="1018"/>
      <c r="AC174" s="212"/>
      <c r="AD174" s="1163"/>
      <c r="AE174" s="212"/>
      <c r="AF174" s="1163"/>
      <c r="AG174" s="212"/>
      <c r="AH174" s="1161"/>
      <c r="AI174" s="212"/>
      <c r="AJ174" s="1018"/>
      <c r="AK174" s="1017"/>
      <c r="AL174" s="34"/>
      <c r="AM174" s="212"/>
      <c r="AN174" s="3526"/>
      <c r="AO174" s="1017"/>
      <c r="AP174" s="34"/>
      <c r="AQ174" s="1162"/>
      <c r="AR174" s="3526"/>
      <c r="AS174" s="1017"/>
      <c r="AT174" s="3526"/>
      <c r="AU174" s="1017"/>
      <c r="AV174" s="34"/>
      <c r="AW174" s="1017"/>
      <c r="AX174" s="34"/>
      <c r="AY174" s="1898" t="str">
        <f t="shared" si="428"/>
        <v/>
      </c>
      <c r="CA174" s="4027" t="str">
        <f t="shared" si="413"/>
        <v/>
      </c>
      <c r="CB174" s="1899" t="str">
        <f t="shared" si="429"/>
        <v/>
      </c>
      <c r="CC174" s="1899" t="str">
        <f t="shared" si="414"/>
        <v/>
      </c>
      <c r="CD174" s="1970"/>
      <c r="CE174" s="1970"/>
      <c r="CF174" s="1970"/>
      <c r="CG174" s="1970"/>
      <c r="CH174" s="1970"/>
      <c r="CI174" s="1899" t="str">
        <f t="shared" si="415"/>
        <v/>
      </c>
      <c r="CJ174" s="1971"/>
      <c r="CK174" s="1899" t="str">
        <f t="shared" si="431"/>
        <v/>
      </c>
      <c r="CL174" s="1899" t="str">
        <f t="shared" si="432"/>
        <v/>
      </c>
      <c r="CM174" s="1899" t="str">
        <f t="shared" si="433"/>
        <v/>
      </c>
      <c r="CN174" s="1899" t="str">
        <f t="shared" si="434"/>
        <v/>
      </c>
      <c r="CO174" s="1899" t="str">
        <f t="shared" si="435"/>
        <v/>
      </c>
      <c r="CP174" s="1899" t="str">
        <f t="shared" si="436"/>
        <v/>
      </c>
      <c r="CQ174" s="1899" t="str">
        <f t="shared" si="437"/>
        <v/>
      </c>
      <c r="CR174" s="1970"/>
      <c r="CS174" s="1970"/>
      <c r="CT174" s="3024" t="str">
        <f t="shared" si="440"/>
        <v/>
      </c>
      <c r="CU174" s="3024" t="str">
        <f t="shared" ref="CU174:CU183" si="443">IF(AND((N174+P174)&gt;0,AX174=""),"*No olvide digitar los Exámenes Confirmados Positivos por ISP de 14-18 años. Digite cero si no tiene.",IF(AX174&gt;(N174+P174),"* El Total de Confirmados de 14-18 años NO DEBE ser mayor al Total de Confirmados Positivos por ISP registrados en los grupos de edad 10 a 14 + 15 a 19 años. ",""))</f>
        <v/>
      </c>
      <c r="DF174" s="4029">
        <f t="shared" si="402"/>
        <v>0</v>
      </c>
      <c r="DG174" s="4005">
        <f t="shared" si="427"/>
        <v>0</v>
      </c>
      <c r="DH174" s="4005">
        <f t="shared" si="403"/>
        <v>0</v>
      </c>
      <c r="DI174" s="1970"/>
      <c r="DJ174" s="1970"/>
      <c r="DK174" s="1970"/>
      <c r="DL174" s="1970"/>
      <c r="DM174" s="1970"/>
      <c r="DN174" s="4005">
        <f t="shared" si="404"/>
        <v>0</v>
      </c>
      <c r="DO174" s="1971"/>
      <c r="DP174" s="4005">
        <f t="shared" si="405"/>
        <v>0</v>
      </c>
      <c r="DQ174" s="4005">
        <f t="shared" si="406"/>
        <v>0</v>
      </c>
      <c r="DR174" s="4005">
        <f t="shared" si="407"/>
        <v>0</v>
      </c>
      <c r="DS174" s="4005">
        <f t="shared" si="408"/>
        <v>0</v>
      </c>
      <c r="DT174" s="4005">
        <f t="shared" si="409"/>
        <v>0</v>
      </c>
      <c r="DU174" s="4005">
        <f t="shared" si="410"/>
        <v>0</v>
      </c>
      <c r="DV174" s="4005">
        <f t="shared" si="411"/>
        <v>0</v>
      </c>
      <c r="DW174" s="1970"/>
      <c r="DX174" s="1970"/>
      <c r="DY174" s="3026">
        <f>IF(AND((M174+O174)&gt;0,AW174=""),1,IF(AW174&gt;(M174+O174),1,0))</f>
        <v>0</v>
      </c>
      <c r="DZ174" s="3026">
        <f t="shared" si="442"/>
        <v>0</v>
      </c>
    </row>
    <row r="175" spans="1:130" x14ac:dyDescent="0.3">
      <c r="A175" s="6875" t="s">
        <v>1883</v>
      </c>
      <c r="B175" s="6876"/>
      <c r="C175" s="3991">
        <f t="shared" si="439"/>
        <v>0</v>
      </c>
      <c r="D175" s="4030">
        <f>+F175+H175+J175+L175+N175+P175+R175+T175+V175+X175+Z175+AB175+AD175+AF175+AH175+AJ175</f>
        <v>0</v>
      </c>
      <c r="E175" s="3996"/>
      <c r="F175" s="3995"/>
      <c r="G175" s="3996"/>
      <c r="H175" s="3995"/>
      <c r="I175" s="3996"/>
      <c r="J175" s="3995"/>
      <c r="K175" s="3996"/>
      <c r="L175" s="3995"/>
      <c r="M175" s="3996"/>
      <c r="N175" s="3995"/>
      <c r="O175" s="212"/>
      <c r="P175" s="1018"/>
      <c r="Q175" s="212"/>
      <c r="R175" s="1018"/>
      <c r="S175" s="212"/>
      <c r="T175" s="1018"/>
      <c r="U175" s="212"/>
      <c r="V175" s="1018"/>
      <c r="W175" s="212"/>
      <c r="X175" s="1018"/>
      <c r="Y175" s="212"/>
      <c r="Z175" s="1018"/>
      <c r="AA175" s="212"/>
      <c r="AB175" s="1018"/>
      <c r="AC175" s="212"/>
      <c r="AD175" s="1163"/>
      <c r="AE175" s="212"/>
      <c r="AF175" s="1163"/>
      <c r="AG175" s="212"/>
      <c r="AH175" s="1161"/>
      <c r="AI175" s="212"/>
      <c r="AJ175" s="1018"/>
      <c r="AK175" s="1017"/>
      <c r="AL175" s="34"/>
      <c r="AM175" s="212"/>
      <c r="AN175" s="3526"/>
      <c r="AO175" s="1017"/>
      <c r="AP175" s="34"/>
      <c r="AQ175" s="1162"/>
      <c r="AR175" s="3526"/>
      <c r="AS175" s="1017"/>
      <c r="AT175" s="3526"/>
      <c r="AU175" s="1017"/>
      <c r="AV175" s="34"/>
      <c r="AW175" s="1017"/>
      <c r="AX175" s="34"/>
      <c r="AY175" s="1898" t="str">
        <f t="shared" si="428"/>
        <v/>
      </c>
      <c r="CA175" s="4027" t="str">
        <f t="shared" si="413"/>
        <v/>
      </c>
      <c r="CB175" s="1899" t="str">
        <f t="shared" si="429"/>
        <v/>
      </c>
      <c r="CC175" s="1899" t="str">
        <f t="shared" si="414"/>
        <v/>
      </c>
      <c r="CD175" s="1970"/>
      <c r="CE175" s="1970"/>
      <c r="CF175" s="1970"/>
      <c r="CG175" s="1970"/>
      <c r="CH175" s="1970"/>
      <c r="CI175" s="1899" t="str">
        <f t="shared" si="415"/>
        <v/>
      </c>
      <c r="CJ175" s="1971"/>
      <c r="CK175" s="1899" t="str">
        <f t="shared" si="431"/>
        <v/>
      </c>
      <c r="CL175" s="1899" t="str">
        <f t="shared" si="432"/>
        <v/>
      </c>
      <c r="CM175" s="1899" t="str">
        <f t="shared" si="433"/>
        <v/>
      </c>
      <c r="CN175" s="1899" t="str">
        <f t="shared" si="434"/>
        <v/>
      </c>
      <c r="CO175" s="1899" t="str">
        <f t="shared" si="435"/>
        <v/>
      </c>
      <c r="CP175" s="1899" t="str">
        <f t="shared" si="436"/>
        <v/>
      </c>
      <c r="CQ175" s="1899" t="str">
        <f t="shared" si="437"/>
        <v/>
      </c>
      <c r="CR175" s="1970"/>
      <c r="CS175" s="1970"/>
      <c r="CT175" s="3024" t="str">
        <f t="shared" si="440"/>
        <v/>
      </c>
      <c r="CU175" s="3024" t="str">
        <f t="shared" si="443"/>
        <v/>
      </c>
      <c r="DF175" s="4029">
        <f t="shared" si="402"/>
        <v>0</v>
      </c>
      <c r="DG175" s="4005">
        <f t="shared" si="427"/>
        <v>0</v>
      </c>
      <c r="DH175" s="4005">
        <f t="shared" si="403"/>
        <v>0</v>
      </c>
      <c r="DI175" s="1970"/>
      <c r="DJ175" s="1970"/>
      <c r="DK175" s="1970"/>
      <c r="DL175" s="1970"/>
      <c r="DM175" s="1970"/>
      <c r="DN175" s="4005">
        <f t="shared" si="404"/>
        <v>0</v>
      </c>
      <c r="DO175" s="1971"/>
      <c r="DP175" s="4005">
        <f t="shared" si="405"/>
        <v>0</v>
      </c>
      <c r="DQ175" s="4005">
        <f t="shared" si="406"/>
        <v>0</v>
      </c>
      <c r="DR175" s="4005">
        <f t="shared" si="407"/>
        <v>0</v>
      </c>
      <c r="DS175" s="4005">
        <f t="shared" si="408"/>
        <v>0</v>
      </c>
      <c r="DT175" s="4005">
        <f t="shared" si="409"/>
        <v>0</v>
      </c>
      <c r="DU175" s="4005">
        <f t="shared" si="410"/>
        <v>0</v>
      </c>
      <c r="DV175" s="4005">
        <f t="shared" si="411"/>
        <v>0</v>
      </c>
      <c r="DW175" s="1970"/>
      <c r="DX175" s="1970"/>
      <c r="DY175" s="3026">
        <f t="shared" si="441"/>
        <v>0</v>
      </c>
      <c r="DZ175" s="3026">
        <f t="shared" si="442"/>
        <v>0</v>
      </c>
    </row>
    <row r="176" spans="1:130" x14ac:dyDescent="0.3">
      <c r="A176" s="6875" t="s">
        <v>1918</v>
      </c>
      <c r="B176" s="6876"/>
      <c r="C176" s="3991">
        <f t="shared" ref="C176:D178" si="444">+O176+Q176+S176+U176+W176+Y176+AA176+AC176+AE176+AG176+AI176</f>
        <v>0</v>
      </c>
      <c r="D176" s="4041">
        <f t="shared" si="444"/>
        <v>0</v>
      </c>
      <c r="E176" s="3992"/>
      <c r="F176" s="3993"/>
      <c r="G176" s="3992"/>
      <c r="H176" s="3993"/>
      <c r="I176" s="3992"/>
      <c r="J176" s="3993"/>
      <c r="K176" s="3992"/>
      <c r="L176" s="3993"/>
      <c r="M176" s="3992"/>
      <c r="N176" s="3993"/>
      <c r="O176" s="212"/>
      <c r="P176" s="1018"/>
      <c r="Q176" s="212"/>
      <c r="R176" s="1018"/>
      <c r="S176" s="212"/>
      <c r="T176" s="1018"/>
      <c r="U176" s="212"/>
      <c r="V176" s="1018"/>
      <c r="W176" s="212"/>
      <c r="X176" s="1018"/>
      <c r="Y176" s="212"/>
      <c r="Z176" s="1018"/>
      <c r="AA176" s="212"/>
      <c r="AB176" s="1018"/>
      <c r="AC176" s="212"/>
      <c r="AD176" s="1163"/>
      <c r="AE176" s="212"/>
      <c r="AF176" s="1163"/>
      <c r="AG176" s="212"/>
      <c r="AH176" s="1161"/>
      <c r="AI176" s="212"/>
      <c r="AJ176" s="1018"/>
      <c r="AK176" s="1017"/>
      <c r="AL176" s="34"/>
      <c r="AM176" s="212"/>
      <c r="AN176" s="3526"/>
      <c r="AO176" s="1017"/>
      <c r="AP176" s="34"/>
      <c r="AQ176" s="1162"/>
      <c r="AR176" s="3526"/>
      <c r="AS176" s="1017"/>
      <c r="AT176" s="3526"/>
      <c r="AU176" s="1017"/>
      <c r="AV176" s="34"/>
      <c r="AW176" s="1017"/>
      <c r="AX176" s="34"/>
      <c r="AY176" s="1898" t="str">
        <f t="shared" si="428"/>
        <v/>
      </c>
      <c r="CA176" s="4027" t="str">
        <f t="shared" si="413"/>
        <v/>
      </c>
      <c r="CB176" s="1899" t="str">
        <f t="shared" si="429"/>
        <v/>
      </c>
      <c r="CC176" s="1899" t="str">
        <f t="shared" si="414"/>
        <v/>
      </c>
      <c r="CD176" s="1970"/>
      <c r="CE176" s="1970"/>
      <c r="CF176" s="1970"/>
      <c r="CG176" s="1970"/>
      <c r="CH176" s="1970"/>
      <c r="CI176" s="1899" t="str">
        <f t="shared" si="415"/>
        <v/>
      </c>
      <c r="CJ176" s="1971"/>
      <c r="CK176" s="1899" t="str">
        <f t="shared" si="431"/>
        <v/>
      </c>
      <c r="CL176" s="1899" t="str">
        <f t="shared" si="432"/>
        <v/>
      </c>
      <c r="CM176" s="1899" t="str">
        <f t="shared" si="433"/>
        <v/>
      </c>
      <c r="CN176" s="1899" t="str">
        <f t="shared" si="434"/>
        <v/>
      </c>
      <c r="CO176" s="1899" t="str">
        <f t="shared" si="435"/>
        <v/>
      </c>
      <c r="CP176" s="1899" t="str">
        <f t="shared" si="436"/>
        <v/>
      </c>
      <c r="CQ176" s="1899" t="str">
        <f t="shared" si="437"/>
        <v/>
      </c>
      <c r="CR176" s="1970"/>
      <c r="CS176" s="1970"/>
      <c r="CT176" s="3024" t="str">
        <f t="shared" si="440"/>
        <v/>
      </c>
      <c r="CU176" s="3024" t="str">
        <f t="shared" si="443"/>
        <v/>
      </c>
      <c r="DF176" s="4029">
        <f t="shared" si="402"/>
        <v>0</v>
      </c>
      <c r="DG176" s="4005">
        <f t="shared" si="427"/>
        <v>0</v>
      </c>
      <c r="DH176" s="4005">
        <f t="shared" si="403"/>
        <v>0</v>
      </c>
      <c r="DI176" s="1970"/>
      <c r="DJ176" s="1970"/>
      <c r="DK176" s="1970"/>
      <c r="DL176" s="1970"/>
      <c r="DM176" s="1970"/>
      <c r="DN176" s="4005">
        <f t="shared" si="404"/>
        <v>0</v>
      </c>
      <c r="DO176" s="1971"/>
      <c r="DP176" s="4005">
        <f t="shared" si="405"/>
        <v>0</v>
      </c>
      <c r="DQ176" s="4005">
        <f t="shared" si="406"/>
        <v>0</v>
      </c>
      <c r="DR176" s="4005">
        <f t="shared" si="407"/>
        <v>0</v>
      </c>
      <c r="DS176" s="4005">
        <f t="shared" si="408"/>
        <v>0</v>
      </c>
      <c r="DT176" s="4005">
        <f t="shared" si="409"/>
        <v>0</v>
      </c>
      <c r="DU176" s="4005">
        <f t="shared" si="410"/>
        <v>0</v>
      </c>
      <c r="DV176" s="4005">
        <f t="shared" si="411"/>
        <v>0</v>
      </c>
      <c r="DW176" s="1970"/>
      <c r="DX176" s="1970"/>
      <c r="DY176" s="3026">
        <f t="shared" si="441"/>
        <v>0</v>
      </c>
      <c r="DZ176" s="3026">
        <f t="shared" si="442"/>
        <v>0</v>
      </c>
    </row>
    <row r="177" spans="1:130" x14ac:dyDescent="0.3">
      <c r="A177" s="6875" t="s">
        <v>1919</v>
      </c>
      <c r="B177" s="6876"/>
      <c r="C177" s="3991">
        <f t="shared" si="444"/>
        <v>0</v>
      </c>
      <c r="D177" s="4041">
        <f t="shared" si="444"/>
        <v>0</v>
      </c>
      <c r="E177" s="3992"/>
      <c r="F177" s="3993"/>
      <c r="G177" s="3992"/>
      <c r="H177" s="3993"/>
      <c r="I177" s="3992"/>
      <c r="J177" s="3993"/>
      <c r="K177" s="3992"/>
      <c r="L177" s="3993"/>
      <c r="M177" s="3992"/>
      <c r="N177" s="3993"/>
      <c r="O177" s="212"/>
      <c r="P177" s="1018"/>
      <c r="Q177" s="212"/>
      <c r="R177" s="1018"/>
      <c r="S177" s="212"/>
      <c r="T177" s="1018"/>
      <c r="U177" s="212"/>
      <c r="V177" s="1018"/>
      <c r="W177" s="212"/>
      <c r="X177" s="1018"/>
      <c r="Y177" s="212"/>
      <c r="Z177" s="1018"/>
      <c r="AA177" s="212"/>
      <c r="AB177" s="1018"/>
      <c r="AC177" s="212"/>
      <c r="AD177" s="1163"/>
      <c r="AE177" s="212"/>
      <c r="AF177" s="1163"/>
      <c r="AG177" s="3996"/>
      <c r="AH177" s="34"/>
      <c r="AI177" s="3996"/>
      <c r="AJ177" s="1162"/>
      <c r="AK177" s="1017"/>
      <c r="AL177" s="34"/>
      <c r="AM177" s="212"/>
      <c r="AN177" s="3526"/>
      <c r="AO177" s="1017"/>
      <c r="AP177" s="34"/>
      <c r="AQ177" s="1162"/>
      <c r="AR177" s="3526"/>
      <c r="AS177" s="1017"/>
      <c r="AT177" s="3526"/>
      <c r="AU177" s="1017"/>
      <c r="AV177" s="34"/>
      <c r="AW177" s="1017"/>
      <c r="AX177" s="34"/>
      <c r="AY177" s="1898" t="str">
        <f t="shared" si="428"/>
        <v/>
      </c>
      <c r="CA177" s="4027" t="str">
        <f t="shared" si="413"/>
        <v/>
      </c>
      <c r="CB177" s="1899" t="str">
        <f t="shared" si="429"/>
        <v/>
      </c>
      <c r="CC177" s="1899" t="str">
        <f t="shared" si="414"/>
        <v/>
      </c>
      <c r="CD177" s="1970"/>
      <c r="CE177" s="1970"/>
      <c r="CF177" s="1970"/>
      <c r="CG177" s="1970"/>
      <c r="CH177" s="1970"/>
      <c r="CI177" s="1899" t="str">
        <f t="shared" si="415"/>
        <v/>
      </c>
      <c r="CJ177" s="1971"/>
      <c r="CK177" s="1899" t="str">
        <f t="shared" si="431"/>
        <v/>
      </c>
      <c r="CL177" s="1899" t="str">
        <f t="shared" si="432"/>
        <v/>
      </c>
      <c r="CM177" s="1899" t="str">
        <f t="shared" si="433"/>
        <v/>
      </c>
      <c r="CN177" s="1899" t="str">
        <f t="shared" si="434"/>
        <v/>
      </c>
      <c r="CO177" s="1899" t="str">
        <f t="shared" si="435"/>
        <v/>
      </c>
      <c r="CP177" s="1899" t="str">
        <f t="shared" si="436"/>
        <v/>
      </c>
      <c r="CQ177" s="1899" t="str">
        <f t="shared" si="437"/>
        <v/>
      </c>
      <c r="CR177" s="1970"/>
      <c r="CS177" s="1970"/>
      <c r="CT177" s="3024" t="str">
        <f t="shared" si="440"/>
        <v/>
      </c>
      <c r="CU177" s="3024" t="str">
        <f t="shared" si="443"/>
        <v/>
      </c>
      <c r="DF177" s="4029">
        <f t="shared" si="402"/>
        <v>0</v>
      </c>
      <c r="DG177" s="4005">
        <f t="shared" si="427"/>
        <v>0</v>
      </c>
      <c r="DH177" s="4005">
        <f t="shared" si="403"/>
        <v>0</v>
      </c>
      <c r="DI177" s="1970"/>
      <c r="DJ177" s="1970"/>
      <c r="DK177" s="1970"/>
      <c r="DL177" s="1970"/>
      <c r="DM177" s="1970"/>
      <c r="DN177" s="4005">
        <f t="shared" si="404"/>
        <v>0</v>
      </c>
      <c r="DO177" s="1971"/>
      <c r="DP177" s="4005">
        <f t="shared" si="405"/>
        <v>0</v>
      </c>
      <c r="DQ177" s="4005">
        <f t="shared" si="406"/>
        <v>0</v>
      </c>
      <c r="DR177" s="4005">
        <f t="shared" si="407"/>
        <v>0</v>
      </c>
      <c r="DS177" s="4005">
        <f t="shared" si="408"/>
        <v>0</v>
      </c>
      <c r="DT177" s="4005">
        <f t="shared" si="409"/>
        <v>0</v>
      </c>
      <c r="DU177" s="4005">
        <f t="shared" si="410"/>
        <v>0</v>
      </c>
      <c r="DV177" s="4005">
        <f t="shared" si="411"/>
        <v>0</v>
      </c>
      <c r="DW177" s="1970"/>
      <c r="DX177" s="1970"/>
      <c r="DY177" s="3026">
        <f t="shared" si="441"/>
        <v>0</v>
      </c>
      <c r="DZ177" s="3026">
        <f t="shared" si="442"/>
        <v>0</v>
      </c>
    </row>
    <row r="178" spans="1:130" x14ac:dyDescent="0.3">
      <c r="A178" s="6875" t="s">
        <v>1920</v>
      </c>
      <c r="B178" s="6876"/>
      <c r="C178" s="3991">
        <f t="shared" si="444"/>
        <v>0</v>
      </c>
      <c r="D178" s="4041">
        <f t="shared" si="444"/>
        <v>0</v>
      </c>
      <c r="E178" s="3992"/>
      <c r="F178" s="3993"/>
      <c r="G178" s="3992"/>
      <c r="H178" s="3993"/>
      <c r="I178" s="3992"/>
      <c r="J178" s="3993"/>
      <c r="K178" s="3992"/>
      <c r="L178" s="3993"/>
      <c r="M178" s="3992"/>
      <c r="N178" s="3993"/>
      <c r="O178" s="212"/>
      <c r="P178" s="1018"/>
      <c r="Q178" s="212"/>
      <c r="R178" s="1018"/>
      <c r="S178" s="212"/>
      <c r="T178" s="1018"/>
      <c r="U178" s="212"/>
      <c r="V178" s="1018"/>
      <c r="W178" s="212"/>
      <c r="X178" s="1018"/>
      <c r="Y178" s="212"/>
      <c r="Z178" s="1018"/>
      <c r="AA178" s="212"/>
      <c r="AB178" s="1018"/>
      <c r="AC178" s="212"/>
      <c r="AD178" s="1163"/>
      <c r="AE178" s="212"/>
      <c r="AF178" s="1163"/>
      <c r="AG178" s="212"/>
      <c r="AH178" s="1161"/>
      <c r="AI178" s="212"/>
      <c r="AJ178" s="1018"/>
      <c r="AK178" s="1017"/>
      <c r="AL178" s="34"/>
      <c r="AM178" s="212"/>
      <c r="AN178" s="3526"/>
      <c r="AO178" s="1017"/>
      <c r="AP178" s="34"/>
      <c r="AQ178" s="1162"/>
      <c r="AR178" s="3526"/>
      <c r="AS178" s="1017"/>
      <c r="AT178" s="3526"/>
      <c r="AU178" s="1017"/>
      <c r="AV178" s="34"/>
      <c r="AW178" s="1017"/>
      <c r="AX178" s="34"/>
      <c r="AY178" s="1898" t="str">
        <f t="shared" si="428"/>
        <v/>
      </c>
      <c r="CA178" s="4027" t="str">
        <f t="shared" si="413"/>
        <v/>
      </c>
      <c r="CB178" s="1899" t="str">
        <f t="shared" si="429"/>
        <v/>
      </c>
      <c r="CC178" s="1899" t="str">
        <f t="shared" si="414"/>
        <v/>
      </c>
      <c r="CD178" s="1970"/>
      <c r="CE178" s="1970"/>
      <c r="CF178" s="1970"/>
      <c r="CG178" s="1970"/>
      <c r="CH178" s="1970"/>
      <c r="CI178" s="1899" t="str">
        <f t="shared" si="415"/>
        <v/>
      </c>
      <c r="CJ178" s="1971"/>
      <c r="CK178" s="1899" t="str">
        <f t="shared" si="431"/>
        <v/>
      </c>
      <c r="CL178" s="1899" t="str">
        <f t="shared" si="432"/>
        <v/>
      </c>
      <c r="CM178" s="1899" t="str">
        <f t="shared" si="433"/>
        <v/>
      </c>
      <c r="CN178" s="1899" t="str">
        <f t="shared" si="434"/>
        <v/>
      </c>
      <c r="CO178" s="1899" t="str">
        <f t="shared" si="435"/>
        <v/>
      </c>
      <c r="CP178" s="1899" t="str">
        <f t="shared" si="436"/>
        <v/>
      </c>
      <c r="CQ178" s="1899" t="str">
        <f t="shared" si="437"/>
        <v/>
      </c>
      <c r="CR178" s="1970"/>
      <c r="CS178" s="1970"/>
      <c r="CT178" s="3024" t="str">
        <f t="shared" si="440"/>
        <v/>
      </c>
      <c r="CU178" s="3024" t="str">
        <f t="shared" si="443"/>
        <v/>
      </c>
      <c r="DF178" s="4029">
        <f t="shared" si="402"/>
        <v>0</v>
      </c>
      <c r="DG178" s="4005">
        <f t="shared" si="427"/>
        <v>0</v>
      </c>
      <c r="DH178" s="4005">
        <f t="shared" si="403"/>
        <v>0</v>
      </c>
      <c r="DI178" s="1970"/>
      <c r="DJ178" s="1970"/>
      <c r="DK178" s="1970"/>
      <c r="DL178" s="1970"/>
      <c r="DM178" s="1970"/>
      <c r="DN178" s="4005">
        <f t="shared" si="404"/>
        <v>0</v>
      </c>
      <c r="DO178" s="1971"/>
      <c r="DP178" s="4005">
        <f t="shared" si="405"/>
        <v>0</v>
      </c>
      <c r="DQ178" s="4005">
        <f t="shared" si="406"/>
        <v>0</v>
      </c>
      <c r="DR178" s="4005">
        <f t="shared" si="407"/>
        <v>0</v>
      </c>
      <c r="DS178" s="4005">
        <f t="shared" si="408"/>
        <v>0</v>
      </c>
      <c r="DT178" s="4005">
        <f t="shared" si="409"/>
        <v>0</v>
      </c>
      <c r="DU178" s="4005">
        <f t="shared" si="410"/>
        <v>0</v>
      </c>
      <c r="DV178" s="4005">
        <f t="shared" si="411"/>
        <v>0</v>
      </c>
      <c r="DW178" s="1970"/>
      <c r="DX178" s="1970"/>
      <c r="DY178" s="3026">
        <f t="shared" si="441"/>
        <v>0</v>
      </c>
      <c r="DZ178" s="3026">
        <f t="shared" si="442"/>
        <v>0</v>
      </c>
    </row>
    <row r="179" spans="1:130" x14ac:dyDescent="0.3">
      <c r="A179" s="6875" t="s">
        <v>1921</v>
      </c>
      <c r="B179" s="6876"/>
      <c r="C179" s="3991">
        <f t="shared" ref="C179:D183" si="445">+E179+G179+I179+K179+M179+O179+Q179+S179+U179+W179+Y179+AA179+AC179+AE179+AG179+AI179</f>
        <v>0</v>
      </c>
      <c r="D179" s="4041">
        <f t="shared" si="445"/>
        <v>0</v>
      </c>
      <c r="E179" s="212"/>
      <c r="F179" s="1018"/>
      <c r="G179" s="212"/>
      <c r="H179" s="1018"/>
      <c r="I179" s="212"/>
      <c r="J179" s="1018"/>
      <c r="K179" s="212"/>
      <c r="L179" s="1018"/>
      <c r="M179" s="212"/>
      <c r="N179" s="1018"/>
      <c r="O179" s="212"/>
      <c r="P179" s="1018"/>
      <c r="Q179" s="212"/>
      <c r="R179" s="1018"/>
      <c r="S179" s="212"/>
      <c r="T179" s="1018"/>
      <c r="U179" s="212"/>
      <c r="V179" s="1018"/>
      <c r="W179" s="212"/>
      <c r="X179" s="1018"/>
      <c r="Y179" s="212"/>
      <c r="Z179" s="1018"/>
      <c r="AA179" s="212"/>
      <c r="AB179" s="1018"/>
      <c r="AC179" s="212"/>
      <c r="AD179" s="1163"/>
      <c r="AE179" s="212"/>
      <c r="AF179" s="1163"/>
      <c r="AG179" s="212"/>
      <c r="AH179" s="1161"/>
      <c r="AI179" s="212"/>
      <c r="AJ179" s="1018"/>
      <c r="AK179" s="1017"/>
      <c r="AL179" s="34"/>
      <c r="AM179" s="212"/>
      <c r="AN179" s="3526"/>
      <c r="AO179" s="1017"/>
      <c r="AP179" s="34"/>
      <c r="AQ179" s="1162"/>
      <c r="AR179" s="3526"/>
      <c r="AS179" s="1017"/>
      <c r="AT179" s="3526"/>
      <c r="AU179" s="1017"/>
      <c r="AV179" s="34"/>
      <c r="AW179" s="1017"/>
      <c r="AX179" s="34"/>
      <c r="AY179" s="1898" t="str">
        <f t="shared" si="428"/>
        <v/>
      </c>
      <c r="CA179" s="4027" t="str">
        <f t="shared" si="413"/>
        <v/>
      </c>
      <c r="CB179" s="1899" t="str">
        <f t="shared" si="429"/>
        <v/>
      </c>
      <c r="CC179" s="1899" t="str">
        <f t="shared" si="414"/>
        <v/>
      </c>
      <c r="CD179" s="1970"/>
      <c r="CE179" s="1970"/>
      <c r="CF179" s="1970"/>
      <c r="CG179" s="1970"/>
      <c r="CH179" s="1970"/>
      <c r="CI179" s="1899" t="str">
        <f t="shared" si="415"/>
        <v/>
      </c>
      <c r="CJ179" s="1971"/>
      <c r="CK179" s="1899" t="str">
        <f t="shared" si="431"/>
        <v/>
      </c>
      <c r="CL179" s="1899" t="str">
        <f t="shared" si="432"/>
        <v/>
      </c>
      <c r="CM179" s="1899" t="str">
        <f t="shared" si="433"/>
        <v/>
      </c>
      <c r="CN179" s="1899" t="str">
        <f t="shared" si="434"/>
        <v/>
      </c>
      <c r="CO179" s="1899" t="str">
        <f t="shared" si="435"/>
        <v/>
      </c>
      <c r="CP179" s="1899" t="str">
        <f t="shared" si="436"/>
        <v/>
      </c>
      <c r="CQ179" s="1899" t="str">
        <f t="shared" si="437"/>
        <v/>
      </c>
      <c r="CR179" s="1970"/>
      <c r="CS179" s="1970"/>
      <c r="CT179" s="3024" t="str">
        <f t="shared" si="440"/>
        <v/>
      </c>
      <c r="CU179" s="3024" t="str">
        <f t="shared" si="443"/>
        <v/>
      </c>
      <c r="DF179" s="4029">
        <f t="shared" si="402"/>
        <v>0</v>
      </c>
      <c r="DG179" s="4005">
        <f t="shared" si="427"/>
        <v>0</v>
      </c>
      <c r="DH179" s="4005">
        <f t="shared" si="403"/>
        <v>0</v>
      </c>
      <c r="DI179" s="1970"/>
      <c r="DJ179" s="1970"/>
      <c r="DK179" s="1970"/>
      <c r="DL179" s="1970"/>
      <c r="DM179" s="1970"/>
      <c r="DN179" s="4005">
        <f t="shared" si="404"/>
        <v>0</v>
      </c>
      <c r="DO179" s="1971"/>
      <c r="DP179" s="4005">
        <f t="shared" si="405"/>
        <v>0</v>
      </c>
      <c r="DQ179" s="4005">
        <f t="shared" si="406"/>
        <v>0</v>
      </c>
      <c r="DR179" s="4005">
        <f t="shared" si="407"/>
        <v>0</v>
      </c>
      <c r="DS179" s="4005">
        <f t="shared" si="408"/>
        <v>0</v>
      </c>
      <c r="DT179" s="4005">
        <f t="shared" si="409"/>
        <v>0</v>
      </c>
      <c r="DU179" s="4005">
        <f t="shared" si="410"/>
        <v>0</v>
      </c>
      <c r="DV179" s="4005">
        <f t="shared" si="411"/>
        <v>0</v>
      </c>
      <c r="DW179" s="1970"/>
      <c r="DX179" s="1970"/>
      <c r="DY179" s="3026">
        <f t="shared" si="441"/>
        <v>0</v>
      </c>
      <c r="DZ179" s="3026">
        <f t="shared" si="442"/>
        <v>0</v>
      </c>
    </row>
    <row r="180" spans="1:130" x14ac:dyDescent="0.3">
      <c r="A180" s="6875" t="s">
        <v>1922</v>
      </c>
      <c r="B180" s="6876"/>
      <c r="C180" s="3991">
        <f t="shared" si="445"/>
        <v>0</v>
      </c>
      <c r="D180" s="4041">
        <f t="shared" si="445"/>
        <v>0</v>
      </c>
      <c r="E180" s="212"/>
      <c r="F180" s="1018"/>
      <c r="G180" s="212"/>
      <c r="H180" s="1018"/>
      <c r="I180" s="212"/>
      <c r="J180" s="1018"/>
      <c r="K180" s="212"/>
      <c r="L180" s="1018"/>
      <c r="M180" s="212"/>
      <c r="N180" s="1018"/>
      <c r="O180" s="212"/>
      <c r="P180" s="1018"/>
      <c r="Q180" s="212"/>
      <c r="R180" s="1018"/>
      <c r="S180" s="212"/>
      <c r="T180" s="1018"/>
      <c r="U180" s="212"/>
      <c r="V180" s="1018"/>
      <c r="W180" s="212"/>
      <c r="X180" s="1018"/>
      <c r="Y180" s="212"/>
      <c r="Z180" s="1018"/>
      <c r="AA180" s="212"/>
      <c r="AB180" s="1018"/>
      <c r="AC180" s="212"/>
      <c r="AD180" s="1163"/>
      <c r="AE180" s="212"/>
      <c r="AF180" s="1163"/>
      <c r="AG180" s="212"/>
      <c r="AH180" s="1161"/>
      <c r="AI180" s="212"/>
      <c r="AJ180" s="1018"/>
      <c r="AK180" s="1017"/>
      <c r="AL180" s="34"/>
      <c r="AM180" s="212"/>
      <c r="AN180" s="3526"/>
      <c r="AO180" s="1017"/>
      <c r="AP180" s="34"/>
      <c r="AQ180" s="1162"/>
      <c r="AR180" s="3526"/>
      <c r="AS180" s="1017"/>
      <c r="AT180" s="3526"/>
      <c r="AU180" s="1017"/>
      <c r="AV180" s="34"/>
      <c r="AW180" s="1017"/>
      <c r="AX180" s="34"/>
      <c r="AY180" s="1898" t="str">
        <f t="shared" si="428"/>
        <v/>
      </c>
      <c r="CA180" s="4027" t="str">
        <f t="shared" si="413"/>
        <v/>
      </c>
      <c r="CB180" s="1899" t="str">
        <f t="shared" si="429"/>
        <v/>
      </c>
      <c r="CC180" s="1899" t="str">
        <f t="shared" si="414"/>
        <v/>
      </c>
      <c r="CD180" s="1970"/>
      <c r="CE180" s="1970"/>
      <c r="CF180" s="1970"/>
      <c r="CG180" s="1970"/>
      <c r="CH180" s="1970"/>
      <c r="CI180" s="1899" t="str">
        <f t="shared" si="415"/>
        <v/>
      </c>
      <c r="CJ180" s="1971"/>
      <c r="CK180" s="1899" t="str">
        <f t="shared" si="431"/>
        <v/>
      </c>
      <c r="CL180" s="1899" t="str">
        <f t="shared" si="432"/>
        <v/>
      </c>
      <c r="CM180" s="1899" t="str">
        <f t="shared" si="433"/>
        <v/>
      </c>
      <c r="CN180" s="1899" t="str">
        <f t="shared" si="434"/>
        <v/>
      </c>
      <c r="CO180" s="1899" t="str">
        <f t="shared" si="435"/>
        <v/>
      </c>
      <c r="CP180" s="1899" t="str">
        <f t="shared" si="436"/>
        <v/>
      </c>
      <c r="CQ180" s="1899" t="str">
        <f t="shared" si="437"/>
        <v/>
      </c>
      <c r="CR180" s="1970"/>
      <c r="CS180" s="1970"/>
      <c r="CT180" s="3024" t="str">
        <f t="shared" si="440"/>
        <v/>
      </c>
      <c r="CU180" s="3024" t="str">
        <f t="shared" si="443"/>
        <v/>
      </c>
      <c r="DF180" s="4029">
        <f t="shared" si="402"/>
        <v>0</v>
      </c>
      <c r="DG180" s="4005">
        <f t="shared" si="427"/>
        <v>0</v>
      </c>
      <c r="DH180" s="4005">
        <f t="shared" si="403"/>
        <v>0</v>
      </c>
      <c r="DI180" s="1970"/>
      <c r="DJ180" s="1970"/>
      <c r="DK180" s="1970"/>
      <c r="DL180" s="1970"/>
      <c r="DM180" s="1970"/>
      <c r="DN180" s="4005">
        <f t="shared" si="404"/>
        <v>0</v>
      </c>
      <c r="DO180" s="1971"/>
      <c r="DP180" s="4005">
        <f t="shared" si="405"/>
        <v>0</v>
      </c>
      <c r="DQ180" s="4005">
        <f t="shared" si="406"/>
        <v>0</v>
      </c>
      <c r="DR180" s="4005">
        <f t="shared" si="407"/>
        <v>0</v>
      </c>
      <c r="DS180" s="4005">
        <f t="shared" si="408"/>
        <v>0</v>
      </c>
      <c r="DT180" s="4005">
        <f t="shared" si="409"/>
        <v>0</v>
      </c>
      <c r="DU180" s="4005">
        <f t="shared" si="410"/>
        <v>0</v>
      </c>
      <c r="DV180" s="4005">
        <f t="shared" si="411"/>
        <v>0</v>
      </c>
      <c r="DW180" s="1970"/>
      <c r="DX180" s="1970"/>
      <c r="DY180" s="3026">
        <f t="shared" si="441"/>
        <v>0</v>
      </c>
      <c r="DZ180" s="3026">
        <f t="shared" si="442"/>
        <v>0</v>
      </c>
    </row>
    <row r="181" spans="1:130" x14ac:dyDescent="0.3">
      <c r="A181" s="6875" t="s">
        <v>1923</v>
      </c>
      <c r="B181" s="6876"/>
      <c r="C181" s="3991">
        <f t="shared" si="445"/>
        <v>0</v>
      </c>
      <c r="D181" s="4041">
        <f t="shared" si="445"/>
        <v>0</v>
      </c>
      <c r="E181" s="212"/>
      <c r="F181" s="1018"/>
      <c r="G181" s="212"/>
      <c r="H181" s="1018"/>
      <c r="I181" s="212"/>
      <c r="J181" s="1018"/>
      <c r="K181" s="212"/>
      <c r="L181" s="1018"/>
      <c r="M181" s="212"/>
      <c r="N181" s="1018"/>
      <c r="O181" s="212"/>
      <c r="P181" s="1018"/>
      <c r="Q181" s="212"/>
      <c r="R181" s="1018"/>
      <c r="S181" s="212"/>
      <c r="T181" s="1018"/>
      <c r="U181" s="212"/>
      <c r="V181" s="1018"/>
      <c r="W181" s="212"/>
      <c r="X181" s="1018"/>
      <c r="Y181" s="212"/>
      <c r="Z181" s="1018"/>
      <c r="AA181" s="212"/>
      <c r="AB181" s="1018"/>
      <c r="AC181" s="212"/>
      <c r="AD181" s="1163"/>
      <c r="AE181" s="212"/>
      <c r="AF181" s="1163"/>
      <c r="AG181" s="212"/>
      <c r="AH181" s="1161"/>
      <c r="AI181" s="212"/>
      <c r="AJ181" s="1018"/>
      <c r="AK181" s="1017"/>
      <c r="AL181" s="34"/>
      <c r="AM181" s="212"/>
      <c r="AN181" s="3526"/>
      <c r="AO181" s="1017"/>
      <c r="AP181" s="34"/>
      <c r="AQ181" s="1162"/>
      <c r="AR181" s="3526"/>
      <c r="AS181" s="1017"/>
      <c r="AT181" s="3526"/>
      <c r="AU181" s="1017"/>
      <c r="AV181" s="34"/>
      <c r="AW181" s="1017"/>
      <c r="AX181" s="34"/>
      <c r="AY181" s="1898" t="str">
        <f t="shared" si="428"/>
        <v/>
      </c>
      <c r="CA181" s="4027" t="str">
        <f t="shared" si="413"/>
        <v/>
      </c>
      <c r="CB181" s="1899" t="str">
        <f t="shared" si="429"/>
        <v/>
      </c>
      <c r="CC181" s="1899" t="str">
        <f t="shared" si="414"/>
        <v/>
      </c>
      <c r="CD181" s="1970"/>
      <c r="CE181" s="1970"/>
      <c r="CF181" s="1970"/>
      <c r="CG181" s="1970"/>
      <c r="CH181" s="1970"/>
      <c r="CI181" s="1899" t="str">
        <f t="shared" si="415"/>
        <v/>
      </c>
      <c r="CJ181" s="1971"/>
      <c r="CK181" s="1899" t="str">
        <f t="shared" si="431"/>
        <v/>
      </c>
      <c r="CL181" s="1899" t="str">
        <f t="shared" si="432"/>
        <v/>
      </c>
      <c r="CM181" s="1899" t="str">
        <f t="shared" si="433"/>
        <v/>
      </c>
      <c r="CN181" s="1899" t="str">
        <f t="shared" si="434"/>
        <v/>
      </c>
      <c r="CO181" s="1899" t="str">
        <f t="shared" si="435"/>
        <v/>
      </c>
      <c r="CP181" s="1899" t="str">
        <f t="shared" si="436"/>
        <v/>
      </c>
      <c r="CQ181" s="1899" t="str">
        <f t="shared" si="437"/>
        <v/>
      </c>
      <c r="CR181" s="1970"/>
      <c r="CS181" s="1970"/>
      <c r="CT181" s="3024" t="str">
        <f t="shared" si="440"/>
        <v/>
      </c>
      <c r="CU181" s="3024" t="str">
        <f t="shared" si="443"/>
        <v/>
      </c>
      <c r="DF181" s="4029">
        <f t="shared" si="402"/>
        <v>0</v>
      </c>
      <c r="DG181" s="4005">
        <f t="shared" si="427"/>
        <v>0</v>
      </c>
      <c r="DH181" s="4005">
        <f t="shared" si="403"/>
        <v>0</v>
      </c>
      <c r="DI181" s="1970"/>
      <c r="DJ181" s="1970"/>
      <c r="DK181" s="1970"/>
      <c r="DL181" s="1970"/>
      <c r="DM181" s="1970"/>
      <c r="DN181" s="4005">
        <f t="shared" si="404"/>
        <v>0</v>
      </c>
      <c r="DO181" s="1971"/>
      <c r="DP181" s="4005">
        <f t="shared" si="405"/>
        <v>0</v>
      </c>
      <c r="DQ181" s="4005">
        <f t="shared" si="406"/>
        <v>0</v>
      </c>
      <c r="DR181" s="4005">
        <f t="shared" si="407"/>
        <v>0</v>
      </c>
      <c r="DS181" s="4005">
        <f t="shared" si="408"/>
        <v>0</v>
      </c>
      <c r="DT181" s="4005">
        <f t="shared" si="409"/>
        <v>0</v>
      </c>
      <c r="DU181" s="4005">
        <f t="shared" si="410"/>
        <v>0</v>
      </c>
      <c r="DV181" s="4005">
        <f t="shared" si="411"/>
        <v>0</v>
      </c>
      <c r="DW181" s="1970"/>
      <c r="DX181" s="1970"/>
      <c r="DY181" s="3026">
        <f t="shared" si="441"/>
        <v>0</v>
      </c>
      <c r="DZ181" s="3026">
        <f t="shared" si="442"/>
        <v>0</v>
      </c>
    </row>
    <row r="182" spans="1:130" x14ac:dyDescent="0.3">
      <c r="A182" s="6875" t="s">
        <v>1924</v>
      </c>
      <c r="B182" s="6876"/>
      <c r="C182" s="3991">
        <f t="shared" si="445"/>
        <v>0</v>
      </c>
      <c r="D182" s="4041">
        <f t="shared" si="445"/>
        <v>0</v>
      </c>
      <c r="E182" s="212"/>
      <c r="F182" s="1018"/>
      <c r="G182" s="212"/>
      <c r="H182" s="1018"/>
      <c r="I182" s="212"/>
      <c r="J182" s="1018"/>
      <c r="K182" s="212"/>
      <c r="L182" s="1018"/>
      <c r="M182" s="212"/>
      <c r="N182" s="1018"/>
      <c r="O182" s="212"/>
      <c r="P182" s="1018"/>
      <c r="Q182" s="212"/>
      <c r="R182" s="1018"/>
      <c r="S182" s="212"/>
      <c r="T182" s="1018"/>
      <c r="U182" s="212"/>
      <c r="V182" s="1018"/>
      <c r="W182" s="212"/>
      <c r="X182" s="1018"/>
      <c r="Y182" s="212"/>
      <c r="Z182" s="1018"/>
      <c r="AA182" s="212"/>
      <c r="AB182" s="1018"/>
      <c r="AC182" s="212"/>
      <c r="AD182" s="1163"/>
      <c r="AE182" s="212"/>
      <c r="AF182" s="1163"/>
      <c r="AG182" s="212"/>
      <c r="AH182" s="1161"/>
      <c r="AI182" s="212"/>
      <c r="AJ182" s="1018"/>
      <c r="AK182" s="1017"/>
      <c r="AL182" s="34"/>
      <c r="AM182" s="212"/>
      <c r="AN182" s="3526"/>
      <c r="AO182" s="1017"/>
      <c r="AP182" s="34"/>
      <c r="AQ182" s="1162"/>
      <c r="AR182" s="3526"/>
      <c r="AS182" s="1017"/>
      <c r="AT182" s="3526"/>
      <c r="AU182" s="1017"/>
      <c r="AV182" s="34"/>
      <c r="AW182" s="1017"/>
      <c r="AX182" s="34"/>
      <c r="AY182" s="1898" t="str">
        <f t="shared" si="428"/>
        <v/>
      </c>
      <c r="CA182" s="4027" t="str">
        <f t="shared" si="413"/>
        <v/>
      </c>
      <c r="CB182" s="1899" t="str">
        <f t="shared" si="429"/>
        <v/>
      </c>
      <c r="CC182" s="1899" t="str">
        <f t="shared" si="414"/>
        <v/>
      </c>
      <c r="CD182" s="1970"/>
      <c r="CE182" s="1970"/>
      <c r="CF182" s="1970"/>
      <c r="CG182" s="1970"/>
      <c r="CH182" s="1970"/>
      <c r="CI182" s="1899" t="str">
        <f t="shared" si="415"/>
        <v/>
      </c>
      <c r="CJ182" s="1971"/>
      <c r="CK182" s="1899" t="str">
        <f t="shared" si="431"/>
        <v/>
      </c>
      <c r="CL182" s="1899" t="str">
        <f t="shared" si="432"/>
        <v/>
      </c>
      <c r="CM182" s="1899" t="str">
        <f t="shared" si="433"/>
        <v/>
      </c>
      <c r="CN182" s="1899" t="str">
        <f t="shared" si="434"/>
        <v/>
      </c>
      <c r="CO182" s="1899" t="str">
        <f t="shared" si="435"/>
        <v/>
      </c>
      <c r="CP182" s="1899" t="str">
        <f t="shared" si="436"/>
        <v/>
      </c>
      <c r="CQ182" s="1899" t="str">
        <f t="shared" si="437"/>
        <v/>
      </c>
      <c r="CR182" s="1970"/>
      <c r="CS182" s="1970"/>
      <c r="CT182" s="3024" t="str">
        <f t="shared" si="440"/>
        <v/>
      </c>
      <c r="CU182" s="3024" t="str">
        <f t="shared" si="443"/>
        <v/>
      </c>
      <c r="DF182" s="4029">
        <f t="shared" si="402"/>
        <v>0</v>
      </c>
      <c r="DG182" s="4005">
        <f t="shared" si="427"/>
        <v>0</v>
      </c>
      <c r="DH182" s="4005">
        <f t="shared" si="403"/>
        <v>0</v>
      </c>
      <c r="DI182" s="1970"/>
      <c r="DJ182" s="1970"/>
      <c r="DK182" s="1970"/>
      <c r="DL182" s="1970"/>
      <c r="DM182" s="1970"/>
      <c r="DN182" s="4005">
        <f t="shared" si="404"/>
        <v>0</v>
      </c>
      <c r="DO182" s="1971"/>
      <c r="DP182" s="4005">
        <f t="shared" si="405"/>
        <v>0</v>
      </c>
      <c r="DQ182" s="4005">
        <f t="shared" si="406"/>
        <v>0</v>
      </c>
      <c r="DR182" s="4005">
        <f t="shared" si="407"/>
        <v>0</v>
      </c>
      <c r="DS182" s="4005">
        <f t="shared" si="408"/>
        <v>0</v>
      </c>
      <c r="DT182" s="4005">
        <f t="shared" si="409"/>
        <v>0</v>
      </c>
      <c r="DU182" s="4005">
        <f t="shared" si="410"/>
        <v>0</v>
      </c>
      <c r="DV182" s="4005">
        <f t="shared" si="411"/>
        <v>0</v>
      </c>
      <c r="DW182" s="1970"/>
      <c r="DX182" s="1970"/>
      <c r="DY182" s="3026">
        <f t="shared" si="441"/>
        <v>0</v>
      </c>
      <c r="DZ182" s="3026">
        <f t="shared" si="442"/>
        <v>0</v>
      </c>
    </row>
    <row r="183" spans="1:130" x14ac:dyDescent="0.3">
      <c r="A183" s="6881" t="s">
        <v>1925</v>
      </c>
      <c r="B183" s="6882"/>
      <c r="C183" s="638">
        <f t="shared" si="445"/>
        <v>0</v>
      </c>
      <c r="D183" s="3121">
        <f t="shared" si="445"/>
        <v>0</v>
      </c>
      <c r="E183" s="876"/>
      <c r="F183" s="1907"/>
      <c r="G183" s="876"/>
      <c r="H183" s="1907"/>
      <c r="I183" s="876"/>
      <c r="J183" s="1907"/>
      <c r="K183" s="876"/>
      <c r="L183" s="1907"/>
      <c r="M183" s="876"/>
      <c r="N183" s="2009"/>
      <c r="O183" s="876"/>
      <c r="P183" s="1907"/>
      <c r="Q183" s="876"/>
      <c r="R183" s="1907"/>
      <c r="S183" s="876"/>
      <c r="T183" s="1907"/>
      <c r="U183" s="876"/>
      <c r="V183" s="1907"/>
      <c r="W183" s="876"/>
      <c r="X183" s="1907"/>
      <c r="Y183" s="876"/>
      <c r="Z183" s="1907"/>
      <c r="AA183" s="876"/>
      <c r="AB183" s="1907"/>
      <c r="AC183" s="876"/>
      <c r="AD183" s="2237"/>
      <c r="AE183" s="876"/>
      <c r="AF183" s="2237"/>
      <c r="AG183" s="876"/>
      <c r="AH183" s="2009"/>
      <c r="AI183" s="876"/>
      <c r="AJ183" s="1907"/>
      <c r="AK183" s="1913"/>
      <c r="AL183" s="877"/>
      <c r="AM183" s="876"/>
      <c r="AN183" s="1912"/>
      <c r="AO183" s="1913"/>
      <c r="AP183" s="877"/>
      <c r="AQ183" s="1911"/>
      <c r="AR183" s="1912"/>
      <c r="AS183" s="1913"/>
      <c r="AT183" s="1912"/>
      <c r="AU183" s="1913"/>
      <c r="AV183" s="877"/>
      <c r="AW183" s="1913"/>
      <c r="AX183" s="877"/>
      <c r="AY183" s="1898" t="str">
        <f>$CA183&amp;CB183&amp;$CC183&amp;CD183&amp;CE183&amp;CF183&amp;CG183&amp;CH183&amp;CI183&amp;CJ183&amp;CK183&amp;CL183&amp;CM183&amp;CN183&amp;CO183&amp;CP183&amp;CQ183&amp;CR183&amp;CS183&amp;CT183&amp;CU183&amp;CV183&amp;CW183</f>
        <v/>
      </c>
      <c r="CA183" s="4027" t="str">
        <f t="shared" si="413"/>
        <v/>
      </c>
      <c r="CB183" s="1899" t="str">
        <f t="shared" si="429"/>
        <v/>
      </c>
      <c r="CC183" s="1899" t="str">
        <f t="shared" si="414"/>
        <v/>
      </c>
      <c r="CD183" s="1970"/>
      <c r="CE183" s="1970"/>
      <c r="CF183" s="1970"/>
      <c r="CG183" s="1970"/>
      <c r="CH183" s="1970"/>
      <c r="CI183" s="1899" t="str">
        <f t="shared" si="415"/>
        <v/>
      </c>
      <c r="CJ183" s="1971"/>
      <c r="CK183" s="1899" t="str">
        <f t="shared" si="431"/>
        <v/>
      </c>
      <c r="CL183" s="1899" t="str">
        <f t="shared" si="432"/>
        <v/>
      </c>
      <c r="CM183" s="1899" t="str">
        <f t="shared" si="433"/>
        <v/>
      </c>
      <c r="CN183" s="1899" t="str">
        <f t="shared" si="434"/>
        <v/>
      </c>
      <c r="CO183" s="1899" t="str">
        <f t="shared" si="435"/>
        <v/>
      </c>
      <c r="CP183" s="1899" t="str">
        <f t="shared" si="436"/>
        <v/>
      </c>
      <c r="CQ183" s="1899" t="str">
        <f t="shared" si="437"/>
        <v/>
      </c>
      <c r="CR183" s="1970"/>
      <c r="CS183" s="1970"/>
      <c r="CT183" s="3024" t="str">
        <f t="shared" si="440"/>
        <v/>
      </c>
      <c r="CU183" s="3024" t="str">
        <f t="shared" si="443"/>
        <v/>
      </c>
      <c r="DF183" s="4029">
        <f t="shared" si="402"/>
        <v>0</v>
      </c>
      <c r="DG183" s="4005">
        <f t="shared" si="427"/>
        <v>0</v>
      </c>
      <c r="DH183" s="4005">
        <f t="shared" si="403"/>
        <v>0</v>
      </c>
      <c r="DI183" s="1970"/>
      <c r="DJ183" s="1970"/>
      <c r="DK183" s="1970"/>
      <c r="DL183" s="1970"/>
      <c r="DM183" s="1970"/>
      <c r="DN183" s="4005">
        <f t="shared" si="404"/>
        <v>0</v>
      </c>
      <c r="DO183" s="1971"/>
      <c r="DP183" s="4005">
        <f t="shared" si="405"/>
        <v>0</v>
      </c>
      <c r="DQ183" s="4005">
        <f t="shared" si="406"/>
        <v>0</v>
      </c>
      <c r="DR183" s="4005">
        <f t="shared" si="407"/>
        <v>0</v>
      </c>
      <c r="DS183" s="4005">
        <f t="shared" si="408"/>
        <v>0</v>
      </c>
      <c r="DT183" s="4005">
        <f t="shared" si="409"/>
        <v>0</v>
      </c>
      <c r="DU183" s="4005">
        <f t="shared" si="410"/>
        <v>0</v>
      </c>
      <c r="DV183" s="4005">
        <f t="shared" si="411"/>
        <v>0</v>
      </c>
      <c r="DW183" s="1970"/>
      <c r="DX183" s="1970"/>
      <c r="DY183" s="3026">
        <f t="shared" si="441"/>
        <v>0</v>
      </c>
      <c r="DZ183" s="3026">
        <f t="shared" si="442"/>
        <v>0</v>
      </c>
    </row>
    <row r="184" spans="1:130" ht="18" customHeight="1" x14ac:dyDescent="0.3">
      <c r="A184" s="6852" t="s">
        <v>1926</v>
      </c>
      <c r="B184" s="6852"/>
      <c r="C184" s="6852"/>
      <c r="D184" s="6852"/>
      <c r="E184" s="6852"/>
      <c r="F184" s="6852"/>
      <c r="G184" s="6852"/>
      <c r="H184" s="6852"/>
      <c r="I184" s="4042"/>
      <c r="J184" s="4042"/>
      <c r="K184" s="4042"/>
      <c r="L184" s="4042"/>
      <c r="M184" s="4042"/>
      <c r="N184" s="4042"/>
      <c r="O184" s="4042"/>
      <c r="P184" s="4042"/>
      <c r="Q184" s="4042"/>
      <c r="R184" s="4042"/>
      <c r="S184" s="4042"/>
      <c r="T184" s="4042"/>
      <c r="U184" s="4042"/>
      <c r="V184" s="4042"/>
      <c r="W184" s="4042"/>
      <c r="X184" s="4042"/>
      <c r="Y184" s="4042"/>
      <c r="Z184" s="4042"/>
      <c r="AA184" s="4042"/>
      <c r="AB184" s="4042"/>
      <c r="AC184" s="4042"/>
      <c r="AD184" s="4042"/>
      <c r="AE184" s="4042"/>
      <c r="AF184" s="4042"/>
      <c r="AG184" s="4042"/>
      <c r="AH184" s="4042"/>
      <c r="AI184" s="4042"/>
      <c r="AJ184" s="4042"/>
      <c r="AK184" s="4043"/>
      <c r="AL184" s="4043"/>
      <c r="AM184" s="4043"/>
      <c r="AN184" s="4043"/>
      <c r="AO184" s="4043"/>
      <c r="AP184" s="4043"/>
      <c r="AQ184" s="4043"/>
      <c r="AR184" s="4043"/>
      <c r="AS184" s="4043"/>
      <c r="AT184" s="4043"/>
      <c r="AU184" s="4043"/>
      <c r="AV184" s="4043"/>
      <c r="AW184" s="4043"/>
      <c r="AX184" s="4043"/>
    </row>
    <row r="185" spans="1:130" x14ac:dyDescent="0.3">
      <c r="A185" s="6853" t="s">
        <v>1892</v>
      </c>
      <c r="B185" s="6243"/>
      <c r="C185" s="6223" t="s">
        <v>77</v>
      </c>
      <c r="D185" s="6308"/>
      <c r="E185" s="6839" t="s">
        <v>29</v>
      </c>
      <c r="F185" s="6840"/>
      <c r="G185" s="6840"/>
      <c r="H185" s="6840"/>
      <c r="I185" s="6840"/>
      <c r="J185" s="6840"/>
      <c r="K185" s="6840"/>
      <c r="L185" s="6840"/>
      <c r="M185" s="6840"/>
      <c r="N185" s="6840"/>
      <c r="O185" s="6840"/>
      <c r="P185" s="6840"/>
      <c r="Q185" s="6840"/>
      <c r="R185" s="6840"/>
      <c r="S185" s="6840"/>
      <c r="T185" s="6840"/>
      <c r="U185" s="6840"/>
      <c r="V185" s="6840"/>
      <c r="W185" s="6840"/>
      <c r="X185" s="6840"/>
      <c r="Y185" s="6840"/>
      <c r="Z185" s="6840"/>
      <c r="AA185" s="6840"/>
      <c r="AB185" s="6840"/>
      <c r="AC185" s="6840"/>
      <c r="AD185" s="6840"/>
      <c r="AE185" s="6840"/>
      <c r="AF185" s="6840"/>
      <c r="AG185" s="6840"/>
      <c r="AH185" s="6840"/>
      <c r="AI185" s="6840"/>
      <c r="AJ185" s="6841"/>
      <c r="AK185" s="6865" t="s">
        <v>1906</v>
      </c>
      <c r="AL185" s="6865"/>
      <c r="AM185" s="6865"/>
      <c r="AN185" s="6866"/>
      <c r="AO185" s="6867" t="s">
        <v>457</v>
      </c>
      <c r="AP185" s="6865"/>
      <c r="AQ185" s="6865"/>
      <c r="AR185" s="6866"/>
      <c r="AS185" s="6844" t="s">
        <v>322</v>
      </c>
      <c r="AT185" s="6845"/>
      <c r="AU185" s="6844" t="s">
        <v>37</v>
      </c>
      <c r="AV185" s="6845"/>
      <c r="AW185" s="6242" t="s">
        <v>1907</v>
      </c>
      <c r="AX185" s="6243"/>
    </row>
    <row r="186" spans="1:130" x14ac:dyDescent="0.3">
      <c r="A186" s="5776"/>
      <c r="B186" s="5759"/>
      <c r="C186" s="6481"/>
      <c r="D186" s="6645"/>
      <c r="E186" s="6848" t="s">
        <v>1908</v>
      </c>
      <c r="F186" s="6842"/>
      <c r="G186" s="6848" t="s">
        <v>1863</v>
      </c>
      <c r="H186" s="6842"/>
      <c r="I186" s="6848" t="s">
        <v>937</v>
      </c>
      <c r="J186" s="6842"/>
      <c r="K186" s="6839" t="s">
        <v>326</v>
      </c>
      <c r="L186" s="6854"/>
      <c r="M186" s="6839" t="s">
        <v>94</v>
      </c>
      <c r="N186" s="6854"/>
      <c r="O186" s="6839" t="s">
        <v>44</v>
      </c>
      <c r="P186" s="6854"/>
      <c r="Q186" s="6839" t="s">
        <v>45</v>
      </c>
      <c r="R186" s="6854"/>
      <c r="S186" s="6839" t="s">
        <v>46</v>
      </c>
      <c r="T186" s="6854"/>
      <c r="U186" s="6839" t="s">
        <v>47</v>
      </c>
      <c r="V186" s="6854"/>
      <c r="W186" s="6839" t="s">
        <v>48</v>
      </c>
      <c r="X186" s="6854"/>
      <c r="Y186" s="6839" t="s">
        <v>49</v>
      </c>
      <c r="Z186" s="6854"/>
      <c r="AA186" s="6839" t="s">
        <v>50</v>
      </c>
      <c r="AB186" s="6854"/>
      <c r="AC186" s="6839" t="s">
        <v>51</v>
      </c>
      <c r="AD186" s="6854"/>
      <c r="AE186" s="6839" t="s">
        <v>52</v>
      </c>
      <c r="AF186" s="6854"/>
      <c r="AG186" s="6839" t="s">
        <v>53</v>
      </c>
      <c r="AH186" s="6854"/>
      <c r="AI186" s="6839" t="s">
        <v>1909</v>
      </c>
      <c r="AJ186" s="6841"/>
      <c r="AK186" s="6870" t="s">
        <v>58</v>
      </c>
      <c r="AL186" s="6871"/>
      <c r="AM186" s="6868" t="s">
        <v>59</v>
      </c>
      <c r="AN186" s="6869"/>
      <c r="AO186" s="6870" t="s">
        <v>463</v>
      </c>
      <c r="AP186" s="6871"/>
      <c r="AQ186" s="6872" t="s">
        <v>462</v>
      </c>
      <c r="AR186" s="6869"/>
      <c r="AS186" s="6846"/>
      <c r="AT186" s="6847"/>
      <c r="AU186" s="6846"/>
      <c r="AV186" s="6847"/>
      <c r="AW186" s="6467"/>
      <c r="AX186" s="6687"/>
    </row>
    <row r="187" spans="1:130" ht="30.6" x14ac:dyDescent="0.3">
      <c r="A187" s="6466"/>
      <c r="B187" s="6687"/>
      <c r="C187" s="3977" t="s">
        <v>1864</v>
      </c>
      <c r="D187" s="3978" t="s">
        <v>1910</v>
      </c>
      <c r="E187" s="3977" t="s">
        <v>1864</v>
      </c>
      <c r="F187" s="3978" t="s">
        <v>1910</v>
      </c>
      <c r="G187" s="3977" t="s">
        <v>1864</v>
      </c>
      <c r="H187" s="3978" t="s">
        <v>1910</v>
      </c>
      <c r="I187" s="3977" t="s">
        <v>1864</v>
      </c>
      <c r="J187" s="3978" t="s">
        <v>1910</v>
      </c>
      <c r="K187" s="3977" t="s">
        <v>1864</v>
      </c>
      <c r="L187" s="3978" t="s">
        <v>1910</v>
      </c>
      <c r="M187" s="3977" t="s">
        <v>1864</v>
      </c>
      <c r="N187" s="3978" t="s">
        <v>1910</v>
      </c>
      <c r="O187" s="3977" t="s">
        <v>1864</v>
      </c>
      <c r="P187" s="3978" t="s">
        <v>1910</v>
      </c>
      <c r="Q187" s="3977" t="s">
        <v>1864</v>
      </c>
      <c r="R187" s="3978" t="s">
        <v>1910</v>
      </c>
      <c r="S187" s="3977" t="s">
        <v>1864</v>
      </c>
      <c r="T187" s="3978" t="s">
        <v>1910</v>
      </c>
      <c r="U187" s="3977" t="s">
        <v>1864</v>
      </c>
      <c r="V187" s="3978" t="s">
        <v>1910</v>
      </c>
      <c r="W187" s="3977" t="s">
        <v>1864</v>
      </c>
      <c r="X187" s="3978" t="s">
        <v>1910</v>
      </c>
      <c r="Y187" s="3977" t="s">
        <v>1864</v>
      </c>
      <c r="Z187" s="3978" t="s">
        <v>1910</v>
      </c>
      <c r="AA187" s="3977" t="s">
        <v>1864</v>
      </c>
      <c r="AB187" s="3978" t="s">
        <v>1910</v>
      </c>
      <c r="AC187" s="3977" t="s">
        <v>1864</v>
      </c>
      <c r="AD187" s="3978" t="s">
        <v>1910</v>
      </c>
      <c r="AE187" s="3977" t="s">
        <v>1864</v>
      </c>
      <c r="AF187" s="3978" t="s">
        <v>1910</v>
      </c>
      <c r="AG187" s="3977" t="s">
        <v>1864</v>
      </c>
      <c r="AH187" s="3978" t="s">
        <v>1910</v>
      </c>
      <c r="AI187" s="3977" t="s">
        <v>1864</v>
      </c>
      <c r="AJ187" s="3981" t="s">
        <v>1910</v>
      </c>
      <c r="AK187" s="3980" t="s">
        <v>1864</v>
      </c>
      <c r="AL187" s="3978" t="s">
        <v>1910</v>
      </c>
      <c r="AM187" s="3977" t="s">
        <v>1864</v>
      </c>
      <c r="AN187" s="3978" t="s">
        <v>1910</v>
      </c>
      <c r="AO187" s="4022" t="s">
        <v>1864</v>
      </c>
      <c r="AP187" s="3978" t="s">
        <v>1910</v>
      </c>
      <c r="AQ187" s="3977" t="s">
        <v>1864</v>
      </c>
      <c r="AR187" s="3978" t="s">
        <v>1910</v>
      </c>
      <c r="AS187" s="4022" t="s">
        <v>1864</v>
      </c>
      <c r="AT187" s="3978" t="s">
        <v>1910</v>
      </c>
      <c r="AU187" s="4022" t="s">
        <v>1864</v>
      </c>
      <c r="AV187" s="3979" t="s">
        <v>1910</v>
      </c>
      <c r="AW187" s="4022" t="s">
        <v>1864</v>
      </c>
      <c r="AX187" s="3979" t="s">
        <v>1910</v>
      </c>
    </row>
    <row r="188" spans="1:130" x14ac:dyDescent="0.3">
      <c r="A188" s="6873" t="s">
        <v>1911</v>
      </c>
      <c r="B188" s="6874"/>
      <c r="C188" s="3308">
        <f t="shared" ref="C188:D190" si="446">+M188+O188+Q188+S188+U188+W188+Y188+AA188+AC188+AE188</f>
        <v>0</v>
      </c>
      <c r="D188" s="3119">
        <f t="shared" si="446"/>
        <v>0</v>
      </c>
      <c r="E188" s="4023"/>
      <c r="F188" s="3209"/>
      <c r="G188" s="4023"/>
      <c r="H188" s="3209"/>
      <c r="I188" s="4023"/>
      <c r="J188" s="3209"/>
      <c r="K188" s="4023"/>
      <c r="L188" s="3209"/>
      <c r="M188" s="3361"/>
      <c r="N188" s="960"/>
      <c r="O188" s="3361"/>
      <c r="P188" s="960"/>
      <c r="Q188" s="3361"/>
      <c r="R188" s="960"/>
      <c r="S188" s="3361"/>
      <c r="T188" s="960"/>
      <c r="U188" s="3361"/>
      <c r="V188" s="960"/>
      <c r="W188" s="3361"/>
      <c r="X188" s="960"/>
      <c r="Y188" s="3361"/>
      <c r="Z188" s="960"/>
      <c r="AA188" s="3361"/>
      <c r="AB188" s="960"/>
      <c r="AC188" s="3361"/>
      <c r="AD188" s="960"/>
      <c r="AE188" s="3361"/>
      <c r="AF188" s="960"/>
      <c r="AG188" s="4023"/>
      <c r="AH188" s="1033"/>
      <c r="AI188" s="4023"/>
      <c r="AJ188" s="1014"/>
      <c r="AK188" s="4024"/>
      <c r="AL188" s="4025"/>
      <c r="AM188" s="327"/>
      <c r="AN188" s="1918"/>
      <c r="AO188" s="3986"/>
      <c r="AP188" s="330"/>
      <c r="AQ188" s="3987"/>
      <c r="AR188" s="4026"/>
      <c r="AS188" s="3986"/>
      <c r="AT188" s="4026"/>
      <c r="AU188" s="3986"/>
      <c r="AV188" s="330"/>
      <c r="AW188" s="3986"/>
      <c r="AX188" s="330"/>
      <c r="AY188" s="1898" t="str">
        <f>$CA188&amp;$CC188&amp;CD188&amp;CE188&amp;CF188&amp;CG188&amp;CH188&amp;CI188&amp;CJ188&amp;CK188&amp;CL188&amp;CM188&amp;CN188&amp;CO188&amp;CP188&amp;CQ188&amp;CR188&amp;CS188&amp;CT188&amp;CU188</f>
        <v/>
      </c>
      <c r="CA188" s="4027" t="str">
        <f>IF(D188&gt;C188," * El Total de Exámenes Confirmados Positivos por ISP NO DEBE SUPERAR los Exámenes Procesados. ","")</f>
        <v/>
      </c>
      <c r="CB188" s="4028"/>
      <c r="CC188" s="1899" t="str">
        <f>IF(AN188&gt;AM188," * El número de Exámenes por Sexo Mujeres Confirmados positivos por ISP NO PUEDE Superar al número de Procesados. ","")</f>
        <v/>
      </c>
      <c r="CD188" s="1970"/>
      <c r="CE188" s="1970"/>
      <c r="CF188" s="1970"/>
      <c r="CG188" s="1970"/>
      <c r="CH188" s="1970"/>
      <c r="CI188" s="1899" t="str">
        <f>IF(AND(C188&gt;0,AND(AO188="",AQ188=""))," * No olvide digitar los exámenes procesados Trans (Masculino y femenino) Digite Cero si no tiene.",IF((AO188+AQ188)&gt;C188," * Los exámenes procesados en Trans (Masculino y femenino) no pueden ser mayor que el Total de exámenes procesados.",""))</f>
        <v/>
      </c>
      <c r="CJ188" s="1971"/>
      <c r="CK188" s="1899" t="str">
        <f t="shared" ref="CK188:CK210" si="447">IF((AM188+AK188)&lt;&gt;C188," * El N° de exámenes Procesados por SEXO (Hombres + Mujeres)no puede ser distinto al Total de exámenes procesados","")</f>
        <v/>
      </c>
      <c r="CL188" s="1899" t="str">
        <f t="shared" ref="CL188:CL210" si="448">IF((AN188+AL188)&lt;&gt;D188," * El N° de exámenes Confirmados positivos por ISP por Sexo (Hombres+Mujeres) no puede ser distinto al N° Total de exámenes Confirmados positivos por ISP ","")</f>
        <v/>
      </c>
      <c r="CM188" s="1899" t="str">
        <f t="shared" ref="CM188:CM210" si="449">IF(AND(C188&gt;0,AS188="")," * No olvide digitar los examanes de Pueblos Originarios Procesados. Digite Cero si no tiene.",IF(AS188&gt;C188," * Los exámenes de Pueblos originarios Procesados no pueden ser mayor que el Total de exámenes procesados.",""))</f>
        <v/>
      </c>
      <c r="CN188" s="1899" t="str">
        <f t="shared" ref="CN188:CN210" si="450">IF(AND(C188&gt;0,AU188="")," * No olvide digitar los exámenes Procesados de Migrantes. Digite Cero si no tiene.",IF(AU188&gt;C188," * Los exámenes procesados de Migrantes no pueden ser mayor que el Total de exámenes procesados.",""))</f>
        <v/>
      </c>
      <c r="CO188" s="1899" t="str">
        <f t="shared" ref="CO188:CO210" si="451">IF(AND(D188&gt;0,AND(AP188="",AR188=""))," * No olvide digitar los exámenes Confirmados positivos por ISP de Trans (Masculino y Femenino). Digite Cero si no tiene.",IF((AP188+AR188)&gt;D188," * Los exámenes confirmados positivos por ISP de Trans (Masculino y Femenino) no pueden ser mayor que el Total de exámenes Confirmados positivos por ISP.",""))</f>
        <v/>
      </c>
      <c r="CP188" s="1899" t="str">
        <f t="shared" ref="CP188:CP210" si="452">IF(AND(D188&gt;0,AT188="")," * No olvide digitar los exámenes Confirmados positivos por ISP de Pueblos Originarios. Digite Cero si no tiene.",IF(AT188&gt;D188," * Los exámenes Confirmados positivos por ISP de Pueblos originarios no pueden ser mayor que el Total de exámenes Procesados por ISP.",""))</f>
        <v/>
      </c>
      <c r="CQ188" s="1899" t="str">
        <f t="shared" ref="CQ188:CQ210" si="453">IF(AND(D188&gt;0,AV188="")," * No olvide digitar los exámenes Confirmados positivos por ISP de Migrantes. Digite Cero si no tiene.",IF(AV188&gt;D188," * Los exámenes Confirmados positivos por ISP de Migrantes no pueden ser mayor que el Total de exámenes Procesados por ISP.",""))</f>
        <v/>
      </c>
      <c r="CR188" s="1970"/>
      <c r="CS188" s="1970"/>
      <c r="CT188" s="3024" t="str">
        <f t="shared" ref="CT188:CT196" si="454">IF(AND((M188+O188)&gt;0,AW188=""),"*No olvide digitar los Exámenes Procesados de 14-18 años. Digite cero si no tiene.",IF(AW188&gt;(M188+O188),"* El Total de Procesados de 14-18 años NO DEBE ser mayor al Total de Procesados registrados en los grupos de edad 10 a 14 + 15 a 19 años. ",""))</f>
        <v/>
      </c>
      <c r="CU188" s="3024" t="str">
        <f t="shared" ref="CU188:CU196" si="455">IF(AND((N188+P188)&gt;0,AX188=""),"*No olvide digitar los Exámenes Confirmados Positivos por ISP de 14-18 años. Digite cero si no tiene.",IF(AX188&gt;(N188+P188),"* El Total de Confirmados de 14-18 años NO DEBE ser mayor al Total de Confirmados Positivos por ISP registrados en los grupos de edad 10 a 14 + 15 a 19 años. ",""))</f>
        <v/>
      </c>
      <c r="DF188" s="4029">
        <f t="shared" ref="DF188:DF210" si="456">IF(D188&gt;C188,1,0)</f>
        <v>0</v>
      </c>
      <c r="DG188" s="4028"/>
      <c r="DH188" s="4005">
        <f t="shared" ref="DH188:DH210" si="457">IF(AN188&gt;AM188,1,0)</f>
        <v>0</v>
      </c>
      <c r="DI188" s="1970"/>
      <c r="DJ188" s="1970"/>
      <c r="DK188" s="1970"/>
      <c r="DL188" s="1970"/>
      <c r="DM188" s="1970"/>
      <c r="DN188" s="4005">
        <f t="shared" ref="DN188:DN210" si="458">IF(AND(C188&gt;0,AND(AO188="",AQ188="")),1,IF((AO188+AQ188)&gt;C188,1,0))</f>
        <v>0</v>
      </c>
      <c r="DO188" s="1971"/>
      <c r="DP188" s="4005">
        <f t="shared" ref="DP188:DP210" si="459">IF((AM188+AK188)&lt;&gt;C188,1,0)</f>
        <v>0</v>
      </c>
      <c r="DQ188" s="4005">
        <f t="shared" ref="DQ188:DQ210" si="460">IF((AN188+AL188)&lt;&gt;D188,1,0)</f>
        <v>0</v>
      </c>
      <c r="DR188" s="4005">
        <f t="shared" ref="DR188:DR210" si="461">IF(AND(C188&gt;0,AS188=""),1,IF(AS188&gt;C188,1,0))</f>
        <v>0</v>
      </c>
      <c r="DS188" s="4005">
        <f t="shared" ref="DS188:DS210" si="462">IF(AND(C188&gt;0,AU188=""),1,IF(AU188&gt;C188,1,0))</f>
        <v>0</v>
      </c>
      <c r="DT188" s="4005">
        <f t="shared" ref="DT188:DT210" si="463">IF(AND(D188&gt;0,OR(AP188="",AR188="")),1,IF((AP188+AR188)&gt;D188,1,0))</f>
        <v>0</v>
      </c>
      <c r="DU188" s="4005">
        <f t="shared" ref="DU188:DU210" si="464">IF(AND(D188&gt;0,AT188=""),1,IF(AT188&gt;D188,1,0))</f>
        <v>0</v>
      </c>
      <c r="DV188" s="4005">
        <f t="shared" ref="DV188:DV210" si="465">IF(AND(D188&gt;0,AV188=""),1,IF(AV188&gt;D188,1,0))</f>
        <v>0</v>
      </c>
      <c r="DW188" s="1970"/>
      <c r="DX188" s="1970"/>
      <c r="DY188" s="4005">
        <f t="shared" ref="DY188:DY196" si="466">IF(AND((M188+O188)&gt;0,AW188=""),1,IF(AW188&gt;(M188+O188),1,0))</f>
        <v>0</v>
      </c>
      <c r="DZ188" s="4005">
        <f t="shared" ref="DZ188:DZ196" si="467">IF(AND((N188+P188)&gt;0,AX188=""),1,IF(AX188&gt;(N188+P188),1,0))</f>
        <v>0</v>
      </c>
    </row>
    <row r="189" spans="1:130" x14ac:dyDescent="0.3">
      <c r="A189" s="6875" t="s">
        <v>1912</v>
      </c>
      <c r="B189" s="6876"/>
      <c r="C189" s="3991">
        <f t="shared" si="446"/>
        <v>0</v>
      </c>
      <c r="D189" s="3123">
        <f t="shared" si="446"/>
        <v>0</v>
      </c>
      <c r="E189" s="3992"/>
      <c r="F189" s="3993"/>
      <c r="G189" s="3992"/>
      <c r="H189" s="3993"/>
      <c r="I189" s="3992"/>
      <c r="J189" s="3993"/>
      <c r="K189" s="3992"/>
      <c r="L189" s="3993"/>
      <c r="M189" s="327"/>
      <c r="N189" s="1039"/>
      <c r="O189" s="327"/>
      <c r="P189" s="1039"/>
      <c r="Q189" s="327"/>
      <c r="R189" s="1039"/>
      <c r="S189" s="327"/>
      <c r="T189" s="1039"/>
      <c r="U189" s="327"/>
      <c r="V189" s="1039"/>
      <c r="W189" s="327"/>
      <c r="X189" s="1039"/>
      <c r="Y189" s="327"/>
      <c r="Z189" s="1039"/>
      <c r="AA189" s="327"/>
      <c r="AB189" s="1039"/>
      <c r="AC189" s="327"/>
      <c r="AD189" s="1039"/>
      <c r="AE189" s="327"/>
      <c r="AF189" s="1039"/>
      <c r="AG189" s="3992"/>
      <c r="AH189" s="3994"/>
      <c r="AI189" s="3992"/>
      <c r="AJ189" s="4003"/>
      <c r="AK189" s="3984"/>
      <c r="AL189" s="2352"/>
      <c r="AM189" s="3996"/>
      <c r="AN189" s="4026"/>
      <c r="AO189" s="3986"/>
      <c r="AP189" s="330"/>
      <c r="AQ189" s="3987"/>
      <c r="AR189" s="4026"/>
      <c r="AS189" s="3986"/>
      <c r="AT189" s="4026"/>
      <c r="AU189" s="3986"/>
      <c r="AV189" s="330"/>
      <c r="AW189" s="3986"/>
      <c r="AX189" s="330"/>
      <c r="AY189" s="1898" t="str">
        <f>$CA189&amp;$CC189&amp;CD189&amp;CE189&amp;CF189&amp;CG189&amp;CH189&amp;CI189&amp;CJ189&amp;CK189&amp;CL189&amp;CM189&amp;CN189&amp;CO189&amp;CP189&amp;CQ189&amp;CR189&amp;CS189&amp;CT189</f>
        <v/>
      </c>
      <c r="CA189" s="4027" t="str">
        <f t="shared" ref="CA189:CA210" si="468">IF(D189&gt;C189," * El Total de Exámenes Confirmados Positivos por ISP NO DEBE SUPERAR los Exámenes Procesados. ","")</f>
        <v/>
      </c>
      <c r="CB189" s="4028"/>
      <c r="CC189" s="1899" t="str">
        <f t="shared" ref="CC189:CC210" si="469">IF(AN189&gt;AM189," * El número de Exámenes por Sexo Mujeres Confirmados positivos por ISP NO PUEDE Superar al número de Procesados. ","")</f>
        <v/>
      </c>
      <c r="CD189" s="1970"/>
      <c r="CE189" s="1970"/>
      <c r="CF189" s="1970"/>
      <c r="CG189" s="1970"/>
      <c r="CH189" s="1970"/>
      <c r="CI189" s="1899" t="str">
        <f t="shared" ref="CI189:CI210" si="470">IF(AND(C189&gt;0,AND(AO189="",AQ189=""))," * No olvide digitar los exámenes procesados Trans (Masculino y femenino) Digite Cero si no tiene.",IF((AO189+AQ189)&gt;C189," * Los exámenes procesados en Trans (Masculino y femenino) no pueden ser mayor que el Total de exámenes procesados.",""))</f>
        <v/>
      </c>
      <c r="CJ189" s="1971"/>
      <c r="CK189" s="1899" t="str">
        <f t="shared" si="447"/>
        <v/>
      </c>
      <c r="CL189" s="1899" t="str">
        <f t="shared" si="448"/>
        <v/>
      </c>
      <c r="CM189" s="1899" t="str">
        <f t="shared" si="449"/>
        <v/>
      </c>
      <c r="CN189" s="1899" t="str">
        <f t="shared" si="450"/>
        <v/>
      </c>
      <c r="CO189" s="1899" t="str">
        <f t="shared" si="451"/>
        <v/>
      </c>
      <c r="CP189" s="1899" t="str">
        <f t="shared" si="452"/>
        <v/>
      </c>
      <c r="CQ189" s="1899" t="str">
        <f t="shared" si="453"/>
        <v/>
      </c>
      <c r="CR189" s="1970"/>
      <c r="CS189" s="1970"/>
      <c r="CT189" s="3024" t="str">
        <f t="shared" si="454"/>
        <v/>
      </c>
      <c r="CU189" s="3024" t="str">
        <f t="shared" si="455"/>
        <v/>
      </c>
      <c r="DF189" s="4029">
        <f t="shared" si="456"/>
        <v>0</v>
      </c>
      <c r="DG189" s="4028"/>
      <c r="DH189" s="4005">
        <f t="shared" si="457"/>
        <v>0</v>
      </c>
      <c r="DI189" s="1970"/>
      <c r="DJ189" s="1970"/>
      <c r="DK189" s="1970"/>
      <c r="DL189" s="1970"/>
      <c r="DM189" s="1970"/>
      <c r="DN189" s="4005">
        <f t="shared" si="458"/>
        <v>0</v>
      </c>
      <c r="DO189" s="1971"/>
      <c r="DP189" s="4005">
        <f t="shared" si="459"/>
        <v>0</v>
      </c>
      <c r="DQ189" s="4005">
        <f t="shared" si="460"/>
        <v>0</v>
      </c>
      <c r="DR189" s="4005">
        <f t="shared" si="461"/>
        <v>0</v>
      </c>
      <c r="DS189" s="4005">
        <f t="shared" si="462"/>
        <v>0</v>
      </c>
      <c r="DT189" s="4005">
        <f t="shared" si="463"/>
        <v>0</v>
      </c>
      <c r="DU189" s="4005">
        <f t="shared" si="464"/>
        <v>0</v>
      </c>
      <c r="DV189" s="4005">
        <f t="shared" si="465"/>
        <v>0</v>
      </c>
      <c r="DW189" s="1970"/>
      <c r="DX189" s="1970"/>
      <c r="DY189" s="4005">
        <f t="shared" si="466"/>
        <v>0</v>
      </c>
      <c r="DZ189" s="4005">
        <f t="shared" si="467"/>
        <v>0</v>
      </c>
    </row>
    <row r="190" spans="1:130" x14ac:dyDescent="0.3">
      <c r="A190" s="6875" t="s">
        <v>1913</v>
      </c>
      <c r="B190" s="6876"/>
      <c r="C190" s="3991">
        <f t="shared" si="446"/>
        <v>0</v>
      </c>
      <c r="D190" s="3123">
        <f t="shared" si="446"/>
        <v>0</v>
      </c>
      <c r="E190" s="3992"/>
      <c r="F190" s="3993"/>
      <c r="G190" s="3992"/>
      <c r="H190" s="3993"/>
      <c r="I190" s="3992"/>
      <c r="J190" s="3993"/>
      <c r="K190" s="3992"/>
      <c r="L190" s="3993"/>
      <c r="M190" s="3996"/>
      <c r="N190" s="3995"/>
      <c r="O190" s="3996"/>
      <c r="P190" s="3995"/>
      <c r="Q190" s="3996"/>
      <c r="R190" s="3995"/>
      <c r="S190" s="3996"/>
      <c r="T190" s="3995"/>
      <c r="U190" s="3996"/>
      <c r="V190" s="3995"/>
      <c r="W190" s="3996"/>
      <c r="X190" s="3995"/>
      <c r="Y190" s="3996"/>
      <c r="Z190" s="3995"/>
      <c r="AA190" s="3996"/>
      <c r="AB190" s="3995"/>
      <c r="AC190" s="3996"/>
      <c r="AD190" s="3995"/>
      <c r="AE190" s="3996"/>
      <c r="AF190" s="3995"/>
      <c r="AG190" s="3992"/>
      <c r="AH190" s="3994"/>
      <c r="AI190" s="3992"/>
      <c r="AJ190" s="4003"/>
      <c r="AK190" s="3984"/>
      <c r="AL190" s="2352"/>
      <c r="AM190" s="3996"/>
      <c r="AN190" s="4026"/>
      <c r="AO190" s="3986"/>
      <c r="AP190" s="330"/>
      <c r="AQ190" s="3987"/>
      <c r="AR190" s="4026"/>
      <c r="AS190" s="3986"/>
      <c r="AT190" s="4026"/>
      <c r="AU190" s="3986"/>
      <c r="AV190" s="330"/>
      <c r="AW190" s="3986"/>
      <c r="AX190" s="330"/>
      <c r="AY190" s="1898" t="str">
        <f t="shared" ref="AY190" si="471">$CA190&amp;$CC190&amp;CD190&amp;CE190&amp;CF190&amp;CG190&amp;CH190&amp;CI190&amp;CJ190&amp;CK190&amp;CL190&amp;CM190&amp;CN190&amp;CO190&amp;CP190&amp;CQ190&amp;CR190&amp;CS190&amp;CT190</f>
        <v/>
      </c>
      <c r="CA190" s="4027" t="str">
        <f t="shared" si="468"/>
        <v/>
      </c>
      <c r="CB190" s="4028"/>
      <c r="CC190" s="1899" t="str">
        <f t="shared" si="469"/>
        <v/>
      </c>
      <c r="CD190" s="1970"/>
      <c r="CE190" s="1970"/>
      <c r="CF190" s="1970"/>
      <c r="CG190" s="1970"/>
      <c r="CH190" s="1970"/>
      <c r="CI190" s="1899" t="str">
        <f t="shared" si="470"/>
        <v/>
      </c>
      <c r="CJ190" s="1971"/>
      <c r="CK190" s="1899" t="str">
        <f t="shared" si="447"/>
        <v/>
      </c>
      <c r="CL190" s="1899" t="str">
        <f t="shared" si="448"/>
        <v/>
      </c>
      <c r="CM190" s="1899" t="str">
        <f t="shared" si="449"/>
        <v/>
      </c>
      <c r="CN190" s="1899" t="str">
        <f t="shared" si="450"/>
        <v/>
      </c>
      <c r="CO190" s="1899" t="str">
        <f t="shared" si="451"/>
        <v/>
      </c>
      <c r="CP190" s="1899" t="str">
        <f t="shared" si="452"/>
        <v/>
      </c>
      <c r="CQ190" s="1899" t="str">
        <f t="shared" si="453"/>
        <v/>
      </c>
      <c r="CR190" s="1970"/>
      <c r="CS190" s="1970"/>
      <c r="CT190" s="3024" t="str">
        <f t="shared" si="454"/>
        <v/>
      </c>
      <c r="CU190" s="3024" t="str">
        <f t="shared" si="455"/>
        <v/>
      </c>
      <c r="DF190" s="4029">
        <f t="shared" si="456"/>
        <v>0</v>
      </c>
      <c r="DG190" s="4028"/>
      <c r="DH190" s="4005">
        <f t="shared" si="457"/>
        <v>0</v>
      </c>
      <c r="DI190" s="1970"/>
      <c r="DJ190" s="1970"/>
      <c r="DK190" s="1970"/>
      <c r="DL190" s="1970"/>
      <c r="DM190" s="1970"/>
      <c r="DN190" s="4005">
        <f t="shared" si="458"/>
        <v>0</v>
      </c>
      <c r="DO190" s="1971"/>
      <c r="DP190" s="4005">
        <f t="shared" si="459"/>
        <v>0</v>
      </c>
      <c r="DQ190" s="4005">
        <f t="shared" si="460"/>
        <v>0</v>
      </c>
      <c r="DR190" s="4005">
        <f t="shared" si="461"/>
        <v>0</v>
      </c>
      <c r="DS190" s="4005">
        <f t="shared" si="462"/>
        <v>0</v>
      </c>
      <c r="DT190" s="4005">
        <f t="shared" si="463"/>
        <v>0</v>
      </c>
      <c r="DU190" s="4005">
        <f t="shared" si="464"/>
        <v>0</v>
      </c>
      <c r="DV190" s="4005">
        <f t="shared" si="465"/>
        <v>0</v>
      </c>
      <c r="DW190" s="1970"/>
      <c r="DX190" s="1970"/>
      <c r="DY190" s="4005">
        <f t="shared" si="466"/>
        <v>0</v>
      </c>
      <c r="DZ190" s="4005">
        <f t="shared" si="467"/>
        <v>0</v>
      </c>
    </row>
    <row r="191" spans="1:130" x14ac:dyDescent="0.3">
      <c r="A191" s="6875" t="s">
        <v>1876</v>
      </c>
      <c r="B191" s="6876"/>
      <c r="C191" s="3991">
        <f>+O191+Q191+S191+U191+W191+Y191+AA191+AC191+AE191+AG191+AI191</f>
        <v>0</v>
      </c>
      <c r="D191" s="4030">
        <f>+P191+R191+T191+V191+X191+Z191+AB191+AD191+AF191+AH191+AJ191</f>
        <v>0</v>
      </c>
      <c r="E191" s="3992"/>
      <c r="F191" s="3993"/>
      <c r="G191" s="3992"/>
      <c r="H191" s="3993"/>
      <c r="I191" s="3992"/>
      <c r="J191" s="3993"/>
      <c r="K191" s="3992"/>
      <c r="L191" s="3993"/>
      <c r="M191" s="3992"/>
      <c r="N191" s="3993"/>
      <c r="O191" s="3996"/>
      <c r="P191" s="3995"/>
      <c r="Q191" s="3996"/>
      <c r="R191" s="3995"/>
      <c r="S191" s="3996"/>
      <c r="T191" s="3995"/>
      <c r="U191" s="3996"/>
      <c r="V191" s="3995"/>
      <c r="W191" s="3996"/>
      <c r="X191" s="3995"/>
      <c r="Y191" s="3996"/>
      <c r="Z191" s="3995"/>
      <c r="AA191" s="3996"/>
      <c r="AB191" s="3995"/>
      <c r="AC191" s="3996"/>
      <c r="AD191" s="3995"/>
      <c r="AE191" s="3996"/>
      <c r="AF191" s="3995"/>
      <c r="AG191" s="3996"/>
      <c r="AH191" s="3995"/>
      <c r="AI191" s="3996"/>
      <c r="AJ191" s="3995"/>
      <c r="AK191" s="3986"/>
      <c r="AL191" s="330"/>
      <c r="AM191" s="3996"/>
      <c r="AN191" s="4026"/>
      <c r="AO191" s="3986"/>
      <c r="AP191" s="330"/>
      <c r="AQ191" s="3987"/>
      <c r="AR191" s="4026"/>
      <c r="AS191" s="3986"/>
      <c r="AT191" s="4026"/>
      <c r="AU191" s="3986"/>
      <c r="AV191" s="330"/>
      <c r="AW191" s="3986"/>
      <c r="AX191" s="330"/>
      <c r="AY191" s="1898" t="str">
        <f>$CA191&amp;CB191&amp;$CC191&amp;CD191&amp;CE191&amp;CF191&amp;CG191&amp;CH191&amp;CI191&amp;CJ191&amp;CK191&amp;CL191&amp;CM191&amp;CN191&amp;CO191&amp;CP191&amp;CQ191&amp;CR191&amp;CS191&amp;CT191&amp;CU191</f>
        <v/>
      </c>
      <c r="CA191" s="4027" t="str">
        <f t="shared" si="468"/>
        <v/>
      </c>
      <c r="CB191" s="1899" t="str">
        <f>IF(AL191&gt;AK191," * El número de Exámenes por Sexo Hombres Confirmados positivos por ISP NO PUEDE Superar al número de Procesados. ","")</f>
        <v/>
      </c>
      <c r="CC191" s="1899" t="str">
        <f t="shared" si="469"/>
        <v/>
      </c>
      <c r="CD191" s="1970"/>
      <c r="CE191" s="1970"/>
      <c r="CF191" s="1970"/>
      <c r="CG191" s="1970"/>
      <c r="CH191" s="1970"/>
      <c r="CI191" s="1899" t="str">
        <f t="shared" si="470"/>
        <v/>
      </c>
      <c r="CJ191" s="1971"/>
      <c r="CK191" s="1899" t="str">
        <f t="shared" si="447"/>
        <v/>
      </c>
      <c r="CL191" s="1899" t="str">
        <f t="shared" si="448"/>
        <v/>
      </c>
      <c r="CM191" s="1899" t="str">
        <f t="shared" si="449"/>
        <v/>
      </c>
      <c r="CN191" s="1899" t="str">
        <f t="shared" si="450"/>
        <v/>
      </c>
      <c r="CO191" s="1899" t="str">
        <f t="shared" si="451"/>
        <v/>
      </c>
      <c r="CP191" s="1899" t="str">
        <f t="shared" si="452"/>
        <v/>
      </c>
      <c r="CQ191" s="1899" t="str">
        <f t="shared" si="453"/>
        <v/>
      </c>
      <c r="CR191" s="1970"/>
      <c r="CS191" s="1970"/>
      <c r="CT191" s="3024" t="str">
        <f t="shared" si="454"/>
        <v/>
      </c>
      <c r="CU191" s="3024" t="str">
        <f t="shared" si="455"/>
        <v/>
      </c>
      <c r="DF191" s="4029">
        <f t="shared" si="456"/>
        <v>0</v>
      </c>
      <c r="DG191" s="4005">
        <f t="shared" ref="DG191:DG210" si="472">IF(AL191&gt;AK191,1,0)</f>
        <v>0</v>
      </c>
      <c r="DH191" s="4005">
        <f t="shared" si="457"/>
        <v>0</v>
      </c>
      <c r="DI191" s="1970"/>
      <c r="DJ191" s="1970"/>
      <c r="DK191" s="1970"/>
      <c r="DL191" s="1970"/>
      <c r="DM191" s="1970"/>
      <c r="DN191" s="4005">
        <f t="shared" si="458"/>
        <v>0</v>
      </c>
      <c r="DO191" s="1971"/>
      <c r="DP191" s="4005">
        <f t="shared" si="459"/>
        <v>0</v>
      </c>
      <c r="DQ191" s="4005">
        <f t="shared" si="460"/>
        <v>0</v>
      </c>
      <c r="DR191" s="4005">
        <f t="shared" si="461"/>
        <v>0</v>
      </c>
      <c r="DS191" s="4005">
        <f t="shared" si="462"/>
        <v>0</v>
      </c>
      <c r="DT191" s="4005">
        <f t="shared" si="463"/>
        <v>0</v>
      </c>
      <c r="DU191" s="4005">
        <f t="shared" si="464"/>
        <v>0</v>
      </c>
      <c r="DV191" s="4005">
        <f t="shared" si="465"/>
        <v>0</v>
      </c>
      <c r="DW191" s="1970"/>
      <c r="DX191" s="1970"/>
      <c r="DY191" s="4005">
        <f t="shared" si="466"/>
        <v>0</v>
      </c>
      <c r="DZ191" s="4005">
        <f t="shared" si="467"/>
        <v>0</v>
      </c>
    </row>
    <row r="192" spans="1:130" x14ac:dyDescent="0.3">
      <c r="A192" s="6875" t="s">
        <v>1882</v>
      </c>
      <c r="B192" s="6876"/>
      <c r="C192" s="3991">
        <f>+E192+G192+I192+K192+M192+O192+Q192+S192+U192+W192+Y192+AA192+AC192+AE192+AG192+AI192</f>
        <v>0</v>
      </c>
      <c r="D192" s="4030">
        <f>+F192+H192+J192+L192+N192+P192+R192+T192+V192+X192+Z192+AB192+AD192+AF192+AH192+AJ192</f>
        <v>0</v>
      </c>
      <c r="E192" s="3996"/>
      <c r="F192" s="3995"/>
      <c r="G192" s="3996"/>
      <c r="H192" s="3995"/>
      <c r="I192" s="3996"/>
      <c r="J192" s="3995"/>
      <c r="K192" s="3996"/>
      <c r="L192" s="3995"/>
      <c r="M192" s="3996"/>
      <c r="N192" s="3995"/>
      <c r="O192" s="3996"/>
      <c r="P192" s="3995"/>
      <c r="Q192" s="3996"/>
      <c r="R192" s="3995"/>
      <c r="S192" s="3996"/>
      <c r="T192" s="3995"/>
      <c r="U192" s="3996"/>
      <c r="V192" s="3995"/>
      <c r="W192" s="3996"/>
      <c r="X192" s="3995"/>
      <c r="Y192" s="3996"/>
      <c r="Z192" s="3995"/>
      <c r="AA192" s="3996"/>
      <c r="AB192" s="3995"/>
      <c r="AC192" s="3996"/>
      <c r="AD192" s="3995"/>
      <c r="AE192" s="3996"/>
      <c r="AF192" s="3995"/>
      <c r="AG192" s="3996"/>
      <c r="AH192" s="3995"/>
      <c r="AI192" s="3996"/>
      <c r="AJ192" s="3995"/>
      <c r="AK192" s="4031"/>
      <c r="AL192" s="874"/>
      <c r="AM192" s="4032"/>
      <c r="AN192" s="4026"/>
      <c r="AO192" s="3986"/>
      <c r="AP192" s="330"/>
      <c r="AQ192" s="3987"/>
      <c r="AR192" s="4026"/>
      <c r="AS192" s="3986"/>
      <c r="AT192" s="4026"/>
      <c r="AU192" s="3986"/>
      <c r="AV192" s="330"/>
      <c r="AW192" s="3986"/>
      <c r="AX192" s="330"/>
      <c r="AY192" s="1898" t="str">
        <f t="shared" ref="AY192:AY210" si="473">$CA192&amp;CB192&amp;$CC192&amp;CD192&amp;CE192&amp;CF192&amp;CG192&amp;CH192&amp;CI192&amp;CJ192&amp;CK192&amp;CL192&amp;CM192&amp;CN192&amp;CO192&amp;CP192&amp;CQ192&amp;CR192&amp;CS192&amp;CT192&amp;CU192</f>
        <v/>
      </c>
      <c r="CA192" s="4027" t="str">
        <f t="shared" si="468"/>
        <v/>
      </c>
      <c r="CB192" s="1899" t="str">
        <f t="shared" ref="CB192:CB210" si="474">IF(AL192&gt;AK192," * El número de Exámenes por Sexo Hombres Confirmados positivos por ISP NO PUEDE Superar al número de Procesados. ","")</f>
        <v/>
      </c>
      <c r="CC192" s="1899" t="str">
        <f t="shared" si="469"/>
        <v/>
      </c>
      <c r="CD192" s="1970"/>
      <c r="CE192" s="1970"/>
      <c r="CF192" s="1970"/>
      <c r="CG192" s="1970"/>
      <c r="CH192" s="1970"/>
      <c r="CI192" s="1899" t="str">
        <f t="shared" si="470"/>
        <v/>
      </c>
      <c r="CJ192" s="1971"/>
      <c r="CK192" s="1899" t="str">
        <f t="shared" si="447"/>
        <v/>
      </c>
      <c r="CL192" s="1899" t="str">
        <f t="shared" si="448"/>
        <v/>
      </c>
      <c r="CM192" s="1899" t="str">
        <f t="shared" si="449"/>
        <v/>
      </c>
      <c r="CN192" s="1899" t="str">
        <f t="shared" si="450"/>
        <v/>
      </c>
      <c r="CO192" s="1899" t="str">
        <f t="shared" si="451"/>
        <v/>
      </c>
      <c r="CP192" s="1899" t="str">
        <f t="shared" si="452"/>
        <v/>
      </c>
      <c r="CQ192" s="1899" t="str">
        <f t="shared" si="453"/>
        <v/>
      </c>
      <c r="CR192" s="1970"/>
      <c r="CS192" s="1970"/>
      <c r="CT192" s="3024" t="str">
        <f t="shared" si="454"/>
        <v/>
      </c>
      <c r="CU192" s="3024" t="str">
        <f t="shared" si="455"/>
        <v/>
      </c>
      <c r="DF192" s="4029">
        <f t="shared" si="456"/>
        <v>0</v>
      </c>
      <c r="DG192" s="4005">
        <f t="shared" si="472"/>
        <v>0</v>
      </c>
      <c r="DH192" s="4005">
        <f t="shared" si="457"/>
        <v>0</v>
      </c>
      <c r="DI192" s="1970"/>
      <c r="DJ192" s="1970"/>
      <c r="DK192" s="1970"/>
      <c r="DL192" s="1970"/>
      <c r="DM192" s="1970"/>
      <c r="DN192" s="4005">
        <f t="shared" si="458"/>
        <v>0</v>
      </c>
      <c r="DO192" s="1971"/>
      <c r="DP192" s="4005">
        <f t="shared" si="459"/>
        <v>0</v>
      </c>
      <c r="DQ192" s="4005">
        <f t="shared" si="460"/>
        <v>0</v>
      </c>
      <c r="DR192" s="4005">
        <f t="shared" si="461"/>
        <v>0</v>
      </c>
      <c r="DS192" s="4005">
        <f t="shared" si="462"/>
        <v>0</v>
      </c>
      <c r="DT192" s="4005">
        <f t="shared" si="463"/>
        <v>0</v>
      </c>
      <c r="DU192" s="4005">
        <f t="shared" si="464"/>
        <v>0</v>
      </c>
      <c r="DV192" s="4005">
        <f t="shared" si="465"/>
        <v>0</v>
      </c>
      <c r="DW192" s="1970"/>
      <c r="DX192" s="1970"/>
      <c r="DY192" s="4005">
        <f t="shared" si="466"/>
        <v>0</v>
      </c>
      <c r="DZ192" s="4005">
        <f t="shared" si="467"/>
        <v>0</v>
      </c>
    </row>
    <row r="193" spans="1:130" x14ac:dyDescent="0.3">
      <c r="A193" s="6875" t="s">
        <v>1914</v>
      </c>
      <c r="B193" s="6876"/>
      <c r="C193" s="3991">
        <f>+E193+G193+I193+K193+M193+O193+Q193+S193+U193+W193+Y193+AA193+AC193+AE193+AG193+AI193</f>
        <v>0</v>
      </c>
      <c r="D193" s="3123">
        <f>+F193+H193+J193+L193+N193+P193+R193+T193+V193+X193+Z193+AB193+AD193+AF193+AH193+AJ193</f>
        <v>0</v>
      </c>
      <c r="E193" s="3996"/>
      <c r="F193" s="3995"/>
      <c r="G193" s="3996"/>
      <c r="H193" s="3995"/>
      <c r="I193" s="3996"/>
      <c r="J193" s="3995"/>
      <c r="K193" s="3996"/>
      <c r="L193" s="3995"/>
      <c r="M193" s="3996"/>
      <c r="N193" s="3995"/>
      <c r="O193" s="3996"/>
      <c r="P193" s="3995"/>
      <c r="Q193" s="3996"/>
      <c r="R193" s="3995"/>
      <c r="S193" s="3996"/>
      <c r="T193" s="3995"/>
      <c r="U193" s="3996"/>
      <c r="V193" s="3995"/>
      <c r="W193" s="3996"/>
      <c r="X193" s="3995"/>
      <c r="Y193" s="3996"/>
      <c r="Z193" s="3995"/>
      <c r="AA193" s="3996"/>
      <c r="AB193" s="3995"/>
      <c r="AC193" s="3996"/>
      <c r="AD193" s="3995"/>
      <c r="AE193" s="3996"/>
      <c r="AF193" s="3995"/>
      <c r="AG193" s="3996"/>
      <c r="AH193" s="3995"/>
      <c r="AI193" s="3996"/>
      <c r="AJ193" s="3995"/>
      <c r="AK193" s="3986"/>
      <c r="AL193" s="330"/>
      <c r="AM193" s="3996"/>
      <c r="AN193" s="4026"/>
      <c r="AO193" s="3986"/>
      <c r="AP193" s="330"/>
      <c r="AQ193" s="3987"/>
      <c r="AR193" s="4026"/>
      <c r="AS193" s="3986"/>
      <c r="AT193" s="4026"/>
      <c r="AU193" s="3986"/>
      <c r="AV193" s="330"/>
      <c r="AW193" s="3986"/>
      <c r="AX193" s="330"/>
      <c r="AY193" s="1898" t="str">
        <f t="shared" si="473"/>
        <v/>
      </c>
      <c r="CA193" s="4027" t="str">
        <f t="shared" si="468"/>
        <v/>
      </c>
      <c r="CB193" s="1899" t="str">
        <f t="shared" si="474"/>
        <v/>
      </c>
      <c r="CC193" s="1899" t="str">
        <f t="shared" si="469"/>
        <v/>
      </c>
      <c r="CD193" s="1970"/>
      <c r="CE193" s="1970"/>
      <c r="CF193" s="1970"/>
      <c r="CG193" s="1970"/>
      <c r="CH193" s="1970"/>
      <c r="CI193" s="1899" t="str">
        <f t="shared" si="470"/>
        <v/>
      </c>
      <c r="CJ193" s="1971"/>
      <c r="CK193" s="1899" t="str">
        <f t="shared" si="447"/>
        <v/>
      </c>
      <c r="CL193" s="1899" t="str">
        <f t="shared" si="448"/>
        <v/>
      </c>
      <c r="CM193" s="1899" t="str">
        <f t="shared" si="449"/>
        <v/>
      </c>
      <c r="CN193" s="1899" t="str">
        <f t="shared" si="450"/>
        <v/>
      </c>
      <c r="CO193" s="1899" t="str">
        <f t="shared" si="451"/>
        <v/>
      </c>
      <c r="CP193" s="1899" t="str">
        <f t="shared" si="452"/>
        <v/>
      </c>
      <c r="CQ193" s="1899" t="str">
        <f t="shared" si="453"/>
        <v/>
      </c>
      <c r="CR193" s="1970"/>
      <c r="CS193" s="1970"/>
      <c r="CT193" s="3024" t="str">
        <f t="shared" si="454"/>
        <v/>
      </c>
      <c r="CU193" s="3024" t="str">
        <f t="shared" si="455"/>
        <v/>
      </c>
      <c r="DF193" s="4029">
        <f t="shared" si="456"/>
        <v>0</v>
      </c>
      <c r="DG193" s="4005">
        <f t="shared" si="472"/>
        <v>0</v>
      </c>
      <c r="DH193" s="4005">
        <f t="shared" si="457"/>
        <v>0</v>
      </c>
      <c r="DI193" s="1970"/>
      <c r="DJ193" s="1970"/>
      <c r="DK193" s="1970"/>
      <c r="DL193" s="1970"/>
      <c r="DM193" s="1970"/>
      <c r="DN193" s="4005">
        <f t="shared" si="458"/>
        <v>0</v>
      </c>
      <c r="DO193" s="1971"/>
      <c r="DP193" s="4005">
        <f t="shared" si="459"/>
        <v>0</v>
      </c>
      <c r="DQ193" s="4005">
        <f t="shared" si="460"/>
        <v>0</v>
      </c>
      <c r="DR193" s="4005">
        <f t="shared" si="461"/>
        <v>0</v>
      </c>
      <c r="DS193" s="4005">
        <f t="shared" si="462"/>
        <v>0</v>
      </c>
      <c r="DT193" s="4005">
        <f t="shared" si="463"/>
        <v>0</v>
      </c>
      <c r="DU193" s="4005">
        <f t="shared" si="464"/>
        <v>0</v>
      </c>
      <c r="DV193" s="4005">
        <f t="shared" si="465"/>
        <v>0</v>
      </c>
      <c r="DW193" s="1970"/>
      <c r="DX193" s="1970"/>
      <c r="DY193" s="4005">
        <f t="shared" si="466"/>
        <v>0</v>
      </c>
      <c r="DZ193" s="4005">
        <f t="shared" si="467"/>
        <v>0</v>
      </c>
    </row>
    <row r="194" spans="1:130" x14ac:dyDescent="0.3">
      <c r="A194" s="6875" t="s">
        <v>1915</v>
      </c>
      <c r="B194" s="6876"/>
      <c r="C194" s="3991">
        <f>+O194+Q194+S194+U194+W194+Y194+AA194+AC194+AE194+AG194+AI194</f>
        <v>0</v>
      </c>
      <c r="D194" s="3123">
        <f>+P194+R194+T194+V194+X194+Z194+AB194+AD194+AF194+AH194+AJ194</f>
        <v>0</v>
      </c>
      <c r="E194" s="3992"/>
      <c r="F194" s="3993"/>
      <c r="G194" s="3992"/>
      <c r="H194" s="3993"/>
      <c r="I194" s="3992"/>
      <c r="J194" s="3993"/>
      <c r="K194" s="3992"/>
      <c r="L194" s="3993"/>
      <c r="M194" s="3992"/>
      <c r="N194" s="3993"/>
      <c r="O194" s="3996"/>
      <c r="P194" s="3995"/>
      <c r="Q194" s="3996"/>
      <c r="R194" s="3995"/>
      <c r="S194" s="3996"/>
      <c r="T194" s="3995"/>
      <c r="U194" s="3996"/>
      <c r="V194" s="3995"/>
      <c r="W194" s="3996"/>
      <c r="X194" s="3995"/>
      <c r="Y194" s="3996"/>
      <c r="Z194" s="3995"/>
      <c r="AA194" s="3996"/>
      <c r="AB194" s="3995"/>
      <c r="AC194" s="3996"/>
      <c r="AD194" s="3995"/>
      <c r="AE194" s="3996"/>
      <c r="AF194" s="3995"/>
      <c r="AG194" s="3996"/>
      <c r="AH194" s="3995"/>
      <c r="AI194" s="3996"/>
      <c r="AJ194" s="3995"/>
      <c r="AK194" s="3986"/>
      <c r="AL194" s="330"/>
      <c r="AM194" s="3996"/>
      <c r="AN194" s="4026"/>
      <c r="AO194" s="3986"/>
      <c r="AP194" s="330"/>
      <c r="AQ194" s="3987"/>
      <c r="AR194" s="4026"/>
      <c r="AS194" s="3986"/>
      <c r="AT194" s="4026"/>
      <c r="AU194" s="3986"/>
      <c r="AV194" s="330"/>
      <c r="AW194" s="3986"/>
      <c r="AX194" s="330"/>
      <c r="AY194" s="1898" t="str">
        <f t="shared" si="473"/>
        <v/>
      </c>
      <c r="CA194" s="4027" t="str">
        <f t="shared" si="468"/>
        <v/>
      </c>
      <c r="CB194" s="1899" t="str">
        <f t="shared" si="474"/>
        <v/>
      </c>
      <c r="CC194" s="1899" t="str">
        <f t="shared" si="469"/>
        <v/>
      </c>
      <c r="CD194" s="1970"/>
      <c r="CE194" s="1970"/>
      <c r="CF194" s="1970"/>
      <c r="CG194" s="1970"/>
      <c r="CH194" s="1970"/>
      <c r="CI194" s="1899" t="str">
        <f t="shared" si="470"/>
        <v/>
      </c>
      <c r="CJ194" s="1971"/>
      <c r="CK194" s="1899" t="str">
        <f t="shared" si="447"/>
        <v/>
      </c>
      <c r="CL194" s="1899" t="str">
        <f t="shared" si="448"/>
        <v/>
      </c>
      <c r="CM194" s="1899" t="str">
        <f t="shared" si="449"/>
        <v/>
      </c>
      <c r="CN194" s="1899" t="str">
        <f t="shared" si="450"/>
        <v/>
      </c>
      <c r="CO194" s="1899" t="str">
        <f t="shared" si="451"/>
        <v/>
      </c>
      <c r="CP194" s="1899" t="str">
        <f t="shared" si="452"/>
        <v/>
      </c>
      <c r="CQ194" s="1899" t="str">
        <f t="shared" si="453"/>
        <v/>
      </c>
      <c r="CR194" s="1970"/>
      <c r="CS194" s="1970"/>
      <c r="CT194" s="3024" t="str">
        <f t="shared" si="454"/>
        <v/>
      </c>
      <c r="CU194" s="3024" t="str">
        <f t="shared" si="455"/>
        <v/>
      </c>
      <c r="DF194" s="4029">
        <f t="shared" si="456"/>
        <v>0</v>
      </c>
      <c r="DG194" s="4005">
        <f t="shared" si="472"/>
        <v>0</v>
      </c>
      <c r="DH194" s="4005">
        <f t="shared" si="457"/>
        <v>0</v>
      </c>
      <c r="DI194" s="1970"/>
      <c r="DJ194" s="1970"/>
      <c r="DK194" s="1970"/>
      <c r="DL194" s="1970"/>
      <c r="DM194" s="1970"/>
      <c r="DN194" s="4005">
        <f t="shared" si="458"/>
        <v>0</v>
      </c>
      <c r="DO194" s="1971"/>
      <c r="DP194" s="4005">
        <f t="shared" si="459"/>
        <v>0</v>
      </c>
      <c r="DQ194" s="4005">
        <f t="shared" si="460"/>
        <v>0</v>
      </c>
      <c r="DR194" s="4005">
        <f t="shared" si="461"/>
        <v>0</v>
      </c>
      <c r="DS194" s="4005">
        <f t="shared" si="462"/>
        <v>0</v>
      </c>
      <c r="DT194" s="4005">
        <f t="shared" si="463"/>
        <v>0</v>
      </c>
      <c r="DU194" s="4005">
        <f t="shared" si="464"/>
        <v>0</v>
      </c>
      <c r="DV194" s="4005">
        <f t="shared" si="465"/>
        <v>0</v>
      </c>
      <c r="DW194" s="1970"/>
      <c r="DX194" s="1970"/>
      <c r="DY194" s="4005">
        <f t="shared" si="466"/>
        <v>0</v>
      </c>
      <c r="DZ194" s="4005">
        <f t="shared" si="467"/>
        <v>0</v>
      </c>
    </row>
    <row r="195" spans="1:130" x14ac:dyDescent="0.3">
      <c r="A195" s="6875" t="s">
        <v>1879</v>
      </c>
      <c r="B195" s="6876"/>
      <c r="C195" s="3991">
        <f>+O195+Q195+S195+U195+W195+Y195+AA195+AC195+AE195+AG195+AI195</f>
        <v>0</v>
      </c>
      <c r="D195" s="3123">
        <f>+P195+R195+T195+V195+X195+Z195+AB195+AD195+AF195+AH195+AJ195</f>
        <v>0</v>
      </c>
      <c r="E195" s="3992"/>
      <c r="F195" s="3993"/>
      <c r="G195" s="3992"/>
      <c r="H195" s="3993"/>
      <c r="I195" s="3992"/>
      <c r="J195" s="3993"/>
      <c r="K195" s="3992"/>
      <c r="L195" s="3993"/>
      <c r="M195" s="3992"/>
      <c r="N195" s="3993"/>
      <c r="O195" s="3996"/>
      <c r="P195" s="3995"/>
      <c r="Q195" s="3996"/>
      <c r="R195" s="3995"/>
      <c r="S195" s="3996"/>
      <c r="T195" s="3995"/>
      <c r="U195" s="3996"/>
      <c r="V195" s="3995"/>
      <c r="W195" s="3996"/>
      <c r="X195" s="3995"/>
      <c r="Y195" s="3996"/>
      <c r="Z195" s="3995"/>
      <c r="AA195" s="3996"/>
      <c r="AB195" s="3995"/>
      <c r="AC195" s="3996"/>
      <c r="AD195" s="3995"/>
      <c r="AE195" s="3996"/>
      <c r="AF195" s="3995"/>
      <c r="AG195" s="3996"/>
      <c r="AH195" s="3995"/>
      <c r="AI195" s="3996"/>
      <c r="AJ195" s="3995"/>
      <c r="AK195" s="3986"/>
      <c r="AL195" s="330"/>
      <c r="AM195" s="3996"/>
      <c r="AN195" s="4026"/>
      <c r="AO195" s="3986"/>
      <c r="AP195" s="330"/>
      <c r="AQ195" s="3987"/>
      <c r="AR195" s="4026"/>
      <c r="AS195" s="3986"/>
      <c r="AT195" s="4026"/>
      <c r="AU195" s="3986"/>
      <c r="AV195" s="330"/>
      <c r="AW195" s="3986"/>
      <c r="AX195" s="330"/>
      <c r="AY195" s="1898" t="str">
        <f t="shared" si="473"/>
        <v/>
      </c>
      <c r="CA195" s="4027" t="str">
        <f t="shared" si="468"/>
        <v/>
      </c>
      <c r="CB195" s="1899" t="str">
        <f t="shared" si="474"/>
        <v/>
      </c>
      <c r="CC195" s="1899" t="str">
        <f t="shared" si="469"/>
        <v/>
      </c>
      <c r="CD195" s="1970"/>
      <c r="CE195" s="1970"/>
      <c r="CF195" s="1970"/>
      <c r="CG195" s="1970"/>
      <c r="CH195" s="1970"/>
      <c r="CI195" s="1899" t="str">
        <f t="shared" si="470"/>
        <v/>
      </c>
      <c r="CJ195" s="1971"/>
      <c r="CK195" s="1899" t="str">
        <f t="shared" si="447"/>
        <v/>
      </c>
      <c r="CL195" s="1899" t="str">
        <f t="shared" si="448"/>
        <v/>
      </c>
      <c r="CM195" s="1899" t="str">
        <f t="shared" si="449"/>
        <v/>
      </c>
      <c r="CN195" s="1899" t="str">
        <f t="shared" si="450"/>
        <v/>
      </c>
      <c r="CO195" s="1899" t="str">
        <f t="shared" si="451"/>
        <v/>
      </c>
      <c r="CP195" s="1899" t="str">
        <f t="shared" si="452"/>
        <v/>
      </c>
      <c r="CQ195" s="1899" t="str">
        <f t="shared" si="453"/>
        <v/>
      </c>
      <c r="CR195" s="1970"/>
      <c r="CS195" s="1970"/>
      <c r="CT195" s="3024" t="str">
        <f t="shared" si="454"/>
        <v/>
      </c>
      <c r="CU195" s="3024" t="str">
        <f t="shared" si="455"/>
        <v/>
      </c>
      <c r="DF195" s="4029">
        <f t="shared" si="456"/>
        <v>0</v>
      </c>
      <c r="DG195" s="4005">
        <f t="shared" si="472"/>
        <v>0</v>
      </c>
      <c r="DH195" s="4005">
        <f t="shared" si="457"/>
        <v>0</v>
      </c>
      <c r="DI195" s="1970"/>
      <c r="DJ195" s="1970"/>
      <c r="DK195" s="1970"/>
      <c r="DL195" s="1970"/>
      <c r="DM195" s="1970"/>
      <c r="DN195" s="4005">
        <f t="shared" si="458"/>
        <v>0</v>
      </c>
      <c r="DO195" s="1971"/>
      <c r="DP195" s="4005">
        <f t="shared" si="459"/>
        <v>0</v>
      </c>
      <c r="DQ195" s="4005">
        <f t="shared" si="460"/>
        <v>0</v>
      </c>
      <c r="DR195" s="4005">
        <f t="shared" si="461"/>
        <v>0</v>
      </c>
      <c r="DS195" s="4005">
        <f t="shared" si="462"/>
        <v>0</v>
      </c>
      <c r="DT195" s="4005">
        <f t="shared" si="463"/>
        <v>0</v>
      </c>
      <c r="DU195" s="4005">
        <f t="shared" si="464"/>
        <v>0</v>
      </c>
      <c r="DV195" s="4005">
        <f t="shared" si="465"/>
        <v>0</v>
      </c>
      <c r="DW195" s="1970"/>
      <c r="DX195" s="1970"/>
      <c r="DY195" s="4005">
        <f t="shared" si="466"/>
        <v>0</v>
      </c>
      <c r="DZ195" s="4005">
        <f t="shared" si="467"/>
        <v>0</v>
      </c>
    </row>
    <row r="196" spans="1:130" x14ac:dyDescent="0.3">
      <c r="A196" s="6877" t="s">
        <v>1916</v>
      </c>
      <c r="B196" s="6878"/>
      <c r="C196" s="638">
        <f>+E196+G196+I196+K196+M196+O196+Q196+S196+U196+W196+Y196+AA196+AC196+AE196+AG196+AI196</f>
        <v>0</v>
      </c>
      <c r="D196" s="3313">
        <f>+F196+H196+J196+L196+N196+P196+R196+T196+V196+X196+Z196+AB196+AD196+AF196+AH196+AJ196</f>
        <v>0</v>
      </c>
      <c r="E196" s="212"/>
      <c r="F196" s="1018"/>
      <c r="G196" s="212"/>
      <c r="H196" s="1018"/>
      <c r="I196" s="212"/>
      <c r="J196" s="1018"/>
      <c r="K196" s="212"/>
      <c r="L196" s="1018"/>
      <c r="M196" s="212"/>
      <c r="N196" s="1018"/>
      <c r="O196" s="212"/>
      <c r="P196" s="1018"/>
      <c r="Q196" s="212"/>
      <c r="R196" s="1018"/>
      <c r="S196" s="212"/>
      <c r="T196" s="1018"/>
      <c r="U196" s="212"/>
      <c r="V196" s="1018"/>
      <c r="W196" s="212"/>
      <c r="X196" s="1018"/>
      <c r="Y196" s="212"/>
      <c r="Z196" s="1018"/>
      <c r="AA196" s="212"/>
      <c r="AB196" s="1018"/>
      <c r="AC196" s="212"/>
      <c r="AD196" s="1018"/>
      <c r="AE196" s="212"/>
      <c r="AF196" s="1018"/>
      <c r="AG196" s="212"/>
      <c r="AH196" s="1018"/>
      <c r="AI196" s="212"/>
      <c r="AJ196" s="1018"/>
      <c r="AK196" s="1017"/>
      <c r="AL196" s="34"/>
      <c r="AM196" s="212"/>
      <c r="AN196" s="3526"/>
      <c r="AO196" s="1017"/>
      <c r="AP196" s="34"/>
      <c r="AQ196" s="1162"/>
      <c r="AR196" s="3526"/>
      <c r="AS196" s="1913"/>
      <c r="AT196" s="1912"/>
      <c r="AU196" s="1017"/>
      <c r="AV196" s="34"/>
      <c r="AW196" s="1017"/>
      <c r="AX196" s="34"/>
      <c r="AY196" s="1898" t="str">
        <f t="shared" si="473"/>
        <v/>
      </c>
      <c r="CA196" s="4027" t="str">
        <f t="shared" si="468"/>
        <v/>
      </c>
      <c r="CB196" s="1899" t="str">
        <f t="shared" si="474"/>
        <v/>
      </c>
      <c r="CC196" s="1899" t="str">
        <f t="shared" si="469"/>
        <v/>
      </c>
      <c r="CD196" s="1970"/>
      <c r="CE196" s="1970"/>
      <c r="CF196" s="1970"/>
      <c r="CG196" s="1970"/>
      <c r="CH196" s="1970"/>
      <c r="CI196" s="1899" t="str">
        <f t="shared" si="470"/>
        <v/>
      </c>
      <c r="CJ196" s="1971"/>
      <c r="CK196" s="1899" t="str">
        <f t="shared" si="447"/>
        <v/>
      </c>
      <c r="CL196" s="1899" t="str">
        <f t="shared" si="448"/>
        <v/>
      </c>
      <c r="CM196" s="1899" t="str">
        <f t="shared" si="449"/>
        <v/>
      </c>
      <c r="CN196" s="1899" t="str">
        <f t="shared" si="450"/>
        <v/>
      </c>
      <c r="CO196" s="1899" t="str">
        <f t="shared" si="451"/>
        <v/>
      </c>
      <c r="CP196" s="1899" t="str">
        <f t="shared" si="452"/>
        <v/>
      </c>
      <c r="CQ196" s="1899" t="str">
        <f t="shared" si="453"/>
        <v/>
      </c>
      <c r="CR196" s="1970"/>
      <c r="CS196" s="1970"/>
      <c r="CT196" s="3024" t="str">
        <f t="shared" si="454"/>
        <v/>
      </c>
      <c r="CU196" s="3024" t="str">
        <f t="shared" si="455"/>
        <v/>
      </c>
      <c r="DF196" s="4029">
        <f t="shared" si="456"/>
        <v>0</v>
      </c>
      <c r="DG196" s="4005">
        <f t="shared" si="472"/>
        <v>0</v>
      </c>
      <c r="DH196" s="4005">
        <f t="shared" si="457"/>
        <v>0</v>
      </c>
      <c r="DI196" s="1970"/>
      <c r="DJ196" s="1970"/>
      <c r="DK196" s="1970"/>
      <c r="DL196" s="1970"/>
      <c r="DM196" s="1970"/>
      <c r="DN196" s="4005">
        <f t="shared" si="458"/>
        <v>0</v>
      </c>
      <c r="DO196" s="1971"/>
      <c r="DP196" s="4005">
        <f t="shared" si="459"/>
        <v>0</v>
      </c>
      <c r="DQ196" s="4005">
        <f t="shared" si="460"/>
        <v>0</v>
      </c>
      <c r="DR196" s="4005">
        <f t="shared" si="461"/>
        <v>0</v>
      </c>
      <c r="DS196" s="4005">
        <f t="shared" si="462"/>
        <v>0</v>
      </c>
      <c r="DT196" s="4005">
        <f t="shared" si="463"/>
        <v>0</v>
      </c>
      <c r="DU196" s="4005">
        <f t="shared" si="464"/>
        <v>0</v>
      </c>
      <c r="DV196" s="4005">
        <f t="shared" si="465"/>
        <v>0</v>
      </c>
      <c r="DW196" s="1970"/>
      <c r="DX196" s="1970"/>
      <c r="DY196" s="4005">
        <f t="shared" si="466"/>
        <v>0</v>
      </c>
      <c r="DZ196" s="4005">
        <f t="shared" si="467"/>
        <v>0</v>
      </c>
    </row>
    <row r="197" spans="1:130" x14ac:dyDescent="0.3">
      <c r="A197" s="6659" t="s">
        <v>1899</v>
      </c>
      <c r="B197" s="3804" t="s">
        <v>1900</v>
      </c>
      <c r="C197" s="303">
        <f t="shared" ref="C197:D199" si="475">+O197+Q197+S197+U197+W197+Y197+AA197+AC197+AE197+AG197</f>
        <v>0</v>
      </c>
      <c r="D197" s="3119">
        <f t="shared" si="475"/>
        <v>0</v>
      </c>
      <c r="E197" s="4023"/>
      <c r="F197" s="3209"/>
      <c r="G197" s="4023"/>
      <c r="H197" s="3209"/>
      <c r="I197" s="4023"/>
      <c r="J197" s="3209"/>
      <c r="K197" s="4023"/>
      <c r="L197" s="3209"/>
      <c r="M197" s="4023"/>
      <c r="N197" s="3209"/>
      <c r="O197" s="3361"/>
      <c r="P197" s="960"/>
      <c r="Q197" s="3361"/>
      <c r="R197" s="960"/>
      <c r="S197" s="3361"/>
      <c r="T197" s="960"/>
      <c r="U197" s="3361"/>
      <c r="V197" s="960"/>
      <c r="W197" s="3361"/>
      <c r="X197" s="960"/>
      <c r="Y197" s="3361"/>
      <c r="Z197" s="960"/>
      <c r="AA197" s="3361"/>
      <c r="AB197" s="960"/>
      <c r="AC197" s="3361"/>
      <c r="AD197" s="960"/>
      <c r="AE197" s="3361"/>
      <c r="AF197" s="960"/>
      <c r="AG197" s="3361"/>
      <c r="AH197" s="960"/>
      <c r="AI197" s="4033"/>
      <c r="AJ197" s="4034"/>
      <c r="AK197" s="3126"/>
      <c r="AL197" s="4013"/>
      <c r="AM197" s="3361"/>
      <c r="AN197" s="4035"/>
      <c r="AO197" s="3126"/>
      <c r="AP197" s="4013"/>
      <c r="AQ197" s="4036"/>
      <c r="AR197" s="4035"/>
      <c r="AS197" s="337"/>
      <c r="AT197" s="1918"/>
      <c r="AU197" s="4036"/>
      <c r="AV197" s="4035"/>
      <c r="AW197" s="4037"/>
      <c r="AX197" s="4038"/>
      <c r="AY197" s="1898" t="str">
        <f>$CA197&amp;CB197&amp;$CC197&amp;CD197&amp;CE197&amp;CF197&amp;CG197&amp;CH197&amp;CI197&amp;CJ197&amp;CK197&amp;CL197&amp;CM197&amp;CN197&amp;CO197&amp;CP197&amp;CQ197&amp;CR197&amp;CS197</f>
        <v/>
      </c>
      <c r="CA197" s="4027" t="str">
        <f t="shared" si="468"/>
        <v/>
      </c>
      <c r="CB197" s="1899" t="str">
        <f t="shared" si="474"/>
        <v/>
      </c>
      <c r="CC197" s="1899" t="str">
        <f t="shared" si="469"/>
        <v/>
      </c>
      <c r="CD197" s="1970"/>
      <c r="CE197" s="1970"/>
      <c r="CF197" s="1970"/>
      <c r="CG197" s="1970"/>
      <c r="CH197" s="1970"/>
      <c r="CI197" s="1899" t="str">
        <f t="shared" si="470"/>
        <v/>
      </c>
      <c r="CJ197" s="1971"/>
      <c r="CK197" s="1899" t="str">
        <f t="shared" si="447"/>
        <v/>
      </c>
      <c r="CL197" s="1899" t="str">
        <f t="shared" si="448"/>
        <v/>
      </c>
      <c r="CM197" s="1899" t="str">
        <f t="shared" si="449"/>
        <v/>
      </c>
      <c r="CN197" s="1899" t="str">
        <f t="shared" si="450"/>
        <v/>
      </c>
      <c r="CO197" s="1899" t="str">
        <f t="shared" si="451"/>
        <v/>
      </c>
      <c r="CP197" s="1899" t="str">
        <f t="shared" si="452"/>
        <v/>
      </c>
      <c r="CQ197" s="1899" t="str">
        <f t="shared" si="453"/>
        <v/>
      </c>
      <c r="CR197" s="1970"/>
      <c r="CS197" s="1970"/>
      <c r="CT197" s="1902"/>
      <c r="CU197" s="1902"/>
      <c r="DF197" s="4029">
        <f t="shared" si="456"/>
        <v>0</v>
      </c>
      <c r="DG197" s="4005">
        <f t="shared" si="472"/>
        <v>0</v>
      </c>
      <c r="DH197" s="4005">
        <f t="shared" si="457"/>
        <v>0</v>
      </c>
      <c r="DI197" s="1970"/>
      <c r="DJ197" s="1970"/>
      <c r="DK197" s="1970"/>
      <c r="DL197" s="1970"/>
      <c r="DM197" s="1970"/>
      <c r="DN197" s="4005">
        <f t="shared" si="458"/>
        <v>0</v>
      </c>
      <c r="DO197" s="1971"/>
      <c r="DP197" s="4005">
        <f t="shared" si="459"/>
        <v>0</v>
      </c>
      <c r="DQ197" s="4005">
        <f t="shared" si="460"/>
        <v>0</v>
      </c>
      <c r="DR197" s="4005">
        <f t="shared" si="461"/>
        <v>0</v>
      </c>
      <c r="DS197" s="4005">
        <f t="shared" si="462"/>
        <v>0</v>
      </c>
      <c r="DT197" s="4005">
        <f t="shared" si="463"/>
        <v>0</v>
      </c>
      <c r="DU197" s="4005">
        <f t="shared" si="464"/>
        <v>0</v>
      </c>
      <c r="DV197" s="4005">
        <f t="shared" si="465"/>
        <v>0</v>
      </c>
      <c r="DW197" s="1970"/>
      <c r="DX197" s="1970"/>
      <c r="DY197" s="1903"/>
      <c r="DZ197" s="1903"/>
    </row>
    <row r="198" spans="1:130" x14ac:dyDescent="0.3">
      <c r="A198" s="6858"/>
      <c r="B198" s="4018" t="s">
        <v>1901</v>
      </c>
      <c r="C198" s="3991">
        <f t="shared" si="475"/>
        <v>0</v>
      </c>
      <c r="D198" s="3123">
        <f t="shared" si="475"/>
        <v>0</v>
      </c>
      <c r="E198" s="3992"/>
      <c r="F198" s="3993"/>
      <c r="G198" s="3992"/>
      <c r="H198" s="3993"/>
      <c r="I198" s="3992"/>
      <c r="J198" s="3993"/>
      <c r="K198" s="3992"/>
      <c r="L198" s="3993"/>
      <c r="M198" s="3992"/>
      <c r="N198" s="3993"/>
      <c r="O198" s="3996"/>
      <c r="P198" s="3995"/>
      <c r="Q198" s="3996"/>
      <c r="R198" s="3995"/>
      <c r="S198" s="3996"/>
      <c r="T198" s="3995"/>
      <c r="U198" s="3996"/>
      <c r="V198" s="3995"/>
      <c r="W198" s="3996"/>
      <c r="X198" s="3995"/>
      <c r="Y198" s="3996"/>
      <c r="Z198" s="3995"/>
      <c r="AA198" s="3996"/>
      <c r="AB198" s="3995"/>
      <c r="AC198" s="3996"/>
      <c r="AD198" s="3995"/>
      <c r="AE198" s="3996"/>
      <c r="AF198" s="3995"/>
      <c r="AG198" s="3996"/>
      <c r="AH198" s="3995"/>
      <c r="AI198" s="3992"/>
      <c r="AJ198" s="3994"/>
      <c r="AK198" s="3986"/>
      <c r="AL198" s="330"/>
      <c r="AM198" s="3996"/>
      <c r="AN198" s="4026"/>
      <c r="AO198" s="3986"/>
      <c r="AP198" s="330"/>
      <c r="AQ198" s="3987"/>
      <c r="AR198" s="4026"/>
      <c r="AS198" s="3986"/>
      <c r="AT198" s="4026"/>
      <c r="AU198" s="3987"/>
      <c r="AV198" s="4026"/>
      <c r="AW198" s="4039"/>
      <c r="AX198" s="2352"/>
      <c r="AY198" s="1898" t="str">
        <f>$CA198&amp;CB198&amp;$CC198&amp;CD198&amp;CE198&amp;CF198&amp;CG198&amp;CH198&amp;CI198&amp;CJ198&amp;CK198&amp;CL198&amp;CM198&amp;CN198&amp;CO198&amp;CP198&amp;CQ198&amp;CR198&amp;CS198</f>
        <v/>
      </c>
      <c r="CA198" s="4027" t="str">
        <f t="shared" si="468"/>
        <v/>
      </c>
      <c r="CB198" s="1899" t="str">
        <f t="shared" si="474"/>
        <v/>
      </c>
      <c r="CC198" s="1899" t="str">
        <f t="shared" si="469"/>
        <v/>
      </c>
      <c r="CD198" s="1970"/>
      <c r="CE198" s="1970"/>
      <c r="CF198" s="1970"/>
      <c r="CG198" s="1970"/>
      <c r="CH198" s="1970"/>
      <c r="CI198" s="1899" t="str">
        <f t="shared" si="470"/>
        <v/>
      </c>
      <c r="CJ198" s="1971"/>
      <c r="CK198" s="1899" t="str">
        <f t="shared" si="447"/>
        <v/>
      </c>
      <c r="CL198" s="1899" t="str">
        <f t="shared" si="448"/>
        <v/>
      </c>
      <c r="CM198" s="1899" t="str">
        <f t="shared" si="449"/>
        <v/>
      </c>
      <c r="CN198" s="1899" t="str">
        <f t="shared" si="450"/>
        <v/>
      </c>
      <c r="CO198" s="1899" t="str">
        <f t="shared" si="451"/>
        <v/>
      </c>
      <c r="CP198" s="1899" t="str">
        <f t="shared" si="452"/>
        <v/>
      </c>
      <c r="CQ198" s="1899" t="str">
        <f t="shared" si="453"/>
        <v/>
      </c>
      <c r="CR198" s="1970"/>
      <c r="CS198" s="1970"/>
      <c r="CT198" s="1902"/>
      <c r="CU198" s="1902"/>
      <c r="DF198" s="4029">
        <f t="shared" si="456"/>
        <v>0</v>
      </c>
      <c r="DG198" s="4005">
        <f t="shared" si="472"/>
        <v>0</v>
      </c>
      <c r="DH198" s="4005">
        <f t="shared" si="457"/>
        <v>0</v>
      </c>
      <c r="DI198" s="1970"/>
      <c r="DJ198" s="1970"/>
      <c r="DK198" s="1970"/>
      <c r="DL198" s="1970"/>
      <c r="DM198" s="1970"/>
      <c r="DN198" s="4005">
        <f t="shared" si="458"/>
        <v>0</v>
      </c>
      <c r="DO198" s="1971"/>
      <c r="DP198" s="4005">
        <f t="shared" si="459"/>
        <v>0</v>
      </c>
      <c r="DQ198" s="4005">
        <f t="shared" si="460"/>
        <v>0</v>
      </c>
      <c r="DR198" s="4005">
        <f t="shared" si="461"/>
        <v>0</v>
      </c>
      <c r="DS198" s="4005">
        <f t="shared" si="462"/>
        <v>0</v>
      </c>
      <c r="DT198" s="4005">
        <f t="shared" si="463"/>
        <v>0</v>
      </c>
      <c r="DU198" s="4005">
        <f t="shared" si="464"/>
        <v>0</v>
      </c>
      <c r="DV198" s="4005">
        <f t="shared" si="465"/>
        <v>0</v>
      </c>
      <c r="DW198" s="1970"/>
      <c r="DX198" s="1970"/>
      <c r="DY198" s="1903"/>
      <c r="DZ198" s="1903"/>
    </row>
    <row r="199" spans="1:130" x14ac:dyDescent="0.3">
      <c r="A199" s="6044"/>
      <c r="B199" s="417" t="s">
        <v>1902</v>
      </c>
      <c r="C199" s="638">
        <f t="shared" si="475"/>
        <v>0</v>
      </c>
      <c r="D199" s="3121">
        <f t="shared" si="475"/>
        <v>0</v>
      </c>
      <c r="E199" s="1905"/>
      <c r="F199" s="1909"/>
      <c r="G199" s="1905"/>
      <c r="H199" s="1909"/>
      <c r="I199" s="1905"/>
      <c r="J199" s="1909"/>
      <c r="K199" s="1905"/>
      <c r="L199" s="1909"/>
      <c r="M199" s="1905"/>
      <c r="N199" s="1909"/>
      <c r="O199" s="876"/>
      <c r="P199" s="1907"/>
      <c r="Q199" s="876"/>
      <c r="R199" s="1907"/>
      <c r="S199" s="876"/>
      <c r="T199" s="1907"/>
      <c r="U199" s="876"/>
      <c r="V199" s="1907"/>
      <c r="W199" s="876"/>
      <c r="X199" s="1907"/>
      <c r="Y199" s="876"/>
      <c r="Z199" s="1907"/>
      <c r="AA199" s="876"/>
      <c r="AB199" s="1907"/>
      <c r="AC199" s="876"/>
      <c r="AD199" s="1907"/>
      <c r="AE199" s="876"/>
      <c r="AF199" s="1907"/>
      <c r="AG199" s="876"/>
      <c r="AH199" s="1907"/>
      <c r="AI199" s="1905"/>
      <c r="AJ199" s="1910"/>
      <c r="AK199" s="1913"/>
      <c r="AL199" s="877"/>
      <c r="AM199" s="876"/>
      <c r="AN199" s="1912"/>
      <c r="AO199" s="1913"/>
      <c r="AP199" s="877"/>
      <c r="AQ199" s="1911"/>
      <c r="AR199" s="1912"/>
      <c r="AS199" s="1913"/>
      <c r="AT199" s="1912"/>
      <c r="AU199" s="1911"/>
      <c r="AV199" s="1912"/>
      <c r="AW199" s="4040"/>
      <c r="AX199" s="1943"/>
      <c r="AY199" s="1898" t="str">
        <f t="shared" ref="AY199" si="476">$CA199&amp;CB199&amp;$CC199&amp;CD199&amp;CE199&amp;CF199&amp;CG199&amp;CH199&amp;CI199&amp;CJ199&amp;CK199&amp;CL199&amp;CM199&amp;CN199&amp;CO199&amp;CP199&amp;CQ199&amp;CR199&amp;CS199</f>
        <v/>
      </c>
      <c r="CA199" s="4027" t="str">
        <f t="shared" si="468"/>
        <v/>
      </c>
      <c r="CB199" s="1899" t="str">
        <f t="shared" si="474"/>
        <v/>
      </c>
      <c r="CC199" s="1899" t="str">
        <f t="shared" si="469"/>
        <v/>
      </c>
      <c r="CD199" s="1970"/>
      <c r="CE199" s="1970"/>
      <c r="CF199" s="1970"/>
      <c r="CG199" s="1970"/>
      <c r="CH199" s="1970"/>
      <c r="CI199" s="1899" t="str">
        <f t="shared" si="470"/>
        <v/>
      </c>
      <c r="CJ199" s="1971"/>
      <c r="CK199" s="1899" t="str">
        <f t="shared" si="447"/>
        <v/>
      </c>
      <c r="CL199" s="1899" t="str">
        <f t="shared" si="448"/>
        <v/>
      </c>
      <c r="CM199" s="1899" t="str">
        <f t="shared" si="449"/>
        <v/>
      </c>
      <c r="CN199" s="1899" t="str">
        <f t="shared" si="450"/>
        <v/>
      </c>
      <c r="CO199" s="1899" t="str">
        <f t="shared" si="451"/>
        <v/>
      </c>
      <c r="CP199" s="1899" t="str">
        <f t="shared" si="452"/>
        <v/>
      </c>
      <c r="CQ199" s="1899" t="str">
        <f t="shared" si="453"/>
        <v/>
      </c>
      <c r="CR199" s="1970"/>
      <c r="CS199" s="1970"/>
      <c r="CT199" s="1902"/>
      <c r="CU199" s="1902"/>
      <c r="DF199" s="4029">
        <f t="shared" si="456"/>
        <v>0</v>
      </c>
      <c r="DG199" s="4005">
        <f t="shared" si="472"/>
        <v>0</v>
      </c>
      <c r="DH199" s="4005">
        <f t="shared" si="457"/>
        <v>0</v>
      </c>
      <c r="DI199" s="1970"/>
      <c r="DJ199" s="1970"/>
      <c r="DK199" s="1970"/>
      <c r="DL199" s="1970"/>
      <c r="DM199" s="1970"/>
      <c r="DN199" s="4005">
        <f t="shared" si="458"/>
        <v>0</v>
      </c>
      <c r="DO199" s="1971"/>
      <c r="DP199" s="4005">
        <f t="shared" si="459"/>
        <v>0</v>
      </c>
      <c r="DQ199" s="4005">
        <f t="shared" si="460"/>
        <v>0</v>
      </c>
      <c r="DR199" s="4005">
        <f t="shared" si="461"/>
        <v>0</v>
      </c>
      <c r="DS199" s="4005">
        <f t="shared" si="462"/>
        <v>0</v>
      </c>
      <c r="DT199" s="4005">
        <f t="shared" si="463"/>
        <v>0</v>
      </c>
      <c r="DU199" s="4005">
        <f t="shared" si="464"/>
        <v>0</v>
      </c>
      <c r="DV199" s="4005">
        <f t="shared" si="465"/>
        <v>0</v>
      </c>
      <c r="DW199" s="1970"/>
      <c r="DX199" s="1970"/>
      <c r="DY199" s="1903"/>
      <c r="DZ199" s="1903"/>
    </row>
    <row r="200" spans="1:130" x14ac:dyDescent="0.3">
      <c r="A200" s="6879" t="s">
        <v>1881</v>
      </c>
      <c r="B200" s="6880"/>
      <c r="C200" s="303">
        <f t="shared" ref="C200:D202" si="477">+E200+G200+I200+K200+M200+O200+Q200+S200+U200+W200+Y200+AA200+AC200+AE200+AG200+AI200</f>
        <v>0</v>
      </c>
      <c r="D200" s="3123">
        <f t="shared" si="477"/>
        <v>0</v>
      </c>
      <c r="E200" s="327"/>
      <c r="F200" s="1039"/>
      <c r="G200" s="327"/>
      <c r="H200" s="1039"/>
      <c r="I200" s="327"/>
      <c r="J200" s="1039"/>
      <c r="K200" s="327"/>
      <c r="L200" s="1039"/>
      <c r="M200" s="20"/>
      <c r="N200" s="232"/>
      <c r="O200" s="20"/>
      <c r="P200" s="232"/>
      <c r="Q200" s="20"/>
      <c r="R200" s="232"/>
      <c r="S200" s="20"/>
      <c r="T200" s="232"/>
      <c r="U200" s="20"/>
      <c r="V200" s="232"/>
      <c r="W200" s="20"/>
      <c r="X200" s="232"/>
      <c r="Y200" s="20"/>
      <c r="Z200" s="232"/>
      <c r="AA200" s="20"/>
      <c r="AB200" s="232"/>
      <c r="AC200" s="20"/>
      <c r="AD200" s="2431"/>
      <c r="AE200" s="20"/>
      <c r="AF200" s="2431"/>
      <c r="AG200" s="4010"/>
      <c r="AH200" s="4012"/>
      <c r="AI200" s="20"/>
      <c r="AJ200" s="232"/>
      <c r="AK200" s="337"/>
      <c r="AL200" s="142"/>
      <c r="AM200" s="327"/>
      <c r="AN200" s="1918"/>
      <c r="AO200" s="337"/>
      <c r="AP200" s="142"/>
      <c r="AQ200" s="44"/>
      <c r="AR200" s="1918"/>
      <c r="AS200" s="337"/>
      <c r="AT200" s="1918"/>
      <c r="AU200" s="337"/>
      <c r="AV200" s="142"/>
      <c r="AW200" s="337"/>
      <c r="AX200" s="142"/>
      <c r="AY200" s="1898" t="str">
        <f t="shared" si="473"/>
        <v/>
      </c>
      <c r="CA200" s="4027" t="str">
        <f t="shared" si="468"/>
        <v/>
      </c>
      <c r="CB200" s="1899" t="str">
        <f t="shared" si="474"/>
        <v/>
      </c>
      <c r="CC200" s="1899" t="str">
        <f t="shared" si="469"/>
        <v/>
      </c>
      <c r="CD200" s="1970"/>
      <c r="CE200" s="1970"/>
      <c r="CF200" s="1970"/>
      <c r="CG200" s="1970"/>
      <c r="CH200" s="1970"/>
      <c r="CI200" s="1899" t="str">
        <f t="shared" si="470"/>
        <v/>
      </c>
      <c r="CJ200" s="1971"/>
      <c r="CK200" s="1899" t="str">
        <f t="shared" si="447"/>
        <v/>
      </c>
      <c r="CL200" s="1899" t="str">
        <f t="shared" si="448"/>
        <v/>
      </c>
      <c r="CM200" s="1899" t="str">
        <f t="shared" si="449"/>
        <v/>
      </c>
      <c r="CN200" s="1899" t="str">
        <f t="shared" si="450"/>
        <v/>
      </c>
      <c r="CO200" s="1899" t="str">
        <f t="shared" si="451"/>
        <v/>
      </c>
      <c r="CP200" s="1899" t="str">
        <f t="shared" si="452"/>
        <v/>
      </c>
      <c r="CQ200" s="1899" t="str">
        <f t="shared" si="453"/>
        <v/>
      </c>
      <c r="CR200" s="1970"/>
      <c r="CS200" s="1970"/>
      <c r="CT200" s="3024" t="str">
        <f t="shared" ref="CT200:CT210" si="478">IF(AND((M200+O200)&gt;0,AW200=""),"*No olvide digitar los Exámenes Procesados de 14-18 años. Digite cero si no tiene.",IF(AW200&gt;(M200+O200),"* El Total de Procesados de 14-18 años NO DEBE ser mayor al Total de Procesados registrados en los grupos de edad 10 a 14 + 15 a 19 años. ",""))</f>
        <v/>
      </c>
      <c r="CU200" s="3024" t="str">
        <f t="shared" ref="CU200:CU210" si="479">IF(AND((N200+P200)&gt;0,AX200=""),"*No olvide digitar los Exámenes Confirmados Positivos por ISP de 14-18 años. Digite cero si no tiene.",IF(AX200&gt;(N200+P200),"* El Total de Confirmados de 14-18 años NO DEBE ser mayor al Total de Confirmados Positivos por ISP registrados en los grupos de edad 10 a 14 + 15 a 19 años. ",""))</f>
        <v/>
      </c>
      <c r="DF200" s="4029">
        <f t="shared" si="456"/>
        <v>0</v>
      </c>
      <c r="DG200" s="4005">
        <f t="shared" si="472"/>
        <v>0</v>
      </c>
      <c r="DH200" s="4005">
        <f t="shared" si="457"/>
        <v>0</v>
      </c>
      <c r="DI200" s="1970"/>
      <c r="DJ200" s="1970"/>
      <c r="DK200" s="1970"/>
      <c r="DL200" s="1970"/>
      <c r="DM200" s="1970"/>
      <c r="DN200" s="4005">
        <f t="shared" si="458"/>
        <v>0</v>
      </c>
      <c r="DO200" s="1971"/>
      <c r="DP200" s="4005">
        <f t="shared" si="459"/>
        <v>0</v>
      </c>
      <c r="DQ200" s="4005">
        <f t="shared" si="460"/>
        <v>0</v>
      </c>
      <c r="DR200" s="4005">
        <f t="shared" si="461"/>
        <v>0</v>
      </c>
      <c r="DS200" s="4005">
        <f t="shared" si="462"/>
        <v>0</v>
      </c>
      <c r="DT200" s="4005">
        <f t="shared" si="463"/>
        <v>0</v>
      </c>
      <c r="DU200" s="4005">
        <f t="shared" si="464"/>
        <v>0</v>
      </c>
      <c r="DV200" s="4005">
        <f t="shared" si="465"/>
        <v>0</v>
      </c>
      <c r="DW200" s="1970"/>
      <c r="DX200" s="1970"/>
      <c r="DY200" s="4005">
        <f t="shared" ref="DY200:DY210" si="480">IF(AND((M200+O200)&gt;0,AW200=""),1,IF(AW200&gt;(M200+O200),1,0))</f>
        <v>0</v>
      </c>
      <c r="DZ200" s="4005">
        <f t="shared" ref="DZ200:DZ210" si="481">IF(AND((N200+P200)&gt;0,AX200=""),1,IF(AX200&gt;(N200+P200),1,0))</f>
        <v>0</v>
      </c>
    </row>
    <row r="201" spans="1:130" x14ac:dyDescent="0.3">
      <c r="A201" s="6875" t="s">
        <v>1917</v>
      </c>
      <c r="B201" s="6876"/>
      <c r="C201" s="3991">
        <f t="shared" si="477"/>
        <v>0</v>
      </c>
      <c r="D201" s="4030">
        <f t="shared" si="477"/>
        <v>0</v>
      </c>
      <c r="E201" s="3996"/>
      <c r="F201" s="3995"/>
      <c r="G201" s="3996"/>
      <c r="H201" s="3995"/>
      <c r="I201" s="3996"/>
      <c r="J201" s="3995"/>
      <c r="K201" s="3996"/>
      <c r="L201" s="3995"/>
      <c r="M201" s="3996"/>
      <c r="N201" s="3995"/>
      <c r="O201" s="212"/>
      <c r="P201" s="1018"/>
      <c r="Q201" s="212"/>
      <c r="R201" s="1018"/>
      <c r="S201" s="212"/>
      <c r="T201" s="1018"/>
      <c r="U201" s="212"/>
      <c r="V201" s="1018"/>
      <c r="W201" s="212"/>
      <c r="X201" s="1018"/>
      <c r="Y201" s="212"/>
      <c r="Z201" s="1018"/>
      <c r="AA201" s="212"/>
      <c r="AB201" s="1018"/>
      <c r="AC201" s="212"/>
      <c r="AD201" s="1163"/>
      <c r="AE201" s="212"/>
      <c r="AF201" s="1163"/>
      <c r="AG201" s="212"/>
      <c r="AH201" s="1161"/>
      <c r="AI201" s="212"/>
      <c r="AJ201" s="1018"/>
      <c r="AK201" s="1017"/>
      <c r="AL201" s="34"/>
      <c r="AM201" s="212"/>
      <c r="AN201" s="3526"/>
      <c r="AO201" s="1017"/>
      <c r="AP201" s="34"/>
      <c r="AQ201" s="1162"/>
      <c r="AR201" s="3526"/>
      <c r="AS201" s="1017"/>
      <c r="AT201" s="3526"/>
      <c r="AU201" s="1017"/>
      <c r="AV201" s="34"/>
      <c r="AW201" s="1017"/>
      <c r="AX201" s="34"/>
      <c r="AY201" s="1898" t="str">
        <f>$CA201&amp;CB201&amp;$CC201&amp;CD201&amp;CE201&amp;CF201&amp;CG201&amp;CH201&amp;CI201&amp;CJ201&amp;CK201&amp;CL201&amp;CM201&amp;CN201&amp;CO201&amp;CP201&amp;CQ201&amp;CR201&amp;CS201&amp;CT201&amp;CU201</f>
        <v/>
      </c>
      <c r="CA201" s="4027" t="str">
        <f t="shared" si="468"/>
        <v/>
      </c>
      <c r="CB201" s="1899" t="str">
        <f t="shared" si="474"/>
        <v/>
      </c>
      <c r="CC201" s="1899" t="str">
        <f t="shared" si="469"/>
        <v/>
      </c>
      <c r="CD201" s="1970"/>
      <c r="CE201" s="1970"/>
      <c r="CF201" s="1970"/>
      <c r="CG201" s="1970"/>
      <c r="CH201" s="1970"/>
      <c r="CI201" s="1899" t="str">
        <f t="shared" si="470"/>
        <v/>
      </c>
      <c r="CJ201" s="1971"/>
      <c r="CK201" s="1899" t="str">
        <f t="shared" si="447"/>
        <v/>
      </c>
      <c r="CL201" s="1899" t="str">
        <f t="shared" si="448"/>
        <v/>
      </c>
      <c r="CM201" s="1899" t="str">
        <f t="shared" si="449"/>
        <v/>
      </c>
      <c r="CN201" s="1899" t="str">
        <f t="shared" si="450"/>
        <v/>
      </c>
      <c r="CO201" s="1899" t="str">
        <f t="shared" si="451"/>
        <v/>
      </c>
      <c r="CP201" s="1899" t="str">
        <f t="shared" si="452"/>
        <v/>
      </c>
      <c r="CQ201" s="1899" t="str">
        <f t="shared" si="453"/>
        <v/>
      </c>
      <c r="CR201" s="1970"/>
      <c r="CS201" s="1970"/>
      <c r="CT201" s="3024" t="str">
        <f t="shared" si="478"/>
        <v/>
      </c>
      <c r="CU201" s="3024" t="str">
        <f t="shared" si="479"/>
        <v/>
      </c>
      <c r="DF201" s="4029">
        <f t="shared" si="456"/>
        <v>0</v>
      </c>
      <c r="DG201" s="4005">
        <f t="shared" si="472"/>
        <v>0</v>
      </c>
      <c r="DH201" s="4005">
        <f t="shared" si="457"/>
        <v>0</v>
      </c>
      <c r="DI201" s="1970"/>
      <c r="DJ201" s="1970"/>
      <c r="DK201" s="1970"/>
      <c r="DL201" s="1970"/>
      <c r="DM201" s="1970"/>
      <c r="DN201" s="4005">
        <f t="shared" si="458"/>
        <v>0</v>
      </c>
      <c r="DO201" s="1971"/>
      <c r="DP201" s="4005">
        <f t="shared" si="459"/>
        <v>0</v>
      </c>
      <c r="DQ201" s="4005">
        <f t="shared" si="460"/>
        <v>0</v>
      </c>
      <c r="DR201" s="4005">
        <f t="shared" si="461"/>
        <v>0</v>
      </c>
      <c r="DS201" s="4005">
        <f t="shared" si="462"/>
        <v>0</v>
      </c>
      <c r="DT201" s="4005">
        <f t="shared" si="463"/>
        <v>0</v>
      </c>
      <c r="DU201" s="4005">
        <f t="shared" si="464"/>
        <v>0</v>
      </c>
      <c r="DV201" s="4005">
        <f t="shared" si="465"/>
        <v>0</v>
      </c>
      <c r="DW201" s="1970"/>
      <c r="DX201" s="1970"/>
      <c r="DY201" s="4005">
        <f t="shared" si="480"/>
        <v>0</v>
      </c>
      <c r="DZ201" s="4005">
        <f t="shared" si="481"/>
        <v>0</v>
      </c>
    </row>
    <row r="202" spans="1:130" x14ac:dyDescent="0.3">
      <c r="A202" s="6875" t="s">
        <v>1883</v>
      </c>
      <c r="B202" s="6876"/>
      <c r="C202" s="3991">
        <f t="shared" si="477"/>
        <v>0</v>
      </c>
      <c r="D202" s="4030">
        <f>+F202+H202+J202+L202+N202+P202+R202+T202+V202+X202+Z202+AB202+AD202+AF202+AH202+AJ202</f>
        <v>0</v>
      </c>
      <c r="E202" s="3996"/>
      <c r="F202" s="3995"/>
      <c r="G202" s="3996"/>
      <c r="H202" s="3995"/>
      <c r="I202" s="3996"/>
      <c r="J202" s="3995"/>
      <c r="K202" s="3996"/>
      <c r="L202" s="3995"/>
      <c r="M202" s="3996"/>
      <c r="N202" s="3995"/>
      <c r="O202" s="212"/>
      <c r="P202" s="1018"/>
      <c r="Q202" s="212"/>
      <c r="R202" s="1018"/>
      <c r="S202" s="212"/>
      <c r="T202" s="1018"/>
      <c r="U202" s="212"/>
      <c r="V202" s="1018"/>
      <c r="W202" s="212"/>
      <c r="X202" s="1018"/>
      <c r="Y202" s="212"/>
      <c r="Z202" s="1018"/>
      <c r="AA202" s="212"/>
      <c r="AB202" s="1018"/>
      <c r="AC202" s="212"/>
      <c r="AD202" s="1163"/>
      <c r="AE202" s="212"/>
      <c r="AF202" s="1163"/>
      <c r="AG202" s="212"/>
      <c r="AH202" s="1161"/>
      <c r="AI202" s="212"/>
      <c r="AJ202" s="1018"/>
      <c r="AK202" s="1017"/>
      <c r="AL202" s="34"/>
      <c r="AM202" s="212"/>
      <c r="AN202" s="3526"/>
      <c r="AO202" s="1017"/>
      <c r="AP202" s="34"/>
      <c r="AQ202" s="1162"/>
      <c r="AR202" s="3526"/>
      <c r="AS202" s="1017"/>
      <c r="AT202" s="3526"/>
      <c r="AU202" s="1017"/>
      <c r="AV202" s="34"/>
      <c r="AW202" s="1017"/>
      <c r="AX202" s="34"/>
      <c r="AY202" s="1898" t="str">
        <f t="shared" si="473"/>
        <v/>
      </c>
      <c r="CA202" s="4027" t="str">
        <f t="shared" si="468"/>
        <v/>
      </c>
      <c r="CB202" s="1899" t="str">
        <f t="shared" si="474"/>
        <v/>
      </c>
      <c r="CC202" s="1899" t="str">
        <f t="shared" si="469"/>
        <v/>
      </c>
      <c r="CD202" s="1970"/>
      <c r="CE202" s="1970"/>
      <c r="CF202" s="1970"/>
      <c r="CG202" s="1970"/>
      <c r="CH202" s="1970"/>
      <c r="CI202" s="1899" t="str">
        <f t="shared" si="470"/>
        <v/>
      </c>
      <c r="CJ202" s="1971"/>
      <c r="CK202" s="1899" t="str">
        <f t="shared" si="447"/>
        <v/>
      </c>
      <c r="CL202" s="1899" t="str">
        <f t="shared" si="448"/>
        <v/>
      </c>
      <c r="CM202" s="1899" t="str">
        <f t="shared" si="449"/>
        <v/>
      </c>
      <c r="CN202" s="1899" t="str">
        <f t="shared" si="450"/>
        <v/>
      </c>
      <c r="CO202" s="1899" t="str">
        <f t="shared" si="451"/>
        <v/>
      </c>
      <c r="CP202" s="1899" t="str">
        <f t="shared" si="452"/>
        <v/>
      </c>
      <c r="CQ202" s="1899" t="str">
        <f t="shared" si="453"/>
        <v/>
      </c>
      <c r="CR202" s="1970"/>
      <c r="CS202" s="1970"/>
      <c r="CT202" s="3024" t="str">
        <f t="shared" si="478"/>
        <v/>
      </c>
      <c r="CU202" s="3024" t="str">
        <f t="shared" si="479"/>
        <v/>
      </c>
      <c r="DF202" s="4029">
        <f t="shared" si="456"/>
        <v>0</v>
      </c>
      <c r="DG202" s="4005">
        <f t="shared" si="472"/>
        <v>0</v>
      </c>
      <c r="DH202" s="4005">
        <f t="shared" si="457"/>
        <v>0</v>
      </c>
      <c r="DI202" s="1970"/>
      <c r="DJ202" s="1970"/>
      <c r="DK202" s="1970"/>
      <c r="DL202" s="1970"/>
      <c r="DM202" s="1970"/>
      <c r="DN202" s="4005">
        <f t="shared" si="458"/>
        <v>0</v>
      </c>
      <c r="DO202" s="1971"/>
      <c r="DP202" s="4005">
        <f t="shared" si="459"/>
        <v>0</v>
      </c>
      <c r="DQ202" s="4005">
        <f t="shared" si="460"/>
        <v>0</v>
      </c>
      <c r="DR202" s="4005">
        <f t="shared" si="461"/>
        <v>0</v>
      </c>
      <c r="DS202" s="4005">
        <f t="shared" si="462"/>
        <v>0</v>
      </c>
      <c r="DT202" s="4005">
        <f t="shared" si="463"/>
        <v>0</v>
      </c>
      <c r="DU202" s="4005">
        <f t="shared" si="464"/>
        <v>0</v>
      </c>
      <c r="DV202" s="4005">
        <f t="shared" si="465"/>
        <v>0</v>
      </c>
      <c r="DW202" s="1970"/>
      <c r="DX202" s="1970"/>
      <c r="DY202" s="4005">
        <f t="shared" si="480"/>
        <v>0</v>
      </c>
      <c r="DZ202" s="4005">
        <f t="shared" si="481"/>
        <v>0</v>
      </c>
    </row>
    <row r="203" spans="1:130" x14ac:dyDescent="0.3">
      <c r="A203" s="6875" t="s">
        <v>1918</v>
      </c>
      <c r="B203" s="6876"/>
      <c r="C203" s="3991">
        <f t="shared" ref="C203:D205" si="482">+O203+Q203+S203+U203+W203+Y203+AA203+AC203+AE203+AG203+AI203</f>
        <v>0</v>
      </c>
      <c r="D203" s="4041">
        <f t="shared" si="482"/>
        <v>0</v>
      </c>
      <c r="E203" s="3992"/>
      <c r="F203" s="3993"/>
      <c r="G203" s="3992"/>
      <c r="H203" s="3993"/>
      <c r="I203" s="3992"/>
      <c r="J203" s="3993"/>
      <c r="K203" s="3992"/>
      <c r="L203" s="3993"/>
      <c r="M203" s="3992"/>
      <c r="N203" s="3993"/>
      <c r="O203" s="212"/>
      <c r="P203" s="1018"/>
      <c r="Q203" s="212"/>
      <c r="R203" s="1018"/>
      <c r="S203" s="212"/>
      <c r="T203" s="1018"/>
      <c r="U203" s="212"/>
      <c r="V203" s="1018"/>
      <c r="W203" s="212"/>
      <c r="X203" s="1018"/>
      <c r="Y203" s="212"/>
      <c r="Z203" s="1018"/>
      <c r="AA203" s="212"/>
      <c r="AB203" s="1018"/>
      <c r="AC203" s="212"/>
      <c r="AD203" s="1163"/>
      <c r="AE203" s="212"/>
      <c r="AF203" s="1163"/>
      <c r="AG203" s="212"/>
      <c r="AH203" s="1161"/>
      <c r="AI203" s="212"/>
      <c r="AJ203" s="1018"/>
      <c r="AK203" s="1017"/>
      <c r="AL203" s="34"/>
      <c r="AM203" s="212"/>
      <c r="AN203" s="3526"/>
      <c r="AO203" s="1017"/>
      <c r="AP203" s="34"/>
      <c r="AQ203" s="1162"/>
      <c r="AR203" s="3526"/>
      <c r="AS203" s="1017"/>
      <c r="AT203" s="3526"/>
      <c r="AU203" s="1017"/>
      <c r="AV203" s="34"/>
      <c r="AW203" s="1017"/>
      <c r="AX203" s="34"/>
      <c r="AY203" s="1898" t="str">
        <f t="shared" si="473"/>
        <v/>
      </c>
      <c r="CA203" s="4027" t="str">
        <f t="shared" si="468"/>
        <v/>
      </c>
      <c r="CB203" s="1899" t="str">
        <f t="shared" si="474"/>
        <v/>
      </c>
      <c r="CC203" s="1899" t="str">
        <f t="shared" si="469"/>
        <v/>
      </c>
      <c r="CD203" s="1970"/>
      <c r="CE203" s="1970"/>
      <c r="CF203" s="1970"/>
      <c r="CG203" s="1970"/>
      <c r="CH203" s="1970"/>
      <c r="CI203" s="1899" t="str">
        <f t="shared" si="470"/>
        <v/>
      </c>
      <c r="CJ203" s="1971"/>
      <c r="CK203" s="1899" t="str">
        <f t="shared" si="447"/>
        <v/>
      </c>
      <c r="CL203" s="1899" t="str">
        <f t="shared" si="448"/>
        <v/>
      </c>
      <c r="CM203" s="1899" t="str">
        <f t="shared" si="449"/>
        <v/>
      </c>
      <c r="CN203" s="1899" t="str">
        <f t="shared" si="450"/>
        <v/>
      </c>
      <c r="CO203" s="1899" t="str">
        <f t="shared" si="451"/>
        <v/>
      </c>
      <c r="CP203" s="1899" t="str">
        <f t="shared" si="452"/>
        <v/>
      </c>
      <c r="CQ203" s="1899" t="str">
        <f t="shared" si="453"/>
        <v/>
      </c>
      <c r="CR203" s="1970"/>
      <c r="CS203" s="1970"/>
      <c r="CT203" s="3024" t="str">
        <f t="shared" si="478"/>
        <v/>
      </c>
      <c r="CU203" s="3024" t="str">
        <f t="shared" si="479"/>
        <v/>
      </c>
      <c r="DF203" s="4029">
        <f t="shared" si="456"/>
        <v>0</v>
      </c>
      <c r="DG203" s="4005">
        <f t="shared" si="472"/>
        <v>0</v>
      </c>
      <c r="DH203" s="4005">
        <f t="shared" si="457"/>
        <v>0</v>
      </c>
      <c r="DI203" s="1970"/>
      <c r="DJ203" s="1970"/>
      <c r="DK203" s="1970"/>
      <c r="DL203" s="1970"/>
      <c r="DM203" s="1970"/>
      <c r="DN203" s="4005">
        <f t="shared" si="458"/>
        <v>0</v>
      </c>
      <c r="DO203" s="1971"/>
      <c r="DP203" s="4005">
        <f t="shared" si="459"/>
        <v>0</v>
      </c>
      <c r="DQ203" s="4005">
        <f t="shared" si="460"/>
        <v>0</v>
      </c>
      <c r="DR203" s="4005">
        <f t="shared" si="461"/>
        <v>0</v>
      </c>
      <c r="DS203" s="4005">
        <f t="shared" si="462"/>
        <v>0</v>
      </c>
      <c r="DT203" s="4005">
        <f t="shared" si="463"/>
        <v>0</v>
      </c>
      <c r="DU203" s="4005">
        <f t="shared" si="464"/>
        <v>0</v>
      </c>
      <c r="DV203" s="4005">
        <f t="shared" si="465"/>
        <v>0</v>
      </c>
      <c r="DW203" s="1970"/>
      <c r="DX203" s="1970"/>
      <c r="DY203" s="4005">
        <f t="shared" si="480"/>
        <v>0</v>
      </c>
      <c r="DZ203" s="4005">
        <f t="shared" si="481"/>
        <v>0</v>
      </c>
    </row>
    <row r="204" spans="1:130" x14ac:dyDescent="0.3">
      <c r="A204" s="6875" t="s">
        <v>1919</v>
      </c>
      <c r="B204" s="6876"/>
      <c r="C204" s="3991">
        <f t="shared" si="482"/>
        <v>0</v>
      </c>
      <c r="D204" s="4041">
        <f t="shared" si="482"/>
        <v>0</v>
      </c>
      <c r="E204" s="3992"/>
      <c r="F204" s="3993"/>
      <c r="G204" s="3992"/>
      <c r="H204" s="3993"/>
      <c r="I204" s="3992"/>
      <c r="J204" s="3993"/>
      <c r="K204" s="3992"/>
      <c r="L204" s="3993"/>
      <c r="M204" s="3992"/>
      <c r="N204" s="3993"/>
      <c r="O204" s="212"/>
      <c r="P204" s="1018"/>
      <c r="Q204" s="212"/>
      <c r="R204" s="1018"/>
      <c r="S204" s="212"/>
      <c r="T204" s="1018"/>
      <c r="U204" s="212"/>
      <c r="V204" s="1018"/>
      <c r="W204" s="212"/>
      <c r="X204" s="1018"/>
      <c r="Y204" s="212"/>
      <c r="Z204" s="1018"/>
      <c r="AA204" s="212"/>
      <c r="AB204" s="1018"/>
      <c r="AC204" s="212"/>
      <c r="AD204" s="1163"/>
      <c r="AE204" s="212"/>
      <c r="AF204" s="1163"/>
      <c r="AG204" s="3996"/>
      <c r="AH204" s="34"/>
      <c r="AI204" s="3996"/>
      <c r="AJ204" s="1162"/>
      <c r="AK204" s="1017"/>
      <c r="AL204" s="34"/>
      <c r="AM204" s="212"/>
      <c r="AN204" s="3526"/>
      <c r="AO204" s="1017"/>
      <c r="AP204" s="34"/>
      <c r="AQ204" s="1162"/>
      <c r="AR204" s="3526"/>
      <c r="AS204" s="1017"/>
      <c r="AT204" s="3526"/>
      <c r="AU204" s="1017"/>
      <c r="AV204" s="34"/>
      <c r="AW204" s="1017"/>
      <c r="AX204" s="34"/>
      <c r="AY204" s="1898" t="str">
        <f t="shared" si="473"/>
        <v/>
      </c>
      <c r="CA204" s="4027" t="str">
        <f t="shared" si="468"/>
        <v/>
      </c>
      <c r="CB204" s="1899" t="str">
        <f t="shared" si="474"/>
        <v/>
      </c>
      <c r="CC204" s="1899" t="str">
        <f t="shared" si="469"/>
        <v/>
      </c>
      <c r="CD204" s="1970"/>
      <c r="CE204" s="1970"/>
      <c r="CF204" s="1970"/>
      <c r="CG204" s="1970"/>
      <c r="CH204" s="1970"/>
      <c r="CI204" s="1899" t="str">
        <f t="shared" si="470"/>
        <v/>
      </c>
      <c r="CJ204" s="1971"/>
      <c r="CK204" s="1899" t="str">
        <f t="shared" si="447"/>
        <v/>
      </c>
      <c r="CL204" s="1899" t="str">
        <f t="shared" si="448"/>
        <v/>
      </c>
      <c r="CM204" s="1899" t="str">
        <f t="shared" si="449"/>
        <v/>
      </c>
      <c r="CN204" s="1899" t="str">
        <f t="shared" si="450"/>
        <v/>
      </c>
      <c r="CO204" s="1899" t="str">
        <f t="shared" si="451"/>
        <v/>
      </c>
      <c r="CP204" s="1899" t="str">
        <f t="shared" si="452"/>
        <v/>
      </c>
      <c r="CQ204" s="1899" t="str">
        <f t="shared" si="453"/>
        <v/>
      </c>
      <c r="CR204" s="1970"/>
      <c r="CS204" s="1970"/>
      <c r="CT204" s="3024" t="str">
        <f t="shared" si="478"/>
        <v/>
      </c>
      <c r="CU204" s="3024" t="str">
        <f t="shared" si="479"/>
        <v/>
      </c>
      <c r="DF204" s="4029">
        <f t="shared" si="456"/>
        <v>0</v>
      </c>
      <c r="DG204" s="4005">
        <f t="shared" si="472"/>
        <v>0</v>
      </c>
      <c r="DH204" s="4005">
        <f t="shared" si="457"/>
        <v>0</v>
      </c>
      <c r="DI204" s="1970"/>
      <c r="DJ204" s="1970"/>
      <c r="DK204" s="1970"/>
      <c r="DL204" s="1970"/>
      <c r="DM204" s="1970"/>
      <c r="DN204" s="4005">
        <f t="shared" si="458"/>
        <v>0</v>
      </c>
      <c r="DO204" s="1971"/>
      <c r="DP204" s="4005">
        <f t="shared" si="459"/>
        <v>0</v>
      </c>
      <c r="DQ204" s="4005">
        <f t="shared" si="460"/>
        <v>0</v>
      </c>
      <c r="DR204" s="4005">
        <f t="shared" si="461"/>
        <v>0</v>
      </c>
      <c r="DS204" s="4005">
        <f t="shared" si="462"/>
        <v>0</v>
      </c>
      <c r="DT204" s="4005">
        <f t="shared" si="463"/>
        <v>0</v>
      </c>
      <c r="DU204" s="4005">
        <f t="shared" si="464"/>
        <v>0</v>
      </c>
      <c r="DV204" s="4005">
        <f t="shared" si="465"/>
        <v>0</v>
      </c>
      <c r="DW204" s="1970"/>
      <c r="DX204" s="1970"/>
      <c r="DY204" s="4005">
        <f t="shared" si="480"/>
        <v>0</v>
      </c>
      <c r="DZ204" s="4005">
        <f t="shared" si="481"/>
        <v>0</v>
      </c>
    </row>
    <row r="205" spans="1:130" x14ac:dyDescent="0.3">
      <c r="A205" s="6875" t="s">
        <v>1920</v>
      </c>
      <c r="B205" s="6876"/>
      <c r="C205" s="3991">
        <f t="shared" si="482"/>
        <v>0</v>
      </c>
      <c r="D205" s="4041">
        <f t="shared" si="482"/>
        <v>0</v>
      </c>
      <c r="E205" s="3992"/>
      <c r="F205" s="3993"/>
      <c r="G205" s="3992"/>
      <c r="H205" s="3993"/>
      <c r="I205" s="3992"/>
      <c r="J205" s="3993"/>
      <c r="K205" s="3992"/>
      <c r="L205" s="3993"/>
      <c r="M205" s="3992"/>
      <c r="N205" s="3993"/>
      <c r="O205" s="212"/>
      <c r="P205" s="1018"/>
      <c r="Q205" s="212"/>
      <c r="R205" s="1018"/>
      <c r="S205" s="212"/>
      <c r="T205" s="1018"/>
      <c r="U205" s="212"/>
      <c r="V205" s="1018"/>
      <c r="W205" s="212"/>
      <c r="X205" s="1018"/>
      <c r="Y205" s="212"/>
      <c r="Z205" s="1018"/>
      <c r="AA205" s="212"/>
      <c r="AB205" s="1018"/>
      <c r="AC205" s="212"/>
      <c r="AD205" s="1163"/>
      <c r="AE205" s="212"/>
      <c r="AF205" s="1163"/>
      <c r="AG205" s="212"/>
      <c r="AH205" s="1161"/>
      <c r="AI205" s="212"/>
      <c r="AJ205" s="1018"/>
      <c r="AK205" s="1017"/>
      <c r="AL205" s="34"/>
      <c r="AM205" s="212"/>
      <c r="AN205" s="3526"/>
      <c r="AO205" s="1017"/>
      <c r="AP205" s="34"/>
      <c r="AQ205" s="1162"/>
      <c r="AR205" s="3526"/>
      <c r="AS205" s="1017"/>
      <c r="AT205" s="3526"/>
      <c r="AU205" s="1017"/>
      <c r="AV205" s="34"/>
      <c r="AW205" s="1017"/>
      <c r="AX205" s="34"/>
      <c r="AY205" s="1898" t="str">
        <f t="shared" si="473"/>
        <v/>
      </c>
      <c r="CA205" s="4027" t="str">
        <f t="shared" si="468"/>
        <v/>
      </c>
      <c r="CB205" s="1899" t="str">
        <f t="shared" si="474"/>
        <v/>
      </c>
      <c r="CC205" s="1899" t="str">
        <f t="shared" si="469"/>
        <v/>
      </c>
      <c r="CD205" s="1970"/>
      <c r="CE205" s="1970"/>
      <c r="CF205" s="1970"/>
      <c r="CG205" s="1970"/>
      <c r="CH205" s="1970"/>
      <c r="CI205" s="1899" t="str">
        <f t="shared" si="470"/>
        <v/>
      </c>
      <c r="CJ205" s="1971"/>
      <c r="CK205" s="1899" t="str">
        <f t="shared" si="447"/>
        <v/>
      </c>
      <c r="CL205" s="1899" t="str">
        <f t="shared" si="448"/>
        <v/>
      </c>
      <c r="CM205" s="1899" t="str">
        <f t="shared" si="449"/>
        <v/>
      </c>
      <c r="CN205" s="1899" t="str">
        <f t="shared" si="450"/>
        <v/>
      </c>
      <c r="CO205" s="1899" t="str">
        <f t="shared" si="451"/>
        <v/>
      </c>
      <c r="CP205" s="1899" t="str">
        <f t="shared" si="452"/>
        <v/>
      </c>
      <c r="CQ205" s="1899" t="str">
        <f t="shared" si="453"/>
        <v/>
      </c>
      <c r="CR205" s="1970"/>
      <c r="CS205" s="1970"/>
      <c r="CT205" s="3024" t="str">
        <f t="shared" si="478"/>
        <v/>
      </c>
      <c r="CU205" s="3024" t="str">
        <f t="shared" si="479"/>
        <v/>
      </c>
      <c r="DF205" s="4029">
        <f t="shared" si="456"/>
        <v>0</v>
      </c>
      <c r="DG205" s="4005">
        <f t="shared" si="472"/>
        <v>0</v>
      </c>
      <c r="DH205" s="4005">
        <f t="shared" si="457"/>
        <v>0</v>
      </c>
      <c r="DI205" s="1970"/>
      <c r="DJ205" s="1970"/>
      <c r="DK205" s="1970"/>
      <c r="DL205" s="1970"/>
      <c r="DM205" s="1970"/>
      <c r="DN205" s="4005">
        <f t="shared" si="458"/>
        <v>0</v>
      </c>
      <c r="DO205" s="1971"/>
      <c r="DP205" s="4005">
        <f t="shared" si="459"/>
        <v>0</v>
      </c>
      <c r="DQ205" s="4005">
        <f t="shared" si="460"/>
        <v>0</v>
      </c>
      <c r="DR205" s="4005">
        <f t="shared" si="461"/>
        <v>0</v>
      </c>
      <c r="DS205" s="4005">
        <f t="shared" si="462"/>
        <v>0</v>
      </c>
      <c r="DT205" s="4005">
        <f t="shared" si="463"/>
        <v>0</v>
      </c>
      <c r="DU205" s="4005">
        <f t="shared" si="464"/>
        <v>0</v>
      </c>
      <c r="DV205" s="4005">
        <f t="shared" si="465"/>
        <v>0</v>
      </c>
      <c r="DW205" s="1970"/>
      <c r="DX205" s="1970"/>
      <c r="DY205" s="4005">
        <f t="shared" si="480"/>
        <v>0</v>
      </c>
      <c r="DZ205" s="4005">
        <f t="shared" si="481"/>
        <v>0</v>
      </c>
    </row>
    <row r="206" spans="1:130" x14ac:dyDescent="0.3">
      <c r="A206" s="6875" t="s">
        <v>1921</v>
      </c>
      <c r="B206" s="6876"/>
      <c r="C206" s="3991">
        <f t="shared" ref="C206:D210" si="483">+E206+G206+I206+K206+M206+O206+Q206+S206+U206+W206+Y206+AA206+AC206+AE206+AG206+AI206</f>
        <v>0</v>
      </c>
      <c r="D206" s="4041">
        <f t="shared" si="483"/>
        <v>0</v>
      </c>
      <c r="E206" s="212"/>
      <c r="F206" s="1018"/>
      <c r="G206" s="212"/>
      <c r="H206" s="1018"/>
      <c r="I206" s="212"/>
      <c r="J206" s="1018"/>
      <c r="K206" s="212"/>
      <c r="L206" s="1018"/>
      <c r="M206" s="212"/>
      <c r="N206" s="1018"/>
      <c r="O206" s="212"/>
      <c r="P206" s="1018"/>
      <c r="Q206" s="212"/>
      <c r="R206" s="1018"/>
      <c r="S206" s="212"/>
      <c r="T206" s="1018"/>
      <c r="U206" s="212"/>
      <c r="V206" s="1018"/>
      <c r="W206" s="212"/>
      <c r="X206" s="1018"/>
      <c r="Y206" s="212"/>
      <c r="Z206" s="1018"/>
      <c r="AA206" s="212"/>
      <c r="AB206" s="1018"/>
      <c r="AC206" s="212"/>
      <c r="AD206" s="1163"/>
      <c r="AE206" s="212"/>
      <c r="AF206" s="1163"/>
      <c r="AG206" s="212"/>
      <c r="AH206" s="1161"/>
      <c r="AI206" s="212"/>
      <c r="AJ206" s="1018"/>
      <c r="AK206" s="1017"/>
      <c r="AL206" s="34"/>
      <c r="AM206" s="212"/>
      <c r="AN206" s="3526"/>
      <c r="AO206" s="1017"/>
      <c r="AP206" s="34"/>
      <c r="AQ206" s="1162"/>
      <c r="AR206" s="3526"/>
      <c r="AS206" s="1017"/>
      <c r="AT206" s="3526"/>
      <c r="AU206" s="1017"/>
      <c r="AV206" s="34"/>
      <c r="AW206" s="1017"/>
      <c r="AX206" s="34"/>
      <c r="AY206" s="1898" t="str">
        <f t="shared" si="473"/>
        <v/>
      </c>
      <c r="CA206" s="4027" t="str">
        <f t="shared" si="468"/>
        <v/>
      </c>
      <c r="CB206" s="1899" t="str">
        <f t="shared" si="474"/>
        <v/>
      </c>
      <c r="CC206" s="1899" t="str">
        <f t="shared" si="469"/>
        <v/>
      </c>
      <c r="CD206" s="1970"/>
      <c r="CE206" s="1970"/>
      <c r="CF206" s="1970"/>
      <c r="CG206" s="1970"/>
      <c r="CH206" s="1970"/>
      <c r="CI206" s="1899" t="str">
        <f t="shared" si="470"/>
        <v/>
      </c>
      <c r="CJ206" s="1971"/>
      <c r="CK206" s="1899" t="str">
        <f t="shared" si="447"/>
        <v/>
      </c>
      <c r="CL206" s="1899" t="str">
        <f t="shared" si="448"/>
        <v/>
      </c>
      <c r="CM206" s="1899" t="str">
        <f t="shared" si="449"/>
        <v/>
      </c>
      <c r="CN206" s="1899" t="str">
        <f t="shared" si="450"/>
        <v/>
      </c>
      <c r="CO206" s="1899" t="str">
        <f t="shared" si="451"/>
        <v/>
      </c>
      <c r="CP206" s="1899" t="str">
        <f t="shared" si="452"/>
        <v/>
      </c>
      <c r="CQ206" s="1899" t="str">
        <f t="shared" si="453"/>
        <v/>
      </c>
      <c r="CR206" s="1970"/>
      <c r="CS206" s="1970"/>
      <c r="CT206" s="3024" t="str">
        <f t="shared" si="478"/>
        <v/>
      </c>
      <c r="CU206" s="3024" t="str">
        <f t="shared" si="479"/>
        <v/>
      </c>
      <c r="DF206" s="4029">
        <f t="shared" si="456"/>
        <v>0</v>
      </c>
      <c r="DG206" s="4005">
        <f t="shared" si="472"/>
        <v>0</v>
      </c>
      <c r="DH206" s="4005">
        <f t="shared" si="457"/>
        <v>0</v>
      </c>
      <c r="DI206" s="1970"/>
      <c r="DJ206" s="1970"/>
      <c r="DK206" s="1970"/>
      <c r="DL206" s="1970"/>
      <c r="DM206" s="1970"/>
      <c r="DN206" s="4005">
        <f t="shared" si="458"/>
        <v>0</v>
      </c>
      <c r="DO206" s="1971"/>
      <c r="DP206" s="4005">
        <f t="shared" si="459"/>
        <v>0</v>
      </c>
      <c r="DQ206" s="4005">
        <f t="shared" si="460"/>
        <v>0</v>
      </c>
      <c r="DR206" s="4005">
        <f t="shared" si="461"/>
        <v>0</v>
      </c>
      <c r="DS206" s="4005">
        <f t="shared" si="462"/>
        <v>0</v>
      </c>
      <c r="DT206" s="4005">
        <f t="shared" si="463"/>
        <v>0</v>
      </c>
      <c r="DU206" s="4005">
        <f t="shared" si="464"/>
        <v>0</v>
      </c>
      <c r="DV206" s="4005">
        <f t="shared" si="465"/>
        <v>0</v>
      </c>
      <c r="DW206" s="1970"/>
      <c r="DX206" s="1970"/>
      <c r="DY206" s="4005">
        <f t="shared" si="480"/>
        <v>0</v>
      </c>
      <c r="DZ206" s="4005">
        <f t="shared" si="481"/>
        <v>0</v>
      </c>
    </row>
    <row r="207" spans="1:130" x14ac:dyDescent="0.3">
      <c r="A207" s="6875" t="s">
        <v>1922</v>
      </c>
      <c r="B207" s="6876"/>
      <c r="C207" s="3991">
        <f t="shared" si="483"/>
        <v>0</v>
      </c>
      <c r="D207" s="4041">
        <f t="shared" si="483"/>
        <v>0</v>
      </c>
      <c r="E207" s="212"/>
      <c r="F207" s="1018"/>
      <c r="G207" s="212"/>
      <c r="H207" s="1018"/>
      <c r="I207" s="212"/>
      <c r="J207" s="1018"/>
      <c r="K207" s="212"/>
      <c r="L207" s="1018"/>
      <c r="M207" s="212"/>
      <c r="N207" s="1018"/>
      <c r="O207" s="212"/>
      <c r="P207" s="1018"/>
      <c r="Q207" s="212"/>
      <c r="R207" s="1018"/>
      <c r="S207" s="212"/>
      <c r="T207" s="1018"/>
      <c r="U207" s="212"/>
      <c r="V207" s="1018"/>
      <c r="W207" s="212"/>
      <c r="X207" s="1018"/>
      <c r="Y207" s="212"/>
      <c r="Z207" s="1018"/>
      <c r="AA207" s="212"/>
      <c r="AB207" s="1018"/>
      <c r="AC207" s="212"/>
      <c r="AD207" s="1163"/>
      <c r="AE207" s="212"/>
      <c r="AF207" s="1163"/>
      <c r="AG207" s="212"/>
      <c r="AH207" s="1161"/>
      <c r="AI207" s="212"/>
      <c r="AJ207" s="1018"/>
      <c r="AK207" s="1017"/>
      <c r="AL207" s="34"/>
      <c r="AM207" s="212"/>
      <c r="AN207" s="3526"/>
      <c r="AO207" s="1017"/>
      <c r="AP207" s="34"/>
      <c r="AQ207" s="1162"/>
      <c r="AR207" s="3526"/>
      <c r="AS207" s="1017"/>
      <c r="AT207" s="3526"/>
      <c r="AU207" s="1017"/>
      <c r="AV207" s="34"/>
      <c r="AW207" s="1017"/>
      <c r="AX207" s="34"/>
      <c r="AY207" s="1898" t="str">
        <f t="shared" si="473"/>
        <v/>
      </c>
      <c r="CA207" s="4027" t="str">
        <f t="shared" si="468"/>
        <v/>
      </c>
      <c r="CB207" s="1899" t="str">
        <f t="shared" si="474"/>
        <v/>
      </c>
      <c r="CC207" s="1899" t="str">
        <f t="shared" si="469"/>
        <v/>
      </c>
      <c r="CD207" s="1970"/>
      <c r="CE207" s="1970"/>
      <c r="CF207" s="1970"/>
      <c r="CG207" s="1970"/>
      <c r="CH207" s="1970"/>
      <c r="CI207" s="1899" t="str">
        <f t="shared" si="470"/>
        <v/>
      </c>
      <c r="CJ207" s="1971"/>
      <c r="CK207" s="1899" t="str">
        <f t="shared" si="447"/>
        <v/>
      </c>
      <c r="CL207" s="1899" t="str">
        <f t="shared" si="448"/>
        <v/>
      </c>
      <c r="CM207" s="1899" t="str">
        <f t="shared" si="449"/>
        <v/>
      </c>
      <c r="CN207" s="1899" t="str">
        <f t="shared" si="450"/>
        <v/>
      </c>
      <c r="CO207" s="1899" t="str">
        <f t="shared" si="451"/>
        <v/>
      </c>
      <c r="CP207" s="1899" t="str">
        <f t="shared" si="452"/>
        <v/>
      </c>
      <c r="CQ207" s="1899" t="str">
        <f t="shared" si="453"/>
        <v/>
      </c>
      <c r="CR207" s="1970"/>
      <c r="CS207" s="1970"/>
      <c r="CT207" s="3024" t="str">
        <f t="shared" si="478"/>
        <v/>
      </c>
      <c r="CU207" s="3024" t="str">
        <f t="shared" si="479"/>
        <v/>
      </c>
      <c r="DF207" s="4029">
        <f t="shared" si="456"/>
        <v>0</v>
      </c>
      <c r="DG207" s="4005">
        <f t="shared" si="472"/>
        <v>0</v>
      </c>
      <c r="DH207" s="4005">
        <f t="shared" si="457"/>
        <v>0</v>
      </c>
      <c r="DI207" s="1970"/>
      <c r="DJ207" s="1970"/>
      <c r="DK207" s="1970"/>
      <c r="DL207" s="1970"/>
      <c r="DM207" s="1970"/>
      <c r="DN207" s="4005">
        <f t="shared" si="458"/>
        <v>0</v>
      </c>
      <c r="DO207" s="1971"/>
      <c r="DP207" s="4005">
        <f t="shared" si="459"/>
        <v>0</v>
      </c>
      <c r="DQ207" s="4005">
        <f t="shared" si="460"/>
        <v>0</v>
      </c>
      <c r="DR207" s="4005">
        <f t="shared" si="461"/>
        <v>0</v>
      </c>
      <c r="DS207" s="4005">
        <f t="shared" si="462"/>
        <v>0</v>
      </c>
      <c r="DT207" s="4005">
        <f t="shared" si="463"/>
        <v>0</v>
      </c>
      <c r="DU207" s="4005">
        <f t="shared" si="464"/>
        <v>0</v>
      </c>
      <c r="DV207" s="4005">
        <f t="shared" si="465"/>
        <v>0</v>
      </c>
      <c r="DW207" s="1970"/>
      <c r="DX207" s="1970"/>
      <c r="DY207" s="4005">
        <f t="shared" si="480"/>
        <v>0</v>
      </c>
      <c r="DZ207" s="4005">
        <f t="shared" si="481"/>
        <v>0</v>
      </c>
    </row>
    <row r="208" spans="1:130" x14ac:dyDescent="0.3">
      <c r="A208" s="6875" t="s">
        <v>1923</v>
      </c>
      <c r="B208" s="6876"/>
      <c r="C208" s="3991">
        <f t="shared" si="483"/>
        <v>0</v>
      </c>
      <c r="D208" s="4041">
        <f t="shared" si="483"/>
        <v>0</v>
      </c>
      <c r="E208" s="212"/>
      <c r="F208" s="1018"/>
      <c r="G208" s="212"/>
      <c r="H208" s="1018"/>
      <c r="I208" s="212"/>
      <c r="J208" s="1018"/>
      <c r="K208" s="212"/>
      <c r="L208" s="1018"/>
      <c r="M208" s="212"/>
      <c r="N208" s="1018"/>
      <c r="O208" s="212"/>
      <c r="P208" s="1018"/>
      <c r="Q208" s="212"/>
      <c r="R208" s="1018"/>
      <c r="S208" s="212"/>
      <c r="T208" s="1018"/>
      <c r="U208" s="212"/>
      <c r="V208" s="1018"/>
      <c r="W208" s="212"/>
      <c r="X208" s="1018"/>
      <c r="Y208" s="212"/>
      <c r="Z208" s="1018"/>
      <c r="AA208" s="212"/>
      <c r="AB208" s="1018"/>
      <c r="AC208" s="212"/>
      <c r="AD208" s="1163"/>
      <c r="AE208" s="212"/>
      <c r="AF208" s="1163"/>
      <c r="AG208" s="212"/>
      <c r="AH208" s="1161"/>
      <c r="AI208" s="212"/>
      <c r="AJ208" s="1018"/>
      <c r="AK208" s="1017"/>
      <c r="AL208" s="34"/>
      <c r="AM208" s="212"/>
      <c r="AN208" s="3526"/>
      <c r="AO208" s="1017"/>
      <c r="AP208" s="34"/>
      <c r="AQ208" s="1162"/>
      <c r="AR208" s="3526"/>
      <c r="AS208" s="1017"/>
      <c r="AT208" s="3526"/>
      <c r="AU208" s="1017"/>
      <c r="AV208" s="34"/>
      <c r="AW208" s="1017"/>
      <c r="AX208" s="34"/>
      <c r="AY208" s="1898" t="str">
        <f t="shared" si="473"/>
        <v/>
      </c>
      <c r="CA208" s="4027" t="str">
        <f t="shared" si="468"/>
        <v/>
      </c>
      <c r="CB208" s="1899" t="str">
        <f t="shared" si="474"/>
        <v/>
      </c>
      <c r="CC208" s="1899" t="str">
        <f t="shared" si="469"/>
        <v/>
      </c>
      <c r="CD208" s="1970"/>
      <c r="CE208" s="1970"/>
      <c r="CF208" s="1970"/>
      <c r="CG208" s="1970"/>
      <c r="CH208" s="1970"/>
      <c r="CI208" s="1899" t="str">
        <f t="shared" si="470"/>
        <v/>
      </c>
      <c r="CJ208" s="1971"/>
      <c r="CK208" s="1899" t="str">
        <f t="shared" si="447"/>
        <v/>
      </c>
      <c r="CL208" s="1899" t="str">
        <f t="shared" si="448"/>
        <v/>
      </c>
      <c r="CM208" s="1899" t="str">
        <f t="shared" si="449"/>
        <v/>
      </c>
      <c r="CN208" s="1899" t="str">
        <f t="shared" si="450"/>
        <v/>
      </c>
      <c r="CO208" s="1899" t="str">
        <f t="shared" si="451"/>
        <v/>
      </c>
      <c r="CP208" s="1899" t="str">
        <f t="shared" si="452"/>
        <v/>
      </c>
      <c r="CQ208" s="1899" t="str">
        <f t="shared" si="453"/>
        <v/>
      </c>
      <c r="CR208" s="1970"/>
      <c r="CS208" s="1970"/>
      <c r="CT208" s="3024" t="str">
        <f t="shared" si="478"/>
        <v/>
      </c>
      <c r="CU208" s="3024" t="str">
        <f t="shared" si="479"/>
        <v/>
      </c>
      <c r="DF208" s="4029">
        <f t="shared" si="456"/>
        <v>0</v>
      </c>
      <c r="DG208" s="4005">
        <f t="shared" si="472"/>
        <v>0</v>
      </c>
      <c r="DH208" s="4005">
        <f t="shared" si="457"/>
        <v>0</v>
      </c>
      <c r="DI208" s="1970"/>
      <c r="DJ208" s="1970"/>
      <c r="DK208" s="1970"/>
      <c r="DL208" s="1970"/>
      <c r="DM208" s="1970"/>
      <c r="DN208" s="4005">
        <f t="shared" si="458"/>
        <v>0</v>
      </c>
      <c r="DO208" s="1971"/>
      <c r="DP208" s="4005">
        <f t="shared" si="459"/>
        <v>0</v>
      </c>
      <c r="DQ208" s="4005">
        <f t="shared" si="460"/>
        <v>0</v>
      </c>
      <c r="DR208" s="4005">
        <f t="shared" si="461"/>
        <v>0</v>
      </c>
      <c r="DS208" s="4005">
        <f t="shared" si="462"/>
        <v>0</v>
      </c>
      <c r="DT208" s="4005">
        <f t="shared" si="463"/>
        <v>0</v>
      </c>
      <c r="DU208" s="4005">
        <f t="shared" si="464"/>
        <v>0</v>
      </c>
      <c r="DV208" s="4005">
        <f t="shared" si="465"/>
        <v>0</v>
      </c>
      <c r="DW208" s="1970"/>
      <c r="DX208" s="1970"/>
      <c r="DY208" s="4005">
        <f t="shared" si="480"/>
        <v>0</v>
      </c>
      <c r="DZ208" s="4005">
        <f t="shared" si="481"/>
        <v>0</v>
      </c>
    </row>
    <row r="209" spans="1:130" x14ac:dyDescent="0.3">
      <c r="A209" s="6875" t="s">
        <v>1924</v>
      </c>
      <c r="B209" s="6876"/>
      <c r="C209" s="3991">
        <f t="shared" si="483"/>
        <v>0</v>
      </c>
      <c r="D209" s="4041">
        <f t="shared" si="483"/>
        <v>0</v>
      </c>
      <c r="E209" s="212"/>
      <c r="F209" s="1018"/>
      <c r="G209" s="212"/>
      <c r="H209" s="1018"/>
      <c r="I209" s="212"/>
      <c r="J209" s="1018"/>
      <c r="K209" s="212"/>
      <c r="L209" s="1018"/>
      <c r="M209" s="212"/>
      <c r="N209" s="1018"/>
      <c r="O209" s="212"/>
      <c r="P209" s="1018"/>
      <c r="Q209" s="212"/>
      <c r="R209" s="1018"/>
      <c r="S209" s="212"/>
      <c r="T209" s="1018"/>
      <c r="U209" s="212"/>
      <c r="V209" s="1018"/>
      <c r="W209" s="212"/>
      <c r="X209" s="1018"/>
      <c r="Y209" s="212"/>
      <c r="Z209" s="1018"/>
      <c r="AA209" s="212"/>
      <c r="AB209" s="1018"/>
      <c r="AC209" s="212"/>
      <c r="AD209" s="1163"/>
      <c r="AE209" s="212"/>
      <c r="AF209" s="1163"/>
      <c r="AG209" s="212"/>
      <c r="AH209" s="1161"/>
      <c r="AI209" s="212"/>
      <c r="AJ209" s="1018"/>
      <c r="AK209" s="1017"/>
      <c r="AL209" s="34"/>
      <c r="AM209" s="212"/>
      <c r="AN209" s="3526"/>
      <c r="AO209" s="1017"/>
      <c r="AP209" s="34"/>
      <c r="AQ209" s="1162"/>
      <c r="AR209" s="3526"/>
      <c r="AS209" s="1017"/>
      <c r="AT209" s="3526"/>
      <c r="AU209" s="1017"/>
      <c r="AV209" s="34"/>
      <c r="AW209" s="1017"/>
      <c r="AX209" s="34"/>
      <c r="AY209" s="1898" t="str">
        <f t="shared" si="473"/>
        <v/>
      </c>
      <c r="CA209" s="4027" t="str">
        <f t="shared" si="468"/>
        <v/>
      </c>
      <c r="CB209" s="1899" t="str">
        <f t="shared" si="474"/>
        <v/>
      </c>
      <c r="CC209" s="1899" t="str">
        <f t="shared" si="469"/>
        <v/>
      </c>
      <c r="CD209" s="1970"/>
      <c r="CE209" s="1970"/>
      <c r="CF209" s="1970"/>
      <c r="CG209" s="1970"/>
      <c r="CH209" s="1970"/>
      <c r="CI209" s="1899" t="str">
        <f t="shared" si="470"/>
        <v/>
      </c>
      <c r="CJ209" s="1971"/>
      <c r="CK209" s="1899" t="str">
        <f t="shared" si="447"/>
        <v/>
      </c>
      <c r="CL209" s="1899" t="str">
        <f t="shared" si="448"/>
        <v/>
      </c>
      <c r="CM209" s="1899" t="str">
        <f t="shared" si="449"/>
        <v/>
      </c>
      <c r="CN209" s="1899" t="str">
        <f t="shared" si="450"/>
        <v/>
      </c>
      <c r="CO209" s="1899" t="str">
        <f t="shared" si="451"/>
        <v/>
      </c>
      <c r="CP209" s="1899" t="str">
        <f t="shared" si="452"/>
        <v/>
      </c>
      <c r="CQ209" s="1899" t="str">
        <f t="shared" si="453"/>
        <v/>
      </c>
      <c r="CR209" s="1970"/>
      <c r="CS209" s="1970"/>
      <c r="CT209" s="3024" t="str">
        <f t="shared" si="478"/>
        <v/>
      </c>
      <c r="CU209" s="3024" t="str">
        <f t="shared" si="479"/>
        <v/>
      </c>
      <c r="DF209" s="4029">
        <f t="shared" si="456"/>
        <v>0</v>
      </c>
      <c r="DG209" s="4005">
        <f t="shared" si="472"/>
        <v>0</v>
      </c>
      <c r="DH209" s="4005">
        <f t="shared" si="457"/>
        <v>0</v>
      </c>
      <c r="DI209" s="1970"/>
      <c r="DJ209" s="1970"/>
      <c r="DK209" s="1970"/>
      <c r="DL209" s="1970"/>
      <c r="DM209" s="1970"/>
      <c r="DN209" s="4005">
        <f t="shared" si="458"/>
        <v>0</v>
      </c>
      <c r="DO209" s="1971"/>
      <c r="DP209" s="4005">
        <f t="shared" si="459"/>
        <v>0</v>
      </c>
      <c r="DQ209" s="4005">
        <f t="shared" si="460"/>
        <v>0</v>
      </c>
      <c r="DR209" s="4005">
        <f t="shared" si="461"/>
        <v>0</v>
      </c>
      <c r="DS209" s="4005">
        <f t="shared" si="462"/>
        <v>0</v>
      </c>
      <c r="DT209" s="4005">
        <f t="shared" si="463"/>
        <v>0</v>
      </c>
      <c r="DU209" s="4005">
        <f t="shared" si="464"/>
        <v>0</v>
      </c>
      <c r="DV209" s="4005">
        <f t="shared" si="465"/>
        <v>0</v>
      </c>
      <c r="DW209" s="1970"/>
      <c r="DX209" s="1970"/>
      <c r="DY209" s="4005">
        <f t="shared" si="480"/>
        <v>0</v>
      </c>
      <c r="DZ209" s="4005">
        <f t="shared" si="481"/>
        <v>0</v>
      </c>
    </row>
    <row r="210" spans="1:130" x14ac:dyDescent="0.3">
      <c r="A210" s="6881" t="s">
        <v>1925</v>
      </c>
      <c r="B210" s="6882"/>
      <c r="C210" s="638">
        <f t="shared" si="483"/>
        <v>0</v>
      </c>
      <c r="D210" s="3121">
        <f t="shared" si="483"/>
        <v>0</v>
      </c>
      <c r="E210" s="876"/>
      <c r="F210" s="1907"/>
      <c r="G210" s="876"/>
      <c r="H210" s="1907"/>
      <c r="I210" s="876"/>
      <c r="J210" s="1907"/>
      <c r="K210" s="876"/>
      <c r="L210" s="1907"/>
      <c r="M210" s="876"/>
      <c r="N210" s="2009"/>
      <c r="O210" s="876"/>
      <c r="P210" s="1907"/>
      <c r="Q210" s="876"/>
      <c r="R210" s="1907"/>
      <c r="S210" s="876"/>
      <c r="T210" s="1907"/>
      <c r="U210" s="876"/>
      <c r="V210" s="1907"/>
      <c r="W210" s="876"/>
      <c r="X210" s="1907"/>
      <c r="Y210" s="876"/>
      <c r="Z210" s="1907"/>
      <c r="AA210" s="876"/>
      <c r="AB210" s="1907"/>
      <c r="AC210" s="876"/>
      <c r="AD210" s="2237"/>
      <c r="AE210" s="876"/>
      <c r="AF210" s="2237"/>
      <c r="AG210" s="876"/>
      <c r="AH210" s="2009"/>
      <c r="AI210" s="876"/>
      <c r="AJ210" s="1907"/>
      <c r="AK210" s="1913"/>
      <c r="AL210" s="877"/>
      <c r="AM210" s="876"/>
      <c r="AN210" s="1912"/>
      <c r="AO210" s="1913"/>
      <c r="AP210" s="877"/>
      <c r="AQ210" s="1911"/>
      <c r="AR210" s="1912"/>
      <c r="AS210" s="1913"/>
      <c r="AT210" s="1912"/>
      <c r="AU210" s="1913"/>
      <c r="AV210" s="877"/>
      <c r="AW210" s="1913"/>
      <c r="AX210" s="877"/>
      <c r="AY210" s="1898" t="str">
        <f t="shared" si="473"/>
        <v/>
      </c>
      <c r="CA210" s="4027" t="str">
        <f t="shared" si="468"/>
        <v/>
      </c>
      <c r="CB210" s="1899" t="str">
        <f t="shared" si="474"/>
        <v/>
      </c>
      <c r="CC210" s="1899" t="str">
        <f t="shared" si="469"/>
        <v/>
      </c>
      <c r="CD210" s="1970"/>
      <c r="CE210" s="1970"/>
      <c r="CF210" s="1970"/>
      <c r="CG210" s="1970"/>
      <c r="CH210" s="1970"/>
      <c r="CI210" s="1899" t="str">
        <f t="shared" si="470"/>
        <v/>
      </c>
      <c r="CJ210" s="1971"/>
      <c r="CK210" s="1899" t="str">
        <f t="shared" si="447"/>
        <v/>
      </c>
      <c r="CL210" s="1899" t="str">
        <f t="shared" si="448"/>
        <v/>
      </c>
      <c r="CM210" s="1899" t="str">
        <f t="shared" si="449"/>
        <v/>
      </c>
      <c r="CN210" s="1899" t="str">
        <f t="shared" si="450"/>
        <v/>
      </c>
      <c r="CO210" s="1899" t="str">
        <f t="shared" si="451"/>
        <v/>
      </c>
      <c r="CP210" s="1899" t="str">
        <f t="shared" si="452"/>
        <v/>
      </c>
      <c r="CQ210" s="1899" t="str">
        <f t="shared" si="453"/>
        <v/>
      </c>
      <c r="CR210" s="1970"/>
      <c r="CS210" s="1970"/>
      <c r="CT210" s="3024" t="str">
        <f t="shared" si="478"/>
        <v/>
      </c>
      <c r="CU210" s="3024" t="str">
        <f t="shared" si="479"/>
        <v/>
      </c>
      <c r="DF210" s="4029">
        <f t="shared" si="456"/>
        <v>0</v>
      </c>
      <c r="DG210" s="4005">
        <f t="shared" si="472"/>
        <v>0</v>
      </c>
      <c r="DH210" s="4005">
        <f t="shared" si="457"/>
        <v>0</v>
      </c>
      <c r="DI210" s="1970"/>
      <c r="DJ210" s="1970"/>
      <c r="DK210" s="1970"/>
      <c r="DL210" s="1970"/>
      <c r="DM210" s="1970"/>
      <c r="DN210" s="4005">
        <f t="shared" si="458"/>
        <v>0</v>
      </c>
      <c r="DO210" s="1971"/>
      <c r="DP210" s="4005">
        <f t="shared" si="459"/>
        <v>0</v>
      </c>
      <c r="DQ210" s="4005">
        <f t="shared" si="460"/>
        <v>0</v>
      </c>
      <c r="DR210" s="4005">
        <f t="shared" si="461"/>
        <v>0</v>
      </c>
      <c r="DS210" s="4005">
        <f t="shared" si="462"/>
        <v>0</v>
      </c>
      <c r="DT210" s="4005">
        <f t="shared" si="463"/>
        <v>0</v>
      </c>
      <c r="DU210" s="4005">
        <f t="shared" si="464"/>
        <v>0</v>
      </c>
      <c r="DV210" s="4005">
        <f t="shared" si="465"/>
        <v>0</v>
      </c>
      <c r="DW210" s="1970"/>
      <c r="DX210" s="1970"/>
      <c r="DY210" s="4005">
        <f t="shared" si="480"/>
        <v>0</v>
      </c>
      <c r="DZ210" s="4005">
        <f t="shared" si="481"/>
        <v>0</v>
      </c>
    </row>
    <row r="211" spans="1:130" ht="18" customHeight="1" x14ac:dyDescent="0.3">
      <c r="A211" s="4044" t="s">
        <v>1927</v>
      </c>
      <c r="B211" s="4044"/>
      <c r="C211" s="4044"/>
      <c r="D211" s="4044"/>
      <c r="E211" s="4044"/>
      <c r="F211" s="4044"/>
      <c r="G211" s="4044"/>
      <c r="H211" s="4044"/>
      <c r="I211" s="4044"/>
      <c r="J211" s="4044"/>
      <c r="K211" s="4044"/>
      <c r="L211" s="4044"/>
      <c r="M211" s="4044"/>
      <c r="N211" s="4044"/>
      <c r="O211" s="4044"/>
      <c r="P211" s="4044"/>
      <c r="Q211" s="4044"/>
      <c r="R211" s="4044"/>
      <c r="S211" s="4044"/>
      <c r="T211" s="4044"/>
      <c r="U211" s="4044"/>
      <c r="V211" s="4044"/>
      <c r="W211" s="4044"/>
      <c r="X211" s="4044"/>
      <c r="Y211" s="4044"/>
      <c r="Z211" s="4044"/>
      <c r="AA211" s="4044"/>
      <c r="AB211" s="4044"/>
      <c r="AC211" s="4044"/>
      <c r="AD211" s="4044"/>
      <c r="AE211" s="4044"/>
      <c r="AF211" s="4044"/>
      <c r="AG211" s="4044"/>
      <c r="AH211" s="4044"/>
      <c r="AI211" s="4044"/>
      <c r="AJ211" s="4044"/>
      <c r="AK211" s="4044"/>
      <c r="AL211" s="1971"/>
      <c r="AM211" s="1971"/>
      <c r="AN211" s="1971"/>
      <c r="AO211" s="1971"/>
      <c r="AP211" s="1971"/>
      <c r="AQ211" s="1971"/>
    </row>
    <row r="212" spans="1:130" ht="23.25" customHeight="1" x14ac:dyDescent="0.3">
      <c r="A212" s="6883" t="s">
        <v>1892</v>
      </c>
      <c r="B212" s="6886" t="s">
        <v>77</v>
      </c>
      <c r="C212" s="6886"/>
      <c r="D212" s="6886" t="s">
        <v>29</v>
      </c>
      <c r="E212" s="6886"/>
      <c r="F212" s="6886"/>
      <c r="G212" s="6886"/>
      <c r="H212" s="6886"/>
      <c r="I212" s="6886"/>
      <c r="J212" s="6886"/>
      <c r="K212" s="6886"/>
      <c r="L212" s="6886"/>
      <c r="M212" s="6886"/>
      <c r="N212" s="6886"/>
      <c r="O212" s="6886"/>
      <c r="P212" s="6886"/>
      <c r="Q212" s="6886"/>
      <c r="R212" s="6886"/>
      <c r="S212" s="6886"/>
      <c r="T212" s="6886"/>
      <c r="U212" s="6886"/>
      <c r="V212" s="6886"/>
      <c r="W212" s="6886"/>
      <c r="X212" s="6886"/>
      <c r="Y212" s="6886"/>
      <c r="Z212" s="6886"/>
      <c r="AA212" s="6886"/>
      <c r="AB212" s="6886"/>
      <c r="AC212" s="6886"/>
      <c r="AD212" s="6886"/>
      <c r="AE212" s="6886"/>
      <c r="AF212" s="6886"/>
      <c r="AG212" s="6886"/>
      <c r="AH212" s="6886"/>
      <c r="AI212" s="6886"/>
      <c r="AJ212" s="6886"/>
      <c r="AK212" s="6887"/>
      <c r="AL212" s="6871" t="s">
        <v>1928</v>
      </c>
      <c r="AM212" s="6888"/>
      <c r="AN212" s="6889" t="s">
        <v>457</v>
      </c>
      <c r="AO212" s="6843"/>
      <c r="AP212" s="6871" t="s">
        <v>36</v>
      </c>
      <c r="AQ212" s="6890" t="s">
        <v>37</v>
      </c>
    </row>
    <row r="213" spans="1:130" x14ac:dyDescent="0.3">
      <c r="A213" s="6884"/>
      <c r="B213" s="6886"/>
      <c r="C213" s="6886"/>
      <c r="D213" s="6886" t="s">
        <v>343</v>
      </c>
      <c r="E213" s="6886"/>
      <c r="F213" s="6886" t="s">
        <v>326</v>
      </c>
      <c r="G213" s="6886"/>
      <c r="H213" s="6886" t="s">
        <v>94</v>
      </c>
      <c r="I213" s="6886"/>
      <c r="J213" s="6886" t="s">
        <v>44</v>
      </c>
      <c r="K213" s="6886"/>
      <c r="L213" s="6886" t="s">
        <v>45</v>
      </c>
      <c r="M213" s="6886"/>
      <c r="N213" s="6886" t="s">
        <v>46</v>
      </c>
      <c r="O213" s="6886"/>
      <c r="P213" s="6886" t="s">
        <v>47</v>
      </c>
      <c r="Q213" s="6886"/>
      <c r="R213" s="6886" t="s">
        <v>48</v>
      </c>
      <c r="S213" s="6886"/>
      <c r="T213" s="6886" t="s">
        <v>49</v>
      </c>
      <c r="U213" s="6886"/>
      <c r="V213" s="6886" t="s">
        <v>50</v>
      </c>
      <c r="W213" s="6886"/>
      <c r="X213" s="6886" t="s">
        <v>51</v>
      </c>
      <c r="Y213" s="6886"/>
      <c r="Z213" s="6886" t="s">
        <v>52</v>
      </c>
      <c r="AA213" s="6886"/>
      <c r="AB213" s="6886" t="s">
        <v>53</v>
      </c>
      <c r="AC213" s="6886"/>
      <c r="AD213" s="6886" t="s">
        <v>54</v>
      </c>
      <c r="AE213" s="6886"/>
      <c r="AF213" s="6886" t="s">
        <v>55</v>
      </c>
      <c r="AG213" s="6886"/>
      <c r="AH213" s="6886" t="s">
        <v>56</v>
      </c>
      <c r="AI213" s="6886"/>
      <c r="AJ213" s="6886" t="s">
        <v>57</v>
      </c>
      <c r="AK213" s="6887"/>
      <c r="AL213" s="6891" t="s">
        <v>58</v>
      </c>
      <c r="AM213" s="6869" t="s">
        <v>59</v>
      </c>
      <c r="AN213" s="6892" t="s">
        <v>462</v>
      </c>
      <c r="AO213" s="6284" t="s">
        <v>463</v>
      </c>
      <c r="AP213" s="6871"/>
      <c r="AQ213" s="6890"/>
    </row>
    <row r="214" spans="1:130" x14ac:dyDescent="0.3">
      <c r="A214" s="6885"/>
      <c r="B214" s="4048" t="s">
        <v>1864</v>
      </c>
      <c r="C214" s="2979" t="s">
        <v>1865</v>
      </c>
      <c r="D214" s="4049" t="s">
        <v>1864</v>
      </c>
      <c r="E214" s="4020" t="s">
        <v>1865</v>
      </c>
      <c r="F214" s="4049" t="s">
        <v>1864</v>
      </c>
      <c r="G214" s="4020" t="s">
        <v>1865</v>
      </c>
      <c r="H214" s="4049" t="s">
        <v>1864</v>
      </c>
      <c r="I214" s="4020" t="s">
        <v>1865</v>
      </c>
      <c r="J214" s="4049" t="s">
        <v>1864</v>
      </c>
      <c r="K214" s="4020" t="s">
        <v>1865</v>
      </c>
      <c r="L214" s="4049" t="s">
        <v>1864</v>
      </c>
      <c r="M214" s="4020" t="s">
        <v>1865</v>
      </c>
      <c r="N214" s="4049" t="s">
        <v>1864</v>
      </c>
      <c r="O214" s="4020" t="s">
        <v>1865</v>
      </c>
      <c r="P214" s="4049" t="s">
        <v>1864</v>
      </c>
      <c r="Q214" s="4020" t="s">
        <v>1865</v>
      </c>
      <c r="R214" s="4049" t="s">
        <v>1864</v>
      </c>
      <c r="S214" s="4020" t="s">
        <v>1865</v>
      </c>
      <c r="T214" s="4049" t="s">
        <v>1864</v>
      </c>
      <c r="U214" s="4020" t="s">
        <v>1865</v>
      </c>
      <c r="V214" s="4049" t="s">
        <v>1864</v>
      </c>
      <c r="W214" s="4020" t="s">
        <v>1865</v>
      </c>
      <c r="X214" s="4049" t="s">
        <v>1864</v>
      </c>
      <c r="Y214" s="4020" t="s">
        <v>1865</v>
      </c>
      <c r="Z214" s="4049" t="s">
        <v>1864</v>
      </c>
      <c r="AA214" s="4020" t="s">
        <v>1865</v>
      </c>
      <c r="AB214" s="4049" t="s">
        <v>1864</v>
      </c>
      <c r="AC214" s="4020" t="s">
        <v>1865</v>
      </c>
      <c r="AD214" s="4049" t="s">
        <v>1864</v>
      </c>
      <c r="AE214" s="4020" t="s">
        <v>1865</v>
      </c>
      <c r="AF214" s="4049" t="s">
        <v>1864</v>
      </c>
      <c r="AG214" s="4020" t="s">
        <v>1865</v>
      </c>
      <c r="AH214" s="4049" t="s">
        <v>1864</v>
      </c>
      <c r="AI214" s="4020" t="s">
        <v>1865</v>
      </c>
      <c r="AJ214" s="4049" t="s">
        <v>1864</v>
      </c>
      <c r="AK214" s="4021" t="s">
        <v>1865</v>
      </c>
      <c r="AL214" s="6891"/>
      <c r="AM214" s="6869"/>
      <c r="AN214" s="5767"/>
      <c r="AO214" s="6491"/>
      <c r="AP214" s="6871"/>
      <c r="AQ214" s="6890"/>
      <c r="DF214" s="1971"/>
    </row>
    <row r="215" spans="1:130" x14ac:dyDescent="0.3">
      <c r="A215" s="4050" t="s">
        <v>453</v>
      </c>
      <c r="B215" s="3308">
        <f>SUM(H215+J215+L215+N215+P215+R215+T215+V215+X215)</f>
        <v>0</v>
      </c>
      <c r="C215" s="3983">
        <f>SUM(I215+K215+M215+O215+Q215+S215+U215+W215+Y215)</f>
        <v>0</v>
      </c>
      <c r="D215" s="3984"/>
      <c r="E215" s="3998"/>
      <c r="F215" s="3997"/>
      <c r="G215" s="3998"/>
      <c r="H215" s="3996"/>
      <c r="I215" s="3995"/>
      <c r="J215" s="3996"/>
      <c r="K215" s="3995"/>
      <c r="L215" s="3996"/>
      <c r="M215" s="3995"/>
      <c r="N215" s="3996"/>
      <c r="O215" s="3995"/>
      <c r="P215" s="3996"/>
      <c r="Q215" s="3995"/>
      <c r="R215" s="3996"/>
      <c r="S215" s="3995"/>
      <c r="T215" s="3996"/>
      <c r="U215" s="3995"/>
      <c r="V215" s="3996"/>
      <c r="W215" s="3995"/>
      <c r="X215" s="3996"/>
      <c r="Y215" s="3995"/>
      <c r="Z215" s="3997"/>
      <c r="AA215" s="3998"/>
      <c r="AB215" s="3997"/>
      <c r="AC215" s="3998"/>
      <c r="AD215" s="3997"/>
      <c r="AE215" s="3998"/>
      <c r="AF215" s="3997"/>
      <c r="AG215" s="3998"/>
      <c r="AH215" s="3997"/>
      <c r="AI215" s="3998"/>
      <c r="AJ215" s="3997"/>
      <c r="AK215" s="3999"/>
      <c r="AL215" s="3984"/>
      <c r="AM215" s="892"/>
      <c r="AN215" s="3126"/>
      <c r="AO215" s="4026"/>
      <c r="AP215" s="3987"/>
      <c r="AQ215" s="4051"/>
      <c r="AR215" s="1898" t="str">
        <f>$CA215&amp;CB215&amp;CC215&amp;CD215&amp;CE215&amp;CG215&amp;CF215&amp;CH215&amp;CI215</f>
        <v/>
      </c>
      <c r="CA215" s="4027" t="str">
        <f>IF(C215&gt;B215," * El Total de Exámenes reactivos NO DEBE SUPERAR los Exámenes Procesados. ","")</f>
        <v/>
      </c>
      <c r="CB215" s="1899" t="str">
        <f>IF(AND(B215&gt;0,AND(AL215+AM215=""))," * No olvide digitar la variable POR SEXO (Procesados). Digite cero si no tiene.",IF(B215&lt;&gt;(AL215+AM215)," * La suma de las variables POR SEXO (Procesados) debe ser igual al Total de procesados.",""))</f>
        <v/>
      </c>
      <c r="CC215" s="1899" t="str">
        <f>IF(AND(B215&gt;0,AND(AN215="",AO215=""))," * No olvide digitar la variable Trans (Masculino o Femenino). Digite cero si no tiene.",IF((AN215+AO215)&gt;B215," *  La suma de exámenes a Trans (Masculino + Femenino) no puede ser mayor que el Total de Procesados .",""))</f>
        <v/>
      </c>
      <c r="CD215" s="1899" t="str">
        <f>IF(AND(B215&gt;0,AP215="")," * No olvide digitar la variable Pueblos originarios. Digite cero si no tiene.",IF(AP215&gt;B215," * La variable Pueblos originarios no puede ser mayor que el Total de Procesados.",""))</f>
        <v/>
      </c>
      <c r="CE215" s="1899" t="str">
        <f>IF(AND(B215&gt;0,AQ215="")," * No olvide digitar la variable Migrantes. Digite cero si no tiene.",IF(AQ215&gt;B215," * La variable Migrantes no puede ser mayor que el Total de Procesados.",""))</f>
        <v/>
      </c>
      <c r="CF215" s="1970"/>
      <c r="CG215" s="1971"/>
      <c r="CH215" s="1971"/>
      <c r="CI215" s="1971"/>
      <c r="CJ215" s="1971"/>
      <c r="DF215" s="3989">
        <f>IF(C215&gt;B215,1,0)</f>
        <v>0</v>
      </c>
      <c r="DG215" s="3989">
        <f>IF(AND(B215&gt;0,AND(AL215+AM215="")),1,IF(B215&lt;&gt;(AL215+AM215),1,0))</f>
        <v>0</v>
      </c>
      <c r="DH215" s="3989">
        <f>IF(AND(B215&gt;0,AND(AN215="",AO215="")),1,IF((AN215+AO215)&gt;B215,1,0))</f>
        <v>0</v>
      </c>
      <c r="DI215" s="3989">
        <f>IF(AND(B215&gt;0,AP215=""),1,IF(AP215&gt;B215,1,0))</f>
        <v>0</v>
      </c>
      <c r="DJ215" s="3989">
        <f>IF(AND(B215&gt;0,AQ215=""),1,IF(AQ215&gt;B215,1,0))</f>
        <v>0</v>
      </c>
      <c r="DK215" s="1970"/>
      <c r="DL215" s="1970"/>
      <c r="DM215" s="1970"/>
      <c r="DN215" s="1970"/>
      <c r="DO215" s="1970"/>
    </row>
    <row r="216" spans="1:130" x14ac:dyDescent="0.3">
      <c r="A216" s="4050" t="s">
        <v>1929</v>
      </c>
      <c r="B216" s="3991">
        <f>SUM(J216+L216+N216+P216+R216+T216+V216+X216+Z216+AB216+AD216+AF216+AH216+AJ216)</f>
        <v>0</v>
      </c>
      <c r="C216" s="345">
        <f>SUM(I216+K216+M216+O216+Q216+S216+U216+W216+Y216+AA216+AC216+AE216+AG216+AI216+AK216)</f>
        <v>0</v>
      </c>
      <c r="D216" s="3984"/>
      <c r="E216" s="3998"/>
      <c r="F216" s="3997"/>
      <c r="G216" s="3998"/>
      <c r="H216" s="3997"/>
      <c r="I216" s="3998"/>
      <c r="J216" s="3996"/>
      <c r="K216" s="3995"/>
      <c r="L216" s="3996"/>
      <c r="M216" s="3995"/>
      <c r="N216" s="3996"/>
      <c r="O216" s="3995"/>
      <c r="P216" s="3996"/>
      <c r="Q216" s="3995"/>
      <c r="R216" s="3996"/>
      <c r="S216" s="3995"/>
      <c r="T216" s="3996"/>
      <c r="U216" s="3995"/>
      <c r="V216" s="3996"/>
      <c r="W216" s="3995"/>
      <c r="X216" s="3996"/>
      <c r="Y216" s="3995"/>
      <c r="Z216" s="3996"/>
      <c r="AA216" s="3995"/>
      <c r="AB216" s="3996"/>
      <c r="AC216" s="3995"/>
      <c r="AD216" s="3996"/>
      <c r="AE216" s="3995"/>
      <c r="AF216" s="3996"/>
      <c r="AG216" s="3995"/>
      <c r="AH216" s="3996"/>
      <c r="AI216" s="3995"/>
      <c r="AJ216" s="3996"/>
      <c r="AK216" s="3985"/>
      <c r="AL216" s="3987"/>
      <c r="AM216" s="3985"/>
      <c r="AN216" s="3986"/>
      <c r="AO216" s="4026"/>
      <c r="AP216" s="3987"/>
      <c r="AQ216" s="4051"/>
      <c r="AR216" s="1898" t="str">
        <f t="shared" ref="AR216:AR221" si="484">$CA216&amp;CB216&amp;CC216&amp;CD216&amp;CE216&amp;CG216&amp;CF216&amp;CH216&amp;CI216</f>
        <v/>
      </c>
      <c r="CA216" s="4027" t="str">
        <f t="shared" ref="CA216:CA221" si="485">IF(C216&gt;B216," * El Total de Exámenes reactivos NO DEBE SUPERAR los Exámenes Procesados. ","")</f>
        <v/>
      </c>
      <c r="CB216" s="1899" t="str">
        <f t="shared" ref="CB216:CB221" si="486">IF(AND(B216&gt;0,AND(AL216+AM216=""))," * No olvide digitar la variable POR SEXO (Procesados). Digite cero si no tiene.",IF(B216&lt;&gt;(AL216+AM216)," * La suma de las variables POR SEXO (Procesados) debe ser igual al Total de procesados.",""))</f>
        <v/>
      </c>
      <c r="CC216" s="1899" t="str">
        <f t="shared" ref="CC216:CC221" si="487">IF(AND(B216&gt;0,AND(AN216="",AO216=""))," * No olvide digitar la variable Trans (Masculino o Femenino). Digite cero si no tiene.",IF((AN216+AO216)&gt;B216," *  La suma de exámenes a Trans (Masculino + Femenino) no puede ser mayor que el Total de Procesados .",""))</f>
        <v/>
      </c>
      <c r="CD216" s="1899" t="str">
        <f t="shared" ref="CD216:CD221" si="488">IF(AND(B216&gt;0,AP216="")," * No olvide digitar la variable Pueblos originarios. Digite cero si no tiene.",IF(AP216&gt;B216," * La variable Pueblos originarios no puede ser mayor que el Total de Procesados.",""))</f>
        <v/>
      </c>
      <c r="CE216" s="1899" t="str">
        <f t="shared" ref="CE216:CE221" si="489">IF(AND(B216&gt;0,AQ216="")," * No olvide digitar la variable Migrantes. Digite cero si no tiene.",IF(AQ216&gt;B216," * La variable Migrantes no puede ser mayor que el Total de Procesados.",""))</f>
        <v/>
      </c>
      <c r="CF216" s="1970"/>
      <c r="CG216" s="1971"/>
      <c r="CH216" s="1971"/>
      <c r="CI216" s="1971"/>
      <c r="DF216" s="3989">
        <f t="shared" ref="DF216:DF221" si="490">IF(C216&gt;B216,1,0)</f>
        <v>0</v>
      </c>
      <c r="DG216" s="3989">
        <f t="shared" ref="DG216:DG221" si="491">IF(AND(B216&gt;0,AND(AL216+AM216="")),1,IF(B216&lt;&gt;(AL216+AM216),1,0))</f>
        <v>0</v>
      </c>
      <c r="DH216" s="3989">
        <f t="shared" ref="DH216:DH221" si="492">IF(AND(B216&gt;0,AND(AN216="",AO216="")),1,IF((AN216+AO216)&gt;B216,1,0))</f>
        <v>0</v>
      </c>
      <c r="DI216" s="3989">
        <f t="shared" ref="DI216:DI221" si="493">IF(AND(B216&gt;0,AP216=""),1,IF(AP216&gt;B216,1,0))</f>
        <v>0</v>
      </c>
      <c r="DJ216" s="3989">
        <f t="shared" ref="DJ216:DJ221" si="494">IF(AND(B216&gt;0,AQ216=""),1,IF(AQ216&gt;B216,1,0))</f>
        <v>0</v>
      </c>
      <c r="DK216" s="1970"/>
      <c r="DL216" s="1970"/>
      <c r="DM216" s="1970"/>
      <c r="DN216" s="1970"/>
      <c r="DO216" s="1970"/>
    </row>
    <row r="217" spans="1:130" x14ac:dyDescent="0.3">
      <c r="A217" s="4050" t="s">
        <v>1930</v>
      </c>
      <c r="B217" s="3991">
        <f t="shared" ref="B217:C221" si="495">SUM(D217+F217+H217+J217+L217+N217+P217+R217+T217+V217+X217+Z217+AB217+AD217+AF217+AH217+AJ217)</f>
        <v>0</v>
      </c>
      <c r="C217" s="345">
        <f t="shared" si="495"/>
        <v>0</v>
      </c>
      <c r="D217" s="3987"/>
      <c r="E217" s="3995"/>
      <c r="F217" s="3996"/>
      <c r="G217" s="3995"/>
      <c r="H217" s="3996"/>
      <c r="I217" s="3995"/>
      <c r="J217" s="3996"/>
      <c r="K217" s="3995"/>
      <c r="L217" s="3996"/>
      <c r="M217" s="3995"/>
      <c r="N217" s="3996"/>
      <c r="O217" s="3995"/>
      <c r="P217" s="3996"/>
      <c r="Q217" s="3995"/>
      <c r="R217" s="3996"/>
      <c r="S217" s="3995"/>
      <c r="T217" s="3996"/>
      <c r="U217" s="3995"/>
      <c r="V217" s="3996"/>
      <c r="W217" s="3995"/>
      <c r="X217" s="3996"/>
      <c r="Y217" s="3995"/>
      <c r="Z217" s="3996"/>
      <c r="AA217" s="3995"/>
      <c r="AB217" s="3996"/>
      <c r="AC217" s="3995"/>
      <c r="AD217" s="3996"/>
      <c r="AE217" s="3995"/>
      <c r="AF217" s="3996"/>
      <c r="AG217" s="3995"/>
      <c r="AH217" s="3996"/>
      <c r="AI217" s="3995"/>
      <c r="AJ217" s="3996"/>
      <c r="AK217" s="3985"/>
      <c r="AL217" s="3987"/>
      <c r="AM217" s="3985"/>
      <c r="AN217" s="3986"/>
      <c r="AO217" s="4026"/>
      <c r="AP217" s="3987"/>
      <c r="AQ217" s="4051"/>
      <c r="AR217" s="1898" t="str">
        <f t="shared" si="484"/>
        <v/>
      </c>
      <c r="CA217" s="4027" t="str">
        <f t="shared" si="485"/>
        <v/>
      </c>
      <c r="CB217" s="1899" t="str">
        <f t="shared" si="486"/>
        <v/>
      </c>
      <c r="CC217" s="1899" t="str">
        <f t="shared" si="487"/>
        <v/>
      </c>
      <c r="CD217" s="1899" t="str">
        <f t="shared" si="488"/>
        <v/>
      </c>
      <c r="CE217" s="1899" t="str">
        <f t="shared" si="489"/>
        <v/>
      </c>
      <c r="CF217" s="1970"/>
      <c r="CG217" s="1971"/>
      <c r="CH217" s="1971"/>
      <c r="CI217" s="1971"/>
      <c r="DF217" s="3989">
        <f t="shared" si="490"/>
        <v>0</v>
      </c>
      <c r="DG217" s="3989">
        <f t="shared" si="491"/>
        <v>0</v>
      </c>
      <c r="DH217" s="3989">
        <f t="shared" si="492"/>
        <v>0</v>
      </c>
      <c r="DI217" s="3989">
        <f t="shared" si="493"/>
        <v>0</v>
      </c>
      <c r="DJ217" s="3989">
        <f t="shared" si="494"/>
        <v>0</v>
      </c>
      <c r="DK217" s="1970"/>
      <c r="DL217" s="1970"/>
      <c r="DM217" s="1970"/>
      <c r="DN217" s="1970"/>
      <c r="DO217" s="1970"/>
    </row>
    <row r="218" spans="1:130" x14ac:dyDescent="0.3">
      <c r="A218" s="4050" t="s">
        <v>1931</v>
      </c>
      <c r="B218" s="3991">
        <f t="shared" si="495"/>
        <v>0</v>
      </c>
      <c r="C218" s="345">
        <f>SUM(E218+G218+I218+K218+M218+O218+Q218+S218+U218+W218+Y218+AA218+AC218+AE218+AG218+AI218+AK218)</f>
        <v>0</v>
      </c>
      <c r="D218" s="3987"/>
      <c r="E218" s="3995"/>
      <c r="F218" s="3996"/>
      <c r="G218" s="3995"/>
      <c r="H218" s="3996"/>
      <c r="I218" s="3995"/>
      <c r="J218" s="3996"/>
      <c r="K218" s="3995"/>
      <c r="L218" s="3996"/>
      <c r="M218" s="3995"/>
      <c r="N218" s="3996"/>
      <c r="O218" s="3995"/>
      <c r="P218" s="3996"/>
      <c r="Q218" s="3995"/>
      <c r="R218" s="3996"/>
      <c r="S218" s="3995"/>
      <c r="T218" s="3996"/>
      <c r="U218" s="3995"/>
      <c r="V218" s="3996"/>
      <c r="W218" s="3995"/>
      <c r="X218" s="3996"/>
      <c r="Y218" s="3995"/>
      <c r="Z218" s="3996"/>
      <c r="AA218" s="3995"/>
      <c r="AB218" s="3996"/>
      <c r="AC218" s="3995"/>
      <c r="AD218" s="3996"/>
      <c r="AE218" s="3995"/>
      <c r="AF218" s="3996"/>
      <c r="AG218" s="3995"/>
      <c r="AH218" s="3996"/>
      <c r="AI218" s="3995"/>
      <c r="AJ218" s="3996"/>
      <c r="AK218" s="3985"/>
      <c r="AL218" s="3987"/>
      <c r="AM218" s="3985"/>
      <c r="AN218" s="3986"/>
      <c r="AO218" s="4026"/>
      <c r="AP218" s="3987"/>
      <c r="AQ218" s="4051"/>
      <c r="AR218" s="1898" t="str">
        <f t="shared" si="484"/>
        <v/>
      </c>
      <c r="CA218" s="4027" t="str">
        <f t="shared" si="485"/>
        <v/>
      </c>
      <c r="CB218" s="1899" t="str">
        <f t="shared" si="486"/>
        <v/>
      </c>
      <c r="CC218" s="1899" t="str">
        <f t="shared" si="487"/>
        <v/>
      </c>
      <c r="CD218" s="1899" t="str">
        <f t="shared" si="488"/>
        <v/>
      </c>
      <c r="CE218" s="1899" t="str">
        <f t="shared" si="489"/>
        <v/>
      </c>
      <c r="CF218" s="1970"/>
      <c r="CG218" s="1971"/>
      <c r="CH218" s="1971"/>
      <c r="CI218" s="1971"/>
      <c r="DF218" s="3989">
        <f t="shared" si="490"/>
        <v>0</v>
      </c>
      <c r="DG218" s="3989">
        <f t="shared" si="491"/>
        <v>0</v>
      </c>
      <c r="DH218" s="3989">
        <f t="shared" si="492"/>
        <v>0</v>
      </c>
      <c r="DI218" s="3989">
        <f t="shared" si="493"/>
        <v>0</v>
      </c>
      <c r="DJ218" s="3989">
        <f t="shared" si="494"/>
        <v>0</v>
      </c>
      <c r="DK218" s="1970"/>
      <c r="DL218" s="1970"/>
      <c r="DM218" s="1970"/>
      <c r="DN218" s="1970"/>
      <c r="DO218" s="1970"/>
    </row>
    <row r="219" spans="1:130" x14ac:dyDescent="0.3">
      <c r="A219" s="4052" t="s">
        <v>1932</v>
      </c>
      <c r="B219" s="3991">
        <f t="shared" si="495"/>
        <v>0</v>
      </c>
      <c r="C219" s="345">
        <f>SUM(E219+G219+I219+K219+M219+O219+Q219+S219+U219+W219+Y219+AA219+AC219+AE219+AG219+AI219+AK219)</f>
        <v>0</v>
      </c>
      <c r="D219" s="3987"/>
      <c r="E219" s="3995"/>
      <c r="F219" s="3996"/>
      <c r="G219" s="3995"/>
      <c r="H219" s="3996"/>
      <c r="I219" s="3995"/>
      <c r="J219" s="3996"/>
      <c r="K219" s="3995"/>
      <c r="L219" s="3996"/>
      <c r="M219" s="3995"/>
      <c r="N219" s="3996"/>
      <c r="O219" s="3995"/>
      <c r="P219" s="3996"/>
      <c r="Q219" s="3995"/>
      <c r="R219" s="3996"/>
      <c r="S219" s="3995"/>
      <c r="T219" s="3996"/>
      <c r="U219" s="3995"/>
      <c r="V219" s="3996"/>
      <c r="W219" s="3995"/>
      <c r="X219" s="3996"/>
      <c r="Y219" s="3995"/>
      <c r="Z219" s="3996"/>
      <c r="AA219" s="3995"/>
      <c r="AB219" s="3996"/>
      <c r="AC219" s="3995"/>
      <c r="AD219" s="3996"/>
      <c r="AE219" s="3995"/>
      <c r="AF219" s="3996"/>
      <c r="AG219" s="3995"/>
      <c r="AH219" s="3996"/>
      <c r="AI219" s="3995"/>
      <c r="AJ219" s="3996"/>
      <c r="AK219" s="3985"/>
      <c r="AL219" s="3987"/>
      <c r="AM219" s="3985"/>
      <c r="AN219" s="3986"/>
      <c r="AO219" s="4026"/>
      <c r="AP219" s="3987"/>
      <c r="AQ219" s="4051"/>
      <c r="AR219" s="1898" t="str">
        <f t="shared" si="484"/>
        <v/>
      </c>
      <c r="CA219" s="4027" t="str">
        <f t="shared" si="485"/>
        <v/>
      </c>
      <c r="CB219" s="1899" t="str">
        <f t="shared" si="486"/>
        <v/>
      </c>
      <c r="CC219" s="1899" t="str">
        <f t="shared" si="487"/>
        <v/>
      </c>
      <c r="CD219" s="1899" t="str">
        <f t="shared" si="488"/>
        <v/>
      </c>
      <c r="CE219" s="1899" t="str">
        <f t="shared" si="489"/>
        <v/>
      </c>
      <c r="CF219" s="1970"/>
      <c r="CG219" s="1971"/>
      <c r="CH219" s="1971"/>
      <c r="CI219" s="1971"/>
      <c r="DF219" s="3989">
        <f t="shared" si="490"/>
        <v>0</v>
      </c>
      <c r="DG219" s="3989">
        <f t="shared" si="491"/>
        <v>0</v>
      </c>
      <c r="DH219" s="3989">
        <f t="shared" si="492"/>
        <v>0</v>
      </c>
      <c r="DI219" s="3989">
        <f t="shared" si="493"/>
        <v>0</v>
      </c>
      <c r="DJ219" s="3989">
        <f t="shared" si="494"/>
        <v>0</v>
      </c>
      <c r="DK219" s="1970"/>
      <c r="DL219" s="1970"/>
      <c r="DM219" s="1970"/>
      <c r="DN219" s="1970"/>
      <c r="DO219" s="1970"/>
    </row>
    <row r="220" spans="1:130" x14ac:dyDescent="0.3">
      <c r="A220" s="4050" t="s">
        <v>1883</v>
      </c>
      <c r="B220" s="3991">
        <f>SUM(D220+F220+H220+J220+L220+N220+P220+R220+T220+V220+X220+Z220+AB220+AD220+AF220+AH220+AJ220)</f>
        <v>0</v>
      </c>
      <c r="C220" s="345">
        <f t="shared" si="495"/>
        <v>0</v>
      </c>
      <c r="D220" s="3987"/>
      <c r="E220" s="3995"/>
      <c r="F220" s="3996"/>
      <c r="G220" s="3995"/>
      <c r="H220" s="3996"/>
      <c r="I220" s="3995"/>
      <c r="J220" s="3996"/>
      <c r="K220" s="3995"/>
      <c r="L220" s="3996"/>
      <c r="M220" s="3995"/>
      <c r="N220" s="3996"/>
      <c r="O220" s="3995"/>
      <c r="P220" s="3996"/>
      <c r="Q220" s="3995"/>
      <c r="R220" s="3996"/>
      <c r="S220" s="3995"/>
      <c r="T220" s="3996"/>
      <c r="U220" s="3995"/>
      <c r="V220" s="3996"/>
      <c r="W220" s="3995"/>
      <c r="X220" s="3996"/>
      <c r="Y220" s="3995"/>
      <c r="Z220" s="3996"/>
      <c r="AA220" s="3995"/>
      <c r="AB220" s="3996"/>
      <c r="AC220" s="3995"/>
      <c r="AD220" s="3996"/>
      <c r="AE220" s="3995"/>
      <c r="AF220" s="3996"/>
      <c r="AG220" s="3995"/>
      <c r="AH220" s="3996"/>
      <c r="AI220" s="3995"/>
      <c r="AJ220" s="3996"/>
      <c r="AK220" s="3985"/>
      <c r="AL220" s="3987"/>
      <c r="AM220" s="3985"/>
      <c r="AN220" s="3986"/>
      <c r="AO220" s="4026"/>
      <c r="AP220" s="3987"/>
      <c r="AQ220" s="4051"/>
      <c r="AR220" s="1898" t="str">
        <f t="shared" si="484"/>
        <v/>
      </c>
      <c r="CA220" s="4027" t="str">
        <f t="shared" si="485"/>
        <v/>
      </c>
      <c r="CB220" s="1899" t="str">
        <f t="shared" si="486"/>
        <v/>
      </c>
      <c r="CC220" s="1899" t="str">
        <f t="shared" si="487"/>
        <v/>
      </c>
      <c r="CD220" s="1899" t="str">
        <f t="shared" si="488"/>
        <v/>
      </c>
      <c r="CE220" s="1899" t="str">
        <f t="shared" si="489"/>
        <v/>
      </c>
      <c r="CF220" s="1970"/>
      <c r="CG220" s="1971"/>
      <c r="CH220" s="1971"/>
      <c r="CI220" s="1971"/>
      <c r="DF220" s="3989">
        <f t="shared" si="490"/>
        <v>0</v>
      </c>
      <c r="DG220" s="3989">
        <f t="shared" si="491"/>
        <v>0</v>
      </c>
      <c r="DH220" s="3989">
        <f t="shared" si="492"/>
        <v>0</v>
      </c>
      <c r="DI220" s="3989">
        <f t="shared" si="493"/>
        <v>0</v>
      </c>
      <c r="DJ220" s="3989">
        <f t="shared" si="494"/>
        <v>0</v>
      </c>
      <c r="DK220" s="1970"/>
      <c r="DL220" s="1970"/>
      <c r="DM220" s="1970"/>
      <c r="DN220" s="1970"/>
      <c r="DO220" s="1970"/>
    </row>
    <row r="221" spans="1:130" x14ac:dyDescent="0.3">
      <c r="A221" s="1783" t="s">
        <v>591</v>
      </c>
      <c r="B221" s="1083">
        <f>SUM(D221+F221+H221+J221+L221+N221+P221+R221+T221+V221+X221+Z221+AB221+AD221+AF221+AH221+AJ221)</f>
        <v>0</v>
      </c>
      <c r="C221" s="3429">
        <f t="shared" si="495"/>
        <v>0</v>
      </c>
      <c r="D221" s="1911"/>
      <c r="E221" s="1907"/>
      <c r="F221" s="876"/>
      <c r="G221" s="1907"/>
      <c r="H221" s="876"/>
      <c r="I221" s="1907"/>
      <c r="J221" s="876"/>
      <c r="K221" s="1907"/>
      <c r="L221" s="876"/>
      <c r="M221" s="1907"/>
      <c r="N221" s="876"/>
      <c r="O221" s="1907"/>
      <c r="P221" s="876"/>
      <c r="Q221" s="1907"/>
      <c r="R221" s="876"/>
      <c r="S221" s="1907"/>
      <c r="T221" s="876"/>
      <c r="U221" s="1907"/>
      <c r="V221" s="876"/>
      <c r="W221" s="1907"/>
      <c r="X221" s="876"/>
      <c r="Y221" s="1907"/>
      <c r="Z221" s="876"/>
      <c r="AA221" s="1907"/>
      <c r="AB221" s="876"/>
      <c r="AC221" s="1907"/>
      <c r="AD221" s="876"/>
      <c r="AE221" s="1907"/>
      <c r="AF221" s="876"/>
      <c r="AG221" s="1907"/>
      <c r="AH221" s="876"/>
      <c r="AI221" s="1907"/>
      <c r="AJ221" s="876"/>
      <c r="AK221" s="1953"/>
      <c r="AL221" s="1911"/>
      <c r="AM221" s="1953"/>
      <c r="AN221" s="1913"/>
      <c r="AO221" s="1912"/>
      <c r="AP221" s="1911"/>
      <c r="AQ221" s="1954"/>
      <c r="AR221" s="1898" t="str">
        <f t="shared" si="484"/>
        <v/>
      </c>
      <c r="CA221" s="4027" t="str">
        <f t="shared" si="485"/>
        <v/>
      </c>
      <c r="CB221" s="1899" t="str">
        <f t="shared" si="486"/>
        <v/>
      </c>
      <c r="CC221" s="1899" t="str">
        <f t="shared" si="487"/>
        <v/>
      </c>
      <c r="CD221" s="1899" t="str">
        <f t="shared" si="488"/>
        <v/>
      </c>
      <c r="CE221" s="1899" t="str">
        <f t="shared" si="489"/>
        <v/>
      </c>
      <c r="CF221" s="1970"/>
      <c r="CG221" s="1971"/>
      <c r="CH221" s="1971"/>
      <c r="CI221" s="1971"/>
      <c r="DF221" s="3989">
        <f t="shared" si="490"/>
        <v>0</v>
      </c>
      <c r="DG221" s="3989">
        <f t="shared" si="491"/>
        <v>0</v>
      </c>
      <c r="DH221" s="3989">
        <f t="shared" si="492"/>
        <v>0</v>
      </c>
      <c r="DI221" s="3989">
        <f t="shared" si="493"/>
        <v>0</v>
      </c>
      <c r="DJ221" s="3989">
        <f t="shared" si="494"/>
        <v>0</v>
      </c>
      <c r="DK221" s="1970"/>
      <c r="DL221" s="1970"/>
      <c r="DM221" s="1970"/>
      <c r="DN221" s="1970"/>
      <c r="DO221" s="1970"/>
    </row>
    <row r="222" spans="1:130" s="6" customFormat="1" ht="18" customHeight="1" x14ac:dyDescent="0.25">
      <c r="A222" s="4053" t="s">
        <v>1933</v>
      </c>
      <c r="B222" s="4053"/>
      <c r="C222" s="4053"/>
      <c r="D222" s="4053"/>
      <c r="E222" s="4053"/>
      <c r="F222" s="4053"/>
      <c r="G222" s="4053"/>
      <c r="H222" s="4053"/>
      <c r="I222" s="4053"/>
      <c r="J222" s="4053"/>
      <c r="K222" s="4053"/>
      <c r="L222" s="4053"/>
      <c r="M222" s="4053"/>
      <c r="N222" s="4053"/>
      <c r="O222" s="4053"/>
      <c r="P222" s="4053"/>
      <c r="Q222" s="4053"/>
      <c r="R222" s="4053"/>
      <c r="S222" s="4053"/>
      <c r="T222" s="4053"/>
      <c r="U222" s="4053"/>
      <c r="V222" s="4053"/>
      <c r="W222" s="4053"/>
      <c r="X222" s="4053"/>
      <c r="Y222" s="4053"/>
      <c r="Z222" s="4053"/>
      <c r="AA222" s="4053"/>
      <c r="AB222" s="4053"/>
      <c r="AC222" s="4053"/>
      <c r="AD222" s="4053"/>
      <c r="AE222" s="4053"/>
      <c r="AF222" s="4053"/>
      <c r="AG222" s="4053"/>
      <c r="AH222" s="4053"/>
      <c r="AI222" s="4053"/>
      <c r="AJ222" s="4053"/>
      <c r="AK222" s="4053"/>
      <c r="AL222" s="4053"/>
      <c r="AM222" s="4053"/>
      <c r="AN222" s="99"/>
      <c r="AO222" s="99"/>
      <c r="AP222" s="99"/>
      <c r="AQ222" s="99"/>
    </row>
    <row r="223" spans="1:130" x14ac:dyDescent="0.3">
      <c r="A223" s="6883" t="s">
        <v>1892</v>
      </c>
      <c r="B223" s="6886" t="s">
        <v>77</v>
      </c>
      <c r="C223" s="6886"/>
      <c r="D223" s="6886" t="s">
        <v>29</v>
      </c>
      <c r="E223" s="6886"/>
      <c r="F223" s="6886"/>
      <c r="G223" s="6886"/>
      <c r="H223" s="6886"/>
      <c r="I223" s="6886"/>
      <c r="J223" s="6886"/>
      <c r="K223" s="6886"/>
      <c r="L223" s="6886"/>
      <c r="M223" s="6886"/>
      <c r="N223" s="6886"/>
      <c r="O223" s="6886"/>
      <c r="P223" s="6886"/>
      <c r="Q223" s="6886"/>
      <c r="R223" s="6886"/>
      <c r="S223" s="6886"/>
      <c r="T223" s="6886"/>
      <c r="U223" s="6886"/>
      <c r="V223" s="6886"/>
      <c r="W223" s="6886"/>
      <c r="X223" s="6886"/>
      <c r="Y223" s="6886"/>
      <c r="Z223" s="6886"/>
      <c r="AA223" s="6886"/>
      <c r="AB223" s="6886"/>
      <c r="AC223" s="6886"/>
      <c r="AD223" s="6886"/>
      <c r="AE223" s="6886"/>
      <c r="AF223" s="6886"/>
      <c r="AG223" s="6886"/>
      <c r="AH223" s="6886"/>
      <c r="AI223" s="6886"/>
      <c r="AJ223" s="6886"/>
      <c r="AK223" s="6887"/>
      <c r="AL223" s="6871" t="s">
        <v>1861</v>
      </c>
      <c r="AM223" s="6888"/>
      <c r="AN223" s="6889" t="s">
        <v>457</v>
      </c>
      <c r="AO223" s="6843"/>
      <c r="AP223" s="6871" t="s">
        <v>36</v>
      </c>
      <c r="AQ223" s="6890" t="s">
        <v>37</v>
      </c>
    </row>
    <row r="224" spans="1:130" x14ac:dyDescent="0.3">
      <c r="A224" s="6884"/>
      <c r="B224" s="6886"/>
      <c r="C224" s="6886"/>
      <c r="D224" s="6886" t="s">
        <v>343</v>
      </c>
      <c r="E224" s="6886"/>
      <c r="F224" s="6886" t="s">
        <v>326</v>
      </c>
      <c r="G224" s="6886"/>
      <c r="H224" s="6886" t="s">
        <v>94</v>
      </c>
      <c r="I224" s="6886"/>
      <c r="J224" s="6886" t="s">
        <v>44</v>
      </c>
      <c r="K224" s="6886"/>
      <c r="L224" s="6886" t="s">
        <v>45</v>
      </c>
      <c r="M224" s="6886"/>
      <c r="N224" s="6886" t="s">
        <v>46</v>
      </c>
      <c r="O224" s="6886"/>
      <c r="P224" s="6886" t="s">
        <v>47</v>
      </c>
      <c r="Q224" s="6886"/>
      <c r="R224" s="6886" t="s">
        <v>48</v>
      </c>
      <c r="S224" s="6886"/>
      <c r="T224" s="6886" t="s">
        <v>49</v>
      </c>
      <c r="U224" s="6886"/>
      <c r="V224" s="6886" t="s">
        <v>50</v>
      </c>
      <c r="W224" s="6886"/>
      <c r="X224" s="6886" t="s">
        <v>51</v>
      </c>
      <c r="Y224" s="6886"/>
      <c r="Z224" s="6886" t="s">
        <v>52</v>
      </c>
      <c r="AA224" s="6886"/>
      <c r="AB224" s="6886" t="s">
        <v>53</v>
      </c>
      <c r="AC224" s="6886"/>
      <c r="AD224" s="6886" t="s">
        <v>54</v>
      </c>
      <c r="AE224" s="6886"/>
      <c r="AF224" s="6886" t="s">
        <v>55</v>
      </c>
      <c r="AG224" s="6886"/>
      <c r="AH224" s="6886" t="s">
        <v>56</v>
      </c>
      <c r="AI224" s="6886"/>
      <c r="AJ224" s="6886" t="s">
        <v>57</v>
      </c>
      <c r="AK224" s="6887"/>
      <c r="AL224" s="6891" t="s">
        <v>58</v>
      </c>
      <c r="AM224" s="6869" t="s">
        <v>59</v>
      </c>
      <c r="AN224" s="6892" t="s">
        <v>462</v>
      </c>
      <c r="AO224" s="6284" t="s">
        <v>463</v>
      </c>
      <c r="AP224" s="6871"/>
      <c r="AQ224" s="6890"/>
    </row>
    <row r="225" spans="1:132" x14ac:dyDescent="0.3">
      <c r="A225" s="6885"/>
      <c r="B225" s="4048" t="s">
        <v>1864</v>
      </c>
      <c r="C225" s="2979" t="s">
        <v>1865</v>
      </c>
      <c r="D225" s="4049" t="s">
        <v>1864</v>
      </c>
      <c r="E225" s="4020" t="s">
        <v>1865</v>
      </c>
      <c r="F225" s="4049" t="s">
        <v>1864</v>
      </c>
      <c r="G225" s="4020" t="s">
        <v>1865</v>
      </c>
      <c r="H225" s="4049" t="s">
        <v>1864</v>
      </c>
      <c r="I225" s="4020" t="s">
        <v>1865</v>
      </c>
      <c r="J225" s="4049" t="s">
        <v>1864</v>
      </c>
      <c r="K225" s="4020" t="s">
        <v>1865</v>
      </c>
      <c r="L225" s="4049" t="s">
        <v>1864</v>
      </c>
      <c r="M225" s="4020" t="s">
        <v>1865</v>
      </c>
      <c r="N225" s="4049" t="s">
        <v>1864</v>
      </c>
      <c r="O225" s="4020" t="s">
        <v>1865</v>
      </c>
      <c r="P225" s="4049" t="s">
        <v>1864</v>
      </c>
      <c r="Q225" s="4020" t="s">
        <v>1865</v>
      </c>
      <c r="R225" s="4049" t="s">
        <v>1864</v>
      </c>
      <c r="S225" s="4020" t="s">
        <v>1865</v>
      </c>
      <c r="T225" s="4049" t="s">
        <v>1864</v>
      </c>
      <c r="U225" s="4020" t="s">
        <v>1865</v>
      </c>
      <c r="V225" s="4049" t="s">
        <v>1864</v>
      </c>
      <c r="W225" s="4020" t="s">
        <v>1865</v>
      </c>
      <c r="X225" s="4049" t="s">
        <v>1864</v>
      </c>
      <c r="Y225" s="4020" t="s">
        <v>1865</v>
      </c>
      <c r="Z225" s="4049" t="s">
        <v>1864</v>
      </c>
      <c r="AA225" s="4020" t="s">
        <v>1865</v>
      </c>
      <c r="AB225" s="4049" t="s">
        <v>1864</v>
      </c>
      <c r="AC225" s="4020" t="s">
        <v>1865</v>
      </c>
      <c r="AD225" s="4049" t="s">
        <v>1864</v>
      </c>
      <c r="AE225" s="4020" t="s">
        <v>1865</v>
      </c>
      <c r="AF225" s="4049" t="s">
        <v>1864</v>
      </c>
      <c r="AG225" s="4020" t="s">
        <v>1865</v>
      </c>
      <c r="AH225" s="4049" t="s">
        <v>1864</v>
      </c>
      <c r="AI225" s="4020" t="s">
        <v>1865</v>
      </c>
      <c r="AJ225" s="4049" t="s">
        <v>1864</v>
      </c>
      <c r="AK225" s="4021" t="s">
        <v>1865</v>
      </c>
      <c r="AL225" s="6891"/>
      <c r="AM225" s="6869"/>
      <c r="AN225" s="5767"/>
      <c r="AO225" s="6491"/>
      <c r="AP225" s="6871"/>
      <c r="AQ225" s="6890"/>
    </row>
    <row r="226" spans="1:132" x14ac:dyDescent="0.3">
      <c r="A226" s="4050" t="s">
        <v>453</v>
      </c>
      <c r="B226" s="3308">
        <f>SUM(D226+F226+H226+J226+L226+N226+P226+R226+T226+V226+X226+Z226+AB226+AD226+AF226+AH226+AJ226)</f>
        <v>0</v>
      </c>
      <c r="C226" s="3983">
        <f t="shared" ref="C226:C227" si="496">SUM(E226+G226+I226+K226+M226+O226+Q226+S226+U226+W226+Y226+AA226+AC226+AE226+AG226+AI226+AK226)</f>
        <v>0</v>
      </c>
      <c r="D226" s="3984"/>
      <c r="E226" s="3998"/>
      <c r="F226" s="3997"/>
      <c r="G226" s="3998"/>
      <c r="H226" s="3996"/>
      <c r="I226" s="3995"/>
      <c r="J226" s="3996"/>
      <c r="K226" s="3995"/>
      <c r="L226" s="3996"/>
      <c r="M226" s="3995"/>
      <c r="N226" s="3996"/>
      <c r="O226" s="3995"/>
      <c r="P226" s="3996"/>
      <c r="Q226" s="3995"/>
      <c r="R226" s="3996"/>
      <c r="S226" s="3995"/>
      <c r="T226" s="3996"/>
      <c r="U226" s="3995"/>
      <c r="V226" s="3996"/>
      <c r="W226" s="3995"/>
      <c r="X226" s="3996"/>
      <c r="Y226" s="3995"/>
      <c r="Z226" s="3997"/>
      <c r="AA226" s="3998"/>
      <c r="AB226" s="3997"/>
      <c r="AC226" s="3998"/>
      <c r="AD226" s="3997"/>
      <c r="AE226" s="3998"/>
      <c r="AF226" s="3997"/>
      <c r="AG226" s="3998"/>
      <c r="AH226" s="3997"/>
      <c r="AI226" s="3998"/>
      <c r="AJ226" s="3997"/>
      <c r="AK226" s="3999"/>
      <c r="AL226" s="3984"/>
      <c r="AM226" s="892"/>
      <c r="AN226" s="3126"/>
      <c r="AO226" s="4026"/>
      <c r="AP226" s="3987"/>
      <c r="AQ226" s="4051"/>
      <c r="AR226" s="1898" t="str">
        <f>$CA226&amp;CB226&amp;CC226&amp;CD226&amp;CE226&amp;CG226&amp;CF226</f>
        <v/>
      </c>
      <c r="CA226" s="4027" t="str">
        <f>IF(C226&gt;B226," * El Total de Exámenes reactivos NO DEBE SUPERAR los Exámenes Procesados. ","")</f>
        <v/>
      </c>
      <c r="CB226" s="1899" t="str">
        <f>IF(AND(B226&gt;0,AND(AL226+AM226=""))," * No olvide digitar la variable POR SEXO (Procesados). Digite cero si no tiene.",IF(B226&lt;&gt;(AL226+AM226)," * La suma de las variables POR SEXO (Procesados) debe ser igual al Total de procesados.",""))</f>
        <v/>
      </c>
      <c r="CC226" s="1899" t="str">
        <f>IF(AND(B226&gt;0,AND(AN226="",AO226=""))," * No olvide digitar la variable Trans (Masculino o Femenino). Digite cero si no tiene.",IF((AN226+AO226)&gt;B226," *  La suma de exámenes a Trans (Masculino + Femenino) no puede ser mayor que el Total de Procesados .",""))</f>
        <v/>
      </c>
      <c r="CD226" s="1899" t="str">
        <f>IF(AND(B226&gt;0,AP226="")," * No olvide digitar la variable Pueblos originarios. Digite cero si no tiene.",IF(AP226&gt;B226," * La variable Pueblos originarios no puede ser mayor que el Total de Procesados.",""))</f>
        <v/>
      </c>
      <c r="CE226" s="1899" t="str">
        <f>IF(AND(B226&gt;0,AQ226="")," * No olvide digitar la variable Migrantes. Digite cero si no tiene.",IF(AQ226&gt;B226," * La variable Migrantes no puede ser mayor que el Total de Procesados.",""))</f>
        <v/>
      </c>
      <c r="CF226" s="1970"/>
      <c r="CG226" s="1971"/>
      <c r="CH226" s="1971"/>
      <c r="CI226" s="1971"/>
      <c r="CJ226" s="1971"/>
      <c r="DF226" s="3989">
        <f>IF(C226&gt;B226,1,0)</f>
        <v>0</v>
      </c>
      <c r="DG226" s="3989">
        <f>IF(AND(B226&gt;0,AND(AL226+AM226="")),1,IF(B226&lt;&gt;(AL226+AM226),1,0))</f>
        <v>0</v>
      </c>
      <c r="DH226" s="3989">
        <f>IF(AND(B226&gt;0,AND(AN226="",AO226="")),1,IF((AN226+AO226)&gt;B226,1,0))</f>
        <v>0</v>
      </c>
      <c r="DI226" s="3989">
        <f>IF(AND(B226&gt;0,AP226=""),1,IF(AP226&gt;B226,1,0))</f>
        <v>0</v>
      </c>
      <c r="DJ226" s="3989">
        <f>IF(AND(B226&gt;0,AQ226=""),1,IF(AQ226&gt;B226,1,0))</f>
        <v>0</v>
      </c>
      <c r="DK226" s="1970"/>
    </row>
    <row r="227" spans="1:132" x14ac:dyDescent="0.3">
      <c r="A227" s="4050" t="s">
        <v>1929</v>
      </c>
      <c r="B227" s="3991">
        <f t="shared" ref="B227:C232" si="497">SUM(D227+F227+H227+J227+L227+N227+P227+R227+T227+V227+X227+Z227+AB227+AD227+AF227+AH227+AJ227)</f>
        <v>0</v>
      </c>
      <c r="C227" s="345">
        <f t="shared" si="496"/>
        <v>0</v>
      </c>
      <c r="D227" s="3984"/>
      <c r="E227" s="3998"/>
      <c r="F227" s="3997"/>
      <c r="G227" s="3998"/>
      <c r="H227" s="3997"/>
      <c r="I227" s="3998"/>
      <c r="J227" s="3996"/>
      <c r="K227" s="3995"/>
      <c r="L227" s="3996"/>
      <c r="M227" s="3995"/>
      <c r="N227" s="3996"/>
      <c r="O227" s="3995"/>
      <c r="P227" s="3996"/>
      <c r="Q227" s="3995"/>
      <c r="R227" s="3996"/>
      <c r="S227" s="3995"/>
      <c r="T227" s="3996"/>
      <c r="U227" s="3995"/>
      <c r="V227" s="3996"/>
      <c r="W227" s="3995"/>
      <c r="X227" s="3996"/>
      <c r="Y227" s="3995"/>
      <c r="Z227" s="3996"/>
      <c r="AA227" s="3995"/>
      <c r="AB227" s="3996"/>
      <c r="AC227" s="3995"/>
      <c r="AD227" s="3996"/>
      <c r="AE227" s="3995"/>
      <c r="AF227" s="3996"/>
      <c r="AG227" s="3995"/>
      <c r="AH227" s="3996"/>
      <c r="AI227" s="3995"/>
      <c r="AJ227" s="3996"/>
      <c r="AK227" s="3985"/>
      <c r="AL227" s="3987"/>
      <c r="AM227" s="3985"/>
      <c r="AN227" s="3986"/>
      <c r="AO227" s="4026"/>
      <c r="AP227" s="3987"/>
      <c r="AQ227" s="4051"/>
      <c r="AR227" s="1898" t="str">
        <f t="shared" ref="AR227:AR232" si="498">$CA227&amp;CB227&amp;CC227&amp;CD227&amp;CE227&amp;CG227&amp;CF227</f>
        <v/>
      </c>
      <c r="CA227" s="4027" t="str">
        <f t="shared" ref="CA227:CA232" si="499">IF(C227&gt;B227," * El Total de Exámenes reactivos NO DEBE SUPERAR los Exámenes Procesados. ","")</f>
        <v/>
      </c>
      <c r="CB227" s="1899" t="str">
        <f t="shared" ref="CB227:CB232" si="500">IF(AND(B227&gt;0,AND(AL227+AM227=""))," * No olvide digitar la variable POR SEXO (Procesados). Digite cero si no tiene.",IF(B227&lt;&gt;(AL227+AM227)," * La suma de las variables POR SEXO (Procesados) debe ser igual al Total de procesados.",""))</f>
        <v/>
      </c>
      <c r="CC227" s="1899" t="str">
        <f t="shared" ref="CC227:CC232" si="501">IF(AND(B227&gt;0,AND(AN227="",AO227=""))," * No olvide digitar la variable Trans (Masculino o Femenino). Digite cero si no tiene.",IF((AN227+AO227)&gt;B227," *  La suma de exámenes a Trans (Masculino + Femenino) no puede ser mayor que el Total de Procesados .",""))</f>
        <v/>
      </c>
      <c r="CD227" s="1899" t="str">
        <f t="shared" ref="CD227:CD232" si="502">IF(AND(B227&gt;0,AP227="")," * No olvide digitar la variable Pueblos originarios. Digite cero si no tiene.",IF(AP227&gt;B227," * La variable Pueblos originarios no puede ser mayor que el Total de Procesados.",""))</f>
        <v/>
      </c>
      <c r="CE227" s="1899" t="str">
        <f t="shared" ref="CE227:CE232" si="503">IF(AND(B227&gt;0,AQ227="")," * No olvide digitar la variable Migrantes. Digite cero si no tiene.",IF(AQ227&gt;B227," * La variable Migrantes no puede ser mayor que el Total de Procesados.",""))</f>
        <v/>
      </c>
      <c r="CF227" s="1970"/>
      <c r="CG227" s="1971"/>
      <c r="DF227" s="3989">
        <f t="shared" ref="DF227:DF232" si="504">IF(C227&gt;B227,1,0)</f>
        <v>0</v>
      </c>
      <c r="DG227" s="3989">
        <f t="shared" ref="DG227:DG232" si="505">IF(AND(B227&gt;0,AND(AL227+AM227="")),1,IF(B227&lt;&gt;(AL227+AM227),1,0))</f>
        <v>0</v>
      </c>
      <c r="DH227" s="3989">
        <f t="shared" ref="DH227:DH232" si="506">IF(AND(B227&gt;0,AND(AN227="",AO227="")),1,IF((AN227+AO227)&gt;B227,1,0))</f>
        <v>0</v>
      </c>
      <c r="DI227" s="3989">
        <f t="shared" ref="DI227:DI232" si="507">IF(AND(B227&gt;0,AP227=""),1,IF(AP227&gt;B227,1,0))</f>
        <v>0</v>
      </c>
      <c r="DJ227" s="3989">
        <f t="shared" ref="DJ227:DJ232" si="508">IF(AND(B227&gt;0,AQ227=""),1,IF(AQ227&gt;B227,1,0))</f>
        <v>0</v>
      </c>
      <c r="DK227" s="1970"/>
    </row>
    <row r="228" spans="1:132" x14ac:dyDescent="0.3">
      <c r="A228" s="4050" t="s">
        <v>1930</v>
      </c>
      <c r="B228" s="3991">
        <f t="shared" si="497"/>
        <v>0</v>
      </c>
      <c r="C228" s="345">
        <f>SUM(E228+G228+I228+K228+M228+O228+Q228+S228+U228+W228+Y228+AA228+AC228+AE228+AG228+AI228+AK228)</f>
        <v>0</v>
      </c>
      <c r="D228" s="3987"/>
      <c r="E228" s="3995"/>
      <c r="F228" s="3996"/>
      <c r="G228" s="3995"/>
      <c r="H228" s="3996"/>
      <c r="I228" s="3995"/>
      <c r="J228" s="3996"/>
      <c r="K228" s="3995"/>
      <c r="L228" s="3996"/>
      <c r="M228" s="3995"/>
      <c r="N228" s="3996"/>
      <c r="O228" s="3995"/>
      <c r="P228" s="3996"/>
      <c r="Q228" s="3995"/>
      <c r="R228" s="3996"/>
      <c r="S228" s="3995"/>
      <c r="T228" s="3996"/>
      <c r="U228" s="3995"/>
      <c r="V228" s="3996"/>
      <c r="W228" s="3995"/>
      <c r="X228" s="3996"/>
      <c r="Y228" s="3995"/>
      <c r="Z228" s="3996"/>
      <c r="AA228" s="3995"/>
      <c r="AB228" s="3996"/>
      <c r="AC228" s="3995"/>
      <c r="AD228" s="3996"/>
      <c r="AE228" s="3995"/>
      <c r="AF228" s="3996"/>
      <c r="AG228" s="3995"/>
      <c r="AH228" s="3996"/>
      <c r="AI228" s="3995"/>
      <c r="AJ228" s="3996"/>
      <c r="AK228" s="3985"/>
      <c r="AL228" s="3987"/>
      <c r="AM228" s="3985"/>
      <c r="AN228" s="3986"/>
      <c r="AO228" s="4026"/>
      <c r="AP228" s="3987"/>
      <c r="AQ228" s="4051"/>
      <c r="AR228" s="1898" t="str">
        <f t="shared" si="498"/>
        <v/>
      </c>
      <c r="CA228" s="4027" t="str">
        <f t="shared" si="499"/>
        <v/>
      </c>
      <c r="CB228" s="1899" t="str">
        <f t="shared" si="500"/>
        <v/>
      </c>
      <c r="CC228" s="1899" t="str">
        <f t="shared" si="501"/>
        <v/>
      </c>
      <c r="CD228" s="1899" t="str">
        <f t="shared" si="502"/>
        <v/>
      </c>
      <c r="CE228" s="1899" t="str">
        <f t="shared" si="503"/>
        <v/>
      </c>
      <c r="CF228" s="1970"/>
      <c r="CG228" s="1971"/>
      <c r="DF228" s="3989">
        <f t="shared" si="504"/>
        <v>0</v>
      </c>
      <c r="DG228" s="3989">
        <f t="shared" si="505"/>
        <v>0</v>
      </c>
      <c r="DH228" s="3989">
        <f t="shared" si="506"/>
        <v>0</v>
      </c>
      <c r="DI228" s="3989">
        <f t="shared" si="507"/>
        <v>0</v>
      </c>
      <c r="DJ228" s="3989">
        <f t="shared" si="508"/>
        <v>0</v>
      </c>
      <c r="DK228" s="1970"/>
    </row>
    <row r="229" spans="1:132" x14ac:dyDescent="0.3">
      <c r="A229" s="4050" t="s">
        <v>1931</v>
      </c>
      <c r="B229" s="3991">
        <f t="shared" si="497"/>
        <v>0</v>
      </c>
      <c r="C229" s="345">
        <f>SUM(E229+G229+I229+K229+M229+O229+Q229+S229+U229+W229+Y229+AA229+AC229+AE229+AG229+AI229+AK229)</f>
        <v>0</v>
      </c>
      <c r="D229" s="3987"/>
      <c r="E229" s="3995"/>
      <c r="F229" s="3996"/>
      <c r="G229" s="3995"/>
      <c r="H229" s="3996"/>
      <c r="I229" s="3995"/>
      <c r="J229" s="3996"/>
      <c r="K229" s="3995"/>
      <c r="L229" s="3996"/>
      <c r="M229" s="3995"/>
      <c r="N229" s="3996"/>
      <c r="O229" s="3995"/>
      <c r="P229" s="3996"/>
      <c r="Q229" s="3995"/>
      <c r="R229" s="3996"/>
      <c r="S229" s="3995"/>
      <c r="T229" s="3996"/>
      <c r="U229" s="3995"/>
      <c r="V229" s="3996"/>
      <c r="W229" s="3995"/>
      <c r="X229" s="3996"/>
      <c r="Y229" s="3995"/>
      <c r="Z229" s="3996"/>
      <c r="AA229" s="3995"/>
      <c r="AB229" s="3996"/>
      <c r="AC229" s="3995"/>
      <c r="AD229" s="3996"/>
      <c r="AE229" s="3995"/>
      <c r="AF229" s="3996"/>
      <c r="AG229" s="3995"/>
      <c r="AH229" s="3996"/>
      <c r="AI229" s="3995"/>
      <c r="AJ229" s="3996"/>
      <c r="AK229" s="3985"/>
      <c r="AL229" s="3987"/>
      <c r="AM229" s="3985"/>
      <c r="AN229" s="3986"/>
      <c r="AO229" s="4026"/>
      <c r="AP229" s="3987"/>
      <c r="AQ229" s="4051"/>
      <c r="AR229" s="1898" t="str">
        <f t="shared" si="498"/>
        <v/>
      </c>
      <c r="CA229" s="4027" t="str">
        <f t="shared" si="499"/>
        <v/>
      </c>
      <c r="CB229" s="1899" t="str">
        <f t="shared" si="500"/>
        <v/>
      </c>
      <c r="CC229" s="1899" t="str">
        <f t="shared" si="501"/>
        <v/>
      </c>
      <c r="CD229" s="1899" t="str">
        <f t="shared" si="502"/>
        <v/>
      </c>
      <c r="CE229" s="1899" t="str">
        <f t="shared" si="503"/>
        <v/>
      </c>
      <c r="CF229" s="1970"/>
      <c r="CG229" s="1971"/>
      <c r="DF229" s="3989">
        <f t="shared" si="504"/>
        <v>0</v>
      </c>
      <c r="DG229" s="3989">
        <f t="shared" si="505"/>
        <v>0</v>
      </c>
      <c r="DH229" s="3989">
        <f t="shared" si="506"/>
        <v>0</v>
      </c>
      <c r="DI229" s="3989">
        <f t="shared" si="507"/>
        <v>0</v>
      </c>
      <c r="DJ229" s="3989">
        <f t="shared" si="508"/>
        <v>0</v>
      </c>
      <c r="DK229" s="1970"/>
    </row>
    <row r="230" spans="1:132" x14ac:dyDescent="0.3">
      <c r="A230" s="4052" t="s">
        <v>1934</v>
      </c>
      <c r="B230" s="3991">
        <f t="shared" si="497"/>
        <v>0</v>
      </c>
      <c r="C230" s="345">
        <f>SUM(E230+G230+I230+K230+M230+O230+Q230+S230+U230+W230+Y230+AA230+AC230+AE230+AG230+AI230+AK230)</f>
        <v>0</v>
      </c>
      <c r="D230" s="3987"/>
      <c r="E230" s="3995"/>
      <c r="F230" s="3996"/>
      <c r="G230" s="3995"/>
      <c r="H230" s="3996"/>
      <c r="I230" s="3995"/>
      <c r="J230" s="3996"/>
      <c r="K230" s="3995"/>
      <c r="L230" s="3996"/>
      <c r="M230" s="3995"/>
      <c r="N230" s="3996"/>
      <c r="O230" s="3995"/>
      <c r="P230" s="3996"/>
      <c r="Q230" s="3995"/>
      <c r="R230" s="3996"/>
      <c r="S230" s="3995"/>
      <c r="T230" s="3996"/>
      <c r="U230" s="3995"/>
      <c r="V230" s="3996"/>
      <c r="W230" s="3995"/>
      <c r="X230" s="3996"/>
      <c r="Y230" s="3995"/>
      <c r="Z230" s="3996"/>
      <c r="AA230" s="3995"/>
      <c r="AB230" s="3996"/>
      <c r="AC230" s="3995"/>
      <c r="AD230" s="3996"/>
      <c r="AE230" s="3995"/>
      <c r="AF230" s="3996"/>
      <c r="AG230" s="3995"/>
      <c r="AH230" s="3996"/>
      <c r="AI230" s="3995"/>
      <c r="AJ230" s="3996"/>
      <c r="AK230" s="3985"/>
      <c r="AL230" s="3987"/>
      <c r="AM230" s="3985"/>
      <c r="AN230" s="3986"/>
      <c r="AO230" s="4026"/>
      <c r="AP230" s="3987"/>
      <c r="AQ230" s="4051"/>
      <c r="AR230" s="1898" t="str">
        <f t="shared" si="498"/>
        <v/>
      </c>
      <c r="CA230" s="4027" t="str">
        <f t="shared" si="499"/>
        <v/>
      </c>
      <c r="CB230" s="1899" t="str">
        <f t="shared" si="500"/>
        <v/>
      </c>
      <c r="CC230" s="1899" t="str">
        <f t="shared" si="501"/>
        <v/>
      </c>
      <c r="CD230" s="1899" t="str">
        <f t="shared" si="502"/>
        <v/>
      </c>
      <c r="CE230" s="1899" t="str">
        <f t="shared" si="503"/>
        <v/>
      </c>
      <c r="CF230" s="1970"/>
      <c r="CG230" s="1971"/>
      <c r="DF230" s="3989">
        <f t="shared" si="504"/>
        <v>0</v>
      </c>
      <c r="DG230" s="3989">
        <f t="shared" si="505"/>
        <v>0</v>
      </c>
      <c r="DH230" s="3989">
        <f t="shared" si="506"/>
        <v>0</v>
      </c>
      <c r="DI230" s="3989">
        <f t="shared" si="507"/>
        <v>0</v>
      </c>
      <c r="DJ230" s="3989">
        <f t="shared" si="508"/>
        <v>0</v>
      </c>
      <c r="DK230" s="1970"/>
    </row>
    <row r="231" spans="1:132" x14ac:dyDescent="0.3">
      <c r="A231" s="4050" t="s">
        <v>1883</v>
      </c>
      <c r="B231" s="3991">
        <f t="shared" si="497"/>
        <v>0</v>
      </c>
      <c r="C231" s="345">
        <f t="shared" si="497"/>
        <v>0</v>
      </c>
      <c r="D231" s="3987"/>
      <c r="E231" s="3995"/>
      <c r="F231" s="3996"/>
      <c r="G231" s="3995"/>
      <c r="H231" s="3996"/>
      <c r="I231" s="3995"/>
      <c r="J231" s="3996"/>
      <c r="K231" s="3995"/>
      <c r="L231" s="3996"/>
      <c r="M231" s="3995"/>
      <c r="N231" s="3996"/>
      <c r="O231" s="3995"/>
      <c r="P231" s="3996"/>
      <c r="Q231" s="3995"/>
      <c r="R231" s="3996"/>
      <c r="S231" s="3995"/>
      <c r="T231" s="3996"/>
      <c r="U231" s="3995"/>
      <c r="V231" s="3996"/>
      <c r="W231" s="3995"/>
      <c r="X231" s="3996"/>
      <c r="Y231" s="3995"/>
      <c r="Z231" s="3996"/>
      <c r="AA231" s="3995"/>
      <c r="AB231" s="3996"/>
      <c r="AC231" s="3995"/>
      <c r="AD231" s="3996"/>
      <c r="AE231" s="3995"/>
      <c r="AF231" s="3996"/>
      <c r="AG231" s="3995"/>
      <c r="AH231" s="3996"/>
      <c r="AI231" s="3995"/>
      <c r="AJ231" s="3996"/>
      <c r="AK231" s="3985"/>
      <c r="AL231" s="3987"/>
      <c r="AM231" s="3985"/>
      <c r="AN231" s="3986"/>
      <c r="AO231" s="4026"/>
      <c r="AP231" s="3987"/>
      <c r="AQ231" s="4051"/>
      <c r="AR231" s="1898" t="str">
        <f t="shared" si="498"/>
        <v/>
      </c>
      <c r="CA231" s="4027" t="str">
        <f t="shared" si="499"/>
        <v/>
      </c>
      <c r="CB231" s="1899" t="str">
        <f t="shared" si="500"/>
        <v/>
      </c>
      <c r="CC231" s="1899" t="str">
        <f t="shared" si="501"/>
        <v/>
      </c>
      <c r="CD231" s="1899" t="str">
        <f t="shared" si="502"/>
        <v/>
      </c>
      <c r="CE231" s="1899" t="str">
        <f t="shared" si="503"/>
        <v/>
      </c>
      <c r="CF231" s="1970"/>
      <c r="CG231" s="1971"/>
      <c r="DF231" s="3989">
        <f t="shared" si="504"/>
        <v>0</v>
      </c>
      <c r="DG231" s="3989">
        <f t="shared" si="505"/>
        <v>0</v>
      </c>
      <c r="DH231" s="3989">
        <f t="shared" si="506"/>
        <v>0</v>
      </c>
      <c r="DI231" s="3989">
        <f t="shared" si="507"/>
        <v>0</v>
      </c>
      <c r="DJ231" s="3989">
        <f t="shared" si="508"/>
        <v>0</v>
      </c>
      <c r="DK231" s="1970"/>
    </row>
    <row r="232" spans="1:132" x14ac:dyDescent="0.3">
      <c r="A232" s="1783" t="s">
        <v>591</v>
      </c>
      <c r="B232" s="1083">
        <f t="shared" si="497"/>
        <v>0</v>
      </c>
      <c r="C232" s="3429">
        <f t="shared" si="497"/>
        <v>0</v>
      </c>
      <c r="D232" s="1911"/>
      <c r="E232" s="1907"/>
      <c r="F232" s="876"/>
      <c r="G232" s="1907"/>
      <c r="H232" s="876"/>
      <c r="I232" s="1907"/>
      <c r="J232" s="876"/>
      <c r="K232" s="1907"/>
      <c r="L232" s="876"/>
      <c r="M232" s="1907"/>
      <c r="N232" s="876"/>
      <c r="O232" s="1907"/>
      <c r="P232" s="876"/>
      <c r="Q232" s="1907"/>
      <c r="R232" s="876"/>
      <c r="S232" s="1907"/>
      <c r="T232" s="876"/>
      <c r="U232" s="1907"/>
      <c r="V232" s="876"/>
      <c r="W232" s="1907"/>
      <c r="X232" s="876"/>
      <c r="Y232" s="1907"/>
      <c r="Z232" s="876"/>
      <c r="AA232" s="1907"/>
      <c r="AB232" s="876"/>
      <c r="AC232" s="1907"/>
      <c r="AD232" s="876"/>
      <c r="AE232" s="1907"/>
      <c r="AF232" s="876"/>
      <c r="AG232" s="1907"/>
      <c r="AH232" s="876"/>
      <c r="AI232" s="1907"/>
      <c r="AJ232" s="876"/>
      <c r="AK232" s="1953"/>
      <c r="AL232" s="1911"/>
      <c r="AM232" s="1953"/>
      <c r="AN232" s="1913"/>
      <c r="AO232" s="1912"/>
      <c r="AP232" s="1911"/>
      <c r="AQ232" s="1954"/>
      <c r="AR232" s="1898" t="str">
        <f t="shared" si="498"/>
        <v/>
      </c>
      <c r="CA232" s="4027" t="str">
        <f t="shared" si="499"/>
        <v/>
      </c>
      <c r="CB232" s="1899" t="str">
        <f t="shared" si="500"/>
        <v/>
      </c>
      <c r="CC232" s="1899" t="str">
        <f t="shared" si="501"/>
        <v/>
      </c>
      <c r="CD232" s="1899" t="str">
        <f t="shared" si="502"/>
        <v/>
      </c>
      <c r="CE232" s="1899" t="str">
        <f t="shared" si="503"/>
        <v/>
      </c>
      <c r="CF232" s="1970"/>
      <c r="CG232" s="1971"/>
      <c r="DF232" s="3989">
        <f t="shared" si="504"/>
        <v>0</v>
      </c>
      <c r="DG232" s="3989">
        <f t="shared" si="505"/>
        <v>0</v>
      </c>
      <c r="DH232" s="3989">
        <f t="shared" si="506"/>
        <v>0</v>
      </c>
      <c r="DI232" s="3989">
        <f t="shared" si="507"/>
        <v>0</v>
      </c>
      <c r="DJ232" s="3989">
        <f t="shared" si="508"/>
        <v>0</v>
      </c>
      <c r="DK232" s="1970"/>
    </row>
    <row r="233" spans="1:132" ht="18" customHeight="1" x14ac:dyDescent="0.3">
      <c r="A233" s="4053" t="s">
        <v>1935</v>
      </c>
      <c r="B233" s="4053"/>
      <c r="C233" s="4053"/>
      <c r="D233" s="4053"/>
      <c r="E233" s="4053"/>
      <c r="F233" s="4053"/>
      <c r="G233" s="4053"/>
      <c r="H233" s="4053"/>
      <c r="I233" s="4053"/>
      <c r="J233" s="4053"/>
      <c r="K233" s="4053"/>
      <c r="L233" s="4053"/>
      <c r="M233" s="4053"/>
      <c r="N233" s="4053"/>
      <c r="O233" s="4053"/>
      <c r="P233" s="4053"/>
      <c r="Q233" s="4053"/>
      <c r="R233" s="4053"/>
      <c r="S233" s="4053"/>
      <c r="T233" s="4053"/>
      <c r="U233" s="4053"/>
      <c r="V233" s="4053"/>
      <c r="W233" s="4053"/>
      <c r="X233" s="4053"/>
      <c r="Y233" s="4053"/>
      <c r="Z233" s="4053"/>
      <c r="AA233" s="4053"/>
      <c r="AB233" s="4053"/>
      <c r="AC233" s="4053"/>
      <c r="AD233" s="4053"/>
      <c r="AE233" s="4053"/>
      <c r="AF233" s="4053"/>
      <c r="AG233" s="4053"/>
      <c r="AH233" s="4053"/>
      <c r="AI233" s="4053"/>
      <c r="AJ233" s="4053"/>
      <c r="AK233" s="1971"/>
      <c r="AL233" s="1971"/>
      <c r="AM233" s="1971"/>
      <c r="AN233" s="1971"/>
      <c r="AO233" s="1971"/>
      <c r="AP233" s="1971"/>
      <c r="AQ233" s="1971"/>
      <c r="AR233" s="1971"/>
      <c r="AS233" s="1971"/>
      <c r="AT233" s="1971"/>
      <c r="AU233" s="1971"/>
      <c r="AV233" s="1971"/>
      <c r="AW233" s="1971"/>
      <c r="AX233" s="1971"/>
    </row>
    <row r="234" spans="1:132" x14ac:dyDescent="0.3">
      <c r="A234" s="6897" t="s">
        <v>1936</v>
      </c>
      <c r="B234" s="6898"/>
      <c r="C234" s="6900" t="s">
        <v>77</v>
      </c>
      <c r="D234" s="6898"/>
      <c r="E234" s="6902" t="s">
        <v>29</v>
      </c>
      <c r="F234" s="6903"/>
      <c r="G234" s="6903"/>
      <c r="H234" s="6903"/>
      <c r="I234" s="6903"/>
      <c r="J234" s="6903"/>
      <c r="K234" s="6903"/>
      <c r="L234" s="6903"/>
      <c r="M234" s="6903"/>
      <c r="N234" s="6903"/>
      <c r="O234" s="6903"/>
      <c r="P234" s="6903"/>
      <c r="Q234" s="6903"/>
      <c r="R234" s="6903"/>
      <c r="S234" s="6903"/>
      <c r="T234" s="6903"/>
      <c r="U234" s="6903"/>
      <c r="V234" s="6903"/>
      <c r="W234" s="6903"/>
      <c r="X234" s="6903"/>
      <c r="Y234" s="6903"/>
      <c r="Z234" s="6903"/>
      <c r="AA234" s="6903"/>
      <c r="AB234" s="6903"/>
      <c r="AC234" s="6903"/>
      <c r="AD234" s="6903"/>
      <c r="AE234" s="6903"/>
      <c r="AF234" s="6903"/>
      <c r="AG234" s="6903"/>
      <c r="AH234" s="6903"/>
      <c r="AI234" s="6903"/>
      <c r="AJ234" s="6904"/>
      <c r="AK234" s="6867" t="s">
        <v>1906</v>
      </c>
      <c r="AL234" s="6865"/>
      <c r="AM234" s="6865"/>
      <c r="AN234" s="6866"/>
      <c r="AO234" s="6867" t="s">
        <v>457</v>
      </c>
      <c r="AP234" s="6865"/>
      <c r="AQ234" s="6865"/>
      <c r="AR234" s="6866"/>
      <c r="AS234" s="6893" t="s">
        <v>322</v>
      </c>
      <c r="AT234" s="6894"/>
      <c r="AU234" s="6893" t="s">
        <v>37</v>
      </c>
      <c r="AV234" s="6894"/>
      <c r="AW234" s="6242" t="s">
        <v>1907</v>
      </c>
      <c r="AX234" s="6243"/>
    </row>
    <row r="235" spans="1:132" x14ac:dyDescent="0.3">
      <c r="A235" s="6594"/>
      <c r="B235" s="5876"/>
      <c r="C235" s="6901"/>
      <c r="D235" s="6899"/>
      <c r="E235" s="6848" t="s">
        <v>1908</v>
      </c>
      <c r="F235" s="6842"/>
      <c r="G235" s="6848" t="s">
        <v>1863</v>
      </c>
      <c r="H235" s="6842"/>
      <c r="I235" s="6848" t="s">
        <v>937</v>
      </c>
      <c r="J235" s="6842"/>
      <c r="K235" s="6839" t="s">
        <v>326</v>
      </c>
      <c r="L235" s="6854"/>
      <c r="M235" s="6839" t="s">
        <v>94</v>
      </c>
      <c r="N235" s="6854"/>
      <c r="O235" s="6839" t="s">
        <v>44</v>
      </c>
      <c r="P235" s="6854"/>
      <c r="Q235" s="6839" t="s">
        <v>45</v>
      </c>
      <c r="R235" s="6854"/>
      <c r="S235" s="6839" t="s">
        <v>46</v>
      </c>
      <c r="T235" s="6854"/>
      <c r="U235" s="6839" t="s">
        <v>47</v>
      </c>
      <c r="V235" s="6854"/>
      <c r="W235" s="6840" t="s">
        <v>48</v>
      </c>
      <c r="X235" s="6854"/>
      <c r="Y235" s="6840" t="s">
        <v>49</v>
      </c>
      <c r="Z235" s="6854"/>
      <c r="AA235" s="6840" t="s">
        <v>50</v>
      </c>
      <c r="AB235" s="6854"/>
      <c r="AC235" s="6839" t="s">
        <v>51</v>
      </c>
      <c r="AD235" s="6854"/>
      <c r="AE235" s="6840" t="s">
        <v>52</v>
      </c>
      <c r="AF235" s="6854"/>
      <c r="AG235" s="6840" t="s">
        <v>53</v>
      </c>
      <c r="AH235" s="6854"/>
      <c r="AI235" s="6840" t="s">
        <v>1937</v>
      </c>
      <c r="AJ235" s="6841"/>
      <c r="AK235" s="6870" t="s">
        <v>58</v>
      </c>
      <c r="AL235" s="6871"/>
      <c r="AM235" s="6872" t="s">
        <v>59</v>
      </c>
      <c r="AN235" s="6869"/>
      <c r="AO235" s="6870" t="s">
        <v>462</v>
      </c>
      <c r="AP235" s="6871"/>
      <c r="AQ235" s="6872" t="s">
        <v>463</v>
      </c>
      <c r="AR235" s="6869"/>
      <c r="AS235" s="6473"/>
      <c r="AT235" s="6895"/>
      <c r="AU235" s="6473"/>
      <c r="AV235" s="6895"/>
      <c r="AW235" s="6467"/>
      <c r="AX235" s="6687"/>
    </row>
    <row r="236" spans="1:132" ht="30.6" x14ac:dyDescent="0.3">
      <c r="A236" s="6585"/>
      <c r="B236" s="6899"/>
      <c r="C236" s="3980" t="s">
        <v>1864</v>
      </c>
      <c r="D236" s="3979" t="s">
        <v>1910</v>
      </c>
      <c r="E236" s="3977" t="s">
        <v>1864</v>
      </c>
      <c r="F236" s="3979" t="s">
        <v>1910</v>
      </c>
      <c r="G236" s="3977" t="s">
        <v>1864</v>
      </c>
      <c r="H236" s="3979" t="s">
        <v>1910</v>
      </c>
      <c r="I236" s="3980" t="s">
        <v>1864</v>
      </c>
      <c r="J236" s="3979" t="s">
        <v>1910</v>
      </c>
      <c r="K236" s="3980" t="s">
        <v>1864</v>
      </c>
      <c r="L236" s="3979" t="s">
        <v>1910</v>
      </c>
      <c r="M236" s="3977" t="s">
        <v>1864</v>
      </c>
      <c r="N236" s="3979" t="s">
        <v>1910</v>
      </c>
      <c r="O236" s="3977" t="s">
        <v>1864</v>
      </c>
      <c r="P236" s="3979" t="s">
        <v>1910</v>
      </c>
      <c r="Q236" s="3977" t="s">
        <v>1864</v>
      </c>
      <c r="R236" s="3979" t="s">
        <v>1910</v>
      </c>
      <c r="S236" s="3977" t="s">
        <v>1864</v>
      </c>
      <c r="T236" s="3979" t="s">
        <v>1910</v>
      </c>
      <c r="U236" s="3977" t="s">
        <v>1864</v>
      </c>
      <c r="V236" s="3979" t="s">
        <v>1910</v>
      </c>
      <c r="W236" s="3980" t="s">
        <v>1864</v>
      </c>
      <c r="X236" s="3979" t="s">
        <v>1910</v>
      </c>
      <c r="Y236" s="3980" t="s">
        <v>1864</v>
      </c>
      <c r="Z236" s="3979" t="s">
        <v>1910</v>
      </c>
      <c r="AA236" s="3980" t="s">
        <v>1864</v>
      </c>
      <c r="AB236" s="3979" t="s">
        <v>1910</v>
      </c>
      <c r="AC236" s="3977" t="s">
        <v>1864</v>
      </c>
      <c r="AD236" s="3979" t="s">
        <v>1910</v>
      </c>
      <c r="AE236" s="3980" t="s">
        <v>1864</v>
      </c>
      <c r="AF236" s="3979" t="s">
        <v>1910</v>
      </c>
      <c r="AG236" s="3980" t="s">
        <v>1864</v>
      </c>
      <c r="AH236" s="3979" t="s">
        <v>1910</v>
      </c>
      <c r="AI236" s="3980" t="s">
        <v>1864</v>
      </c>
      <c r="AJ236" s="3979" t="s">
        <v>1910</v>
      </c>
      <c r="AK236" s="4022" t="s">
        <v>1864</v>
      </c>
      <c r="AL236" s="3979" t="s">
        <v>1910</v>
      </c>
      <c r="AM236" s="3980" t="s">
        <v>1864</v>
      </c>
      <c r="AN236" s="3981" t="s">
        <v>1910</v>
      </c>
      <c r="AO236" s="4022" t="s">
        <v>1864</v>
      </c>
      <c r="AP236" s="3979" t="s">
        <v>1910</v>
      </c>
      <c r="AQ236" s="3980" t="s">
        <v>1864</v>
      </c>
      <c r="AR236" s="3981" t="s">
        <v>1910</v>
      </c>
      <c r="AS236" s="4022" t="s">
        <v>1864</v>
      </c>
      <c r="AT236" s="3974" t="s">
        <v>1910</v>
      </c>
      <c r="AU236" s="4022" t="s">
        <v>1864</v>
      </c>
      <c r="AV236" s="3974" t="s">
        <v>1910</v>
      </c>
      <c r="AW236" s="3980" t="s">
        <v>1864</v>
      </c>
      <c r="AX236" s="3979" t="s">
        <v>1910</v>
      </c>
    </row>
    <row r="237" spans="1:132" ht="15" customHeight="1" x14ac:dyDescent="0.3">
      <c r="A237" s="6896" t="s">
        <v>1938</v>
      </c>
      <c r="B237" s="3442" t="s">
        <v>1911</v>
      </c>
      <c r="C237" s="4055">
        <f>+M237+O237+Q237+S237+U237+W237+Y237+AA237+AC237</f>
        <v>0</v>
      </c>
      <c r="D237" s="3983">
        <f t="shared" ref="C237:D239" si="509">+N237+P237+R237+T237+V237+X237+Z237+AB237+AD237</f>
        <v>0</v>
      </c>
      <c r="E237" s="4056"/>
      <c r="F237" s="4057"/>
      <c r="G237" s="4058"/>
      <c r="H237" s="4057"/>
      <c r="I237" s="4058"/>
      <c r="J237" s="4057"/>
      <c r="K237" s="4058"/>
      <c r="L237" s="4057"/>
      <c r="M237" s="3987"/>
      <c r="N237" s="330"/>
      <c r="O237" s="3995"/>
      <c r="P237" s="330"/>
      <c r="Q237" s="3996"/>
      <c r="R237" s="330"/>
      <c r="S237" s="3996"/>
      <c r="T237" s="330"/>
      <c r="U237" s="3996"/>
      <c r="V237" s="330"/>
      <c r="W237" s="3987"/>
      <c r="X237" s="330"/>
      <c r="Y237" s="3987"/>
      <c r="Z237" s="330"/>
      <c r="AA237" s="3987"/>
      <c r="AB237" s="330"/>
      <c r="AC237" s="3996"/>
      <c r="AD237" s="330"/>
      <c r="AE237" s="3984"/>
      <c r="AF237" s="2352"/>
      <c r="AG237" s="3984"/>
      <c r="AH237" s="2352"/>
      <c r="AI237" s="3984"/>
      <c r="AJ237" s="4059"/>
      <c r="AK237" s="4039"/>
      <c r="AL237" s="2352"/>
      <c r="AM237" s="3987"/>
      <c r="AN237" s="4026"/>
      <c r="AO237" s="3986"/>
      <c r="AP237" s="330"/>
      <c r="AQ237" s="3987"/>
      <c r="AR237" s="4026"/>
      <c r="AS237" s="3986"/>
      <c r="AT237" s="4026"/>
      <c r="AU237" s="3986"/>
      <c r="AV237" s="4026"/>
      <c r="AW237" s="3987"/>
      <c r="AX237" s="330"/>
      <c r="AY237" s="1898" t="str">
        <f>$CA237&amp;$CC237&amp;CD237&amp;CE237&amp;CF237&amp;CG237&amp;CH237&amp;CI237&amp;CJ237&amp;CK237&amp;CL237&amp;CM237&amp;CN237&amp;CO237&amp;CP237&amp;CQ237&amp;CR237&amp;CS237&amp;CT237&amp;CU237&amp;CV237&amp;CW237</f>
        <v/>
      </c>
      <c r="CA237" s="4027" t="str">
        <f>IF(D237&gt;C237," * El Total de Exámenes Confirmados Positivos por ISP NO DEBE SUPERAR los Exámenes Procesados. ","")</f>
        <v/>
      </c>
      <c r="CB237" s="4028"/>
      <c r="CC237" s="1899" t="str">
        <f>IF(AN237&gt;AM237," * El número de Exámenes por Sexo Mujeres Confirmados positivos por ISP NO PUEDE Superar al número de Procesados. ","")</f>
        <v/>
      </c>
      <c r="CD237" s="1970"/>
      <c r="CE237" s="1970"/>
      <c r="CF237" s="1970"/>
      <c r="CG237" s="1970"/>
      <c r="CH237" s="1970"/>
      <c r="CI237" s="1899" t="str">
        <f>IF(AND(C237&gt;0,AND(AO237="",AQ237=""))," * No olvide digitar los exámenes procesados Trans (Masculino y femenino) Digite Cero si no tiene.",IF((AO237+AQ237)&gt;C237," * Los exámenes procesados en Trans (Masculino y femenino) no pueden ser mayor que el Total de exámenes procesados.",""))</f>
        <v/>
      </c>
      <c r="CJ237" s="1971"/>
      <c r="CK237" s="1899" t="str">
        <f t="shared" ref="CK237:CK259" si="510">IF((AM237+AK237)&lt;&gt;C237," * El N° de exámenes Procesados por SEXO (Hombres + Mujeres)no puede ser distinto al Total de exámenes procesados","")</f>
        <v/>
      </c>
      <c r="CL237" s="1899" t="str">
        <f t="shared" ref="CL237:CL259" si="511">IF((AN237+AL237)&lt;&gt;D237," * El N° de exámenes Confirmados positivos por ISP por Sexo (Hombres+Mujeres) no puede ser distinto al N° Total de exámenes Confirmados positivos por ISP ","")</f>
        <v/>
      </c>
      <c r="CM237" s="1899" t="str">
        <f t="shared" ref="CM237:CM259" si="512">IF(AND(C237&gt;0,AS237="")," * No olvide digitar los examanes de Pueblos Originarios Procesados. Digite Cero si no tiene.",IF(AS237&gt;C237," * Los exámenes de Pueblos originarios Procesados no pueden ser mayor que el Total de exámenes procesados.",""))</f>
        <v/>
      </c>
      <c r="CN237" s="1899" t="str">
        <f t="shared" ref="CN237:CN259" si="513">IF(AND(C237&gt;0,AU237="")," * No olvide digitar los exámenes Procesados de Migrantes. Digite Cero si no tiene.",IF(AU237&gt;C237," * Los exámenes procesados de Migrantes no pueden ser mayor que el Total de exámenes procesados.",""))</f>
        <v/>
      </c>
      <c r="CO237" s="1899" t="str">
        <f t="shared" ref="CO237:CO259" si="514">IF(AND(D237&gt;0,AND(AP237="",AR237=""))," * No olvide digitar los exámenes Confirmados positivos por ISP de Trans (Masculino y Femenino). Digite Cero si no tiene.",IF((AP237+AR237)&gt;D237," * Los exámenes confirmados positivos por ISP de Trans (Masculino y Femenino) no pueden ser mayor que el Total de exámenes Confirmados positivos por ISP.",""))</f>
        <v/>
      </c>
      <c r="CP237" s="1899" t="str">
        <f t="shared" ref="CP237:CP259" si="515">IF(AND(D237&gt;0,AT237="")," * No olvide digitar los exámenes Confirmados positivos por ISP de Pueblos Originarios. Digite Cero si no tiene.",IF(AT237&gt;D237," * Los exámenes Confirmados positivos por ISP de Pueblos originarios no pueden ser mayor que el Total de exámenes Procesados por ISP.",""))</f>
        <v/>
      </c>
      <c r="CQ237" s="1899" t="str">
        <f t="shared" ref="CQ237:CQ259" si="516">IF(AND(D237&gt;0,AV237="")," * No olvide digitar los exámenes Confirmados positivos por ISP de Migrantes. Digite Cero si no tiene.",IF(AV237&gt;D237," * Los exámenes Confirmados positivos por ISP de Migrantes no pueden ser mayor que el Total de exámenes Procesados por ISP.",""))</f>
        <v/>
      </c>
      <c r="CR237" s="1970"/>
      <c r="CS237" s="1970"/>
      <c r="CT237" s="3024" t="str">
        <f t="shared" ref="CT237:CT244" si="517">IF(AND((M237+O237)&gt;0,AW237=""),"*No olvide digitar los Exámenes Procesados de 14-18 años. Digite cero si no tiene.",IF(AW237&gt;(M237+O237),"* El Total de Procesados de 14-18 años NO DEBE ser mayor al Total de Procesados registrados en los grupos de edad 10 a 14 + 15 a 19 años. ",""))</f>
        <v/>
      </c>
      <c r="CU237" s="3024" t="str">
        <f t="shared" ref="CU237:CU245" si="518">IF(AND((N237+P237)&gt;0,AX237=""),"*No olvide digitar los Exámenes Confirmados Positivos por ISP de 14-18 años. Digite cero si no tiene.",IF(AX237&gt;(N237+P237),"* El Total de Confirmados de 14-18 años NO DEBE ser mayor al Total de Confirmados Positivos por ISP registrados en los grupos de edad 10 a 14 + 15 a 19 años. ",""))</f>
        <v/>
      </c>
      <c r="DF237" s="4029">
        <f t="shared" ref="DF237:DF259" si="519">IF(D237&gt;C237,1,0)</f>
        <v>0</v>
      </c>
      <c r="DG237" s="4028"/>
      <c r="DH237" s="4005">
        <f t="shared" ref="DH237:DH259" si="520">IF(AN237&gt;AM237,1,0)</f>
        <v>0</v>
      </c>
      <c r="DI237" s="1970"/>
      <c r="DJ237" s="1970"/>
      <c r="DK237" s="1970"/>
      <c r="DL237" s="1970"/>
      <c r="DM237" s="1970"/>
      <c r="DN237" s="4005">
        <f t="shared" ref="DN237:DN259" si="521">IF(AND(C237&gt;0,AND(AO237="",AQ237="")),1,IF((AO237+AQ237)&gt;C237,1,0))</f>
        <v>0</v>
      </c>
      <c r="DO237" s="1971"/>
      <c r="DP237" s="4005">
        <f t="shared" ref="DP237:DP259" si="522">IF((AM237+AK237)&lt;&gt;C237,1,0)</f>
        <v>0</v>
      </c>
      <c r="DQ237" s="4005">
        <f t="shared" ref="DQ237:DQ259" si="523">IF((AN237+AL237)&lt;&gt;D237,1,0)</f>
        <v>0</v>
      </c>
      <c r="DR237" s="4005">
        <f t="shared" ref="DR237:DR259" si="524">IF(AND(C237&gt;0,AS237=""),1,IF(AS237&gt;C237,1,0))</f>
        <v>0</v>
      </c>
      <c r="DS237" s="4005">
        <f t="shared" ref="DS237:DS259" si="525">IF(AND(C237&gt;0,AU237=""),1,IF(AU237&gt;C237,1,0))</f>
        <v>0</v>
      </c>
      <c r="DT237" s="4005">
        <f t="shared" ref="DT237:DT259" si="526">IF(AND(D237&gt;0,OR(AP237="",AR237="")),1,IF((AP237+AR237)&gt;D237,1,0))</f>
        <v>0</v>
      </c>
      <c r="DU237" s="4005">
        <f t="shared" ref="DU237:DU259" si="527">IF(AND(D237&gt;0,AT237=""),1,IF(AT237&gt;D237,1,0))</f>
        <v>0</v>
      </c>
      <c r="DV237" s="4005">
        <f t="shared" ref="DV237:DV259" si="528">IF(AND(D237&gt;0,AV237=""),1,IF(AV237&gt;D237,1,0))</f>
        <v>0</v>
      </c>
      <c r="DW237" s="1970"/>
      <c r="DX237" s="1970"/>
      <c r="DY237" s="4005">
        <f t="shared" ref="DY237:DY245" si="529">IF(AND((M237+O237)&gt;0,AW237=""),1,IF(AW237&gt;(M237+O237),1,0))</f>
        <v>0</v>
      </c>
      <c r="DZ237" s="4005">
        <f t="shared" ref="DZ237:DZ245" si="530">IF(AND((N237+P237)&gt;0,AX237=""),1,IF(AX237&gt;(N237+P237),1,0))</f>
        <v>0</v>
      </c>
      <c r="EA237" s="3026">
        <f t="shared" ref="EA237:EA259" si="531">IF(AND((M237+O237)&gt;0,AW237=""),1,0)</f>
        <v>0</v>
      </c>
      <c r="EB237" s="3026">
        <f t="shared" ref="EB237:EB259" si="532">IF(AND((N237+P237)&gt;0,AX237=""),1,0)</f>
        <v>0</v>
      </c>
    </row>
    <row r="238" spans="1:132" ht="15" customHeight="1" x14ac:dyDescent="0.3">
      <c r="A238" s="5790"/>
      <c r="B238" s="4060" t="s">
        <v>1912</v>
      </c>
      <c r="C238" s="4061">
        <f>+M238+O238+Q238+S238+U238+W238+Y238+AA238+AC238</f>
        <v>0</v>
      </c>
      <c r="D238" s="345">
        <f t="shared" si="509"/>
        <v>0</v>
      </c>
      <c r="E238" s="4062"/>
      <c r="F238" s="4063"/>
      <c r="G238" s="4064"/>
      <c r="H238" s="4063"/>
      <c r="I238" s="4064"/>
      <c r="J238" s="4063"/>
      <c r="K238" s="4064"/>
      <c r="L238" s="4063"/>
      <c r="M238" s="3987"/>
      <c r="N238" s="330"/>
      <c r="O238" s="3995"/>
      <c r="P238" s="330"/>
      <c r="Q238" s="3996"/>
      <c r="R238" s="330"/>
      <c r="S238" s="3996"/>
      <c r="T238" s="330"/>
      <c r="U238" s="3996"/>
      <c r="V238" s="330"/>
      <c r="W238" s="3987"/>
      <c r="X238" s="330"/>
      <c r="Y238" s="3987"/>
      <c r="Z238" s="330"/>
      <c r="AA238" s="3987"/>
      <c r="AB238" s="330"/>
      <c r="AC238" s="3996"/>
      <c r="AD238" s="330"/>
      <c r="AE238" s="3984"/>
      <c r="AF238" s="2352"/>
      <c r="AG238" s="3984"/>
      <c r="AH238" s="2352"/>
      <c r="AI238" s="3984"/>
      <c r="AJ238" s="4059"/>
      <c r="AK238" s="4039"/>
      <c r="AL238" s="2352"/>
      <c r="AM238" s="3987"/>
      <c r="AN238" s="4026"/>
      <c r="AO238" s="3986"/>
      <c r="AP238" s="330"/>
      <c r="AQ238" s="3987"/>
      <c r="AR238" s="4026"/>
      <c r="AS238" s="3986"/>
      <c r="AT238" s="4026"/>
      <c r="AU238" s="3986"/>
      <c r="AV238" s="4026"/>
      <c r="AW238" s="3987"/>
      <c r="AX238" s="330"/>
      <c r="AY238" s="1898" t="str">
        <f>$CA238&amp;$CC238&amp;CD238&amp;CE238&amp;CF238&amp;CG238&amp;CH238&amp;CI238&amp;CJ238&amp;CK238&amp;CL238&amp;CM238&amp;CN238&amp;CO238&amp;CP238&amp;CQ238&amp;CR238&amp;CS238&amp;CT238&amp;CU238&amp;CV238&amp;CW238</f>
        <v/>
      </c>
      <c r="CA238" s="4027" t="str">
        <f t="shared" ref="CA238:CA259" si="533">IF(D238&gt;C238," * El Total de Exámenes Confirmados Positivos por ISP NO DEBE SUPERAR los Exámenes Procesados. ","")</f>
        <v/>
      </c>
      <c r="CB238" s="4028"/>
      <c r="CC238" s="1899" t="str">
        <f t="shared" ref="CC238:CC259" si="534">IF(AN238&gt;AM238," * El número de Exámenes por Sexo Mujeres Confirmados positivos por ISP NO PUEDE Superar al número de Procesados. ","")</f>
        <v/>
      </c>
      <c r="CD238" s="1970"/>
      <c r="CE238" s="1970"/>
      <c r="CF238" s="1970"/>
      <c r="CG238" s="1970"/>
      <c r="CH238" s="1970"/>
      <c r="CI238" s="1899" t="str">
        <f t="shared" ref="CI238:CI259" si="535">IF(AND(C238&gt;0,AND(AO238="",AQ238=""))," * No olvide digitar los exámenes procesados Trans (Masculino y femenino) Digite Cero si no tiene.",IF((AO238+AQ238)&gt;C238," * Los exámenes procesados en Trans (Masculino y femenino) no pueden ser mayor que el Total de exámenes procesados.",""))</f>
        <v/>
      </c>
      <c r="CJ238" s="1971"/>
      <c r="CK238" s="1899" t="str">
        <f t="shared" si="510"/>
        <v/>
      </c>
      <c r="CL238" s="1899" t="str">
        <f t="shared" si="511"/>
        <v/>
      </c>
      <c r="CM238" s="1899" t="str">
        <f t="shared" si="512"/>
        <v/>
      </c>
      <c r="CN238" s="1899" t="str">
        <f t="shared" si="513"/>
        <v/>
      </c>
      <c r="CO238" s="1899" t="str">
        <f t="shared" si="514"/>
        <v/>
      </c>
      <c r="CP238" s="1899" t="str">
        <f t="shared" si="515"/>
        <v/>
      </c>
      <c r="CQ238" s="1899" t="str">
        <f t="shared" si="516"/>
        <v/>
      </c>
      <c r="CR238" s="1970"/>
      <c r="CS238" s="1970"/>
      <c r="CT238" s="3024" t="str">
        <f t="shared" si="517"/>
        <v/>
      </c>
      <c r="CU238" s="3024" t="str">
        <f t="shared" si="518"/>
        <v/>
      </c>
      <c r="DF238" s="4029">
        <f t="shared" si="519"/>
        <v>0</v>
      </c>
      <c r="DG238" s="4028"/>
      <c r="DH238" s="4005">
        <f t="shared" si="520"/>
        <v>0</v>
      </c>
      <c r="DI238" s="1970"/>
      <c r="DJ238" s="1970"/>
      <c r="DK238" s="1970"/>
      <c r="DL238" s="1970"/>
      <c r="DM238" s="1970"/>
      <c r="DN238" s="4005">
        <f t="shared" si="521"/>
        <v>0</v>
      </c>
      <c r="DO238" s="1971"/>
      <c r="DP238" s="4005">
        <f t="shared" si="522"/>
        <v>0</v>
      </c>
      <c r="DQ238" s="4005">
        <f t="shared" si="523"/>
        <v>0</v>
      </c>
      <c r="DR238" s="4005">
        <f t="shared" si="524"/>
        <v>0</v>
      </c>
      <c r="DS238" s="4005">
        <f t="shared" si="525"/>
        <v>0</v>
      </c>
      <c r="DT238" s="4005">
        <f t="shared" si="526"/>
        <v>0</v>
      </c>
      <c r="DU238" s="4005">
        <f t="shared" si="527"/>
        <v>0</v>
      </c>
      <c r="DV238" s="4005">
        <f t="shared" si="528"/>
        <v>0</v>
      </c>
      <c r="DW238" s="1970"/>
      <c r="DX238" s="1970"/>
      <c r="DY238" s="4005">
        <f t="shared" si="529"/>
        <v>0</v>
      </c>
      <c r="DZ238" s="4005">
        <f t="shared" si="530"/>
        <v>0</v>
      </c>
      <c r="EA238" s="3026">
        <f t="shared" si="531"/>
        <v>0</v>
      </c>
      <c r="EB238" s="3026">
        <f t="shared" si="532"/>
        <v>0</v>
      </c>
    </row>
    <row r="239" spans="1:132" ht="15" customHeight="1" x14ac:dyDescent="0.3">
      <c r="A239" s="5790"/>
      <c r="B239" s="4065" t="s">
        <v>1939</v>
      </c>
      <c r="C239" s="4061">
        <f t="shared" si="509"/>
        <v>0</v>
      </c>
      <c r="D239" s="345">
        <f>+N239+P239+R239+T239+V239+X239+Z239+AB239+AD239</f>
        <v>0</v>
      </c>
      <c r="E239" s="4062"/>
      <c r="F239" s="4063"/>
      <c r="G239" s="4064"/>
      <c r="H239" s="4063"/>
      <c r="I239" s="4064"/>
      <c r="J239" s="4063"/>
      <c r="K239" s="4064"/>
      <c r="L239" s="4063"/>
      <c r="M239" s="4066"/>
      <c r="N239" s="4067"/>
      <c r="O239" s="3995"/>
      <c r="P239" s="330"/>
      <c r="Q239" s="3996"/>
      <c r="R239" s="330"/>
      <c r="S239" s="3996"/>
      <c r="T239" s="330"/>
      <c r="U239" s="3996"/>
      <c r="V239" s="330"/>
      <c r="W239" s="3987"/>
      <c r="X239" s="330"/>
      <c r="Y239" s="3987"/>
      <c r="Z239" s="330"/>
      <c r="AA239" s="3987"/>
      <c r="AB239" s="330"/>
      <c r="AC239" s="3996"/>
      <c r="AD239" s="330"/>
      <c r="AE239" s="3984"/>
      <c r="AF239" s="2352"/>
      <c r="AG239" s="3984"/>
      <c r="AH239" s="2352"/>
      <c r="AI239" s="3984"/>
      <c r="AJ239" s="4059"/>
      <c r="AK239" s="4039"/>
      <c r="AL239" s="2352"/>
      <c r="AM239" s="3987"/>
      <c r="AN239" s="4026"/>
      <c r="AO239" s="3986"/>
      <c r="AP239" s="330"/>
      <c r="AQ239" s="3987"/>
      <c r="AR239" s="4026"/>
      <c r="AS239" s="3986"/>
      <c r="AT239" s="4026"/>
      <c r="AU239" s="3986"/>
      <c r="AV239" s="4026"/>
      <c r="AW239" s="3987"/>
      <c r="AX239" s="330"/>
      <c r="AY239" s="1898" t="str">
        <f>$CA239&amp;$CC239&amp;CD239&amp;CE239&amp;CF239&amp;CG239&amp;CH239&amp;CI239&amp;CJ239&amp;CK239&amp;CL239&amp;CM239&amp;CN239&amp;CO239&amp;CP239&amp;CQ239&amp;CR239&amp;CS239&amp;CT239&amp;CU239&amp;CV239&amp;CW239</f>
        <v/>
      </c>
      <c r="CA239" s="4027" t="str">
        <f t="shared" si="533"/>
        <v/>
      </c>
      <c r="CB239" s="4028"/>
      <c r="CC239" s="1899" t="str">
        <f t="shared" si="534"/>
        <v/>
      </c>
      <c r="CD239" s="1970"/>
      <c r="CE239" s="1970"/>
      <c r="CF239" s="1970"/>
      <c r="CG239" s="1970"/>
      <c r="CH239" s="1970"/>
      <c r="CI239" s="1899" t="str">
        <f t="shared" si="535"/>
        <v/>
      </c>
      <c r="CJ239" s="1971"/>
      <c r="CK239" s="1899" t="str">
        <f t="shared" si="510"/>
        <v/>
      </c>
      <c r="CL239" s="1899" t="str">
        <f t="shared" si="511"/>
        <v/>
      </c>
      <c r="CM239" s="1899" t="str">
        <f t="shared" si="512"/>
        <v/>
      </c>
      <c r="CN239" s="1899" t="str">
        <f t="shared" si="513"/>
        <v/>
      </c>
      <c r="CO239" s="1899" t="str">
        <f t="shared" si="514"/>
        <v/>
      </c>
      <c r="CP239" s="1899" t="str">
        <f t="shared" si="515"/>
        <v/>
      </c>
      <c r="CQ239" s="1899" t="str">
        <f t="shared" si="516"/>
        <v/>
      </c>
      <c r="CR239" s="1970"/>
      <c r="CS239" s="1970"/>
      <c r="CT239" s="3024" t="str">
        <f t="shared" si="517"/>
        <v/>
      </c>
      <c r="CU239" s="3024" t="str">
        <f t="shared" si="518"/>
        <v/>
      </c>
      <c r="DF239" s="4029">
        <f t="shared" si="519"/>
        <v>0</v>
      </c>
      <c r="DG239" s="4028"/>
      <c r="DH239" s="4005">
        <f t="shared" si="520"/>
        <v>0</v>
      </c>
      <c r="DI239" s="1970"/>
      <c r="DJ239" s="1970"/>
      <c r="DK239" s="1970"/>
      <c r="DL239" s="1970"/>
      <c r="DM239" s="1970"/>
      <c r="DN239" s="4005">
        <f t="shared" si="521"/>
        <v>0</v>
      </c>
      <c r="DO239" s="1971"/>
      <c r="DP239" s="4005">
        <f t="shared" si="522"/>
        <v>0</v>
      </c>
      <c r="DQ239" s="4005">
        <f t="shared" si="523"/>
        <v>0</v>
      </c>
      <c r="DR239" s="4005">
        <f t="shared" si="524"/>
        <v>0</v>
      </c>
      <c r="DS239" s="4005">
        <f t="shared" si="525"/>
        <v>0</v>
      </c>
      <c r="DT239" s="4005">
        <f t="shared" si="526"/>
        <v>0</v>
      </c>
      <c r="DU239" s="4005">
        <f t="shared" si="527"/>
        <v>0</v>
      </c>
      <c r="DV239" s="4005">
        <f t="shared" si="528"/>
        <v>0</v>
      </c>
      <c r="DW239" s="1970"/>
      <c r="DX239" s="1970"/>
      <c r="DY239" s="4005">
        <f t="shared" si="529"/>
        <v>0</v>
      </c>
      <c r="DZ239" s="4005">
        <f t="shared" si="530"/>
        <v>0</v>
      </c>
      <c r="EA239" s="3026">
        <f t="shared" si="531"/>
        <v>0</v>
      </c>
      <c r="EB239" s="3026">
        <f t="shared" si="532"/>
        <v>0</v>
      </c>
    </row>
    <row r="240" spans="1:132" ht="15" customHeight="1" x14ac:dyDescent="0.3">
      <c r="A240" s="5790"/>
      <c r="B240" s="4065" t="s">
        <v>1876</v>
      </c>
      <c r="C240" s="4061">
        <f>+O240+Q240+S240+U240+W240+Y240+AA240+AC240+AE240+AG240+AI240</f>
        <v>0</v>
      </c>
      <c r="D240" s="345">
        <f>+P240+R240+T240+V240+X240+Z240+AB240+AD240+AF240+AH240+AJ240</f>
        <v>0</v>
      </c>
      <c r="E240" s="4062"/>
      <c r="F240" s="4063"/>
      <c r="G240" s="4064"/>
      <c r="H240" s="4063"/>
      <c r="I240" s="4064"/>
      <c r="J240" s="4063"/>
      <c r="K240" s="4064"/>
      <c r="L240" s="4063"/>
      <c r="M240" s="4068"/>
      <c r="N240" s="4069"/>
      <c r="O240" s="3987"/>
      <c r="P240" s="330"/>
      <c r="Q240" s="3996"/>
      <c r="R240" s="330"/>
      <c r="S240" s="3996"/>
      <c r="T240" s="330"/>
      <c r="U240" s="3996"/>
      <c r="V240" s="330"/>
      <c r="W240" s="3987"/>
      <c r="X240" s="330"/>
      <c r="Y240" s="3987"/>
      <c r="Z240" s="330"/>
      <c r="AA240" s="3987"/>
      <c r="AB240" s="330"/>
      <c r="AC240" s="3996"/>
      <c r="AD240" s="330"/>
      <c r="AE240" s="3987"/>
      <c r="AF240" s="330"/>
      <c r="AG240" s="3987"/>
      <c r="AH240" s="330"/>
      <c r="AI240" s="3987"/>
      <c r="AJ240" s="4026"/>
      <c r="AK240" s="3986"/>
      <c r="AL240" s="330"/>
      <c r="AM240" s="3987"/>
      <c r="AN240" s="4026"/>
      <c r="AO240" s="3986"/>
      <c r="AP240" s="330"/>
      <c r="AQ240" s="3987"/>
      <c r="AR240" s="4026"/>
      <c r="AS240" s="3986"/>
      <c r="AT240" s="4026"/>
      <c r="AU240" s="3986"/>
      <c r="AV240" s="4026"/>
      <c r="AW240" s="3987"/>
      <c r="AX240" s="330"/>
      <c r="AY240" s="1898" t="str">
        <f>$CA240&amp;CB240&amp;$CC240&amp;CD240&amp;CE240&amp;CF240&amp;CG240&amp;CH240&amp;CI240&amp;CJ240&amp;CK240&amp;CL240&amp;CM240&amp;CN240&amp;CO240&amp;CP240&amp;CQ240&amp;CR240&amp;CS240&amp;CT240&amp;CU240&amp;CV240&amp;CW240</f>
        <v/>
      </c>
      <c r="CA240" s="4027" t="str">
        <f t="shared" si="533"/>
        <v/>
      </c>
      <c r="CB240" s="1899" t="str">
        <f>IF(AL240&gt;AK240," * El número de Exámenes por Sexo Hombres Confirmados positivos por ISP NO PUEDE Superar al número de Procesados. ","")</f>
        <v/>
      </c>
      <c r="CC240" s="1899" t="str">
        <f t="shared" si="534"/>
        <v/>
      </c>
      <c r="CD240" s="1970"/>
      <c r="CE240" s="1970"/>
      <c r="CF240" s="1970"/>
      <c r="CG240" s="1970"/>
      <c r="CH240" s="1970"/>
      <c r="CI240" s="1899" t="str">
        <f t="shared" si="535"/>
        <v/>
      </c>
      <c r="CJ240" s="1971"/>
      <c r="CK240" s="1899" t="str">
        <f t="shared" si="510"/>
        <v/>
      </c>
      <c r="CL240" s="1899" t="str">
        <f t="shared" si="511"/>
        <v/>
      </c>
      <c r="CM240" s="1899" t="str">
        <f t="shared" si="512"/>
        <v/>
      </c>
      <c r="CN240" s="1899" t="str">
        <f t="shared" si="513"/>
        <v/>
      </c>
      <c r="CO240" s="1899" t="str">
        <f t="shared" si="514"/>
        <v/>
      </c>
      <c r="CP240" s="1899" t="str">
        <f t="shared" si="515"/>
        <v/>
      </c>
      <c r="CQ240" s="1899" t="str">
        <f t="shared" si="516"/>
        <v/>
      </c>
      <c r="CR240" s="1970"/>
      <c r="CS240" s="1970"/>
      <c r="CT240" s="3024" t="str">
        <f>IF(AND((M240+O240)&gt;0,AW240=""),"*No olvide digitar los Exámenes Procesados de 14-18 años. Digite cero si no tiene.",IF(AW240&gt;(M240+O240),"* El Total de Procesados de 14-18 años NO DEBE ser mayor al Total de Procesados registrados en los grupos de edad 10 a 14 + 15 a 19 años. ",""))</f>
        <v/>
      </c>
      <c r="CU240" s="3024" t="str">
        <f t="shared" si="518"/>
        <v/>
      </c>
      <c r="DF240" s="4029">
        <f t="shared" si="519"/>
        <v>0</v>
      </c>
      <c r="DG240" s="4005">
        <f t="shared" ref="DG240:DG259" si="536">IF(AL240&gt;AK240,1,0)</f>
        <v>0</v>
      </c>
      <c r="DH240" s="4005">
        <f t="shared" si="520"/>
        <v>0</v>
      </c>
      <c r="DI240" s="1970"/>
      <c r="DJ240" s="1970"/>
      <c r="DK240" s="1970"/>
      <c r="DL240" s="1970"/>
      <c r="DM240" s="1970"/>
      <c r="DN240" s="4005">
        <f t="shared" si="521"/>
        <v>0</v>
      </c>
      <c r="DO240" s="1971"/>
      <c r="DP240" s="4005">
        <f t="shared" si="522"/>
        <v>0</v>
      </c>
      <c r="DQ240" s="4005">
        <f t="shared" si="523"/>
        <v>0</v>
      </c>
      <c r="DR240" s="4005">
        <f t="shared" si="524"/>
        <v>0</v>
      </c>
      <c r="DS240" s="4005">
        <f t="shared" si="525"/>
        <v>0</v>
      </c>
      <c r="DT240" s="4005">
        <f t="shared" si="526"/>
        <v>0</v>
      </c>
      <c r="DU240" s="4005">
        <f t="shared" si="527"/>
        <v>0</v>
      </c>
      <c r="DV240" s="4005">
        <f t="shared" si="528"/>
        <v>0</v>
      </c>
      <c r="DW240" s="1970"/>
      <c r="DX240" s="1970"/>
      <c r="DY240" s="4005">
        <f t="shared" si="529"/>
        <v>0</v>
      </c>
      <c r="DZ240" s="4005">
        <f t="shared" si="530"/>
        <v>0</v>
      </c>
      <c r="EA240" s="3026">
        <f t="shared" si="531"/>
        <v>0</v>
      </c>
      <c r="EB240" s="3026">
        <f t="shared" si="532"/>
        <v>0</v>
      </c>
    </row>
    <row r="241" spans="1:132" ht="15" customHeight="1" x14ac:dyDescent="0.3">
      <c r="A241" s="5790"/>
      <c r="B241" s="4060" t="s">
        <v>1914</v>
      </c>
      <c r="C241" s="4061">
        <f>+E241+G241+I241+K241+M241+O241+Q241+S241+U241+W241+Y241+AA241+AC241+AE241+AG241+AI241</f>
        <v>0</v>
      </c>
      <c r="D241" s="4070">
        <f>+F241+H241+J241+L241+N241+P241+R241+T241+V241+X241+Z241+AB241+AD241+AF241+AH241+AJ241</f>
        <v>0</v>
      </c>
      <c r="E241" s="44"/>
      <c r="F241" s="142"/>
      <c r="G241" s="44"/>
      <c r="H241" s="142"/>
      <c r="I241" s="44"/>
      <c r="J241" s="142"/>
      <c r="K241" s="44"/>
      <c r="L241" s="142"/>
      <c r="M241" s="44"/>
      <c r="N241" s="142"/>
      <c r="O241" s="3995"/>
      <c r="P241" s="330"/>
      <c r="Q241" s="3996"/>
      <c r="R241" s="330"/>
      <c r="S241" s="3996"/>
      <c r="T241" s="330"/>
      <c r="U241" s="3996"/>
      <c r="V241" s="330"/>
      <c r="W241" s="3987"/>
      <c r="X241" s="330"/>
      <c r="Y241" s="3987"/>
      <c r="Z241" s="330"/>
      <c r="AA241" s="3987"/>
      <c r="AB241" s="330"/>
      <c r="AC241" s="3996"/>
      <c r="AD241" s="330"/>
      <c r="AE241" s="3987"/>
      <c r="AF241" s="330"/>
      <c r="AG241" s="3987"/>
      <c r="AH241" s="330"/>
      <c r="AI241" s="3987"/>
      <c r="AJ241" s="4026"/>
      <c r="AK241" s="3986"/>
      <c r="AL241" s="330"/>
      <c r="AM241" s="3987"/>
      <c r="AN241" s="4026"/>
      <c r="AO241" s="3986"/>
      <c r="AP241" s="330"/>
      <c r="AQ241" s="3987"/>
      <c r="AR241" s="4026"/>
      <c r="AS241" s="3986"/>
      <c r="AT241" s="4026"/>
      <c r="AU241" s="3986"/>
      <c r="AV241" s="4026"/>
      <c r="AW241" s="3987"/>
      <c r="AX241" s="330"/>
      <c r="AY241" s="1898" t="str">
        <f t="shared" ref="AY241:AY259" si="537">$CA241&amp;CB241&amp;$CC241&amp;CD241&amp;CE241&amp;CF241&amp;CG241&amp;CH241&amp;CI241&amp;CJ241&amp;CK241&amp;CL241&amp;CM241&amp;CN241&amp;CO241&amp;CP241&amp;CQ241&amp;CR241&amp;CS241&amp;CT241&amp;CU241&amp;CV241&amp;CW241</f>
        <v/>
      </c>
      <c r="CA241" s="4027" t="str">
        <f t="shared" si="533"/>
        <v/>
      </c>
      <c r="CB241" s="1899" t="str">
        <f t="shared" ref="CB241:CB259" si="538">IF(AL241&gt;AK241," * El número de Exámenes por Sexo Hombres Confirmados positivos por ISP NO PUEDE Superar al número de Procesados. ","")</f>
        <v/>
      </c>
      <c r="CC241" s="1899" t="str">
        <f t="shared" si="534"/>
        <v/>
      </c>
      <c r="CD241" s="1970"/>
      <c r="CE241" s="1970"/>
      <c r="CF241" s="1970"/>
      <c r="CG241" s="1970"/>
      <c r="CH241" s="1970"/>
      <c r="CI241" s="1899" t="str">
        <f t="shared" si="535"/>
        <v/>
      </c>
      <c r="CJ241" s="1971"/>
      <c r="CK241" s="1899" t="str">
        <f t="shared" si="510"/>
        <v/>
      </c>
      <c r="CL241" s="1899" t="str">
        <f t="shared" si="511"/>
        <v/>
      </c>
      <c r="CM241" s="1899" t="str">
        <f t="shared" si="512"/>
        <v/>
      </c>
      <c r="CN241" s="1899" t="str">
        <f t="shared" si="513"/>
        <v/>
      </c>
      <c r="CO241" s="1899" t="str">
        <f t="shared" si="514"/>
        <v/>
      </c>
      <c r="CP241" s="1899" t="str">
        <f t="shared" si="515"/>
        <v/>
      </c>
      <c r="CQ241" s="1899" t="str">
        <f t="shared" si="516"/>
        <v/>
      </c>
      <c r="CR241" s="1970"/>
      <c r="CS241" s="1970"/>
      <c r="CT241" s="3024" t="str">
        <f t="shared" si="517"/>
        <v/>
      </c>
      <c r="CU241" s="3024" t="str">
        <f t="shared" si="518"/>
        <v/>
      </c>
      <c r="DF241" s="4029">
        <f t="shared" si="519"/>
        <v>0</v>
      </c>
      <c r="DG241" s="4005">
        <f t="shared" si="536"/>
        <v>0</v>
      </c>
      <c r="DH241" s="4005">
        <f t="shared" si="520"/>
        <v>0</v>
      </c>
      <c r="DI241" s="1970"/>
      <c r="DJ241" s="1970"/>
      <c r="DK241" s="1970"/>
      <c r="DL241" s="1970"/>
      <c r="DM241" s="1970"/>
      <c r="DN241" s="4005">
        <f t="shared" si="521"/>
        <v>0</v>
      </c>
      <c r="DO241" s="1971"/>
      <c r="DP241" s="4005">
        <f t="shared" si="522"/>
        <v>0</v>
      </c>
      <c r="DQ241" s="4005">
        <f t="shared" si="523"/>
        <v>0</v>
      </c>
      <c r="DR241" s="4005">
        <f t="shared" si="524"/>
        <v>0</v>
      </c>
      <c r="DS241" s="4005">
        <f t="shared" si="525"/>
        <v>0</v>
      </c>
      <c r="DT241" s="4005">
        <f t="shared" si="526"/>
        <v>0</v>
      </c>
      <c r="DU241" s="4005">
        <f t="shared" si="527"/>
        <v>0</v>
      </c>
      <c r="DV241" s="4005">
        <f t="shared" si="528"/>
        <v>0</v>
      </c>
      <c r="DW241" s="1970"/>
      <c r="DX241" s="1970"/>
      <c r="DY241" s="4005">
        <f t="shared" si="529"/>
        <v>0</v>
      </c>
      <c r="DZ241" s="4005">
        <f t="shared" si="530"/>
        <v>0</v>
      </c>
      <c r="EA241" s="3026">
        <f t="shared" si="531"/>
        <v>0</v>
      </c>
      <c r="EB241" s="3026">
        <f t="shared" si="532"/>
        <v>0</v>
      </c>
    </row>
    <row r="242" spans="1:132" ht="24" customHeight="1" x14ac:dyDescent="0.3">
      <c r="A242" s="5790"/>
      <c r="B242" s="4071" t="s">
        <v>1915</v>
      </c>
      <c r="C242" s="4072">
        <f>+M242+O242+Q242+S242+U242+W242+Y242+AA242+AC242+AE242+AG242+AI242</f>
        <v>0</v>
      </c>
      <c r="D242" s="345">
        <f>+N242+P242+R242+T242+V242+X242+Z242+AB242+AD242+AF242+AH242+AJ242</f>
        <v>0</v>
      </c>
      <c r="E242" s="4062"/>
      <c r="F242" s="4063"/>
      <c r="G242" s="4064"/>
      <c r="H242" s="4063"/>
      <c r="I242" s="4064"/>
      <c r="J242" s="4063"/>
      <c r="K242" s="4064"/>
      <c r="L242" s="4063"/>
      <c r="M242" s="3996"/>
      <c r="N242" s="330"/>
      <c r="O242" s="3987"/>
      <c r="P242" s="330"/>
      <c r="Q242" s="3996"/>
      <c r="R242" s="330"/>
      <c r="S242" s="3996"/>
      <c r="T242" s="330"/>
      <c r="U242" s="3996"/>
      <c r="V242" s="330"/>
      <c r="W242" s="3987"/>
      <c r="X242" s="330"/>
      <c r="Y242" s="3987"/>
      <c r="Z242" s="330"/>
      <c r="AA242" s="3987"/>
      <c r="AB242" s="330"/>
      <c r="AC242" s="3996"/>
      <c r="AD242" s="330"/>
      <c r="AE242" s="3987"/>
      <c r="AF242" s="330"/>
      <c r="AG242" s="3987"/>
      <c r="AH242" s="330"/>
      <c r="AI242" s="3987"/>
      <c r="AJ242" s="4026"/>
      <c r="AK242" s="3986"/>
      <c r="AL242" s="330"/>
      <c r="AM242" s="3987"/>
      <c r="AN242" s="4026"/>
      <c r="AO242" s="3986"/>
      <c r="AP242" s="330"/>
      <c r="AQ242" s="3987"/>
      <c r="AR242" s="4026"/>
      <c r="AS242" s="3986"/>
      <c r="AT242" s="4026"/>
      <c r="AU242" s="3986"/>
      <c r="AV242" s="4026"/>
      <c r="AW242" s="3987"/>
      <c r="AX242" s="330"/>
      <c r="AY242" s="1898" t="str">
        <f t="shared" si="537"/>
        <v/>
      </c>
      <c r="CA242" s="4027" t="str">
        <f t="shared" si="533"/>
        <v/>
      </c>
      <c r="CB242" s="1899" t="str">
        <f t="shared" si="538"/>
        <v/>
      </c>
      <c r="CC242" s="1899" t="str">
        <f t="shared" si="534"/>
        <v/>
      </c>
      <c r="CD242" s="1970"/>
      <c r="CE242" s="1970"/>
      <c r="CF242" s="1970"/>
      <c r="CG242" s="1970"/>
      <c r="CH242" s="1970"/>
      <c r="CI242" s="1899" t="str">
        <f t="shared" si="535"/>
        <v/>
      </c>
      <c r="CJ242" s="1971"/>
      <c r="CK242" s="1899" t="str">
        <f t="shared" si="510"/>
        <v/>
      </c>
      <c r="CL242" s="1899" t="str">
        <f t="shared" si="511"/>
        <v/>
      </c>
      <c r="CM242" s="1899" t="str">
        <f t="shared" si="512"/>
        <v/>
      </c>
      <c r="CN242" s="1899" t="str">
        <f t="shared" si="513"/>
        <v/>
      </c>
      <c r="CO242" s="1899" t="str">
        <f t="shared" si="514"/>
        <v/>
      </c>
      <c r="CP242" s="1899" t="str">
        <f t="shared" si="515"/>
        <v/>
      </c>
      <c r="CQ242" s="1899" t="str">
        <f t="shared" si="516"/>
        <v/>
      </c>
      <c r="CR242" s="1970"/>
      <c r="CS242" s="1970"/>
      <c r="CT242" s="3024" t="str">
        <f t="shared" si="517"/>
        <v/>
      </c>
      <c r="CU242" s="3024" t="str">
        <f t="shared" si="518"/>
        <v/>
      </c>
      <c r="DF242" s="4029">
        <f t="shared" si="519"/>
        <v>0</v>
      </c>
      <c r="DG242" s="4005">
        <f t="shared" si="536"/>
        <v>0</v>
      </c>
      <c r="DH242" s="4005">
        <f t="shared" si="520"/>
        <v>0</v>
      </c>
      <c r="DI242" s="1970"/>
      <c r="DJ242" s="1970"/>
      <c r="DK242" s="1970"/>
      <c r="DL242" s="1970"/>
      <c r="DM242" s="1970"/>
      <c r="DN242" s="4005">
        <f t="shared" si="521"/>
        <v>0</v>
      </c>
      <c r="DO242" s="1971"/>
      <c r="DP242" s="4005">
        <f t="shared" si="522"/>
        <v>0</v>
      </c>
      <c r="DQ242" s="4005">
        <f t="shared" si="523"/>
        <v>0</v>
      </c>
      <c r="DR242" s="4005">
        <f t="shared" si="524"/>
        <v>0</v>
      </c>
      <c r="DS242" s="4005">
        <f t="shared" si="525"/>
        <v>0</v>
      </c>
      <c r="DT242" s="4005">
        <f t="shared" si="526"/>
        <v>0</v>
      </c>
      <c r="DU242" s="4005">
        <f t="shared" si="527"/>
        <v>0</v>
      </c>
      <c r="DV242" s="4005">
        <f t="shared" si="528"/>
        <v>0</v>
      </c>
      <c r="DW242" s="1970"/>
      <c r="DX242" s="1970"/>
      <c r="DY242" s="4005">
        <f t="shared" si="529"/>
        <v>0</v>
      </c>
      <c r="DZ242" s="4005">
        <f t="shared" si="530"/>
        <v>0</v>
      </c>
      <c r="EA242" s="3026">
        <f t="shared" si="531"/>
        <v>0</v>
      </c>
      <c r="EB242" s="3026">
        <f t="shared" si="532"/>
        <v>0</v>
      </c>
    </row>
    <row r="243" spans="1:132" ht="15" customHeight="1" x14ac:dyDescent="0.3">
      <c r="A243" s="5790"/>
      <c r="B243" s="4060" t="s">
        <v>1940</v>
      </c>
      <c r="C243" s="4061">
        <f>+O243+Q243+S243+U243+W243+Y243+AA243+AC243+AE243+AG243+AI243</f>
        <v>0</v>
      </c>
      <c r="D243" s="345">
        <f>+P243+R243+T243+V243+X243+Z243+AB243+AD243+AF243+AH243+AJ243</f>
        <v>0</v>
      </c>
      <c r="E243" s="4062"/>
      <c r="F243" s="4063"/>
      <c r="G243" s="4064"/>
      <c r="H243" s="4063"/>
      <c r="I243" s="4064"/>
      <c r="J243" s="4063"/>
      <c r="K243" s="4064"/>
      <c r="L243" s="4063"/>
      <c r="M243" s="4073"/>
      <c r="N243" s="4074"/>
      <c r="O243" s="3987"/>
      <c r="P243" s="330"/>
      <c r="Q243" s="3996"/>
      <c r="R243" s="330"/>
      <c r="S243" s="3996"/>
      <c r="T243" s="330"/>
      <c r="U243" s="3996"/>
      <c r="V243" s="330"/>
      <c r="W243" s="3987"/>
      <c r="X243" s="330"/>
      <c r="Y243" s="3987"/>
      <c r="Z243" s="330"/>
      <c r="AA243" s="3987"/>
      <c r="AB243" s="330"/>
      <c r="AC243" s="3996"/>
      <c r="AD243" s="330"/>
      <c r="AE243" s="3987"/>
      <c r="AF243" s="330"/>
      <c r="AG243" s="3987"/>
      <c r="AH243" s="330"/>
      <c r="AI243" s="3987"/>
      <c r="AJ243" s="4026"/>
      <c r="AK243" s="3986"/>
      <c r="AL243" s="330"/>
      <c r="AM243" s="3987"/>
      <c r="AN243" s="4026"/>
      <c r="AO243" s="3986"/>
      <c r="AP243" s="330"/>
      <c r="AQ243" s="3987"/>
      <c r="AR243" s="4026"/>
      <c r="AS243" s="3986"/>
      <c r="AT243" s="4026"/>
      <c r="AU243" s="3986"/>
      <c r="AV243" s="4026"/>
      <c r="AW243" s="3987"/>
      <c r="AX243" s="330"/>
      <c r="AY243" s="1898" t="str">
        <f t="shared" si="537"/>
        <v/>
      </c>
      <c r="CA243" s="4027" t="str">
        <f t="shared" si="533"/>
        <v/>
      </c>
      <c r="CB243" s="1899" t="str">
        <f t="shared" si="538"/>
        <v/>
      </c>
      <c r="CC243" s="1899" t="str">
        <f t="shared" si="534"/>
        <v/>
      </c>
      <c r="CD243" s="1970"/>
      <c r="CE243" s="1970"/>
      <c r="CF243" s="1970"/>
      <c r="CG243" s="1970"/>
      <c r="CH243" s="1970"/>
      <c r="CI243" s="1899" t="str">
        <f t="shared" si="535"/>
        <v/>
      </c>
      <c r="CJ243" s="1971"/>
      <c r="CK243" s="1899" t="str">
        <f t="shared" si="510"/>
        <v/>
      </c>
      <c r="CL243" s="1899" t="str">
        <f t="shared" si="511"/>
        <v/>
      </c>
      <c r="CM243" s="1899" t="str">
        <f t="shared" si="512"/>
        <v/>
      </c>
      <c r="CN243" s="1899" t="str">
        <f t="shared" si="513"/>
        <v/>
      </c>
      <c r="CO243" s="1899" t="str">
        <f t="shared" si="514"/>
        <v/>
      </c>
      <c r="CP243" s="1899" t="str">
        <f t="shared" si="515"/>
        <v/>
      </c>
      <c r="CQ243" s="1899" t="str">
        <f t="shared" si="516"/>
        <v/>
      </c>
      <c r="CR243" s="1970"/>
      <c r="CS243" s="1970"/>
      <c r="CT243" s="3024" t="str">
        <f t="shared" si="517"/>
        <v/>
      </c>
      <c r="CU243" s="3024" t="str">
        <f t="shared" si="518"/>
        <v/>
      </c>
      <c r="DF243" s="4029">
        <f t="shared" si="519"/>
        <v>0</v>
      </c>
      <c r="DG243" s="4005">
        <f t="shared" si="536"/>
        <v>0</v>
      </c>
      <c r="DH243" s="4005">
        <f t="shared" si="520"/>
        <v>0</v>
      </c>
      <c r="DI243" s="1970"/>
      <c r="DJ243" s="1970"/>
      <c r="DK243" s="1970"/>
      <c r="DL243" s="1970"/>
      <c r="DM243" s="1970"/>
      <c r="DN243" s="4005">
        <f t="shared" si="521"/>
        <v>0</v>
      </c>
      <c r="DO243" s="1971"/>
      <c r="DP243" s="4005">
        <f t="shared" si="522"/>
        <v>0</v>
      </c>
      <c r="DQ243" s="4005">
        <f t="shared" si="523"/>
        <v>0</v>
      </c>
      <c r="DR243" s="4005">
        <f t="shared" si="524"/>
        <v>0</v>
      </c>
      <c r="DS243" s="4005">
        <f t="shared" si="525"/>
        <v>0</v>
      </c>
      <c r="DT243" s="4005">
        <f t="shared" si="526"/>
        <v>0</v>
      </c>
      <c r="DU243" s="4005">
        <f t="shared" si="527"/>
        <v>0</v>
      </c>
      <c r="DV243" s="4005">
        <f t="shared" si="528"/>
        <v>0</v>
      </c>
      <c r="DW243" s="1970"/>
      <c r="DX243" s="1970"/>
      <c r="DY243" s="4005">
        <f t="shared" si="529"/>
        <v>0</v>
      </c>
      <c r="DZ243" s="4005">
        <f t="shared" si="530"/>
        <v>0</v>
      </c>
      <c r="EA243" s="3026">
        <f t="shared" si="531"/>
        <v>0</v>
      </c>
      <c r="EB243" s="3026">
        <f t="shared" si="532"/>
        <v>0</v>
      </c>
    </row>
    <row r="244" spans="1:132" ht="24" customHeight="1" x14ac:dyDescent="0.3">
      <c r="A244" s="5790"/>
      <c r="B244" s="4065" t="s">
        <v>1916</v>
      </c>
      <c r="C244" s="4075">
        <f>+E244+G244+I244+K244+M244+O244+Q244+S244+U244+W244+Y244+AA244+AC244+AE244+AG244+AI244</f>
        <v>0</v>
      </c>
      <c r="D244" s="4070">
        <f>+F244+H244+J244+L244+N244+P244+R244+T244+V244+X244+Z244+AB244+AD244+AF244+AH244+AJ244</f>
        <v>0</v>
      </c>
      <c r="E244" s="44"/>
      <c r="F244" s="142"/>
      <c r="G244" s="44"/>
      <c r="H244" s="142"/>
      <c r="I244" s="44"/>
      <c r="J244" s="142"/>
      <c r="K244" s="44"/>
      <c r="L244" s="142"/>
      <c r="M244" s="3996"/>
      <c r="N244" s="330"/>
      <c r="O244" s="3987"/>
      <c r="P244" s="330"/>
      <c r="Q244" s="3996"/>
      <c r="R244" s="330"/>
      <c r="S244" s="3996"/>
      <c r="T244" s="330"/>
      <c r="U244" s="3996"/>
      <c r="V244" s="330"/>
      <c r="W244" s="3987"/>
      <c r="X244" s="330"/>
      <c r="Y244" s="3987"/>
      <c r="Z244" s="330"/>
      <c r="AA244" s="3987"/>
      <c r="AB244" s="330"/>
      <c r="AC244" s="3996"/>
      <c r="AD244" s="330"/>
      <c r="AE244" s="3987"/>
      <c r="AF244" s="330"/>
      <c r="AG244" s="3987"/>
      <c r="AH244" s="330"/>
      <c r="AI244" s="3987"/>
      <c r="AJ244" s="4026"/>
      <c r="AK244" s="3986"/>
      <c r="AL244" s="330"/>
      <c r="AM244" s="3987"/>
      <c r="AN244" s="4026"/>
      <c r="AO244" s="3986"/>
      <c r="AP244" s="330"/>
      <c r="AQ244" s="3987"/>
      <c r="AR244" s="4026"/>
      <c r="AS244" s="3986"/>
      <c r="AT244" s="4026"/>
      <c r="AU244" s="3986"/>
      <c r="AV244" s="4026"/>
      <c r="AW244" s="3987"/>
      <c r="AX244" s="330"/>
      <c r="AY244" s="1898" t="str">
        <f t="shared" si="537"/>
        <v/>
      </c>
      <c r="CA244" s="4027" t="str">
        <f t="shared" si="533"/>
        <v/>
      </c>
      <c r="CB244" s="1899" t="str">
        <f t="shared" si="538"/>
        <v/>
      </c>
      <c r="CC244" s="1899" t="str">
        <f t="shared" si="534"/>
        <v/>
      </c>
      <c r="CD244" s="1970"/>
      <c r="CE244" s="1970"/>
      <c r="CF244" s="1970"/>
      <c r="CG244" s="1970"/>
      <c r="CH244" s="1970"/>
      <c r="CI244" s="1899" t="str">
        <f t="shared" si="535"/>
        <v/>
      </c>
      <c r="CJ244" s="1971"/>
      <c r="CK244" s="1899" t="str">
        <f t="shared" si="510"/>
        <v/>
      </c>
      <c r="CL244" s="1899" t="str">
        <f t="shared" si="511"/>
        <v/>
      </c>
      <c r="CM244" s="1899" t="str">
        <f t="shared" si="512"/>
        <v/>
      </c>
      <c r="CN244" s="1899" t="str">
        <f t="shared" si="513"/>
        <v/>
      </c>
      <c r="CO244" s="1899" t="str">
        <f t="shared" si="514"/>
        <v/>
      </c>
      <c r="CP244" s="1899" t="str">
        <f t="shared" si="515"/>
        <v/>
      </c>
      <c r="CQ244" s="1899" t="str">
        <f t="shared" si="516"/>
        <v/>
      </c>
      <c r="CR244" s="1970"/>
      <c r="CS244" s="1970"/>
      <c r="CT244" s="3024" t="str">
        <f t="shared" si="517"/>
        <v/>
      </c>
      <c r="CU244" s="3024" t="str">
        <f t="shared" si="518"/>
        <v/>
      </c>
      <c r="DF244" s="4029">
        <f t="shared" si="519"/>
        <v>0</v>
      </c>
      <c r="DG244" s="4005">
        <f t="shared" si="536"/>
        <v>0</v>
      </c>
      <c r="DH244" s="4005">
        <f t="shared" si="520"/>
        <v>0</v>
      </c>
      <c r="DI244" s="1970"/>
      <c r="DJ244" s="1970"/>
      <c r="DK244" s="1970"/>
      <c r="DL244" s="1970"/>
      <c r="DM244" s="1970"/>
      <c r="DN244" s="4005">
        <f t="shared" si="521"/>
        <v>0</v>
      </c>
      <c r="DO244" s="1971"/>
      <c r="DP244" s="4005">
        <f t="shared" si="522"/>
        <v>0</v>
      </c>
      <c r="DQ244" s="4005">
        <f t="shared" si="523"/>
        <v>0</v>
      </c>
      <c r="DR244" s="4005">
        <f t="shared" si="524"/>
        <v>0</v>
      </c>
      <c r="DS244" s="4005">
        <f t="shared" si="525"/>
        <v>0</v>
      </c>
      <c r="DT244" s="4005">
        <f t="shared" si="526"/>
        <v>0</v>
      </c>
      <c r="DU244" s="4005">
        <f t="shared" si="527"/>
        <v>0</v>
      </c>
      <c r="DV244" s="4005">
        <f t="shared" si="528"/>
        <v>0</v>
      </c>
      <c r="DW244" s="1970"/>
      <c r="DX244" s="1970"/>
      <c r="DY244" s="4005">
        <f t="shared" si="529"/>
        <v>0</v>
      </c>
      <c r="DZ244" s="4005">
        <f t="shared" si="530"/>
        <v>0</v>
      </c>
      <c r="EA244" s="3026">
        <f t="shared" si="531"/>
        <v>0</v>
      </c>
      <c r="EB244" s="3026">
        <f t="shared" si="532"/>
        <v>0</v>
      </c>
    </row>
    <row r="245" spans="1:132" ht="15" customHeight="1" x14ac:dyDescent="0.3">
      <c r="A245" s="5790"/>
      <c r="B245" s="4065" t="s">
        <v>1881</v>
      </c>
      <c r="C245" s="4061">
        <f>+M245+O245+Q245+S245+U245+W245+Y245+AA245+AC245+AE245+AG245+AI245</f>
        <v>0</v>
      </c>
      <c r="D245" s="4070">
        <f>+N245+P245+R245+T245+V245+X245+Z245+AB245+AD245+AF245+AH245+AJ245</f>
        <v>0</v>
      </c>
      <c r="E245" s="4062"/>
      <c r="F245" s="4063"/>
      <c r="G245" s="4064"/>
      <c r="H245" s="4063"/>
      <c r="I245" s="4064"/>
      <c r="J245" s="4063"/>
      <c r="K245" s="4064"/>
      <c r="L245" s="4063"/>
      <c r="M245" s="3987"/>
      <c r="N245" s="330"/>
      <c r="O245" s="3995"/>
      <c r="P245" s="330"/>
      <c r="Q245" s="3996"/>
      <c r="R245" s="330"/>
      <c r="S245" s="3996"/>
      <c r="T245" s="330"/>
      <c r="U245" s="3996"/>
      <c r="V245" s="330"/>
      <c r="W245" s="3987"/>
      <c r="X245" s="330"/>
      <c r="Y245" s="3987"/>
      <c r="Z245" s="330"/>
      <c r="AA245" s="3987"/>
      <c r="AB245" s="330"/>
      <c r="AC245" s="3996"/>
      <c r="AD245" s="330"/>
      <c r="AE245" s="3987"/>
      <c r="AF245" s="330"/>
      <c r="AG245" s="3987"/>
      <c r="AH245" s="330"/>
      <c r="AI245" s="3987"/>
      <c r="AJ245" s="4026"/>
      <c r="AK245" s="3986"/>
      <c r="AL245" s="330"/>
      <c r="AM245" s="3987"/>
      <c r="AN245" s="4026"/>
      <c r="AO245" s="3986"/>
      <c r="AP245" s="330"/>
      <c r="AQ245" s="3987"/>
      <c r="AR245" s="4026"/>
      <c r="AS245" s="3986"/>
      <c r="AT245" s="4026"/>
      <c r="AU245" s="3986"/>
      <c r="AV245" s="4026"/>
      <c r="AW245" s="3987"/>
      <c r="AX245" s="330"/>
      <c r="AY245" s="1898" t="str">
        <f t="shared" si="537"/>
        <v/>
      </c>
      <c r="CA245" s="4027" t="str">
        <f t="shared" si="533"/>
        <v/>
      </c>
      <c r="CB245" s="1899" t="str">
        <f t="shared" si="538"/>
        <v/>
      </c>
      <c r="CC245" s="1899" t="str">
        <f t="shared" si="534"/>
        <v/>
      </c>
      <c r="CD245" s="1970"/>
      <c r="CE245" s="1970"/>
      <c r="CF245" s="1970"/>
      <c r="CG245" s="1970"/>
      <c r="CH245" s="1970"/>
      <c r="CI245" s="1899" t="str">
        <f t="shared" si="535"/>
        <v/>
      </c>
      <c r="CJ245" s="1971"/>
      <c r="CK245" s="1899" t="str">
        <f t="shared" si="510"/>
        <v/>
      </c>
      <c r="CL245" s="1899" t="str">
        <f t="shared" si="511"/>
        <v/>
      </c>
      <c r="CM245" s="1899" t="str">
        <f t="shared" si="512"/>
        <v/>
      </c>
      <c r="CN245" s="1899" t="str">
        <f t="shared" si="513"/>
        <v/>
      </c>
      <c r="CO245" s="1899" t="str">
        <f t="shared" si="514"/>
        <v/>
      </c>
      <c r="CP245" s="1899" t="str">
        <f t="shared" si="515"/>
        <v/>
      </c>
      <c r="CQ245" s="1899" t="str">
        <f t="shared" si="516"/>
        <v/>
      </c>
      <c r="CR245" s="1970"/>
      <c r="CS245" s="1970"/>
      <c r="CT245" s="3024" t="str">
        <f>IF(AND((M245+O245)&gt;0,AW245=""),"*No olvide digitar los Exámenes Procesados de 14-18 años. Digite cero si no tiene.",IF(AW245&gt;(M245+O245),"* El Total de Procesados de 14-18 años NO DEBE ser mayor al Total de Procesados registrados en los grupos de edad 10 a 14 + 15 a 19 años. ",""))</f>
        <v/>
      </c>
      <c r="CU245" s="3024" t="str">
        <f t="shared" si="518"/>
        <v/>
      </c>
      <c r="DF245" s="4029">
        <f t="shared" si="519"/>
        <v>0</v>
      </c>
      <c r="DG245" s="4005">
        <f t="shared" si="536"/>
        <v>0</v>
      </c>
      <c r="DH245" s="4005">
        <f t="shared" si="520"/>
        <v>0</v>
      </c>
      <c r="DI245" s="1970"/>
      <c r="DJ245" s="1970"/>
      <c r="DK245" s="1970"/>
      <c r="DL245" s="1970"/>
      <c r="DM245" s="1970"/>
      <c r="DN245" s="4005">
        <f t="shared" si="521"/>
        <v>0</v>
      </c>
      <c r="DO245" s="1971"/>
      <c r="DP245" s="4005">
        <f t="shared" si="522"/>
        <v>0</v>
      </c>
      <c r="DQ245" s="4005">
        <f t="shared" si="523"/>
        <v>0</v>
      </c>
      <c r="DR245" s="4005">
        <f t="shared" si="524"/>
        <v>0</v>
      </c>
      <c r="DS245" s="4005">
        <f t="shared" si="525"/>
        <v>0</v>
      </c>
      <c r="DT245" s="4005">
        <f t="shared" si="526"/>
        <v>0</v>
      </c>
      <c r="DU245" s="4005">
        <f t="shared" si="527"/>
        <v>0</v>
      </c>
      <c r="DV245" s="4005">
        <f t="shared" si="528"/>
        <v>0</v>
      </c>
      <c r="DW245" s="1970"/>
      <c r="DX245" s="1970"/>
      <c r="DY245" s="4005">
        <f t="shared" si="529"/>
        <v>0</v>
      </c>
      <c r="DZ245" s="4005">
        <f t="shared" si="530"/>
        <v>0</v>
      </c>
      <c r="EA245" s="3026">
        <f t="shared" si="531"/>
        <v>0</v>
      </c>
      <c r="EB245" s="3026">
        <f t="shared" si="532"/>
        <v>0</v>
      </c>
    </row>
    <row r="246" spans="1:132" ht="15" customHeight="1" x14ac:dyDescent="0.3">
      <c r="A246" s="5790"/>
      <c r="B246" s="4060" t="s">
        <v>1917</v>
      </c>
      <c r="C246" s="4061">
        <f>+M246+O246+Q246+S246+U246+W246+Y246+AA246+AC246+AE246+AG246+AI246</f>
        <v>0</v>
      </c>
      <c r="D246" s="4070">
        <f>+N246+P246+R246+T246+V246+X246+Z246+AB246+AD246+AF246+AH246+AJ246</f>
        <v>0</v>
      </c>
      <c r="E246" s="4062"/>
      <c r="F246" s="4063"/>
      <c r="G246" s="4064"/>
      <c r="H246" s="4063"/>
      <c r="I246" s="4064"/>
      <c r="J246" s="4063"/>
      <c r="K246" s="4064"/>
      <c r="L246" s="4063"/>
      <c r="M246" s="3987"/>
      <c r="N246" s="330"/>
      <c r="O246" s="3987"/>
      <c r="P246" s="330"/>
      <c r="Q246" s="3996"/>
      <c r="R246" s="330"/>
      <c r="S246" s="3996"/>
      <c r="T246" s="330"/>
      <c r="U246" s="3996"/>
      <c r="V246" s="330"/>
      <c r="W246" s="3987"/>
      <c r="X246" s="330"/>
      <c r="Y246" s="3987"/>
      <c r="Z246" s="330"/>
      <c r="AA246" s="3987"/>
      <c r="AB246" s="330"/>
      <c r="AC246" s="3996"/>
      <c r="AD246" s="330"/>
      <c r="AE246" s="3987"/>
      <c r="AF246" s="330"/>
      <c r="AG246" s="3987"/>
      <c r="AH246" s="330"/>
      <c r="AI246" s="3987"/>
      <c r="AJ246" s="4026"/>
      <c r="AK246" s="3986"/>
      <c r="AL246" s="330"/>
      <c r="AM246" s="3987"/>
      <c r="AN246" s="4026"/>
      <c r="AO246" s="3986"/>
      <c r="AP246" s="330"/>
      <c r="AQ246" s="3987"/>
      <c r="AR246" s="4026"/>
      <c r="AS246" s="3986"/>
      <c r="AT246" s="4026"/>
      <c r="AU246" s="3986"/>
      <c r="AV246" s="4026"/>
      <c r="AW246" s="3987"/>
      <c r="AX246" s="330"/>
      <c r="AY246" s="1898" t="str">
        <f t="shared" si="537"/>
        <v/>
      </c>
      <c r="CA246" s="4027" t="str">
        <f t="shared" si="533"/>
        <v/>
      </c>
      <c r="CB246" s="1899" t="str">
        <f t="shared" si="538"/>
        <v/>
      </c>
      <c r="CC246" s="1899" t="str">
        <f t="shared" si="534"/>
        <v/>
      </c>
      <c r="CD246" s="1970"/>
      <c r="CE246" s="1970"/>
      <c r="CF246" s="1970"/>
      <c r="CG246" s="1970"/>
      <c r="CH246" s="1970"/>
      <c r="CI246" s="1899" t="str">
        <f t="shared" si="535"/>
        <v/>
      </c>
      <c r="CJ246" s="1971"/>
      <c r="CK246" s="1899" t="str">
        <f t="shared" si="510"/>
        <v/>
      </c>
      <c r="CL246" s="1899" t="str">
        <f t="shared" si="511"/>
        <v/>
      </c>
      <c r="CM246" s="1899" t="str">
        <f t="shared" si="512"/>
        <v/>
      </c>
      <c r="CN246" s="1899" t="str">
        <f t="shared" si="513"/>
        <v/>
      </c>
      <c r="CO246" s="1899" t="str">
        <f t="shared" si="514"/>
        <v/>
      </c>
      <c r="CP246" s="1899" t="str">
        <f t="shared" si="515"/>
        <v/>
      </c>
      <c r="CQ246" s="1899" t="str">
        <f t="shared" si="516"/>
        <v/>
      </c>
      <c r="CR246" s="1970"/>
      <c r="CS246" s="1970"/>
      <c r="CT246" s="3024" t="str">
        <f t="shared" ref="CT246:CT248" si="539">IF(AND((M246+O246)&gt;0,AW246=""),"*No olvide digitar los Exámenes Procesados de 14-18 años. Digite cero si no tiene.",IF(AW246&gt;(M246+O246),"* El Total de Procesados de 14-18 años NO DEBE ser mayor al Total de Procesados registrados en los grupos de edad 10 a 14 + 15 a 19 años. ",""))</f>
        <v/>
      </c>
      <c r="CU246" s="3024" t="str">
        <f t="shared" ref="CU246:CU248" si="540">IF(AND((N246+P246)&gt;0,AX246=""),"*No olvide digitar los Exámenes Confirmados Positivos por ISP de 14-18 años. Digite cero si no tiene.",IF(AX246&gt;(N246+P246),"* El Total de Confirmados de 14-18 años NO DEBE ser mayor al Total de Confirmados Positivos por ISP registrados en los grupos de edad 10 a 14 + 15 a 19 años. ",""))</f>
        <v/>
      </c>
      <c r="DF246" s="4029">
        <f t="shared" si="519"/>
        <v>0</v>
      </c>
      <c r="DG246" s="4005">
        <f t="shared" si="536"/>
        <v>0</v>
      </c>
      <c r="DH246" s="4005">
        <f t="shared" si="520"/>
        <v>0</v>
      </c>
      <c r="DI246" s="1970"/>
      <c r="DJ246" s="1970"/>
      <c r="DK246" s="1970"/>
      <c r="DL246" s="1970"/>
      <c r="DM246" s="1970"/>
      <c r="DN246" s="4005">
        <f t="shared" si="521"/>
        <v>0</v>
      </c>
      <c r="DO246" s="1971"/>
      <c r="DP246" s="4005">
        <f t="shared" si="522"/>
        <v>0</v>
      </c>
      <c r="DQ246" s="4005">
        <f t="shared" si="523"/>
        <v>0</v>
      </c>
      <c r="DR246" s="4005">
        <f t="shared" si="524"/>
        <v>0</v>
      </c>
      <c r="DS246" s="4005">
        <f t="shared" si="525"/>
        <v>0</v>
      </c>
      <c r="DT246" s="4005">
        <f t="shared" si="526"/>
        <v>0</v>
      </c>
      <c r="DU246" s="4005">
        <f t="shared" si="527"/>
        <v>0</v>
      </c>
      <c r="DV246" s="4005">
        <f t="shared" si="528"/>
        <v>0</v>
      </c>
      <c r="DW246" s="1970"/>
      <c r="DX246" s="1970"/>
      <c r="DY246" s="4005">
        <f t="shared" ref="DY246:DY248" si="541">IF(AND((M246+O246)&gt;0,AW246=""),1,IF(AW246&gt;(M246+O246),1,0))</f>
        <v>0</v>
      </c>
      <c r="DZ246" s="4005">
        <f t="shared" ref="DZ246:DZ248" si="542">IF(AND((N246+P246)&gt;0,AX246=""),1,IF(AX246&gt;(N246+P246),1,0))</f>
        <v>0</v>
      </c>
      <c r="EA246" s="3026">
        <f t="shared" si="531"/>
        <v>0</v>
      </c>
      <c r="EB246" s="3026">
        <f t="shared" si="532"/>
        <v>0</v>
      </c>
    </row>
    <row r="247" spans="1:132" ht="15" customHeight="1" x14ac:dyDescent="0.3">
      <c r="A247" s="5790"/>
      <c r="B247" s="4060" t="s">
        <v>1883</v>
      </c>
      <c r="C247" s="4061">
        <f>+E247+G247+I247+K247+M247+O247+Q247+S247+U247+W247+Y247+AA247+AC247+AE247+AG247+AI247</f>
        <v>0</v>
      </c>
      <c r="D247" s="4070">
        <f>+F247+H247+J247+L247+N247+P247+R247+T247+V247+X247+Z247+AB247+AD247+AF247+AH247+AJ247</f>
        <v>0</v>
      </c>
      <c r="E247" s="44"/>
      <c r="F247" s="142"/>
      <c r="G247" s="44"/>
      <c r="H247" s="142"/>
      <c r="I247" s="44"/>
      <c r="J247" s="142"/>
      <c r="K247" s="44"/>
      <c r="L247" s="142"/>
      <c r="M247" s="3987"/>
      <c r="N247" s="330"/>
      <c r="O247" s="3987"/>
      <c r="P247" s="330"/>
      <c r="Q247" s="3996"/>
      <c r="R247" s="330"/>
      <c r="S247" s="3996"/>
      <c r="T247" s="330"/>
      <c r="U247" s="3996"/>
      <c r="V247" s="330"/>
      <c r="W247" s="3987"/>
      <c r="X247" s="330"/>
      <c r="Y247" s="3987"/>
      <c r="Z247" s="330"/>
      <c r="AA247" s="3987"/>
      <c r="AB247" s="330"/>
      <c r="AC247" s="3996"/>
      <c r="AD247" s="330"/>
      <c r="AE247" s="3987"/>
      <c r="AF247" s="330"/>
      <c r="AG247" s="3987"/>
      <c r="AH247" s="330"/>
      <c r="AI247" s="3987"/>
      <c r="AJ247" s="4026"/>
      <c r="AK247" s="3986"/>
      <c r="AL247" s="330"/>
      <c r="AM247" s="3987"/>
      <c r="AN247" s="4026"/>
      <c r="AO247" s="3986"/>
      <c r="AP247" s="330"/>
      <c r="AQ247" s="3987"/>
      <c r="AR247" s="4026"/>
      <c r="AS247" s="3986"/>
      <c r="AT247" s="4026"/>
      <c r="AU247" s="3986"/>
      <c r="AV247" s="4026"/>
      <c r="AW247" s="3987"/>
      <c r="AX247" s="330"/>
      <c r="AY247" s="1898" t="str">
        <f t="shared" si="537"/>
        <v/>
      </c>
      <c r="CA247" s="4027" t="str">
        <f t="shared" si="533"/>
        <v/>
      </c>
      <c r="CB247" s="1899" t="str">
        <f t="shared" si="538"/>
        <v/>
      </c>
      <c r="CC247" s="1899" t="str">
        <f t="shared" si="534"/>
        <v/>
      </c>
      <c r="CD247" s="1970"/>
      <c r="CE247" s="1970"/>
      <c r="CF247" s="1970"/>
      <c r="CG247" s="1970"/>
      <c r="CH247" s="1970"/>
      <c r="CI247" s="1899" t="str">
        <f t="shared" si="535"/>
        <v/>
      </c>
      <c r="CJ247" s="1971"/>
      <c r="CK247" s="1899" t="str">
        <f t="shared" si="510"/>
        <v/>
      </c>
      <c r="CL247" s="1899" t="str">
        <f t="shared" si="511"/>
        <v/>
      </c>
      <c r="CM247" s="1899" t="str">
        <f t="shared" si="512"/>
        <v/>
      </c>
      <c r="CN247" s="1899" t="str">
        <f t="shared" si="513"/>
        <v/>
      </c>
      <c r="CO247" s="1899" t="str">
        <f t="shared" si="514"/>
        <v/>
      </c>
      <c r="CP247" s="1899" t="str">
        <f t="shared" si="515"/>
        <v/>
      </c>
      <c r="CQ247" s="1899" t="str">
        <f t="shared" si="516"/>
        <v/>
      </c>
      <c r="CR247" s="1970"/>
      <c r="CS247" s="1970"/>
      <c r="CT247" s="3024" t="str">
        <f t="shared" si="539"/>
        <v/>
      </c>
      <c r="CU247" s="3024" t="str">
        <f t="shared" si="540"/>
        <v/>
      </c>
      <c r="DF247" s="4029">
        <f t="shared" si="519"/>
        <v>0</v>
      </c>
      <c r="DG247" s="4005">
        <f t="shared" si="536"/>
        <v>0</v>
      </c>
      <c r="DH247" s="4005">
        <f t="shared" si="520"/>
        <v>0</v>
      </c>
      <c r="DI247" s="1970"/>
      <c r="DJ247" s="1970"/>
      <c r="DK247" s="1970"/>
      <c r="DL247" s="1970"/>
      <c r="DM247" s="1970"/>
      <c r="DN247" s="4005">
        <f t="shared" si="521"/>
        <v>0</v>
      </c>
      <c r="DO247" s="1971"/>
      <c r="DP247" s="4005">
        <f t="shared" si="522"/>
        <v>0</v>
      </c>
      <c r="DQ247" s="4005">
        <f t="shared" si="523"/>
        <v>0</v>
      </c>
      <c r="DR247" s="4005">
        <f t="shared" si="524"/>
        <v>0</v>
      </c>
      <c r="DS247" s="4005">
        <f t="shared" si="525"/>
        <v>0</v>
      </c>
      <c r="DT247" s="4005">
        <f t="shared" si="526"/>
        <v>0</v>
      </c>
      <c r="DU247" s="4005">
        <f t="shared" si="527"/>
        <v>0</v>
      </c>
      <c r="DV247" s="4005">
        <f t="shared" si="528"/>
        <v>0</v>
      </c>
      <c r="DW247" s="1970"/>
      <c r="DX247" s="1970"/>
      <c r="DY247" s="4005">
        <f t="shared" si="541"/>
        <v>0</v>
      </c>
      <c r="DZ247" s="4005">
        <f t="shared" si="542"/>
        <v>0</v>
      </c>
      <c r="EA247" s="3026">
        <f t="shared" si="531"/>
        <v>0</v>
      </c>
      <c r="EB247" s="3026">
        <f t="shared" si="532"/>
        <v>0</v>
      </c>
    </row>
    <row r="248" spans="1:132" ht="15" customHeight="1" x14ac:dyDescent="0.3">
      <c r="A248" s="5790"/>
      <c r="B248" s="4060" t="s">
        <v>1918</v>
      </c>
      <c r="C248" s="4061">
        <f>+O248+Q248+S248+U248+W248+Y248+AA248+AC248+AE248+AG248+AI248</f>
        <v>0</v>
      </c>
      <c r="D248" s="345">
        <f>+P248+R248+T248+V248+X248+Z248+AB248+AD248+AF248+AH248+AJ248</f>
        <v>0</v>
      </c>
      <c r="E248" s="4062"/>
      <c r="F248" s="4063"/>
      <c r="G248" s="4064"/>
      <c r="H248" s="4063"/>
      <c r="I248" s="4064"/>
      <c r="J248" s="4063"/>
      <c r="K248" s="4064"/>
      <c r="L248" s="4063"/>
      <c r="M248" s="4064"/>
      <c r="N248" s="4063"/>
      <c r="O248" s="3987"/>
      <c r="P248" s="330"/>
      <c r="Q248" s="3996"/>
      <c r="R248" s="330"/>
      <c r="S248" s="3996"/>
      <c r="T248" s="330"/>
      <c r="U248" s="3996"/>
      <c r="V248" s="330"/>
      <c r="W248" s="3987"/>
      <c r="X248" s="330"/>
      <c r="Y248" s="3987"/>
      <c r="Z248" s="330"/>
      <c r="AA248" s="3987"/>
      <c r="AB248" s="330"/>
      <c r="AC248" s="3996"/>
      <c r="AD248" s="330"/>
      <c r="AE248" s="3987"/>
      <c r="AF248" s="330"/>
      <c r="AG248" s="3987"/>
      <c r="AH248" s="330"/>
      <c r="AI248" s="3987"/>
      <c r="AJ248" s="4026"/>
      <c r="AK248" s="3986"/>
      <c r="AL248" s="330"/>
      <c r="AM248" s="3987"/>
      <c r="AN248" s="4026"/>
      <c r="AO248" s="3986"/>
      <c r="AP248" s="330"/>
      <c r="AQ248" s="3987"/>
      <c r="AR248" s="4026"/>
      <c r="AS248" s="3986"/>
      <c r="AT248" s="4026"/>
      <c r="AU248" s="3986"/>
      <c r="AV248" s="4026"/>
      <c r="AW248" s="3987"/>
      <c r="AX248" s="330"/>
      <c r="AY248" s="1898" t="str">
        <f t="shared" si="537"/>
        <v/>
      </c>
      <c r="CA248" s="4027" t="str">
        <f t="shared" si="533"/>
        <v/>
      </c>
      <c r="CB248" s="1899" t="str">
        <f t="shared" si="538"/>
        <v/>
      </c>
      <c r="CC248" s="1899" t="str">
        <f t="shared" si="534"/>
        <v/>
      </c>
      <c r="CD248" s="1970"/>
      <c r="CE248" s="1970"/>
      <c r="CF248" s="1970"/>
      <c r="CG248" s="1970"/>
      <c r="CH248" s="1970"/>
      <c r="CI248" s="1899" t="str">
        <f t="shared" si="535"/>
        <v/>
      </c>
      <c r="CJ248" s="1971"/>
      <c r="CK248" s="1899" t="str">
        <f t="shared" si="510"/>
        <v/>
      </c>
      <c r="CL248" s="1899" t="str">
        <f t="shared" si="511"/>
        <v/>
      </c>
      <c r="CM248" s="1899" t="str">
        <f t="shared" si="512"/>
        <v/>
      </c>
      <c r="CN248" s="1899" t="str">
        <f t="shared" si="513"/>
        <v/>
      </c>
      <c r="CO248" s="1899" t="str">
        <f t="shared" si="514"/>
        <v/>
      </c>
      <c r="CP248" s="1899" t="str">
        <f t="shared" si="515"/>
        <v/>
      </c>
      <c r="CQ248" s="1899" t="str">
        <f t="shared" si="516"/>
        <v/>
      </c>
      <c r="CR248" s="1970"/>
      <c r="CS248" s="1970"/>
      <c r="CT248" s="3024" t="str">
        <f t="shared" si="539"/>
        <v/>
      </c>
      <c r="CU248" s="3024" t="str">
        <f t="shared" si="540"/>
        <v/>
      </c>
      <c r="DF248" s="4029">
        <f t="shared" si="519"/>
        <v>0</v>
      </c>
      <c r="DG248" s="4005">
        <f t="shared" si="536"/>
        <v>0</v>
      </c>
      <c r="DH248" s="4005">
        <f t="shared" si="520"/>
        <v>0</v>
      </c>
      <c r="DI248" s="1970"/>
      <c r="DJ248" s="1970"/>
      <c r="DK248" s="1970"/>
      <c r="DL248" s="1970"/>
      <c r="DM248" s="1970"/>
      <c r="DN248" s="4005">
        <f t="shared" si="521"/>
        <v>0</v>
      </c>
      <c r="DO248" s="1971"/>
      <c r="DP248" s="4005">
        <f t="shared" si="522"/>
        <v>0</v>
      </c>
      <c r="DQ248" s="4005">
        <f t="shared" si="523"/>
        <v>0</v>
      </c>
      <c r="DR248" s="4005">
        <f t="shared" si="524"/>
        <v>0</v>
      </c>
      <c r="DS248" s="4005">
        <f t="shared" si="525"/>
        <v>0</v>
      </c>
      <c r="DT248" s="4005">
        <f t="shared" si="526"/>
        <v>0</v>
      </c>
      <c r="DU248" s="4005">
        <f t="shared" si="527"/>
        <v>0</v>
      </c>
      <c r="DV248" s="4005">
        <f t="shared" si="528"/>
        <v>0</v>
      </c>
      <c r="DW248" s="1970"/>
      <c r="DX248" s="1970"/>
      <c r="DY248" s="4005">
        <f t="shared" si="541"/>
        <v>0</v>
      </c>
      <c r="DZ248" s="4005">
        <f t="shared" si="542"/>
        <v>0</v>
      </c>
      <c r="EA248" s="3026">
        <f t="shared" si="531"/>
        <v>0</v>
      </c>
      <c r="EB248" s="3026">
        <f t="shared" si="532"/>
        <v>0</v>
      </c>
    </row>
    <row r="249" spans="1:132" ht="15" customHeight="1" x14ac:dyDescent="0.3">
      <c r="A249" s="5790"/>
      <c r="B249" s="4065" t="s">
        <v>1919</v>
      </c>
      <c r="C249" s="4061">
        <f>+M249+O249+Q249+S249+U249+W249+Y249+AA249+AC249+AE249+AG249+AI249</f>
        <v>0</v>
      </c>
      <c r="D249" s="345">
        <f>+N249+P249+R249+T249+V249+X249+Z249+AB249+AD249+AF249+AH249+AJ249</f>
        <v>0</v>
      </c>
      <c r="E249" s="4062"/>
      <c r="F249" s="4076"/>
      <c r="G249" s="4064"/>
      <c r="H249" s="4063"/>
      <c r="I249" s="4064"/>
      <c r="J249" s="4063"/>
      <c r="K249" s="4064"/>
      <c r="L249" s="4063"/>
      <c r="M249" s="3996"/>
      <c r="N249" s="330"/>
      <c r="O249" s="3987"/>
      <c r="P249" s="330"/>
      <c r="Q249" s="3996"/>
      <c r="R249" s="330"/>
      <c r="S249" s="3996"/>
      <c r="T249" s="330"/>
      <c r="U249" s="3996"/>
      <c r="V249" s="330"/>
      <c r="W249" s="3987"/>
      <c r="X249" s="330"/>
      <c r="Y249" s="3987"/>
      <c r="Z249" s="330"/>
      <c r="AA249" s="3987"/>
      <c r="AB249" s="330"/>
      <c r="AC249" s="3996"/>
      <c r="AD249" s="330"/>
      <c r="AE249" s="3987"/>
      <c r="AF249" s="330"/>
      <c r="AG249" s="3987"/>
      <c r="AH249" s="330"/>
      <c r="AI249" s="3987"/>
      <c r="AJ249" s="4026"/>
      <c r="AK249" s="3986"/>
      <c r="AL249" s="330"/>
      <c r="AM249" s="3987"/>
      <c r="AN249" s="4026"/>
      <c r="AO249" s="3986"/>
      <c r="AP249" s="330"/>
      <c r="AQ249" s="3987"/>
      <c r="AR249" s="4026"/>
      <c r="AS249" s="3986"/>
      <c r="AT249" s="4026"/>
      <c r="AU249" s="3986"/>
      <c r="AV249" s="4026"/>
      <c r="AW249" s="3987"/>
      <c r="AX249" s="330"/>
      <c r="AY249" s="1898" t="str">
        <f t="shared" si="537"/>
        <v/>
      </c>
      <c r="CA249" s="4027" t="str">
        <f t="shared" si="533"/>
        <v/>
      </c>
      <c r="CB249" s="1899" t="str">
        <f t="shared" si="538"/>
        <v/>
      </c>
      <c r="CC249" s="1899" t="str">
        <f t="shared" si="534"/>
        <v/>
      </c>
      <c r="CD249" s="1970"/>
      <c r="CE249" s="1970"/>
      <c r="CF249" s="1970"/>
      <c r="CG249" s="1970"/>
      <c r="CH249" s="1970"/>
      <c r="CI249" s="1899" t="str">
        <f t="shared" si="535"/>
        <v/>
      </c>
      <c r="CJ249" s="1971"/>
      <c r="CK249" s="1899" t="str">
        <f t="shared" si="510"/>
        <v/>
      </c>
      <c r="CL249" s="1899" t="str">
        <f t="shared" si="511"/>
        <v/>
      </c>
      <c r="CM249" s="1899" t="str">
        <f t="shared" si="512"/>
        <v/>
      </c>
      <c r="CN249" s="1899" t="str">
        <f t="shared" si="513"/>
        <v/>
      </c>
      <c r="CO249" s="1899" t="str">
        <f t="shared" si="514"/>
        <v/>
      </c>
      <c r="CP249" s="1899" t="str">
        <f t="shared" si="515"/>
        <v/>
      </c>
      <c r="CQ249" s="1899" t="str">
        <f t="shared" si="516"/>
        <v/>
      </c>
      <c r="CR249" s="1970"/>
      <c r="CS249" s="1970"/>
      <c r="CT249" s="3024" t="str">
        <f t="shared" ref="CT249:CT259" si="543">IF(AND((M249+O249)&gt;0,AW249=""),"*No olvide digitar los Exámenes Procesados de 14-18 años. Digite cero si no tiene.",IF(AW249&gt;(M249+O249),"* El Total de Procesados de 14-18 años NO DEBE ser mayor al Total de Procesados registrados en los grupos de edad 10 a 14 + 15 a 19 años. ",""))</f>
        <v/>
      </c>
      <c r="CU249" s="3024" t="str">
        <f t="shared" ref="CU249:CU259" si="544">IF(AND((N249+P249)&gt;0,AX249=""),"*No olvide digitar los Exámenes Confirmados Positivos por ISP de 14-18 años. Digite cero si no tiene.",IF(AX249&gt;(N249+P249),"* El Total de Confirmados de 14-18 años NO DEBE ser mayor al Total de Confirmados Positivos por ISP registrados en los grupos de edad 10 a 14 + 15 a 19 años. ",""))</f>
        <v/>
      </c>
      <c r="DF249" s="4029">
        <f t="shared" si="519"/>
        <v>0</v>
      </c>
      <c r="DG249" s="4005">
        <f t="shared" si="536"/>
        <v>0</v>
      </c>
      <c r="DH249" s="4005">
        <f t="shared" si="520"/>
        <v>0</v>
      </c>
      <c r="DI249" s="1970"/>
      <c r="DJ249" s="1970"/>
      <c r="DK249" s="1970"/>
      <c r="DL249" s="1970"/>
      <c r="DM249" s="1970"/>
      <c r="DN249" s="4005">
        <f t="shared" si="521"/>
        <v>0</v>
      </c>
      <c r="DO249" s="1971"/>
      <c r="DP249" s="4005">
        <f t="shared" si="522"/>
        <v>0</v>
      </c>
      <c r="DQ249" s="4005">
        <f t="shared" si="523"/>
        <v>0</v>
      </c>
      <c r="DR249" s="4005">
        <f t="shared" si="524"/>
        <v>0</v>
      </c>
      <c r="DS249" s="4005">
        <f t="shared" si="525"/>
        <v>0</v>
      </c>
      <c r="DT249" s="4005">
        <f t="shared" si="526"/>
        <v>0</v>
      </c>
      <c r="DU249" s="4005">
        <f t="shared" si="527"/>
        <v>0</v>
      </c>
      <c r="DV249" s="4005">
        <f t="shared" si="528"/>
        <v>0</v>
      </c>
      <c r="DW249" s="1970"/>
      <c r="DX249" s="1970"/>
      <c r="DY249" s="4005">
        <f t="shared" ref="DY249:DY259" si="545">IF(AND((M249+O249)&gt;0,AW249=""),1,IF(AW249&gt;(M249+O249),1,0))</f>
        <v>0</v>
      </c>
      <c r="DZ249" s="4005">
        <f t="shared" ref="DZ249:DZ259" si="546">IF(AND((N249+P249)&gt;0,AX249=""),1,IF(AX249&gt;(N249+P249),1,0))</f>
        <v>0</v>
      </c>
      <c r="EA249" s="3026">
        <f t="shared" si="531"/>
        <v>0</v>
      </c>
      <c r="EB249" s="3026">
        <f t="shared" si="532"/>
        <v>0</v>
      </c>
    </row>
    <row r="250" spans="1:132" ht="23.25" customHeight="1" x14ac:dyDescent="0.3">
      <c r="A250" s="5790"/>
      <c r="B250" s="4065" t="s">
        <v>1920</v>
      </c>
      <c r="C250" s="4061">
        <f>+O250+Q250+S250+U250+W250+Y250+AA250+AC250+AE250+AG250+AI250</f>
        <v>0</v>
      </c>
      <c r="D250" s="345">
        <f>+P250+R250+T250+V250+X250+Z250+AB250+AD250+AF250+AH250+AJ250</f>
        <v>0</v>
      </c>
      <c r="E250" s="4062"/>
      <c r="F250" s="4063"/>
      <c r="G250" s="4064"/>
      <c r="H250" s="4076"/>
      <c r="I250" s="4064"/>
      <c r="J250" s="4063"/>
      <c r="K250" s="4064"/>
      <c r="L250" s="4063"/>
      <c r="M250" s="4073"/>
      <c r="N250" s="4074"/>
      <c r="O250" s="3987"/>
      <c r="P250" s="330"/>
      <c r="Q250" s="3996"/>
      <c r="R250" s="330"/>
      <c r="S250" s="3996"/>
      <c r="T250" s="330"/>
      <c r="U250" s="3996"/>
      <c r="V250" s="330"/>
      <c r="W250" s="3987"/>
      <c r="X250" s="330"/>
      <c r="Y250" s="3987"/>
      <c r="Z250" s="330"/>
      <c r="AA250" s="3987"/>
      <c r="AB250" s="330"/>
      <c r="AC250" s="3996"/>
      <c r="AD250" s="330"/>
      <c r="AE250" s="3987"/>
      <c r="AF250" s="330"/>
      <c r="AG250" s="3987"/>
      <c r="AH250" s="330"/>
      <c r="AI250" s="3987"/>
      <c r="AJ250" s="4026"/>
      <c r="AK250" s="3986"/>
      <c r="AL250" s="330"/>
      <c r="AM250" s="3987"/>
      <c r="AN250" s="4026"/>
      <c r="AO250" s="3986"/>
      <c r="AP250" s="330"/>
      <c r="AQ250" s="3987"/>
      <c r="AR250" s="4026"/>
      <c r="AS250" s="3986"/>
      <c r="AT250" s="4026"/>
      <c r="AU250" s="3986"/>
      <c r="AV250" s="4026"/>
      <c r="AW250" s="3987"/>
      <c r="AX250" s="330"/>
      <c r="AY250" s="1898" t="str">
        <f t="shared" si="537"/>
        <v/>
      </c>
      <c r="CA250" s="4027" t="str">
        <f t="shared" si="533"/>
        <v/>
      </c>
      <c r="CB250" s="1899" t="str">
        <f t="shared" si="538"/>
        <v/>
      </c>
      <c r="CC250" s="1899" t="str">
        <f t="shared" si="534"/>
        <v/>
      </c>
      <c r="CD250" s="1970"/>
      <c r="CE250" s="1970"/>
      <c r="CF250" s="1970"/>
      <c r="CG250" s="1970"/>
      <c r="CH250" s="1970"/>
      <c r="CI250" s="1899" t="str">
        <f t="shared" si="535"/>
        <v/>
      </c>
      <c r="CJ250" s="1971"/>
      <c r="CK250" s="1899" t="str">
        <f t="shared" si="510"/>
        <v/>
      </c>
      <c r="CL250" s="1899" t="str">
        <f t="shared" si="511"/>
        <v/>
      </c>
      <c r="CM250" s="1899" t="str">
        <f t="shared" si="512"/>
        <v/>
      </c>
      <c r="CN250" s="1899" t="str">
        <f t="shared" si="513"/>
        <v/>
      </c>
      <c r="CO250" s="1899" t="str">
        <f t="shared" si="514"/>
        <v/>
      </c>
      <c r="CP250" s="1899" t="str">
        <f t="shared" si="515"/>
        <v/>
      </c>
      <c r="CQ250" s="1899" t="str">
        <f t="shared" si="516"/>
        <v/>
      </c>
      <c r="CR250" s="1970"/>
      <c r="CS250" s="1970"/>
      <c r="CT250" s="3024" t="str">
        <f t="shared" si="543"/>
        <v/>
      </c>
      <c r="CU250" s="3024" t="str">
        <f t="shared" si="544"/>
        <v/>
      </c>
      <c r="DF250" s="4029">
        <f t="shared" si="519"/>
        <v>0</v>
      </c>
      <c r="DG250" s="4005">
        <f t="shared" si="536"/>
        <v>0</v>
      </c>
      <c r="DH250" s="4005">
        <f t="shared" si="520"/>
        <v>0</v>
      </c>
      <c r="DI250" s="1970"/>
      <c r="DJ250" s="1970"/>
      <c r="DK250" s="1970"/>
      <c r="DL250" s="1970"/>
      <c r="DM250" s="1970"/>
      <c r="DN250" s="4005">
        <f t="shared" si="521"/>
        <v>0</v>
      </c>
      <c r="DO250" s="1971"/>
      <c r="DP250" s="4005">
        <f t="shared" si="522"/>
        <v>0</v>
      </c>
      <c r="DQ250" s="4005">
        <f t="shared" si="523"/>
        <v>0</v>
      </c>
      <c r="DR250" s="4005">
        <f t="shared" si="524"/>
        <v>0</v>
      </c>
      <c r="DS250" s="4005">
        <f t="shared" si="525"/>
        <v>0</v>
      </c>
      <c r="DT250" s="4005">
        <f t="shared" si="526"/>
        <v>0</v>
      </c>
      <c r="DU250" s="4005">
        <f t="shared" si="527"/>
        <v>0</v>
      </c>
      <c r="DV250" s="4005">
        <f t="shared" si="528"/>
        <v>0</v>
      </c>
      <c r="DW250" s="1970"/>
      <c r="DX250" s="1970"/>
      <c r="DY250" s="4005">
        <f t="shared" si="545"/>
        <v>0</v>
      </c>
      <c r="DZ250" s="4005">
        <f t="shared" si="546"/>
        <v>0</v>
      </c>
      <c r="EA250" s="3026">
        <f t="shared" si="531"/>
        <v>0</v>
      </c>
      <c r="EB250" s="3026">
        <f t="shared" si="532"/>
        <v>0</v>
      </c>
    </row>
    <row r="251" spans="1:132" ht="23.25" customHeight="1" x14ac:dyDescent="0.3">
      <c r="A251" s="5790"/>
      <c r="B251" s="4065" t="s">
        <v>1921</v>
      </c>
      <c r="C251" s="4061">
        <f>+M251+O251+Q251+S251+U251+W251+Y251+AA251+AC251+AE251+AG251+AI251</f>
        <v>0</v>
      </c>
      <c r="D251" s="4070">
        <f t="shared" ref="C251:D255" si="547">+N251+P251+R251+T251+V251+X251+Z251+AB251+AD251+AF251+AH251+AJ251</f>
        <v>0</v>
      </c>
      <c r="E251" s="4062"/>
      <c r="F251" s="4063"/>
      <c r="G251" s="4064"/>
      <c r="H251" s="4063"/>
      <c r="I251" s="4064"/>
      <c r="J251" s="4076"/>
      <c r="K251" s="4064"/>
      <c r="L251" s="4063"/>
      <c r="M251" s="44"/>
      <c r="N251" s="905"/>
      <c r="O251" s="3987"/>
      <c r="P251" s="3988"/>
      <c r="Q251" s="3996"/>
      <c r="R251" s="3988"/>
      <c r="S251" s="3996"/>
      <c r="T251" s="3988"/>
      <c r="U251" s="3996"/>
      <c r="V251" s="3988"/>
      <c r="W251" s="3987"/>
      <c r="X251" s="3988"/>
      <c r="Y251" s="3987"/>
      <c r="Z251" s="3988"/>
      <c r="AA251" s="3987"/>
      <c r="AB251" s="3988"/>
      <c r="AC251" s="3996"/>
      <c r="AD251" s="3988"/>
      <c r="AE251" s="3987"/>
      <c r="AF251" s="3988"/>
      <c r="AG251" s="3987"/>
      <c r="AH251" s="3988"/>
      <c r="AI251" s="3987"/>
      <c r="AJ251" s="3985"/>
      <c r="AK251" s="3986"/>
      <c r="AL251" s="3988"/>
      <c r="AM251" s="3987"/>
      <c r="AN251" s="3985"/>
      <c r="AO251" s="3986"/>
      <c r="AP251" s="3988"/>
      <c r="AQ251" s="3987"/>
      <c r="AR251" s="3985"/>
      <c r="AS251" s="3986"/>
      <c r="AT251" s="4026"/>
      <c r="AU251" s="3986"/>
      <c r="AV251" s="4026"/>
      <c r="AW251" s="3987"/>
      <c r="AX251" s="3988"/>
      <c r="AY251" s="1898" t="str">
        <f t="shared" si="537"/>
        <v/>
      </c>
      <c r="CA251" s="4027" t="str">
        <f t="shared" si="533"/>
        <v/>
      </c>
      <c r="CB251" s="1899" t="str">
        <f t="shared" si="538"/>
        <v/>
      </c>
      <c r="CC251" s="1899" t="str">
        <f t="shared" si="534"/>
        <v/>
      </c>
      <c r="CD251" s="1970"/>
      <c r="CE251" s="1970"/>
      <c r="CF251" s="1970"/>
      <c r="CG251" s="1970"/>
      <c r="CH251" s="1970"/>
      <c r="CI251" s="1899" t="str">
        <f t="shared" si="535"/>
        <v/>
      </c>
      <c r="CJ251" s="1971"/>
      <c r="CK251" s="1899" t="str">
        <f t="shared" si="510"/>
        <v/>
      </c>
      <c r="CL251" s="1899" t="str">
        <f t="shared" si="511"/>
        <v/>
      </c>
      <c r="CM251" s="1899" t="str">
        <f t="shared" si="512"/>
        <v/>
      </c>
      <c r="CN251" s="1899" t="str">
        <f t="shared" si="513"/>
        <v/>
      </c>
      <c r="CO251" s="1899" t="str">
        <f t="shared" si="514"/>
        <v/>
      </c>
      <c r="CP251" s="1899" t="str">
        <f t="shared" si="515"/>
        <v/>
      </c>
      <c r="CQ251" s="1899" t="str">
        <f t="shared" si="516"/>
        <v/>
      </c>
      <c r="CR251" s="1970"/>
      <c r="CS251" s="1970"/>
      <c r="CT251" s="3024" t="str">
        <f t="shared" si="543"/>
        <v/>
      </c>
      <c r="CU251" s="3024" t="str">
        <f t="shared" si="544"/>
        <v/>
      </c>
      <c r="DF251" s="4029">
        <f t="shared" si="519"/>
        <v>0</v>
      </c>
      <c r="DG251" s="4005">
        <f t="shared" si="536"/>
        <v>0</v>
      </c>
      <c r="DH251" s="4005">
        <f t="shared" si="520"/>
        <v>0</v>
      </c>
      <c r="DI251" s="1970"/>
      <c r="DJ251" s="1970"/>
      <c r="DK251" s="1970"/>
      <c r="DL251" s="1970"/>
      <c r="DM251" s="1970"/>
      <c r="DN251" s="4005">
        <f t="shared" si="521"/>
        <v>0</v>
      </c>
      <c r="DO251" s="1971"/>
      <c r="DP251" s="4005">
        <f t="shared" si="522"/>
        <v>0</v>
      </c>
      <c r="DQ251" s="4005">
        <f t="shared" si="523"/>
        <v>0</v>
      </c>
      <c r="DR251" s="4005">
        <f t="shared" si="524"/>
        <v>0</v>
      </c>
      <c r="DS251" s="4005">
        <f t="shared" si="525"/>
        <v>0</v>
      </c>
      <c r="DT251" s="4005">
        <f t="shared" si="526"/>
        <v>0</v>
      </c>
      <c r="DU251" s="4005">
        <f t="shared" si="527"/>
        <v>0</v>
      </c>
      <c r="DV251" s="4005">
        <f t="shared" si="528"/>
        <v>0</v>
      </c>
      <c r="DW251" s="1970"/>
      <c r="DX251" s="1970"/>
      <c r="DY251" s="4005">
        <f t="shared" si="545"/>
        <v>0</v>
      </c>
      <c r="DZ251" s="4005">
        <f t="shared" si="546"/>
        <v>0</v>
      </c>
      <c r="EA251" s="3026">
        <f t="shared" si="531"/>
        <v>0</v>
      </c>
      <c r="EB251" s="3026">
        <f t="shared" si="532"/>
        <v>0</v>
      </c>
    </row>
    <row r="252" spans="1:132" ht="15" customHeight="1" x14ac:dyDescent="0.3">
      <c r="A252" s="5790"/>
      <c r="B252" s="4065" t="s">
        <v>1941</v>
      </c>
      <c r="C252" s="4061">
        <f t="shared" si="547"/>
        <v>0</v>
      </c>
      <c r="D252" s="4070">
        <f t="shared" si="547"/>
        <v>0</v>
      </c>
      <c r="E252" s="4062"/>
      <c r="F252" s="4063"/>
      <c r="G252" s="4064"/>
      <c r="H252" s="4063"/>
      <c r="I252" s="4064"/>
      <c r="J252" s="4063"/>
      <c r="K252" s="4064"/>
      <c r="L252" s="4063"/>
      <c r="M252" s="3987"/>
      <c r="N252" s="3988"/>
      <c r="O252" s="3987"/>
      <c r="P252" s="3988"/>
      <c r="Q252" s="3996"/>
      <c r="R252" s="3988"/>
      <c r="S252" s="3996"/>
      <c r="T252" s="3988"/>
      <c r="U252" s="3996"/>
      <c r="V252" s="3988"/>
      <c r="W252" s="3987"/>
      <c r="X252" s="3988"/>
      <c r="Y252" s="3987"/>
      <c r="Z252" s="3988"/>
      <c r="AA252" s="3987"/>
      <c r="AB252" s="3988"/>
      <c r="AC252" s="3996"/>
      <c r="AD252" s="3988"/>
      <c r="AE252" s="3987"/>
      <c r="AF252" s="3988"/>
      <c r="AG252" s="3987"/>
      <c r="AH252" s="3988"/>
      <c r="AI252" s="3987"/>
      <c r="AJ252" s="3985"/>
      <c r="AK252" s="3986"/>
      <c r="AL252" s="3988"/>
      <c r="AM252" s="3987"/>
      <c r="AN252" s="3985"/>
      <c r="AO252" s="3986"/>
      <c r="AP252" s="3988"/>
      <c r="AQ252" s="3987"/>
      <c r="AR252" s="3985"/>
      <c r="AS252" s="3986"/>
      <c r="AT252" s="4026"/>
      <c r="AU252" s="3986"/>
      <c r="AV252" s="4026"/>
      <c r="AW252" s="3987"/>
      <c r="AX252" s="3988"/>
      <c r="AY252" s="1898" t="str">
        <f t="shared" si="537"/>
        <v/>
      </c>
      <c r="CA252" s="4027" t="str">
        <f t="shared" si="533"/>
        <v/>
      </c>
      <c r="CB252" s="1899" t="str">
        <f t="shared" si="538"/>
        <v/>
      </c>
      <c r="CC252" s="1899" t="str">
        <f t="shared" si="534"/>
        <v/>
      </c>
      <c r="CD252" s="1970"/>
      <c r="CE252" s="1970"/>
      <c r="CF252" s="1970"/>
      <c r="CG252" s="1970"/>
      <c r="CH252" s="1970"/>
      <c r="CI252" s="1899" t="str">
        <f t="shared" si="535"/>
        <v/>
      </c>
      <c r="CJ252" s="1971"/>
      <c r="CK252" s="1899" t="str">
        <f t="shared" si="510"/>
        <v/>
      </c>
      <c r="CL252" s="1899" t="str">
        <f t="shared" si="511"/>
        <v/>
      </c>
      <c r="CM252" s="1899" t="str">
        <f t="shared" si="512"/>
        <v/>
      </c>
      <c r="CN252" s="1899" t="str">
        <f t="shared" si="513"/>
        <v/>
      </c>
      <c r="CO252" s="1899" t="str">
        <f t="shared" si="514"/>
        <v/>
      </c>
      <c r="CP252" s="1899" t="str">
        <f t="shared" si="515"/>
        <v/>
      </c>
      <c r="CQ252" s="1899" t="str">
        <f t="shared" si="516"/>
        <v/>
      </c>
      <c r="CR252" s="1970"/>
      <c r="CS252" s="1970"/>
      <c r="CT252" s="3024" t="str">
        <f t="shared" si="543"/>
        <v/>
      </c>
      <c r="CU252" s="3024" t="str">
        <f t="shared" si="544"/>
        <v/>
      </c>
      <c r="DF252" s="4029">
        <f t="shared" si="519"/>
        <v>0</v>
      </c>
      <c r="DG252" s="4005">
        <f t="shared" si="536"/>
        <v>0</v>
      </c>
      <c r="DH252" s="4005">
        <f t="shared" si="520"/>
        <v>0</v>
      </c>
      <c r="DI252" s="1970"/>
      <c r="DJ252" s="1970"/>
      <c r="DK252" s="1970"/>
      <c r="DL252" s="1970"/>
      <c r="DM252" s="1970"/>
      <c r="DN252" s="4005">
        <f t="shared" si="521"/>
        <v>0</v>
      </c>
      <c r="DO252" s="1971"/>
      <c r="DP252" s="4005">
        <f t="shared" si="522"/>
        <v>0</v>
      </c>
      <c r="DQ252" s="4005">
        <f t="shared" si="523"/>
        <v>0</v>
      </c>
      <c r="DR252" s="4005">
        <f t="shared" si="524"/>
        <v>0</v>
      </c>
      <c r="DS252" s="4005">
        <f t="shared" si="525"/>
        <v>0</v>
      </c>
      <c r="DT252" s="4005">
        <f t="shared" si="526"/>
        <v>0</v>
      </c>
      <c r="DU252" s="4005">
        <f t="shared" si="527"/>
        <v>0</v>
      </c>
      <c r="DV252" s="4005">
        <f t="shared" si="528"/>
        <v>0</v>
      </c>
      <c r="DW252" s="1970"/>
      <c r="DX252" s="1970"/>
      <c r="DY252" s="4005">
        <f t="shared" si="545"/>
        <v>0</v>
      </c>
      <c r="DZ252" s="4005">
        <f t="shared" si="546"/>
        <v>0</v>
      </c>
      <c r="EA252" s="3026">
        <f t="shared" si="531"/>
        <v>0</v>
      </c>
      <c r="EB252" s="3026">
        <f t="shared" si="532"/>
        <v>0</v>
      </c>
    </row>
    <row r="253" spans="1:132" ht="15" customHeight="1" x14ac:dyDescent="0.3">
      <c r="A253" s="5790"/>
      <c r="B253" s="4065" t="s">
        <v>1942</v>
      </c>
      <c r="C253" s="4075">
        <f t="shared" si="547"/>
        <v>0</v>
      </c>
      <c r="D253" s="4070">
        <f t="shared" si="547"/>
        <v>0</v>
      </c>
      <c r="E253" s="4062"/>
      <c r="F253" s="4063"/>
      <c r="G253" s="4064"/>
      <c r="H253" s="4063"/>
      <c r="I253" s="4064"/>
      <c r="J253" s="4063"/>
      <c r="K253" s="4064"/>
      <c r="L253" s="4063"/>
      <c r="M253" s="3987"/>
      <c r="N253" s="3988"/>
      <c r="O253" s="3987"/>
      <c r="P253" s="3988"/>
      <c r="Q253" s="3996"/>
      <c r="R253" s="3988"/>
      <c r="S253" s="3996"/>
      <c r="T253" s="3988"/>
      <c r="U253" s="3996"/>
      <c r="V253" s="3988"/>
      <c r="W253" s="3987"/>
      <c r="X253" s="3988"/>
      <c r="Y253" s="3987"/>
      <c r="Z253" s="3988"/>
      <c r="AA253" s="3987"/>
      <c r="AB253" s="3988"/>
      <c r="AC253" s="3996"/>
      <c r="AD253" s="3988"/>
      <c r="AE253" s="3987"/>
      <c r="AF253" s="3988"/>
      <c r="AG253" s="3987"/>
      <c r="AH253" s="3988"/>
      <c r="AI253" s="3987"/>
      <c r="AJ253" s="3985"/>
      <c r="AK253" s="3986"/>
      <c r="AL253" s="3988"/>
      <c r="AM253" s="3987"/>
      <c r="AN253" s="3985"/>
      <c r="AO253" s="3986"/>
      <c r="AP253" s="3988"/>
      <c r="AQ253" s="3987"/>
      <c r="AR253" s="3985"/>
      <c r="AS253" s="3986"/>
      <c r="AT253" s="4026"/>
      <c r="AU253" s="3986"/>
      <c r="AV253" s="4026"/>
      <c r="AW253" s="3987"/>
      <c r="AX253" s="3988"/>
      <c r="AY253" s="1898" t="str">
        <f t="shared" si="537"/>
        <v/>
      </c>
      <c r="CA253" s="4027" t="str">
        <f t="shared" si="533"/>
        <v/>
      </c>
      <c r="CB253" s="1899" t="str">
        <f t="shared" si="538"/>
        <v/>
      </c>
      <c r="CC253" s="1899" t="str">
        <f t="shared" si="534"/>
        <v/>
      </c>
      <c r="CD253" s="1970"/>
      <c r="CE253" s="1970"/>
      <c r="CF253" s="1970"/>
      <c r="CG253" s="1970"/>
      <c r="CH253" s="1970"/>
      <c r="CI253" s="1899" t="str">
        <f t="shared" si="535"/>
        <v/>
      </c>
      <c r="CJ253" s="1971"/>
      <c r="CK253" s="1899" t="str">
        <f t="shared" si="510"/>
        <v/>
      </c>
      <c r="CL253" s="1899" t="str">
        <f t="shared" si="511"/>
        <v/>
      </c>
      <c r="CM253" s="1899" t="str">
        <f t="shared" si="512"/>
        <v/>
      </c>
      <c r="CN253" s="1899" t="str">
        <f t="shared" si="513"/>
        <v/>
      </c>
      <c r="CO253" s="1899" t="str">
        <f t="shared" si="514"/>
        <v/>
      </c>
      <c r="CP253" s="1899" t="str">
        <f t="shared" si="515"/>
        <v/>
      </c>
      <c r="CQ253" s="1899" t="str">
        <f t="shared" si="516"/>
        <v/>
      </c>
      <c r="CR253" s="1970"/>
      <c r="CS253" s="1970"/>
      <c r="CT253" s="3024" t="str">
        <f t="shared" si="543"/>
        <v/>
      </c>
      <c r="CU253" s="3024" t="str">
        <f t="shared" si="544"/>
        <v/>
      </c>
      <c r="DF253" s="4029">
        <f t="shared" si="519"/>
        <v>0</v>
      </c>
      <c r="DG253" s="4005">
        <f t="shared" si="536"/>
        <v>0</v>
      </c>
      <c r="DH253" s="4005">
        <f t="shared" si="520"/>
        <v>0</v>
      </c>
      <c r="DI253" s="1970"/>
      <c r="DJ253" s="1970"/>
      <c r="DK253" s="1970"/>
      <c r="DL253" s="1970"/>
      <c r="DM253" s="1970"/>
      <c r="DN253" s="4005">
        <f t="shared" si="521"/>
        <v>0</v>
      </c>
      <c r="DO253" s="1971"/>
      <c r="DP253" s="4005">
        <f t="shared" si="522"/>
        <v>0</v>
      </c>
      <c r="DQ253" s="4005">
        <f t="shared" si="523"/>
        <v>0</v>
      </c>
      <c r="DR253" s="4005">
        <f t="shared" si="524"/>
        <v>0</v>
      </c>
      <c r="DS253" s="4005">
        <f t="shared" si="525"/>
        <v>0</v>
      </c>
      <c r="DT253" s="4005">
        <f t="shared" si="526"/>
        <v>0</v>
      </c>
      <c r="DU253" s="4005">
        <f t="shared" si="527"/>
        <v>0</v>
      </c>
      <c r="DV253" s="4005">
        <f t="shared" si="528"/>
        <v>0</v>
      </c>
      <c r="DW253" s="1970"/>
      <c r="DX253" s="1970"/>
      <c r="DY253" s="4005">
        <f t="shared" si="545"/>
        <v>0</v>
      </c>
      <c r="DZ253" s="4005">
        <f t="shared" si="546"/>
        <v>0</v>
      </c>
      <c r="EA253" s="3026">
        <f t="shared" si="531"/>
        <v>0</v>
      </c>
      <c r="EB253" s="3026">
        <f t="shared" si="532"/>
        <v>0</v>
      </c>
    </row>
    <row r="254" spans="1:132" ht="15" customHeight="1" x14ac:dyDescent="0.3">
      <c r="A254" s="5790"/>
      <c r="B254" s="4060" t="s">
        <v>1924</v>
      </c>
      <c r="C254" s="4061">
        <f t="shared" si="547"/>
        <v>0</v>
      </c>
      <c r="D254" s="4070">
        <f t="shared" si="547"/>
        <v>0</v>
      </c>
      <c r="E254" s="4062"/>
      <c r="F254" s="4063"/>
      <c r="G254" s="4064"/>
      <c r="H254" s="4063"/>
      <c r="I254" s="4064"/>
      <c r="J254" s="4063"/>
      <c r="K254" s="4064"/>
      <c r="L254" s="4076"/>
      <c r="M254" s="3987"/>
      <c r="N254" s="3988"/>
      <c r="O254" s="3987"/>
      <c r="P254" s="3988"/>
      <c r="Q254" s="3996"/>
      <c r="R254" s="3988"/>
      <c r="S254" s="3996"/>
      <c r="T254" s="3988"/>
      <c r="U254" s="3996"/>
      <c r="V254" s="3988"/>
      <c r="W254" s="3987"/>
      <c r="X254" s="3988"/>
      <c r="Y254" s="3987"/>
      <c r="Z254" s="3988"/>
      <c r="AA254" s="3987"/>
      <c r="AB254" s="3988"/>
      <c r="AC254" s="3996"/>
      <c r="AD254" s="3988"/>
      <c r="AE254" s="3987"/>
      <c r="AF254" s="3988"/>
      <c r="AG254" s="3987"/>
      <c r="AH254" s="3988"/>
      <c r="AI254" s="3987"/>
      <c r="AJ254" s="3985"/>
      <c r="AK254" s="3986"/>
      <c r="AL254" s="3988"/>
      <c r="AM254" s="3987"/>
      <c r="AN254" s="3985"/>
      <c r="AO254" s="3986"/>
      <c r="AP254" s="3988"/>
      <c r="AQ254" s="3987"/>
      <c r="AR254" s="3985"/>
      <c r="AS254" s="3986"/>
      <c r="AT254" s="4026"/>
      <c r="AU254" s="3986"/>
      <c r="AV254" s="4026"/>
      <c r="AW254" s="3987"/>
      <c r="AX254" s="3988"/>
      <c r="AY254" s="1898" t="str">
        <f t="shared" si="537"/>
        <v/>
      </c>
      <c r="CA254" s="4027" t="str">
        <f t="shared" si="533"/>
        <v/>
      </c>
      <c r="CB254" s="1899" t="str">
        <f t="shared" si="538"/>
        <v/>
      </c>
      <c r="CC254" s="1899" t="str">
        <f t="shared" si="534"/>
        <v/>
      </c>
      <c r="CD254" s="1970"/>
      <c r="CE254" s="1970"/>
      <c r="CF254" s="1970"/>
      <c r="CG254" s="1970"/>
      <c r="CH254" s="1970"/>
      <c r="CI254" s="1899" t="str">
        <f t="shared" si="535"/>
        <v/>
      </c>
      <c r="CJ254" s="1971"/>
      <c r="CK254" s="1899" t="str">
        <f t="shared" si="510"/>
        <v/>
      </c>
      <c r="CL254" s="1899" t="str">
        <f t="shared" si="511"/>
        <v/>
      </c>
      <c r="CM254" s="1899" t="str">
        <f t="shared" si="512"/>
        <v/>
      </c>
      <c r="CN254" s="1899" t="str">
        <f t="shared" si="513"/>
        <v/>
      </c>
      <c r="CO254" s="1899" t="str">
        <f t="shared" si="514"/>
        <v/>
      </c>
      <c r="CP254" s="1899" t="str">
        <f t="shared" si="515"/>
        <v/>
      </c>
      <c r="CQ254" s="1899" t="str">
        <f t="shared" si="516"/>
        <v/>
      </c>
      <c r="CR254" s="1970"/>
      <c r="CS254" s="1970"/>
      <c r="CT254" s="3024" t="str">
        <f t="shared" si="543"/>
        <v/>
      </c>
      <c r="CU254" s="3024" t="str">
        <f t="shared" si="544"/>
        <v/>
      </c>
      <c r="DF254" s="4029">
        <f t="shared" si="519"/>
        <v>0</v>
      </c>
      <c r="DG254" s="4005">
        <f t="shared" si="536"/>
        <v>0</v>
      </c>
      <c r="DH254" s="4005">
        <f t="shared" si="520"/>
        <v>0</v>
      </c>
      <c r="DI254" s="1970"/>
      <c r="DJ254" s="1970"/>
      <c r="DK254" s="1970"/>
      <c r="DL254" s="1970"/>
      <c r="DM254" s="1970"/>
      <c r="DN254" s="4005">
        <f t="shared" si="521"/>
        <v>0</v>
      </c>
      <c r="DO254" s="1971"/>
      <c r="DP254" s="4005">
        <f t="shared" si="522"/>
        <v>0</v>
      </c>
      <c r="DQ254" s="4005">
        <f t="shared" si="523"/>
        <v>0</v>
      </c>
      <c r="DR254" s="4005">
        <f t="shared" si="524"/>
        <v>0</v>
      </c>
      <c r="DS254" s="4005">
        <f t="shared" si="525"/>
        <v>0</v>
      </c>
      <c r="DT254" s="4005">
        <f t="shared" si="526"/>
        <v>0</v>
      </c>
      <c r="DU254" s="4005">
        <f t="shared" si="527"/>
        <v>0</v>
      </c>
      <c r="DV254" s="4005">
        <f t="shared" si="528"/>
        <v>0</v>
      </c>
      <c r="DW254" s="1970"/>
      <c r="DX254" s="1970"/>
      <c r="DY254" s="4005">
        <f t="shared" si="545"/>
        <v>0</v>
      </c>
      <c r="DZ254" s="4005">
        <f t="shared" si="546"/>
        <v>0</v>
      </c>
      <c r="EA254" s="3026">
        <f t="shared" si="531"/>
        <v>0</v>
      </c>
      <c r="EB254" s="3026">
        <f t="shared" si="532"/>
        <v>0</v>
      </c>
    </row>
    <row r="255" spans="1:132" ht="15" customHeight="1" x14ac:dyDescent="0.3">
      <c r="A255" s="6574"/>
      <c r="B255" s="519" t="s">
        <v>1925</v>
      </c>
      <c r="C255" s="4077">
        <f t="shared" si="547"/>
        <v>0</v>
      </c>
      <c r="D255" s="640">
        <f t="shared" si="547"/>
        <v>0</v>
      </c>
      <c r="E255" s="4078"/>
      <c r="F255" s="4079"/>
      <c r="G255" s="4080"/>
      <c r="H255" s="4079"/>
      <c r="I255" s="4080"/>
      <c r="J255" s="4079"/>
      <c r="K255" s="4080"/>
      <c r="L255" s="4079"/>
      <c r="M255" s="1911"/>
      <c r="N255" s="2009"/>
      <c r="O255" s="1911"/>
      <c r="P255" s="2009"/>
      <c r="Q255" s="876"/>
      <c r="R255" s="2009"/>
      <c r="S255" s="876"/>
      <c r="T255" s="2009"/>
      <c r="U255" s="876"/>
      <c r="V255" s="2009"/>
      <c r="W255" s="1911"/>
      <c r="X255" s="2009"/>
      <c r="Y255" s="1911"/>
      <c r="Z255" s="2009"/>
      <c r="AA255" s="1911"/>
      <c r="AB255" s="2009"/>
      <c r="AC255" s="876"/>
      <c r="AD255" s="2009"/>
      <c r="AE255" s="1911"/>
      <c r="AF255" s="2009"/>
      <c r="AG255" s="1911"/>
      <c r="AH255" s="2009"/>
      <c r="AI255" s="1911"/>
      <c r="AJ255" s="1953"/>
      <c r="AK255" s="1913"/>
      <c r="AL255" s="2009"/>
      <c r="AM255" s="1911"/>
      <c r="AN255" s="1953"/>
      <c r="AO255" s="1913"/>
      <c r="AP255" s="2009"/>
      <c r="AQ255" s="1911"/>
      <c r="AR255" s="1953"/>
      <c r="AS255" s="1913"/>
      <c r="AT255" s="1912"/>
      <c r="AU255" s="1913"/>
      <c r="AV255" s="1912"/>
      <c r="AW255" s="1911"/>
      <c r="AX255" s="2009"/>
      <c r="AY255" s="1898" t="str">
        <f t="shared" si="537"/>
        <v/>
      </c>
      <c r="CA255" s="4027" t="str">
        <f t="shared" si="533"/>
        <v/>
      </c>
      <c r="CB255" s="1899" t="str">
        <f t="shared" si="538"/>
        <v/>
      </c>
      <c r="CC255" s="1899" t="str">
        <f t="shared" si="534"/>
        <v/>
      </c>
      <c r="CD255" s="1970"/>
      <c r="CE255" s="1970"/>
      <c r="CF255" s="1970"/>
      <c r="CG255" s="1970"/>
      <c r="CH255" s="1970"/>
      <c r="CI255" s="1899" t="str">
        <f t="shared" si="535"/>
        <v/>
      </c>
      <c r="CJ255" s="1971"/>
      <c r="CK255" s="1899" t="str">
        <f t="shared" si="510"/>
        <v/>
      </c>
      <c r="CL255" s="1899" t="str">
        <f t="shared" si="511"/>
        <v/>
      </c>
      <c r="CM255" s="1899" t="str">
        <f t="shared" si="512"/>
        <v/>
      </c>
      <c r="CN255" s="1899" t="str">
        <f t="shared" si="513"/>
        <v/>
      </c>
      <c r="CO255" s="1899" t="str">
        <f t="shared" si="514"/>
        <v/>
      </c>
      <c r="CP255" s="1899" t="str">
        <f t="shared" si="515"/>
        <v/>
      </c>
      <c r="CQ255" s="1899" t="str">
        <f t="shared" si="516"/>
        <v/>
      </c>
      <c r="CR255" s="1970"/>
      <c r="CS255" s="1970"/>
      <c r="CT255" s="3024" t="str">
        <f t="shared" si="543"/>
        <v/>
      </c>
      <c r="CU255" s="3024" t="str">
        <f t="shared" si="544"/>
        <v/>
      </c>
      <c r="DF255" s="4029">
        <f t="shared" si="519"/>
        <v>0</v>
      </c>
      <c r="DG255" s="4005">
        <f t="shared" si="536"/>
        <v>0</v>
      </c>
      <c r="DH255" s="4005">
        <f t="shared" si="520"/>
        <v>0</v>
      </c>
      <c r="DI255" s="1970"/>
      <c r="DJ255" s="1970"/>
      <c r="DK255" s="1970"/>
      <c r="DL255" s="1970"/>
      <c r="DM255" s="1970"/>
      <c r="DN255" s="4005">
        <f t="shared" si="521"/>
        <v>0</v>
      </c>
      <c r="DO255" s="1971"/>
      <c r="DP255" s="4005">
        <f t="shared" si="522"/>
        <v>0</v>
      </c>
      <c r="DQ255" s="4005">
        <f t="shared" si="523"/>
        <v>0</v>
      </c>
      <c r="DR255" s="4005">
        <f t="shared" si="524"/>
        <v>0</v>
      </c>
      <c r="DS255" s="4005">
        <f t="shared" si="525"/>
        <v>0</v>
      </c>
      <c r="DT255" s="4005">
        <f t="shared" si="526"/>
        <v>0</v>
      </c>
      <c r="DU255" s="4005">
        <f t="shared" si="527"/>
        <v>0</v>
      </c>
      <c r="DV255" s="4005">
        <f t="shared" si="528"/>
        <v>0</v>
      </c>
      <c r="DW255" s="1970"/>
      <c r="DX255" s="1970"/>
      <c r="DY255" s="4005">
        <f t="shared" si="545"/>
        <v>0</v>
      </c>
      <c r="DZ255" s="4005">
        <f t="shared" si="546"/>
        <v>0</v>
      </c>
      <c r="EA255" s="3026">
        <f t="shared" si="531"/>
        <v>0</v>
      </c>
      <c r="EB255" s="3026">
        <f t="shared" si="532"/>
        <v>0</v>
      </c>
    </row>
    <row r="256" spans="1:132" ht="15" customHeight="1" x14ac:dyDescent="0.3">
      <c r="A256" s="6896" t="s">
        <v>1943</v>
      </c>
      <c r="B256" s="295" t="s">
        <v>1944</v>
      </c>
      <c r="C256" s="4081">
        <f t="shared" ref="C256:D259" si="548">+E256+G256+I256+K256+M256+O256+Q256+S256+U256+W256+Y256+AA256+AC256+AE256+AG256+AI256</f>
        <v>0</v>
      </c>
      <c r="D256" s="4082">
        <f t="shared" si="548"/>
        <v>0</v>
      </c>
      <c r="E256" s="44"/>
      <c r="F256" s="905"/>
      <c r="G256" s="44"/>
      <c r="H256" s="905"/>
      <c r="I256" s="44"/>
      <c r="J256" s="905"/>
      <c r="K256" s="44"/>
      <c r="L256" s="905"/>
      <c r="M256" s="44"/>
      <c r="N256" s="905"/>
      <c r="O256" s="44"/>
      <c r="P256" s="905"/>
      <c r="Q256" s="327"/>
      <c r="R256" s="905"/>
      <c r="S256" s="327"/>
      <c r="T256" s="905"/>
      <c r="U256" s="327"/>
      <c r="V256" s="905"/>
      <c r="W256" s="44"/>
      <c r="X256" s="905"/>
      <c r="Y256" s="44"/>
      <c r="Z256" s="905"/>
      <c r="AA256" s="44"/>
      <c r="AB256" s="905"/>
      <c r="AC256" s="327"/>
      <c r="AD256" s="905"/>
      <c r="AE256" s="44"/>
      <c r="AF256" s="905"/>
      <c r="AG256" s="44"/>
      <c r="AH256" s="905"/>
      <c r="AI256" s="44"/>
      <c r="AJ256" s="1026"/>
      <c r="AK256" s="337"/>
      <c r="AL256" s="905"/>
      <c r="AM256" s="44"/>
      <c r="AN256" s="1026"/>
      <c r="AO256" s="337"/>
      <c r="AP256" s="905"/>
      <c r="AQ256" s="44"/>
      <c r="AR256" s="1026"/>
      <c r="AS256" s="337"/>
      <c r="AT256" s="1918"/>
      <c r="AU256" s="337"/>
      <c r="AV256" s="1918"/>
      <c r="AW256" s="44"/>
      <c r="AX256" s="905"/>
      <c r="AY256" s="1898" t="str">
        <f t="shared" si="537"/>
        <v/>
      </c>
      <c r="CA256" s="4027" t="str">
        <f t="shared" si="533"/>
        <v/>
      </c>
      <c r="CB256" s="1899" t="str">
        <f t="shared" si="538"/>
        <v/>
      </c>
      <c r="CC256" s="1899" t="str">
        <f t="shared" si="534"/>
        <v/>
      </c>
      <c r="CD256" s="1970"/>
      <c r="CE256" s="1970"/>
      <c r="CF256" s="1970"/>
      <c r="CG256" s="1970"/>
      <c r="CH256" s="1970"/>
      <c r="CI256" s="1899" t="str">
        <f t="shared" si="535"/>
        <v/>
      </c>
      <c r="CJ256" s="1971"/>
      <c r="CK256" s="1899" t="str">
        <f t="shared" si="510"/>
        <v/>
      </c>
      <c r="CL256" s="1899" t="str">
        <f t="shared" si="511"/>
        <v/>
      </c>
      <c r="CM256" s="1899" t="str">
        <f t="shared" si="512"/>
        <v/>
      </c>
      <c r="CN256" s="1899" t="str">
        <f t="shared" si="513"/>
        <v/>
      </c>
      <c r="CO256" s="1899" t="str">
        <f t="shared" si="514"/>
        <v/>
      </c>
      <c r="CP256" s="1899" t="str">
        <f t="shared" si="515"/>
        <v/>
      </c>
      <c r="CQ256" s="1899" t="str">
        <f t="shared" si="516"/>
        <v/>
      </c>
      <c r="CR256" s="1970"/>
      <c r="CS256" s="1970"/>
      <c r="CT256" s="3024" t="str">
        <f t="shared" si="543"/>
        <v/>
      </c>
      <c r="CU256" s="3024" t="str">
        <f t="shared" si="544"/>
        <v/>
      </c>
      <c r="DF256" s="4029">
        <f t="shared" si="519"/>
        <v>0</v>
      </c>
      <c r="DG256" s="4005">
        <f t="shared" si="536"/>
        <v>0</v>
      </c>
      <c r="DH256" s="4005">
        <f t="shared" si="520"/>
        <v>0</v>
      </c>
      <c r="DI256" s="1970"/>
      <c r="DJ256" s="1970"/>
      <c r="DK256" s="1970"/>
      <c r="DL256" s="1970"/>
      <c r="DM256" s="1970"/>
      <c r="DN256" s="4005">
        <f t="shared" si="521"/>
        <v>0</v>
      </c>
      <c r="DO256" s="1971"/>
      <c r="DP256" s="4005">
        <f t="shared" si="522"/>
        <v>0</v>
      </c>
      <c r="DQ256" s="4005">
        <f t="shared" si="523"/>
        <v>0</v>
      </c>
      <c r="DR256" s="4005">
        <f t="shared" si="524"/>
        <v>0</v>
      </c>
      <c r="DS256" s="4005">
        <f t="shared" si="525"/>
        <v>0</v>
      </c>
      <c r="DT256" s="4005">
        <f t="shared" si="526"/>
        <v>0</v>
      </c>
      <c r="DU256" s="4005">
        <f t="shared" si="527"/>
        <v>0</v>
      </c>
      <c r="DV256" s="4005">
        <f t="shared" si="528"/>
        <v>0</v>
      </c>
      <c r="DW256" s="1970"/>
      <c r="DX256" s="1970"/>
      <c r="DY256" s="4005">
        <f t="shared" si="545"/>
        <v>0</v>
      </c>
      <c r="DZ256" s="4005">
        <f t="shared" si="546"/>
        <v>0</v>
      </c>
      <c r="EA256" s="3026">
        <f t="shared" si="531"/>
        <v>0</v>
      </c>
      <c r="EB256" s="3026">
        <f t="shared" si="532"/>
        <v>0</v>
      </c>
    </row>
    <row r="257" spans="1:132" ht="15" customHeight="1" x14ac:dyDescent="0.3">
      <c r="A257" s="5790"/>
      <c r="B257" s="4060" t="s">
        <v>1945</v>
      </c>
      <c r="C257" s="4075">
        <f t="shared" si="548"/>
        <v>0</v>
      </c>
      <c r="D257" s="4070">
        <f t="shared" si="548"/>
        <v>0</v>
      </c>
      <c r="E257" s="3987"/>
      <c r="F257" s="3988"/>
      <c r="G257" s="3987"/>
      <c r="H257" s="3988"/>
      <c r="I257" s="3987"/>
      <c r="J257" s="3988"/>
      <c r="K257" s="3987"/>
      <c r="L257" s="3988"/>
      <c r="M257" s="3987"/>
      <c r="N257" s="3988"/>
      <c r="O257" s="3987"/>
      <c r="P257" s="3988"/>
      <c r="Q257" s="3996"/>
      <c r="R257" s="3988"/>
      <c r="S257" s="3996"/>
      <c r="T257" s="3988"/>
      <c r="U257" s="3996"/>
      <c r="V257" s="3988"/>
      <c r="W257" s="3987"/>
      <c r="X257" s="3988"/>
      <c r="Y257" s="3987"/>
      <c r="Z257" s="3988"/>
      <c r="AA257" s="3987"/>
      <c r="AB257" s="3988"/>
      <c r="AC257" s="3996"/>
      <c r="AD257" s="3988"/>
      <c r="AE257" s="3987"/>
      <c r="AF257" s="3988"/>
      <c r="AG257" s="3987"/>
      <c r="AH257" s="3988"/>
      <c r="AI257" s="3987"/>
      <c r="AJ257" s="3985"/>
      <c r="AK257" s="3986"/>
      <c r="AL257" s="3988"/>
      <c r="AM257" s="3987"/>
      <c r="AN257" s="3985"/>
      <c r="AO257" s="3986"/>
      <c r="AP257" s="3988"/>
      <c r="AQ257" s="3987"/>
      <c r="AR257" s="3985"/>
      <c r="AS257" s="3986"/>
      <c r="AT257" s="4026"/>
      <c r="AU257" s="3986"/>
      <c r="AV257" s="4026"/>
      <c r="AW257" s="3987"/>
      <c r="AX257" s="3988"/>
      <c r="AY257" s="1898" t="str">
        <f t="shared" si="537"/>
        <v/>
      </c>
      <c r="CA257" s="4027" t="str">
        <f t="shared" si="533"/>
        <v/>
      </c>
      <c r="CB257" s="1899" t="str">
        <f t="shared" si="538"/>
        <v/>
      </c>
      <c r="CC257" s="1899" t="str">
        <f t="shared" si="534"/>
        <v/>
      </c>
      <c r="CD257" s="1970"/>
      <c r="CE257" s="1970"/>
      <c r="CF257" s="1970"/>
      <c r="CG257" s="1970"/>
      <c r="CH257" s="1970"/>
      <c r="CI257" s="1899" t="str">
        <f t="shared" si="535"/>
        <v/>
      </c>
      <c r="CJ257" s="1971"/>
      <c r="CK257" s="1899" t="str">
        <f t="shared" si="510"/>
        <v/>
      </c>
      <c r="CL257" s="1899" t="str">
        <f t="shared" si="511"/>
        <v/>
      </c>
      <c r="CM257" s="1899" t="str">
        <f t="shared" si="512"/>
        <v/>
      </c>
      <c r="CN257" s="1899" t="str">
        <f t="shared" si="513"/>
        <v/>
      </c>
      <c r="CO257" s="1899" t="str">
        <f t="shared" si="514"/>
        <v/>
      </c>
      <c r="CP257" s="1899" t="str">
        <f t="shared" si="515"/>
        <v/>
      </c>
      <c r="CQ257" s="1899" t="str">
        <f t="shared" si="516"/>
        <v/>
      </c>
      <c r="CR257" s="1970"/>
      <c r="CS257" s="1970"/>
      <c r="CT257" s="3024" t="str">
        <f t="shared" si="543"/>
        <v/>
      </c>
      <c r="CU257" s="3024" t="str">
        <f t="shared" si="544"/>
        <v/>
      </c>
      <c r="DF257" s="4029">
        <f t="shared" si="519"/>
        <v>0</v>
      </c>
      <c r="DG257" s="4005">
        <f t="shared" si="536"/>
        <v>0</v>
      </c>
      <c r="DH257" s="4005">
        <f t="shared" si="520"/>
        <v>0</v>
      </c>
      <c r="DI257" s="1970"/>
      <c r="DJ257" s="1970"/>
      <c r="DK257" s="1970"/>
      <c r="DL257" s="1970"/>
      <c r="DM257" s="1970"/>
      <c r="DN257" s="4005">
        <f t="shared" si="521"/>
        <v>0</v>
      </c>
      <c r="DO257" s="1971"/>
      <c r="DP257" s="4005">
        <f t="shared" si="522"/>
        <v>0</v>
      </c>
      <c r="DQ257" s="4005">
        <f t="shared" si="523"/>
        <v>0</v>
      </c>
      <c r="DR257" s="4005">
        <f t="shared" si="524"/>
        <v>0</v>
      </c>
      <c r="DS257" s="4005">
        <f t="shared" si="525"/>
        <v>0</v>
      </c>
      <c r="DT257" s="4005">
        <f t="shared" si="526"/>
        <v>0</v>
      </c>
      <c r="DU257" s="4005">
        <f t="shared" si="527"/>
        <v>0</v>
      </c>
      <c r="DV257" s="4005">
        <f t="shared" si="528"/>
        <v>0</v>
      </c>
      <c r="DW257" s="1970"/>
      <c r="DX257" s="1970"/>
      <c r="DY257" s="4005">
        <f t="shared" si="545"/>
        <v>0</v>
      </c>
      <c r="DZ257" s="4005">
        <f t="shared" si="546"/>
        <v>0</v>
      </c>
      <c r="EA257" s="3026">
        <f t="shared" si="531"/>
        <v>0</v>
      </c>
      <c r="EB257" s="3026">
        <f t="shared" si="532"/>
        <v>0</v>
      </c>
    </row>
    <row r="258" spans="1:132" ht="15" customHeight="1" x14ac:dyDescent="0.3">
      <c r="A258" s="5790"/>
      <c r="B258" s="4060" t="s">
        <v>1946</v>
      </c>
      <c r="C258" s="4075">
        <f t="shared" si="548"/>
        <v>0</v>
      </c>
      <c r="D258" s="4070">
        <f t="shared" si="548"/>
        <v>0</v>
      </c>
      <c r="E258" s="3987"/>
      <c r="F258" s="3988"/>
      <c r="G258" s="3987"/>
      <c r="H258" s="3988"/>
      <c r="I258" s="3987"/>
      <c r="J258" s="3988"/>
      <c r="K258" s="3987"/>
      <c r="L258" s="3988"/>
      <c r="M258" s="3987"/>
      <c r="N258" s="3988"/>
      <c r="O258" s="3987"/>
      <c r="P258" s="3988"/>
      <c r="Q258" s="3996"/>
      <c r="R258" s="3988"/>
      <c r="S258" s="3996"/>
      <c r="T258" s="3988"/>
      <c r="U258" s="3996"/>
      <c r="V258" s="3988"/>
      <c r="W258" s="3987"/>
      <c r="X258" s="3988"/>
      <c r="Y258" s="3987"/>
      <c r="Z258" s="3988"/>
      <c r="AA258" s="3987"/>
      <c r="AB258" s="3988"/>
      <c r="AC258" s="3996"/>
      <c r="AD258" s="3988"/>
      <c r="AE258" s="3987"/>
      <c r="AF258" s="3988"/>
      <c r="AG258" s="3987"/>
      <c r="AH258" s="3988"/>
      <c r="AI258" s="3987"/>
      <c r="AJ258" s="3985"/>
      <c r="AK258" s="3986"/>
      <c r="AL258" s="3988"/>
      <c r="AM258" s="3987"/>
      <c r="AN258" s="3985"/>
      <c r="AO258" s="3986"/>
      <c r="AP258" s="3988"/>
      <c r="AQ258" s="3987"/>
      <c r="AR258" s="3985"/>
      <c r="AS258" s="3986"/>
      <c r="AT258" s="4026"/>
      <c r="AU258" s="3986"/>
      <c r="AV258" s="4026"/>
      <c r="AW258" s="3987"/>
      <c r="AX258" s="3988"/>
      <c r="AY258" s="1898" t="str">
        <f t="shared" si="537"/>
        <v/>
      </c>
      <c r="CA258" s="4027" t="str">
        <f t="shared" si="533"/>
        <v/>
      </c>
      <c r="CB258" s="1899" t="str">
        <f t="shared" si="538"/>
        <v/>
      </c>
      <c r="CC258" s="1899" t="str">
        <f t="shared" si="534"/>
        <v/>
      </c>
      <c r="CD258" s="1970"/>
      <c r="CE258" s="1970"/>
      <c r="CF258" s="1970"/>
      <c r="CG258" s="1970"/>
      <c r="CH258" s="1970"/>
      <c r="CI258" s="1899" t="str">
        <f t="shared" si="535"/>
        <v/>
      </c>
      <c r="CJ258" s="1971"/>
      <c r="CK258" s="1899" t="str">
        <f t="shared" si="510"/>
        <v/>
      </c>
      <c r="CL258" s="1899" t="str">
        <f t="shared" si="511"/>
        <v/>
      </c>
      <c r="CM258" s="1899" t="str">
        <f t="shared" si="512"/>
        <v/>
      </c>
      <c r="CN258" s="1899" t="str">
        <f t="shared" si="513"/>
        <v/>
      </c>
      <c r="CO258" s="1899" t="str">
        <f t="shared" si="514"/>
        <v/>
      </c>
      <c r="CP258" s="1899" t="str">
        <f t="shared" si="515"/>
        <v/>
      </c>
      <c r="CQ258" s="1899" t="str">
        <f t="shared" si="516"/>
        <v/>
      </c>
      <c r="CR258" s="1970"/>
      <c r="CS258" s="1970"/>
      <c r="CT258" s="3024" t="str">
        <f t="shared" si="543"/>
        <v/>
      </c>
      <c r="CU258" s="3024" t="str">
        <f t="shared" si="544"/>
        <v/>
      </c>
      <c r="DF258" s="4029">
        <f t="shared" si="519"/>
        <v>0</v>
      </c>
      <c r="DG258" s="4005">
        <f t="shared" si="536"/>
        <v>0</v>
      </c>
      <c r="DH258" s="4005">
        <f t="shared" si="520"/>
        <v>0</v>
      </c>
      <c r="DI258" s="1970"/>
      <c r="DJ258" s="1970"/>
      <c r="DK258" s="1970"/>
      <c r="DL258" s="1970"/>
      <c r="DM258" s="1970"/>
      <c r="DN258" s="4005">
        <f t="shared" si="521"/>
        <v>0</v>
      </c>
      <c r="DO258" s="1971"/>
      <c r="DP258" s="4005">
        <f t="shared" si="522"/>
        <v>0</v>
      </c>
      <c r="DQ258" s="4005">
        <f t="shared" si="523"/>
        <v>0</v>
      </c>
      <c r="DR258" s="4005">
        <f t="shared" si="524"/>
        <v>0</v>
      </c>
      <c r="DS258" s="4005">
        <f t="shared" si="525"/>
        <v>0</v>
      </c>
      <c r="DT258" s="4005">
        <f t="shared" si="526"/>
        <v>0</v>
      </c>
      <c r="DU258" s="4005">
        <f t="shared" si="527"/>
        <v>0</v>
      </c>
      <c r="DV258" s="4005">
        <f t="shared" si="528"/>
        <v>0</v>
      </c>
      <c r="DW258" s="1970"/>
      <c r="DX258" s="1970"/>
      <c r="DY258" s="4005">
        <f t="shared" si="545"/>
        <v>0</v>
      </c>
      <c r="DZ258" s="4005">
        <f t="shared" si="546"/>
        <v>0</v>
      </c>
      <c r="EA258" s="3026">
        <f t="shared" si="531"/>
        <v>0</v>
      </c>
      <c r="EB258" s="3026">
        <f t="shared" si="532"/>
        <v>0</v>
      </c>
    </row>
    <row r="259" spans="1:132" ht="15" customHeight="1" x14ac:dyDescent="0.3">
      <c r="A259" s="6574"/>
      <c r="B259" s="2246" t="s">
        <v>1947</v>
      </c>
      <c r="C259" s="4083">
        <f t="shared" si="548"/>
        <v>0</v>
      </c>
      <c r="D259" s="4084">
        <f t="shared" si="548"/>
        <v>0</v>
      </c>
      <c r="E259" s="1911"/>
      <c r="F259" s="2009"/>
      <c r="G259" s="1911"/>
      <c r="H259" s="2009"/>
      <c r="I259" s="1911"/>
      <c r="J259" s="2009"/>
      <c r="K259" s="1911"/>
      <c r="L259" s="2009"/>
      <c r="M259" s="1911"/>
      <c r="N259" s="2009"/>
      <c r="O259" s="1911"/>
      <c r="P259" s="2009"/>
      <c r="Q259" s="876"/>
      <c r="R259" s="2009"/>
      <c r="S259" s="876"/>
      <c r="T259" s="2009"/>
      <c r="U259" s="876"/>
      <c r="V259" s="2009"/>
      <c r="W259" s="1911"/>
      <c r="X259" s="2009"/>
      <c r="Y259" s="1911"/>
      <c r="Z259" s="2009"/>
      <c r="AA259" s="1911"/>
      <c r="AB259" s="2009"/>
      <c r="AC259" s="876"/>
      <c r="AD259" s="2009"/>
      <c r="AE259" s="1911"/>
      <c r="AF259" s="2009"/>
      <c r="AG259" s="1911"/>
      <c r="AH259" s="2009"/>
      <c r="AI259" s="1911"/>
      <c r="AJ259" s="1953"/>
      <c r="AK259" s="1913"/>
      <c r="AL259" s="2009"/>
      <c r="AM259" s="1911"/>
      <c r="AN259" s="1953"/>
      <c r="AO259" s="1913"/>
      <c r="AP259" s="2009"/>
      <c r="AQ259" s="1911"/>
      <c r="AR259" s="1953"/>
      <c r="AS259" s="1913"/>
      <c r="AT259" s="1912"/>
      <c r="AU259" s="1913"/>
      <c r="AV259" s="1912"/>
      <c r="AW259" s="1911"/>
      <c r="AX259" s="2009"/>
      <c r="AY259" s="1898" t="str">
        <f t="shared" si="537"/>
        <v/>
      </c>
      <c r="CA259" s="4027" t="str">
        <f t="shared" si="533"/>
        <v/>
      </c>
      <c r="CB259" s="1899" t="str">
        <f t="shared" si="538"/>
        <v/>
      </c>
      <c r="CC259" s="1899" t="str">
        <f t="shared" si="534"/>
        <v/>
      </c>
      <c r="CD259" s="1970"/>
      <c r="CE259" s="1970"/>
      <c r="CF259" s="1970"/>
      <c r="CG259" s="1970"/>
      <c r="CH259" s="1970"/>
      <c r="CI259" s="1899" t="str">
        <f t="shared" si="535"/>
        <v/>
      </c>
      <c r="CJ259" s="1971"/>
      <c r="CK259" s="1899" t="str">
        <f t="shared" si="510"/>
        <v/>
      </c>
      <c r="CL259" s="1899" t="str">
        <f t="shared" si="511"/>
        <v/>
      </c>
      <c r="CM259" s="1899" t="str">
        <f t="shared" si="512"/>
        <v/>
      </c>
      <c r="CN259" s="1899" t="str">
        <f t="shared" si="513"/>
        <v/>
      </c>
      <c r="CO259" s="1899" t="str">
        <f t="shared" si="514"/>
        <v/>
      </c>
      <c r="CP259" s="1899" t="str">
        <f t="shared" si="515"/>
        <v/>
      </c>
      <c r="CQ259" s="1899" t="str">
        <f t="shared" si="516"/>
        <v/>
      </c>
      <c r="CR259" s="1970"/>
      <c r="CS259" s="1970"/>
      <c r="CT259" s="3024" t="str">
        <f t="shared" si="543"/>
        <v/>
      </c>
      <c r="CU259" s="3024" t="str">
        <f t="shared" si="544"/>
        <v/>
      </c>
      <c r="DF259" s="4029">
        <f t="shared" si="519"/>
        <v>0</v>
      </c>
      <c r="DG259" s="4005">
        <f t="shared" si="536"/>
        <v>0</v>
      </c>
      <c r="DH259" s="4005">
        <f t="shared" si="520"/>
        <v>0</v>
      </c>
      <c r="DI259" s="1970"/>
      <c r="DJ259" s="1970"/>
      <c r="DK259" s="1970"/>
      <c r="DL259" s="1970"/>
      <c r="DM259" s="1970"/>
      <c r="DN259" s="4005">
        <f t="shared" si="521"/>
        <v>0</v>
      </c>
      <c r="DO259" s="1971"/>
      <c r="DP259" s="4005">
        <f t="shared" si="522"/>
        <v>0</v>
      </c>
      <c r="DQ259" s="4005">
        <f t="shared" si="523"/>
        <v>0</v>
      </c>
      <c r="DR259" s="4005">
        <f t="shared" si="524"/>
        <v>0</v>
      </c>
      <c r="DS259" s="4005">
        <f t="shared" si="525"/>
        <v>0</v>
      </c>
      <c r="DT259" s="4005">
        <f t="shared" si="526"/>
        <v>0</v>
      </c>
      <c r="DU259" s="4005">
        <f t="shared" si="527"/>
        <v>0</v>
      </c>
      <c r="DV259" s="4005">
        <f t="shared" si="528"/>
        <v>0</v>
      </c>
      <c r="DW259" s="1970"/>
      <c r="DX259" s="1970"/>
      <c r="DY259" s="4005">
        <f t="shared" si="545"/>
        <v>0</v>
      </c>
      <c r="DZ259" s="4005">
        <f t="shared" si="546"/>
        <v>0</v>
      </c>
      <c r="EA259" s="3026">
        <f t="shared" si="531"/>
        <v>0</v>
      </c>
      <c r="EB259" s="3026">
        <f t="shared" si="532"/>
        <v>0</v>
      </c>
    </row>
    <row r="260" spans="1:132" ht="18" customHeight="1" x14ac:dyDescent="0.3">
      <c r="A260" s="6905" t="s">
        <v>1948</v>
      </c>
      <c r="B260" s="6905"/>
      <c r="C260" s="6905"/>
      <c r="D260" s="6905"/>
      <c r="E260" s="6905"/>
      <c r="F260" s="6905"/>
      <c r="G260" s="6905"/>
      <c r="H260" s="6905"/>
      <c r="I260" s="6905"/>
      <c r="J260" s="6905"/>
      <c r="K260" s="6905"/>
      <c r="L260" s="6905"/>
      <c r="M260" s="6905"/>
      <c r="N260" s="6905"/>
      <c r="O260" s="6905"/>
      <c r="P260" s="6905"/>
      <c r="Q260" s="6905"/>
      <c r="R260" s="6905"/>
      <c r="S260" s="6905"/>
      <c r="T260" s="6905"/>
      <c r="U260" s="6905"/>
      <c r="V260" s="6905"/>
      <c r="W260" s="6905"/>
      <c r="X260" s="6905"/>
      <c r="Y260" s="6905"/>
      <c r="Z260" s="6905"/>
      <c r="AA260" s="6905"/>
      <c r="AB260" s="6905"/>
      <c r="AC260" s="1971"/>
      <c r="AD260" s="1971"/>
    </row>
    <row r="261" spans="1:132" x14ac:dyDescent="0.3">
      <c r="A261" s="6883" t="s">
        <v>697</v>
      </c>
      <c r="B261" s="6906" t="s">
        <v>77</v>
      </c>
      <c r="C261" s="6397"/>
      <c r="D261" s="6330"/>
      <c r="E261" s="6902" t="s">
        <v>101</v>
      </c>
      <c r="F261" s="6903"/>
      <c r="G261" s="6903"/>
      <c r="H261" s="6903"/>
      <c r="I261" s="6903"/>
      <c r="J261" s="6903"/>
      <c r="K261" s="6903"/>
      <c r="L261" s="6903"/>
      <c r="M261" s="6903"/>
      <c r="N261" s="6903"/>
      <c r="O261" s="6903"/>
      <c r="P261" s="6903"/>
      <c r="Q261" s="6903"/>
      <c r="R261" s="6903"/>
      <c r="S261" s="6903"/>
      <c r="T261" s="6903"/>
      <c r="U261" s="6903"/>
      <c r="V261" s="6903"/>
      <c r="W261" s="6903"/>
      <c r="X261" s="6903"/>
      <c r="Y261" s="6903"/>
      <c r="Z261" s="6903"/>
      <c r="AA261" s="6903"/>
      <c r="AB261" s="6904"/>
      <c r="AC261" s="6907" t="s">
        <v>36</v>
      </c>
      <c r="AD261" s="6330" t="s">
        <v>37</v>
      </c>
    </row>
    <row r="262" spans="1:132" ht="15" customHeight="1" x14ac:dyDescent="0.3">
      <c r="A262" s="6884"/>
      <c r="B262" s="6331"/>
      <c r="C262" s="6201"/>
      <c r="D262" s="6123"/>
      <c r="E262" s="6868" t="s">
        <v>1204</v>
      </c>
      <c r="F262" s="6871"/>
      <c r="G262" s="6868" t="s">
        <v>45</v>
      </c>
      <c r="H262" s="6871"/>
      <c r="I262" s="6868" t="s">
        <v>46</v>
      </c>
      <c r="J262" s="6871"/>
      <c r="K262" s="6868" t="s">
        <v>47</v>
      </c>
      <c r="L262" s="6871"/>
      <c r="M262" s="6868" t="s">
        <v>48</v>
      </c>
      <c r="N262" s="6871"/>
      <c r="O262" s="6868" t="s">
        <v>49</v>
      </c>
      <c r="P262" s="6871"/>
      <c r="Q262" s="6868" t="s">
        <v>50</v>
      </c>
      <c r="R262" s="6871"/>
      <c r="S262" s="6868" t="s">
        <v>51</v>
      </c>
      <c r="T262" s="6871"/>
      <c r="U262" s="6868" t="s">
        <v>1949</v>
      </c>
      <c r="V262" s="6871"/>
      <c r="W262" s="6868" t="s">
        <v>1583</v>
      </c>
      <c r="X262" s="6871"/>
      <c r="Y262" s="6868" t="s">
        <v>308</v>
      </c>
      <c r="Z262" s="6871"/>
      <c r="AA262" s="6868" t="s">
        <v>737</v>
      </c>
      <c r="AB262" s="6869"/>
      <c r="AC262" s="6908"/>
      <c r="AD262" s="6123"/>
    </row>
    <row r="263" spans="1:132" x14ac:dyDescent="0.3">
      <c r="A263" s="6885"/>
      <c r="B263" s="4085" t="s">
        <v>389</v>
      </c>
      <c r="C263" s="3980" t="s">
        <v>58</v>
      </c>
      <c r="D263" s="3976" t="s">
        <v>59</v>
      </c>
      <c r="E263" s="3977" t="s">
        <v>58</v>
      </c>
      <c r="F263" s="3976" t="s">
        <v>59</v>
      </c>
      <c r="G263" s="3977" t="s">
        <v>58</v>
      </c>
      <c r="H263" s="3976" t="s">
        <v>59</v>
      </c>
      <c r="I263" s="3977" t="s">
        <v>58</v>
      </c>
      <c r="J263" s="3976" t="s">
        <v>59</v>
      </c>
      <c r="K263" s="3977" t="s">
        <v>58</v>
      </c>
      <c r="L263" s="3976" t="s">
        <v>59</v>
      </c>
      <c r="M263" s="3977" t="s">
        <v>58</v>
      </c>
      <c r="N263" s="3976" t="s">
        <v>59</v>
      </c>
      <c r="O263" s="3977" t="s">
        <v>58</v>
      </c>
      <c r="P263" s="3976" t="s">
        <v>59</v>
      </c>
      <c r="Q263" s="3977" t="s">
        <v>58</v>
      </c>
      <c r="R263" s="3976" t="s">
        <v>59</v>
      </c>
      <c r="S263" s="3977" t="s">
        <v>58</v>
      </c>
      <c r="T263" s="3976" t="s">
        <v>59</v>
      </c>
      <c r="U263" s="3977" t="s">
        <v>58</v>
      </c>
      <c r="V263" s="3976" t="s">
        <v>59</v>
      </c>
      <c r="W263" s="3977" t="s">
        <v>58</v>
      </c>
      <c r="X263" s="3976" t="s">
        <v>59</v>
      </c>
      <c r="Y263" s="3977" t="s">
        <v>58</v>
      </c>
      <c r="Z263" s="3976" t="s">
        <v>59</v>
      </c>
      <c r="AA263" s="3977" t="s">
        <v>58</v>
      </c>
      <c r="AB263" s="3981" t="s">
        <v>59</v>
      </c>
      <c r="AC263" s="6909"/>
      <c r="AD263" s="6910"/>
    </row>
    <row r="264" spans="1:132" ht="21.6" x14ac:dyDescent="0.3">
      <c r="A264" s="4086" t="s">
        <v>1950</v>
      </c>
      <c r="B264" s="3337">
        <f>SUM(C264:D264)</f>
        <v>0</v>
      </c>
      <c r="C264" s="4087">
        <f>+E264+G264+I264+K264+M264+O264+Q264+S264+U264+W264+Y264+AA264</f>
        <v>0</v>
      </c>
      <c r="D264" s="4088">
        <f>+F264+H264+J264+L264+N264+P264+R264+T264+V264+X264+Z264+AB264</f>
        <v>0</v>
      </c>
      <c r="E264" s="4089"/>
      <c r="F264" s="3958"/>
      <c r="G264" s="4089"/>
      <c r="H264" s="3958"/>
      <c r="I264" s="4089"/>
      <c r="J264" s="3958"/>
      <c r="K264" s="4089"/>
      <c r="L264" s="3958"/>
      <c r="M264" s="4089"/>
      <c r="N264" s="3958"/>
      <c r="O264" s="4089"/>
      <c r="P264" s="3958"/>
      <c r="Q264" s="4089"/>
      <c r="R264" s="3958"/>
      <c r="S264" s="4089"/>
      <c r="T264" s="3958"/>
      <c r="U264" s="4089"/>
      <c r="V264" s="3958"/>
      <c r="W264" s="4089"/>
      <c r="X264" s="3958"/>
      <c r="Y264" s="4089"/>
      <c r="Z264" s="3958"/>
      <c r="AA264" s="4089"/>
      <c r="AB264" s="352"/>
      <c r="AC264" s="22"/>
      <c r="AD264" s="637"/>
      <c r="AE264" s="1970" t="str">
        <f>$CA264&amp;CB264</f>
        <v/>
      </c>
      <c r="CA264" s="4027" t="str">
        <f>IF(AND(B264&gt;0,AC264="")," * No olvide digitar la variable Pueblos originarios. Digite Cero si no tiene.",IF(AC264&gt;B264," * La variable Pueblos originarios No puede ser mayor al Total Ambos Sexos.",""))</f>
        <v/>
      </c>
      <c r="CB264" s="4027" t="str">
        <f>IF(AND(B264&gt;0,AD264="")," * No olvide digitar la variable Migrantes. Digite Cero si no tiene.",IF(AD264&gt;B264," * La variable Migrantes No puede ser mayor al Total Ambos Sexos.",""))</f>
        <v/>
      </c>
      <c r="CC264" s="1970"/>
      <c r="CD264" s="1970"/>
      <c r="DF264" s="1901">
        <f>IF(AND(B264&gt;0,AC264=""),1,IF(AC264&gt;B264,1,0))</f>
        <v>0</v>
      </c>
      <c r="DG264" s="1901">
        <f>IF(AND(B264&gt;0,AD264=""),1,IF(AD264&gt;B264,1,0))</f>
        <v>0</v>
      </c>
    </row>
    <row r="265" spans="1:132" ht="21.6" x14ac:dyDescent="0.3">
      <c r="A265" s="3291" t="s">
        <v>1951</v>
      </c>
      <c r="B265" s="4090">
        <f>SUM(C265:D265)</f>
        <v>0</v>
      </c>
      <c r="C265" s="4091">
        <f>+E265+G265+I265+K265+M265+O265+Q265+S265+U265+W265+Y265+AA265</f>
        <v>0</v>
      </c>
      <c r="D265" s="4092">
        <f>+F265+H265+J265+L265+N265+P265+R265+T265+V265+X265+Z265+AB265</f>
        <v>0</v>
      </c>
      <c r="E265" s="380"/>
      <c r="F265" s="388"/>
      <c r="G265" s="380"/>
      <c r="H265" s="388"/>
      <c r="I265" s="380"/>
      <c r="J265" s="388"/>
      <c r="K265" s="380"/>
      <c r="L265" s="388"/>
      <c r="M265" s="380"/>
      <c r="N265" s="388"/>
      <c r="O265" s="380"/>
      <c r="P265" s="388"/>
      <c r="Q265" s="380"/>
      <c r="R265" s="388"/>
      <c r="S265" s="380"/>
      <c r="T265" s="388"/>
      <c r="U265" s="380"/>
      <c r="V265" s="388"/>
      <c r="W265" s="380"/>
      <c r="X265" s="388"/>
      <c r="Y265" s="380"/>
      <c r="Z265" s="388"/>
      <c r="AA265" s="380"/>
      <c r="AB265" s="390"/>
      <c r="AC265" s="429"/>
      <c r="AD265" s="389"/>
      <c r="AE265" s="1970" t="str">
        <f>$CA265&amp;CB265</f>
        <v/>
      </c>
      <c r="CA265" s="4027" t="str">
        <f>IF(AND(B265&gt;0,AC265="")," * No olvide digitar la variable Pueblos originarios. Digite Cero si no tiene.",IF(AC265&gt;B265," * La variable Pueblos originarios No puede ser mayor al Total Ambos Sexos.",""))</f>
        <v/>
      </c>
      <c r="CB265" s="4027" t="str">
        <f>IF(AND(B265&gt;0,AD265="")," * No olvide digitar la variable Migrantes. Digite Cero si no tiene.",IF(AD265&gt;B265," * La variable Migrantes No puede ser mayor al Total Ambos Sexos.",""))</f>
        <v/>
      </c>
      <c r="CC265" s="1970"/>
      <c r="CD265" s="1970"/>
      <c r="DF265" s="1901">
        <f>IF(AND(B265&gt;0,AC265=""),1,IF(AC265&gt;B265,1,0))</f>
        <v>0</v>
      </c>
      <c r="DG265" s="1901">
        <f>IF(AND(B265&gt;0,AD265=""),1,IF(AD265&gt;B265,1,0))</f>
        <v>0</v>
      </c>
    </row>
    <row r="266" spans="1:132" ht="18" customHeight="1" x14ac:dyDescent="0.3">
      <c r="A266" s="6911" t="s">
        <v>1952</v>
      </c>
      <c r="B266" s="6911"/>
      <c r="C266" s="6911"/>
      <c r="D266" s="6911"/>
      <c r="E266" s="6911"/>
      <c r="F266" s="6911"/>
      <c r="G266" s="6911"/>
      <c r="H266" s="6911"/>
      <c r="I266" s="6911"/>
      <c r="J266" s="6911"/>
      <c r="K266" s="6911"/>
      <c r="L266" s="6911"/>
      <c r="M266" s="6911"/>
      <c r="N266" s="6911"/>
      <c r="O266" s="6911"/>
      <c r="P266" s="6911"/>
      <c r="Q266" s="6911"/>
      <c r="R266" s="6911"/>
      <c r="S266" s="6911"/>
      <c r="T266" s="6911"/>
      <c r="U266" s="6911"/>
      <c r="V266" s="6911"/>
      <c r="W266" s="6911"/>
      <c r="X266" s="6911"/>
      <c r="Y266" s="6911"/>
      <c r="Z266" s="6911"/>
      <c r="AA266" s="6911"/>
      <c r="AB266" s="6911"/>
      <c r="AC266" s="6911"/>
      <c r="AD266" s="6911"/>
      <c r="AE266" s="6911"/>
      <c r="AF266" s="6911"/>
      <c r="AG266" s="6911"/>
      <c r="AH266" s="6911"/>
      <c r="AI266" s="6911"/>
      <c r="AJ266" s="6911"/>
      <c r="AK266" s="1971"/>
      <c r="AL266" s="1971"/>
    </row>
    <row r="267" spans="1:132" x14ac:dyDescent="0.3">
      <c r="A267" s="6883" t="s">
        <v>697</v>
      </c>
      <c r="B267" s="6906" t="s">
        <v>77</v>
      </c>
      <c r="C267" s="6397"/>
      <c r="D267" s="6330"/>
      <c r="E267" s="6886" t="s">
        <v>101</v>
      </c>
      <c r="F267" s="6886"/>
      <c r="G267" s="6886"/>
      <c r="H267" s="6886"/>
      <c r="I267" s="6886"/>
      <c r="J267" s="6886"/>
      <c r="K267" s="6886"/>
      <c r="L267" s="6886"/>
      <c r="M267" s="6886"/>
      <c r="N267" s="6886"/>
      <c r="O267" s="6886"/>
      <c r="P267" s="6886"/>
      <c r="Q267" s="6886"/>
      <c r="R267" s="6886"/>
      <c r="S267" s="6886"/>
      <c r="T267" s="6886"/>
      <c r="U267" s="6886"/>
      <c r="V267" s="6886"/>
      <c r="W267" s="6886"/>
      <c r="X267" s="6886"/>
      <c r="Y267" s="6886"/>
      <c r="Z267" s="6886"/>
      <c r="AA267" s="6886"/>
      <c r="AB267" s="6886"/>
      <c r="AC267" s="6886"/>
      <c r="AD267" s="6886"/>
      <c r="AE267" s="6886"/>
      <c r="AF267" s="6886"/>
      <c r="AG267" s="6886"/>
      <c r="AH267" s="6886"/>
      <c r="AI267" s="6886"/>
      <c r="AJ267" s="6887"/>
      <c r="AK267" s="6907" t="s">
        <v>36</v>
      </c>
      <c r="AL267" s="6330" t="s">
        <v>37</v>
      </c>
    </row>
    <row r="268" spans="1:132" ht="15" customHeight="1" x14ac:dyDescent="0.3">
      <c r="A268" s="6884"/>
      <c r="B268" s="6331"/>
      <c r="C268" s="6201"/>
      <c r="D268" s="6123"/>
      <c r="E268" s="6868" t="s">
        <v>474</v>
      </c>
      <c r="F268" s="6871"/>
      <c r="G268" s="6912" t="s">
        <v>1953</v>
      </c>
      <c r="H268" s="6913"/>
      <c r="I268" s="6912" t="s">
        <v>1954</v>
      </c>
      <c r="J268" s="6913"/>
      <c r="K268" s="6912" t="s">
        <v>303</v>
      </c>
      <c r="L268" s="6913"/>
      <c r="M268" s="6868" t="s">
        <v>44</v>
      </c>
      <c r="N268" s="6871"/>
      <c r="O268" s="6868" t="s">
        <v>45</v>
      </c>
      <c r="P268" s="6871"/>
      <c r="Q268" s="6868" t="s">
        <v>46</v>
      </c>
      <c r="R268" s="6871"/>
      <c r="S268" s="6868" t="s">
        <v>47</v>
      </c>
      <c r="T268" s="6871"/>
      <c r="U268" s="6868" t="s">
        <v>48</v>
      </c>
      <c r="V268" s="6871"/>
      <c r="W268" s="6868" t="s">
        <v>49</v>
      </c>
      <c r="X268" s="6871"/>
      <c r="Y268" s="6868" t="s">
        <v>50</v>
      </c>
      <c r="Z268" s="6871"/>
      <c r="AA268" s="6868" t="s">
        <v>51</v>
      </c>
      <c r="AB268" s="6871"/>
      <c r="AC268" s="6868" t="s">
        <v>1949</v>
      </c>
      <c r="AD268" s="6871"/>
      <c r="AE268" s="6868" t="s">
        <v>1583</v>
      </c>
      <c r="AF268" s="6871"/>
      <c r="AG268" s="6868" t="s">
        <v>308</v>
      </c>
      <c r="AH268" s="6871"/>
      <c r="AI268" s="6868" t="s">
        <v>737</v>
      </c>
      <c r="AJ268" s="6869"/>
      <c r="AK268" s="6908"/>
      <c r="AL268" s="6123"/>
    </row>
    <row r="269" spans="1:132" x14ac:dyDescent="0.3">
      <c r="A269" s="6885"/>
      <c r="B269" s="4085" t="s">
        <v>389</v>
      </c>
      <c r="C269" s="3980" t="s">
        <v>58</v>
      </c>
      <c r="D269" s="3976" t="s">
        <v>59</v>
      </c>
      <c r="E269" s="3977" t="s">
        <v>58</v>
      </c>
      <c r="F269" s="3976" t="s">
        <v>59</v>
      </c>
      <c r="G269" s="3977" t="s">
        <v>58</v>
      </c>
      <c r="H269" s="3976" t="s">
        <v>59</v>
      </c>
      <c r="I269" s="3977" t="s">
        <v>58</v>
      </c>
      <c r="J269" s="3976" t="s">
        <v>59</v>
      </c>
      <c r="K269" s="3977" t="s">
        <v>58</v>
      </c>
      <c r="L269" s="3976" t="s">
        <v>59</v>
      </c>
      <c r="M269" s="3977" t="s">
        <v>58</v>
      </c>
      <c r="N269" s="3976" t="s">
        <v>59</v>
      </c>
      <c r="O269" s="3977" t="s">
        <v>58</v>
      </c>
      <c r="P269" s="3976" t="s">
        <v>59</v>
      </c>
      <c r="Q269" s="3977" t="s">
        <v>58</v>
      </c>
      <c r="R269" s="3976" t="s">
        <v>59</v>
      </c>
      <c r="S269" s="3977" t="s">
        <v>58</v>
      </c>
      <c r="T269" s="3976" t="s">
        <v>59</v>
      </c>
      <c r="U269" s="3977" t="s">
        <v>58</v>
      </c>
      <c r="V269" s="3976" t="s">
        <v>59</v>
      </c>
      <c r="W269" s="3977" t="s">
        <v>58</v>
      </c>
      <c r="X269" s="3976" t="s">
        <v>59</v>
      </c>
      <c r="Y269" s="3977" t="s">
        <v>58</v>
      </c>
      <c r="Z269" s="3976" t="s">
        <v>59</v>
      </c>
      <c r="AA269" s="3977" t="s">
        <v>58</v>
      </c>
      <c r="AB269" s="3976" t="s">
        <v>59</v>
      </c>
      <c r="AC269" s="3977" t="s">
        <v>58</v>
      </c>
      <c r="AD269" s="3976" t="s">
        <v>59</v>
      </c>
      <c r="AE269" s="3977" t="s">
        <v>58</v>
      </c>
      <c r="AF269" s="3976" t="s">
        <v>59</v>
      </c>
      <c r="AG269" s="3977" t="s">
        <v>58</v>
      </c>
      <c r="AH269" s="3976" t="s">
        <v>59</v>
      </c>
      <c r="AI269" s="3977" t="s">
        <v>58</v>
      </c>
      <c r="AJ269" s="3974" t="s">
        <v>59</v>
      </c>
      <c r="AK269" s="6909"/>
      <c r="AL269" s="6910"/>
    </row>
    <row r="270" spans="1:132" ht="21.6" x14ac:dyDescent="0.3">
      <c r="A270" s="4086" t="s">
        <v>1955</v>
      </c>
      <c r="B270" s="3522">
        <f>SUM(C270:D270)</f>
        <v>0</v>
      </c>
      <c r="C270" s="4094">
        <f>+E270+G270+I270+K270+M270+O270+Q270+S270+U270+W270+Y270+AA270+AC270+AE270+AG270+AI270</f>
        <v>0</v>
      </c>
      <c r="D270" s="4088">
        <f t="shared" ref="C270:D272" si="549">+F270+H270+J270+L270+N270+P270+R270+T270+V270+X270+Z270+AB270+AD270+AF270+AH270+AJ270</f>
        <v>0</v>
      </c>
      <c r="E270" s="4089"/>
      <c r="F270" s="350"/>
      <c r="G270" s="4089"/>
      <c r="H270" s="350"/>
      <c r="I270" s="4089"/>
      <c r="J270" s="350"/>
      <c r="K270" s="4089"/>
      <c r="L270" s="350"/>
      <c r="M270" s="4089"/>
      <c r="N270" s="350"/>
      <c r="O270" s="4089"/>
      <c r="P270" s="350"/>
      <c r="Q270" s="4089"/>
      <c r="R270" s="350"/>
      <c r="S270" s="4089"/>
      <c r="T270" s="350"/>
      <c r="U270" s="4089"/>
      <c r="V270" s="350"/>
      <c r="W270" s="4089"/>
      <c r="X270" s="350"/>
      <c r="Y270" s="4089"/>
      <c r="Z270" s="350"/>
      <c r="AA270" s="4089"/>
      <c r="AB270" s="350"/>
      <c r="AC270" s="4089"/>
      <c r="AD270" s="350"/>
      <c r="AE270" s="4089"/>
      <c r="AF270" s="350"/>
      <c r="AG270" s="4089"/>
      <c r="AH270" s="350"/>
      <c r="AI270" s="4089"/>
      <c r="AJ270" s="352"/>
      <c r="AK270" s="3958"/>
      <c r="AL270" s="350"/>
      <c r="CA270" s="4000"/>
      <c r="DF270" s="1902"/>
      <c r="DG270" s="1902"/>
    </row>
    <row r="271" spans="1:132" ht="21.6" x14ac:dyDescent="0.3">
      <c r="A271" s="4095" t="s">
        <v>1956</v>
      </c>
      <c r="B271" s="4096">
        <f>SUM(C271:D271)</f>
        <v>0</v>
      </c>
      <c r="C271" s="4097">
        <f t="shared" si="549"/>
        <v>0</v>
      </c>
      <c r="D271" s="345">
        <f>+F271+H271+J271+L271+N271+P271+R271+T271+V271+X271+Z271+AB271+AD271+AF271+AH271+AJ271</f>
        <v>0</v>
      </c>
      <c r="E271" s="4089"/>
      <c r="F271" s="350"/>
      <c r="G271" s="4089"/>
      <c r="H271" s="350"/>
      <c r="I271" s="4089"/>
      <c r="J271" s="350"/>
      <c r="K271" s="4089"/>
      <c r="L271" s="350"/>
      <c r="M271" s="4089"/>
      <c r="N271" s="350"/>
      <c r="O271" s="4089"/>
      <c r="P271" s="350"/>
      <c r="Q271" s="4089"/>
      <c r="R271" s="350"/>
      <c r="S271" s="4089"/>
      <c r="T271" s="350"/>
      <c r="U271" s="4089"/>
      <c r="V271" s="350"/>
      <c r="W271" s="4089"/>
      <c r="X271" s="350"/>
      <c r="Y271" s="4089"/>
      <c r="Z271" s="350"/>
      <c r="AA271" s="4089"/>
      <c r="AB271" s="350"/>
      <c r="AC271" s="4089"/>
      <c r="AD271" s="350"/>
      <c r="AE271" s="4089"/>
      <c r="AF271" s="350"/>
      <c r="AG271" s="4089"/>
      <c r="AH271" s="350"/>
      <c r="AI271" s="4089"/>
      <c r="AJ271" s="352"/>
      <c r="AK271" s="3958"/>
      <c r="AL271" s="350"/>
      <c r="AM271" s="1970" t="str">
        <f>$CA271&amp;$CB271</f>
        <v/>
      </c>
      <c r="CA271" s="4027" t="str">
        <f>IF(AND(B271&gt;0,AK271="")," * No olvide digitar la variable pueblos originarios. Digite Cero si no tiene.",IF(AK271&gt;B271," * La variable Pueblos originarios No puede ser mayor al Total Ambos Sexos.",""))</f>
        <v/>
      </c>
      <c r="CB271" s="4027" t="str">
        <f>IF(AND(B271&gt;0,AL271="")," * No olvide digitar la variable Migrantes. Digite Cero si no tiene.",IF(AL271&gt;B271," * La variable Migrantes No puede ser mayor al Total Ambos Sexos.",""))</f>
        <v/>
      </c>
      <c r="CI271" s="1970"/>
      <c r="CJ271" s="1970"/>
      <c r="CK271" s="1970"/>
      <c r="DF271" s="1901">
        <f>IF(AND(B271&gt;0,AK271=""),1,IF(AK271&gt;B271,1,0))</f>
        <v>0</v>
      </c>
      <c r="DG271" s="1901">
        <f>IF(AND(B271&gt;0,AL271=""),1,IF(AL271&gt;B271,1,0))</f>
        <v>0</v>
      </c>
    </row>
    <row r="272" spans="1:132" ht="21.6" x14ac:dyDescent="0.3">
      <c r="A272" s="4098" t="s">
        <v>1957</v>
      </c>
      <c r="B272" s="4099">
        <f>SUM(C272:D272)</f>
        <v>0</v>
      </c>
      <c r="C272" s="4100">
        <f t="shared" si="549"/>
        <v>0</v>
      </c>
      <c r="D272" s="3429">
        <f>+F272+H272+J272+L272+N272+P272+R272+T272+V272+X272+Z272+AB272+AD272+AF272+AH272+AJ272</f>
        <v>0</v>
      </c>
      <c r="E272" s="1289"/>
      <c r="F272" s="311"/>
      <c r="G272" s="1289"/>
      <c r="H272" s="311"/>
      <c r="I272" s="1289"/>
      <c r="J272" s="311"/>
      <c r="K272" s="1289"/>
      <c r="L272" s="311"/>
      <c r="M272" s="1289"/>
      <c r="N272" s="311"/>
      <c r="O272" s="1289"/>
      <c r="P272" s="311"/>
      <c r="Q272" s="1289"/>
      <c r="R272" s="311"/>
      <c r="S272" s="1289"/>
      <c r="T272" s="311"/>
      <c r="U272" s="1289"/>
      <c r="V272" s="311"/>
      <c r="W272" s="1289"/>
      <c r="X272" s="311"/>
      <c r="Y272" s="1289"/>
      <c r="Z272" s="311"/>
      <c r="AA272" s="1289"/>
      <c r="AB272" s="311"/>
      <c r="AC272" s="1289"/>
      <c r="AD272" s="311"/>
      <c r="AE272" s="1289"/>
      <c r="AF272" s="311"/>
      <c r="AG272" s="1289"/>
      <c r="AH272" s="311"/>
      <c r="AI272" s="1289"/>
      <c r="AJ272" s="297"/>
      <c r="AK272" s="3332"/>
      <c r="AL272" s="311"/>
      <c r="AM272" s="1970" t="str">
        <f>$CA272&amp;$CB272</f>
        <v/>
      </c>
      <c r="CA272" s="4027" t="str">
        <f>IF(AND(B272&gt;0,AK272="")," * No olvide digitar la variable pueblos originarios. Digite Cero si no tiene.",IF(AK272&gt;B272," * La variable Pueblos originarios No puede ser mayor al Total Ambos Sexos.",""))</f>
        <v/>
      </c>
      <c r="CB272" s="4027" t="str">
        <f>IF(AND(B272&gt;0,AL272="")," * No olvide digitar la variable Migrantes. Digite Cero si no tiene.",IF(AL272&gt;B272," * La variable Migrantes No puede ser mayor al Total Ambos Sexos.",""))</f>
        <v/>
      </c>
      <c r="DF272" s="1901">
        <f>IF(AND(B272&gt;0,AK272=""),1,IF(AK272&gt;B272,1,0))</f>
        <v>0</v>
      </c>
      <c r="DG272" s="1901">
        <f>IF(AND(B272&gt;0,AL272=""),1,IF(AL272&gt;B272,1,0))</f>
        <v>0</v>
      </c>
    </row>
    <row r="311" spans="1:2" hidden="1" x14ac:dyDescent="0.3">
      <c r="A311" s="105">
        <f>SUM(B13:C30,B35:C52,B57:C74,B79:C96,B101:C118,B123:C140,C144:P148,C152:P156,C161:D183,C188:D210,B215:C221,B226:C232,C237:D259,B264:D265,B270:D272)</f>
        <v>0</v>
      </c>
      <c r="B311" s="105">
        <f>SUM(DF13:EC272)</f>
        <v>0</v>
      </c>
    </row>
  </sheetData>
  <sheetProtection algorithmName="SHA-512" hashValue="JRmlkTyYfRZA2Aj1lMGNQpFEwLakZKuRN52dhCc1HHEZNy9yqgQU3YNFed2KyWVVAK/k82jbkxOFeTA+HysJEw==" saltValue="J8y/SM1szd78PImpx2BRDQ==" spinCount="100000" sheet="1" objects="1" scenarios="1"/>
  <mergeCells count="421">
    <mergeCell ref="AK267:AK269"/>
    <mergeCell ref="AL267:AL269"/>
    <mergeCell ref="E268:F268"/>
    <mergeCell ref="G268:H268"/>
    <mergeCell ref="I268:J268"/>
    <mergeCell ref="K268:L268"/>
    <mergeCell ref="M268:N268"/>
    <mergeCell ref="O268:P268"/>
    <mergeCell ref="Q268:R268"/>
    <mergeCell ref="S268:T268"/>
    <mergeCell ref="A266:AJ266"/>
    <mergeCell ref="A267:A269"/>
    <mergeCell ref="B267:D268"/>
    <mergeCell ref="E267:AJ267"/>
    <mergeCell ref="U268:V268"/>
    <mergeCell ref="W268:X268"/>
    <mergeCell ref="Y268:Z268"/>
    <mergeCell ref="AA268:AB268"/>
    <mergeCell ref="M262:N262"/>
    <mergeCell ref="O262:P262"/>
    <mergeCell ref="Q262:R262"/>
    <mergeCell ref="S262:T262"/>
    <mergeCell ref="U262:V262"/>
    <mergeCell ref="W262:X262"/>
    <mergeCell ref="AC268:AD268"/>
    <mergeCell ref="AE268:AF268"/>
    <mergeCell ref="AG268:AH268"/>
    <mergeCell ref="AI268:AJ268"/>
    <mergeCell ref="A260:AB260"/>
    <mergeCell ref="A261:A263"/>
    <mergeCell ref="B261:D262"/>
    <mergeCell ref="E261:AB261"/>
    <mergeCell ref="AC261:AC263"/>
    <mergeCell ref="AD261:AD263"/>
    <mergeCell ref="E262:F262"/>
    <mergeCell ref="G262:H262"/>
    <mergeCell ref="I262:J262"/>
    <mergeCell ref="K262:L262"/>
    <mergeCell ref="Y262:Z262"/>
    <mergeCell ref="AA262:AB262"/>
    <mergeCell ref="A237:A255"/>
    <mergeCell ref="A256:A259"/>
    <mergeCell ref="AA235:AB235"/>
    <mergeCell ref="AC235:AD235"/>
    <mergeCell ref="AE235:AF235"/>
    <mergeCell ref="AG235:AH235"/>
    <mergeCell ref="AI235:AJ235"/>
    <mergeCell ref="AK235:AL235"/>
    <mergeCell ref="A234:B236"/>
    <mergeCell ref="C234:D235"/>
    <mergeCell ref="E234:AJ234"/>
    <mergeCell ref="AK234:AN234"/>
    <mergeCell ref="AS234:AT235"/>
    <mergeCell ref="AU234:AV235"/>
    <mergeCell ref="AW234:AX235"/>
    <mergeCell ref="E235:F235"/>
    <mergeCell ref="G235:H235"/>
    <mergeCell ref="I235:J235"/>
    <mergeCell ref="K235:L235"/>
    <mergeCell ref="M235:N235"/>
    <mergeCell ref="O235:P235"/>
    <mergeCell ref="Q235:R235"/>
    <mergeCell ref="AM235:AN235"/>
    <mergeCell ref="AO235:AP235"/>
    <mergeCell ref="AQ235:AR235"/>
    <mergeCell ref="AO234:AR234"/>
    <mergeCell ref="S235:T235"/>
    <mergeCell ref="U235:V235"/>
    <mergeCell ref="W235:X235"/>
    <mergeCell ref="Y235:Z235"/>
    <mergeCell ref="AP223:AP225"/>
    <mergeCell ref="AQ223:AQ225"/>
    <mergeCell ref="AL224:AL225"/>
    <mergeCell ref="AM224:AM225"/>
    <mergeCell ref="AN224:AN225"/>
    <mergeCell ref="T224:U224"/>
    <mergeCell ref="V224:W224"/>
    <mergeCell ref="X224:Y224"/>
    <mergeCell ref="Z224:AA224"/>
    <mergeCell ref="AB224:AC224"/>
    <mergeCell ref="AD224:AE224"/>
    <mergeCell ref="AO224:AO225"/>
    <mergeCell ref="AF224:AG224"/>
    <mergeCell ref="AH224:AI224"/>
    <mergeCell ref="AJ224:AK224"/>
    <mergeCell ref="A223:A225"/>
    <mergeCell ref="B223:C224"/>
    <mergeCell ref="D223:AK223"/>
    <mergeCell ref="AL223:AM223"/>
    <mergeCell ref="AN223:AO223"/>
    <mergeCell ref="D224:E224"/>
    <mergeCell ref="F224:G224"/>
    <mergeCell ref="H224:I224"/>
    <mergeCell ref="J224:K224"/>
    <mergeCell ref="L224:M224"/>
    <mergeCell ref="N224:O224"/>
    <mergeCell ref="P224:Q224"/>
    <mergeCell ref="R224:S224"/>
    <mergeCell ref="AL212:AM212"/>
    <mergeCell ref="AN212:AO212"/>
    <mergeCell ref="AP212:AP214"/>
    <mergeCell ref="AQ212:AQ214"/>
    <mergeCell ref="AL213:AL214"/>
    <mergeCell ref="AM213:AM214"/>
    <mergeCell ref="AN213:AN214"/>
    <mergeCell ref="AO213:AO214"/>
    <mergeCell ref="AF213:AG213"/>
    <mergeCell ref="AH213:AI213"/>
    <mergeCell ref="A208:B208"/>
    <mergeCell ref="A209:B209"/>
    <mergeCell ref="A210:B210"/>
    <mergeCell ref="A212:A214"/>
    <mergeCell ref="B212:C213"/>
    <mergeCell ref="D212:AK212"/>
    <mergeCell ref="P213:Q213"/>
    <mergeCell ref="R213:S213"/>
    <mergeCell ref="T213:U213"/>
    <mergeCell ref="V213:W213"/>
    <mergeCell ref="AJ213:AK213"/>
    <mergeCell ref="X213:Y213"/>
    <mergeCell ref="Z213:AA213"/>
    <mergeCell ref="AB213:AC213"/>
    <mergeCell ref="AD213:AE213"/>
    <mergeCell ref="D213:E213"/>
    <mergeCell ref="F213:G213"/>
    <mergeCell ref="H213:I213"/>
    <mergeCell ref="J213:K213"/>
    <mergeCell ref="L213:M213"/>
    <mergeCell ref="N213:O213"/>
    <mergeCell ref="A202:B202"/>
    <mergeCell ref="A203:B203"/>
    <mergeCell ref="A204:B204"/>
    <mergeCell ref="A205:B205"/>
    <mergeCell ref="A206:B206"/>
    <mergeCell ref="A207:B207"/>
    <mergeCell ref="A194:B194"/>
    <mergeCell ref="A195:B195"/>
    <mergeCell ref="A196:B196"/>
    <mergeCell ref="A197:A199"/>
    <mergeCell ref="A200:B200"/>
    <mergeCell ref="A201:B201"/>
    <mergeCell ref="A188:B188"/>
    <mergeCell ref="A189:B189"/>
    <mergeCell ref="A190:B190"/>
    <mergeCell ref="A191:B191"/>
    <mergeCell ref="A192:B192"/>
    <mergeCell ref="A193:B193"/>
    <mergeCell ref="AG186:AH186"/>
    <mergeCell ref="AI186:AJ186"/>
    <mergeCell ref="AK186:AL186"/>
    <mergeCell ref="AK185:AN185"/>
    <mergeCell ref="AO185:AR185"/>
    <mergeCell ref="AS185:AT186"/>
    <mergeCell ref="AU185:AV186"/>
    <mergeCell ref="AW185:AX186"/>
    <mergeCell ref="E186:F186"/>
    <mergeCell ref="G186:H186"/>
    <mergeCell ref="I186:J186"/>
    <mergeCell ref="K186:L186"/>
    <mergeCell ref="M186:N186"/>
    <mergeCell ref="AM186:AN186"/>
    <mergeCell ref="AO186:AP186"/>
    <mergeCell ref="AQ186:AR186"/>
    <mergeCell ref="U186:V186"/>
    <mergeCell ref="W186:X186"/>
    <mergeCell ref="Y186:Z186"/>
    <mergeCell ref="AA186:AB186"/>
    <mergeCell ref="AC186:AD186"/>
    <mergeCell ref="AE186:AF186"/>
    <mergeCell ref="A181:B181"/>
    <mergeCell ref="A182:B182"/>
    <mergeCell ref="A183:B183"/>
    <mergeCell ref="A184:H184"/>
    <mergeCell ref="A185:B187"/>
    <mergeCell ref="C185:D186"/>
    <mergeCell ref="E185:AJ185"/>
    <mergeCell ref="O186:P186"/>
    <mergeCell ref="Q186:R186"/>
    <mergeCell ref="S186:T186"/>
    <mergeCell ref="A175:B175"/>
    <mergeCell ref="A176:B176"/>
    <mergeCell ref="A177:B177"/>
    <mergeCell ref="A178:B178"/>
    <mergeCell ref="A179:B179"/>
    <mergeCell ref="A180:B180"/>
    <mergeCell ref="A167:B167"/>
    <mergeCell ref="A168:B168"/>
    <mergeCell ref="A169:B169"/>
    <mergeCell ref="A170:A172"/>
    <mergeCell ref="A173:B173"/>
    <mergeCell ref="A174:B174"/>
    <mergeCell ref="A161:B161"/>
    <mergeCell ref="A162:B162"/>
    <mergeCell ref="A163:B163"/>
    <mergeCell ref="A164:B164"/>
    <mergeCell ref="A165:B165"/>
    <mergeCell ref="A166:B166"/>
    <mergeCell ref="AG159:AH159"/>
    <mergeCell ref="AI159:AJ159"/>
    <mergeCell ref="AK159:AL159"/>
    <mergeCell ref="AK158:AN158"/>
    <mergeCell ref="AO158:AR158"/>
    <mergeCell ref="AS158:AT159"/>
    <mergeCell ref="AU158:AV159"/>
    <mergeCell ref="AW158:AX159"/>
    <mergeCell ref="E159:F159"/>
    <mergeCell ref="G159:H159"/>
    <mergeCell ref="I159:J159"/>
    <mergeCell ref="K159:L159"/>
    <mergeCell ref="M159:N159"/>
    <mergeCell ref="AM159:AN159"/>
    <mergeCell ref="AO159:AP159"/>
    <mergeCell ref="AQ159:AR159"/>
    <mergeCell ref="U159:V159"/>
    <mergeCell ref="W159:X159"/>
    <mergeCell ref="Y159:Z159"/>
    <mergeCell ref="AA159:AB159"/>
    <mergeCell ref="AC159:AD159"/>
    <mergeCell ref="AE159:AF159"/>
    <mergeCell ref="A152:B152"/>
    <mergeCell ref="A153:A155"/>
    <mergeCell ref="A156:B156"/>
    <mergeCell ref="A157:H157"/>
    <mergeCell ref="A158:B160"/>
    <mergeCell ref="C158:D159"/>
    <mergeCell ref="E158:AJ158"/>
    <mergeCell ref="O159:P159"/>
    <mergeCell ref="Q159:R159"/>
    <mergeCell ref="S159:T159"/>
    <mergeCell ref="A144:B144"/>
    <mergeCell ref="A145:A147"/>
    <mergeCell ref="A148:B148"/>
    <mergeCell ref="A149:P149"/>
    <mergeCell ref="A150:B151"/>
    <mergeCell ref="C150:E150"/>
    <mergeCell ref="F150:H150"/>
    <mergeCell ref="I150:K150"/>
    <mergeCell ref="L150:N150"/>
    <mergeCell ref="O150:P150"/>
    <mergeCell ref="A141:P141"/>
    <mergeCell ref="A142:B143"/>
    <mergeCell ref="C142:E142"/>
    <mergeCell ref="F142:H142"/>
    <mergeCell ref="I142:K142"/>
    <mergeCell ref="L142:N142"/>
    <mergeCell ref="O142:P142"/>
    <mergeCell ref="AH121:AI121"/>
    <mergeCell ref="AJ121:AK121"/>
    <mergeCell ref="V121:W121"/>
    <mergeCell ref="X121:Y121"/>
    <mergeCell ref="Z121:AA121"/>
    <mergeCell ref="AB121:AC121"/>
    <mergeCell ref="AD121:AE121"/>
    <mergeCell ref="AF121:AG121"/>
    <mergeCell ref="A120:A122"/>
    <mergeCell ref="B120:C121"/>
    <mergeCell ref="AT120:AU121"/>
    <mergeCell ref="AV120:AV122"/>
    <mergeCell ref="AW120:AW122"/>
    <mergeCell ref="D121:E121"/>
    <mergeCell ref="F121:G121"/>
    <mergeCell ref="H121:I121"/>
    <mergeCell ref="J121:K121"/>
    <mergeCell ref="L121:M121"/>
    <mergeCell ref="N121:O121"/>
    <mergeCell ref="P121:Q121"/>
    <mergeCell ref="AS121:AS122"/>
    <mergeCell ref="AL121:AM121"/>
    <mergeCell ref="AN121:AO121"/>
    <mergeCell ref="AP121:AQ121"/>
    <mergeCell ref="AR121:AR122"/>
    <mergeCell ref="D120:AQ120"/>
    <mergeCell ref="AR120:AS120"/>
    <mergeCell ref="R121:S121"/>
    <mergeCell ref="T121:U121"/>
    <mergeCell ref="AV98:AV100"/>
    <mergeCell ref="AW98:AW100"/>
    <mergeCell ref="D99:E99"/>
    <mergeCell ref="F99:G99"/>
    <mergeCell ref="H99:I99"/>
    <mergeCell ref="J99:K99"/>
    <mergeCell ref="L99:M99"/>
    <mergeCell ref="N99:O99"/>
    <mergeCell ref="P99:Q99"/>
    <mergeCell ref="R99:S99"/>
    <mergeCell ref="AN99:AO99"/>
    <mergeCell ref="AP99:AQ99"/>
    <mergeCell ref="AR99:AR100"/>
    <mergeCell ref="AS99:AS100"/>
    <mergeCell ref="A98:A100"/>
    <mergeCell ref="B98:C99"/>
    <mergeCell ref="D98:AQ98"/>
    <mergeCell ref="AR98:AS98"/>
    <mergeCell ref="AT98:AU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L99:AM99"/>
    <mergeCell ref="AV76:AV78"/>
    <mergeCell ref="AW76:AW78"/>
    <mergeCell ref="D77:E77"/>
    <mergeCell ref="F77:G77"/>
    <mergeCell ref="H77:I77"/>
    <mergeCell ref="J77:K77"/>
    <mergeCell ref="L77:M77"/>
    <mergeCell ref="N77:O77"/>
    <mergeCell ref="P77:Q77"/>
    <mergeCell ref="AS77:AS78"/>
    <mergeCell ref="AH77:AI77"/>
    <mergeCell ref="AJ77:AK77"/>
    <mergeCell ref="AL77:AM77"/>
    <mergeCell ref="AN77:AO77"/>
    <mergeCell ref="AP77:AQ77"/>
    <mergeCell ref="AR77:AR78"/>
    <mergeCell ref="V77:W77"/>
    <mergeCell ref="X77:Y77"/>
    <mergeCell ref="Z77:AA77"/>
    <mergeCell ref="AB77:AC77"/>
    <mergeCell ref="AD77:AE77"/>
    <mergeCell ref="AF77:AG77"/>
    <mergeCell ref="AT76:AU77"/>
    <mergeCell ref="A76:A78"/>
    <mergeCell ref="B76:C77"/>
    <mergeCell ref="D76:AQ76"/>
    <mergeCell ref="AR76:AS76"/>
    <mergeCell ref="R77:S77"/>
    <mergeCell ref="T77:U77"/>
    <mergeCell ref="AB55:AC55"/>
    <mergeCell ref="AD55:AE55"/>
    <mergeCell ref="AF55:AG55"/>
    <mergeCell ref="AH55:AI55"/>
    <mergeCell ref="AJ55:AK55"/>
    <mergeCell ref="AL55:AM55"/>
    <mergeCell ref="A54:A56"/>
    <mergeCell ref="B54:C55"/>
    <mergeCell ref="AV54:AV56"/>
    <mergeCell ref="AW54:AW56"/>
    <mergeCell ref="D55:E55"/>
    <mergeCell ref="F55:G55"/>
    <mergeCell ref="H55:I55"/>
    <mergeCell ref="J55:K55"/>
    <mergeCell ref="L55:M55"/>
    <mergeCell ref="N55:O55"/>
    <mergeCell ref="P55:Q55"/>
    <mergeCell ref="R55:S55"/>
    <mergeCell ref="AN55:AO55"/>
    <mergeCell ref="AP55:AQ55"/>
    <mergeCell ref="AR55:AR56"/>
    <mergeCell ref="AS55:AS56"/>
    <mergeCell ref="D54:AQ54"/>
    <mergeCell ref="AR54:AS54"/>
    <mergeCell ref="AT54:AU55"/>
    <mergeCell ref="T55:U55"/>
    <mergeCell ref="V55:W55"/>
    <mergeCell ref="X55:Y55"/>
    <mergeCell ref="Z55:AA55"/>
    <mergeCell ref="AV32:AV34"/>
    <mergeCell ref="AW32:AW34"/>
    <mergeCell ref="D33:E33"/>
    <mergeCell ref="F33:G33"/>
    <mergeCell ref="H33:I33"/>
    <mergeCell ref="J33:K33"/>
    <mergeCell ref="L33:M33"/>
    <mergeCell ref="N33:O33"/>
    <mergeCell ref="P33:Q33"/>
    <mergeCell ref="AS33:AS34"/>
    <mergeCell ref="AH33:AI33"/>
    <mergeCell ref="AJ33:AK33"/>
    <mergeCell ref="AL33:AM33"/>
    <mergeCell ref="AN33:AO33"/>
    <mergeCell ref="AP33:AQ33"/>
    <mergeCell ref="AR33:AR34"/>
    <mergeCell ref="V33:W33"/>
    <mergeCell ref="X33:Y33"/>
    <mergeCell ref="Z33:AA33"/>
    <mergeCell ref="AB33:AC33"/>
    <mergeCell ref="AD33:AE33"/>
    <mergeCell ref="AF33:AG33"/>
    <mergeCell ref="AT32:AU33"/>
    <mergeCell ref="A32:A34"/>
    <mergeCell ref="B32:C33"/>
    <mergeCell ref="D32:AQ32"/>
    <mergeCell ref="AR32:AS32"/>
    <mergeCell ref="R33:S33"/>
    <mergeCell ref="T33:U33"/>
    <mergeCell ref="AB11:AC11"/>
    <mergeCell ref="AD11:AE11"/>
    <mergeCell ref="AF11:AG11"/>
    <mergeCell ref="AH11:AI11"/>
    <mergeCell ref="AJ11:AK11"/>
    <mergeCell ref="AL11:AM11"/>
    <mergeCell ref="AV10:AV12"/>
    <mergeCell ref="AW10:AW12"/>
    <mergeCell ref="D11:E11"/>
    <mergeCell ref="F11:G11"/>
    <mergeCell ref="H11:I11"/>
    <mergeCell ref="J11:K11"/>
    <mergeCell ref="L11:M11"/>
    <mergeCell ref="N11:O11"/>
    <mergeCell ref="P11:Q11"/>
    <mergeCell ref="R11:S11"/>
    <mergeCell ref="AN11:AO11"/>
    <mergeCell ref="AP11:AQ11"/>
    <mergeCell ref="AR11:AR12"/>
    <mergeCell ref="AS11:AS12"/>
    <mergeCell ref="A6:P6"/>
    <mergeCell ref="A10:A12"/>
    <mergeCell ref="B10:C11"/>
    <mergeCell ref="D10:AQ10"/>
    <mergeCell ref="AR10:AS10"/>
    <mergeCell ref="AT10:AU11"/>
    <mergeCell ref="T11:U11"/>
    <mergeCell ref="V11:W11"/>
    <mergeCell ref="X11:Y11"/>
    <mergeCell ref="Z11:AA11"/>
  </mergeCells>
  <dataValidations count="8">
    <dataValidation type="whole" operator="greaterThanOrEqual" allowBlank="1" showInputMessage="1" showErrorMessage="1" sqref="C144:P148 C152:P156 E264:AD265" xr:uid="{00000000-0002-0000-0A00-000000000000}">
      <formula1>0</formula1>
    </dataValidation>
    <dataValidation type="whole" allowBlank="1" showInputMessage="1" showErrorMessage="1" sqref="D13:AW30 E188:AX210 D215:AQ221" xr:uid="{CD57D41A-17DB-406C-AFE8-357C7D64F398}">
      <formula1>0</formula1>
      <formula2>9.99999999999999E+38</formula2>
    </dataValidation>
    <dataValidation type="whole" allowBlank="1" showInputMessage="1" showErrorMessage="1" sqref="D35:AW52 D123:AW140" xr:uid="{04410DCE-6EC5-4213-9BB1-5100B1DFFA8D}">
      <formula1>0</formula1>
      <formula2>9.99999999999999E+40</formula2>
    </dataValidation>
    <dataValidation type="whole" allowBlank="1" showInputMessage="1" showErrorMessage="1" sqref="D57:AW74" xr:uid="{15BE333C-F3AE-411E-9AA5-7A21604B3572}">
      <formula1>0</formula1>
      <formula2>9.99999999999999E+39</formula2>
    </dataValidation>
    <dataValidation type="whole" allowBlank="1" showInputMessage="1" showErrorMessage="1" sqref="D101:AW118 E161:AX183 D226:AQ232" xr:uid="{0DE5C3DA-0807-4114-ABB6-C7749E3C91DD}">
      <formula1>0</formula1>
      <formula2>9.99999999999999E+36</formula2>
    </dataValidation>
    <dataValidation type="whole" allowBlank="1" showInputMessage="1" showErrorMessage="1" sqref="D79:AW96" xr:uid="{F79A7598-E898-4859-BFA3-F5D637B3F9E7}">
      <formula1>0</formula1>
      <formula2>9.99999999999999E+44</formula2>
    </dataValidation>
    <dataValidation type="whole" allowBlank="1" showInputMessage="1" showErrorMessage="1" sqref="E237:AX259" xr:uid="{E8308E84-8A6E-41D7-9B1E-24DD620F4345}">
      <formula1>0</formula1>
      <formula2>9.99999999999999E+35</formula2>
    </dataValidation>
    <dataValidation type="whole" allowBlank="1" showInputMessage="1" showErrorMessage="1" sqref="E270:AL272" xr:uid="{85B27250-12AB-4F64-A867-93D10E2A9E48}">
      <formula1>0</formula1>
      <formula2>9.99999999999999E+41</formula2>
    </dataValidation>
  </dataValidations>
  <pageMargins left="0.7" right="0.7" top="0.75" bottom="0.75" header="0.3" footer="0.3"/>
  <pageSetup paperSize="9" orientation="portrait" r:id="rId1"/>
  <ignoredErrors>
    <ignoredError sqref="CA18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CI150"/>
  <sheetViews>
    <sheetView showGridLines="0" workbookViewId="0"/>
  </sheetViews>
  <sheetFormatPr baseColWidth="10" defaultColWidth="11.44140625" defaultRowHeight="14.4" x14ac:dyDescent="0.3"/>
  <cols>
    <col min="1" max="1" width="60.109375" customWidth="1"/>
    <col min="2" max="2" width="12" customWidth="1"/>
    <col min="3" max="3" width="12.6640625" customWidth="1"/>
    <col min="78" max="78" width="11.44140625" customWidth="1"/>
    <col min="79" max="87" width="11.44140625" hidden="1" customWidth="1"/>
    <col min="88" max="95" width="0" hidden="1" customWidth="1"/>
  </cols>
  <sheetData>
    <row r="1" spans="1:86" x14ac:dyDescent="0.3">
      <c r="A1" s="50" t="s">
        <v>23</v>
      </c>
    </row>
    <row r="2" spans="1:86" x14ac:dyDescent="0.3">
      <c r="A2" s="50" t="str">
        <f>CONCATENATE("COMUNA: ",NOMBRE!B2, " (",NOMBRE!C2,NOMBRE!D2,NOMBRE!E2,NOMBRE!F2,NOMBRE!G2,")")</f>
        <v>COMUNA:  ()</v>
      </c>
    </row>
    <row r="3" spans="1:86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86" x14ac:dyDescent="0.3">
      <c r="A4" s="50" t="str">
        <f>CONCATENATE("MES: ",NOMBRE!B6, " (",NOMBRE!C6,NOMBRE!D6,")")</f>
        <v>MES:  ()</v>
      </c>
    </row>
    <row r="5" spans="1:86" x14ac:dyDescent="0.3">
      <c r="A5" s="50" t="str">
        <f>CONCATENATE("AÑO: ",NOMBRE!B7)</f>
        <v>AÑO: 2025</v>
      </c>
    </row>
    <row r="6" spans="1:86" ht="18" customHeight="1" x14ac:dyDescent="0.3">
      <c r="A6" s="5819" t="s">
        <v>1958</v>
      </c>
      <c r="B6" s="5819"/>
      <c r="C6" s="5819"/>
      <c r="D6" s="5819"/>
      <c r="E6" s="5819"/>
      <c r="F6" s="5819"/>
      <c r="G6" s="5819"/>
      <c r="H6" s="5819"/>
      <c r="I6" s="5819"/>
      <c r="J6" s="5819"/>
      <c r="K6" s="5819"/>
      <c r="L6" s="5819"/>
      <c r="M6" s="5819"/>
    </row>
    <row r="8" spans="1:86" ht="18" customHeight="1" x14ac:dyDescent="0.3">
      <c r="A8" s="6926" t="s">
        <v>1959</v>
      </c>
      <c r="B8" s="6926"/>
      <c r="C8" s="6926"/>
      <c r="D8" s="6926"/>
      <c r="E8" s="6926"/>
      <c r="F8" s="6926"/>
      <c r="G8" s="6926"/>
      <c r="H8" s="6926"/>
      <c r="I8" s="6926"/>
      <c r="J8" s="6926"/>
      <c r="K8" s="6926"/>
      <c r="L8" s="4101"/>
      <c r="M8" s="4101"/>
    </row>
    <row r="9" spans="1:86" x14ac:dyDescent="0.3">
      <c r="A9" s="6916"/>
      <c r="B9" s="6883" t="s">
        <v>77</v>
      </c>
      <c r="C9" s="6902" t="s">
        <v>1960</v>
      </c>
      <c r="D9" s="6903"/>
      <c r="E9" s="6903"/>
      <c r="F9" s="6903"/>
      <c r="G9" s="6903"/>
      <c r="H9" s="6903"/>
      <c r="I9" s="6903"/>
      <c r="J9" s="6903"/>
      <c r="K9" s="6904"/>
      <c r="L9" s="6923" t="s">
        <v>36</v>
      </c>
      <c r="M9" s="6330" t="s">
        <v>37</v>
      </c>
    </row>
    <row r="10" spans="1:86" x14ac:dyDescent="0.3">
      <c r="A10" s="6917"/>
      <c r="B10" s="6885"/>
      <c r="C10" s="4102" t="s">
        <v>94</v>
      </c>
      <c r="D10" s="4103" t="s">
        <v>44</v>
      </c>
      <c r="E10" s="4103" t="s">
        <v>45</v>
      </c>
      <c r="F10" s="4103" t="s">
        <v>46</v>
      </c>
      <c r="G10" s="4103" t="s">
        <v>47</v>
      </c>
      <c r="H10" s="4103" t="s">
        <v>48</v>
      </c>
      <c r="I10" s="4103" t="s">
        <v>49</v>
      </c>
      <c r="J10" s="4103" t="s">
        <v>50</v>
      </c>
      <c r="K10" s="4054" t="s">
        <v>51</v>
      </c>
      <c r="L10" s="5904"/>
      <c r="M10" s="6910"/>
    </row>
    <row r="11" spans="1:86" ht="18" customHeight="1" x14ac:dyDescent="0.3">
      <c r="A11" s="937" t="s">
        <v>1961</v>
      </c>
      <c r="B11" s="4104"/>
      <c r="C11" s="4105"/>
      <c r="D11" s="4105"/>
      <c r="E11" s="4105"/>
      <c r="F11" s="4105"/>
      <c r="G11" s="4105"/>
      <c r="H11" s="4105"/>
      <c r="I11" s="4105"/>
      <c r="J11" s="4105"/>
      <c r="K11" s="4106"/>
      <c r="L11" s="4107"/>
      <c r="M11" s="4108"/>
    </row>
    <row r="12" spans="1:86" ht="21.6" x14ac:dyDescent="0.3">
      <c r="A12" s="4109" t="s">
        <v>1962</v>
      </c>
      <c r="B12" s="4110">
        <f>SUM(C12:K12)</f>
        <v>0</v>
      </c>
      <c r="C12" s="3361"/>
      <c r="D12" s="960"/>
      <c r="E12" s="960"/>
      <c r="F12" s="960"/>
      <c r="G12" s="960"/>
      <c r="H12" s="960"/>
      <c r="I12" s="960"/>
      <c r="J12" s="960"/>
      <c r="K12" s="4035"/>
      <c r="L12" s="3126"/>
      <c r="M12" s="4013"/>
      <c r="N12" s="1970" t="str">
        <f>$CA12&amp;CB12</f>
        <v/>
      </c>
      <c r="CA12" s="4027" t="str">
        <f>IF(AND(B12&gt;0,L12="")," * No olvide digitar la variable Pueblos Originarios. Digite cero si no tiene.",IF(L12&gt;B12, " * La variable Pueblos Originarios no puede ser mayor al Total.",""))</f>
        <v/>
      </c>
      <c r="CB12" s="4027" t="str">
        <f>IF(AND(B12&gt;0,M12="")," * No olvide digitar la variable Migrantes. Digite cero si no tiene.",IF(M12&gt;B12, " * La variable Migrantes no puede ser mayor al Total.",""))</f>
        <v/>
      </c>
      <c r="CC12" s="1970"/>
      <c r="CD12" s="1970"/>
      <c r="CG12" s="1901">
        <f>IF(AND(B12&gt;0,L12=""),1,IF(L12&gt;B12,1,0))</f>
        <v>0</v>
      </c>
      <c r="CH12" s="1901">
        <f>IF(AND(B12&gt;0,M12=""),1,IF(M12&gt;B12,1,0))</f>
        <v>0</v>
      </c>
    </row>
    <row r="13" spans="1:86" x14ac:dyDescent="0.3">
      <c r="A13" s="4111" t="s">
        <v>1963</v>
      </c>
      <c r="B13" s="3429">
        <f>SUM(C13:K13)</f>
        <v>0</v>
      </c>
      <c r="C13" s="897"/>
      <c r="D13" s="1914"/>
      <c r="E13" s="1914"/>
      <c r="F13" s="1914"/>
      <c r="G13" s="1914"/>
      <c r="H13" s="1914"/>
      <c r="I13" s="1914"/>
      <c r="J13" s="1914"/>
      <c r="K13" s="3430"/>
      <c r="L13" s="2109"/>
      <c r="M13" s="3499"/>
      <c r="N13" s="1970" t="str">
        <f t="shared" ref="N13:N19" si="0">$CA13&amp;CB13</f>
        <v/>
      </c>
      <c r="CA13" s="4027" t="str">
        <f>IF(AND(B13&gt;0,L13="")," * No olvide digitar la variable Pueblos Originarios. Digite cero si no tiene.",IF(L13&gt;B13, " * La variable Pueblos Originarios no puede ser mayor al Total.",""))</f>
        <v/>
      </c>
      <c r="CB13" s="4027" t="str">
        <f>IF(AND(B13&gt;0,M13="")," * No olvide digitar la variable Migrantes. Digite cero si no tiene.",IF(M13&gt;B13, " * La variable Migrantes no puede ser mayor al Total.",""))</f>
        <v/>
      </c>
      <c r="CG13" s="1901">
        <f>IF(AND(B13&gt;0,L13=""),1,IF(L13&gt;B13,1,0))</f>
        <v>0</v>
      </c>
      <c r="CH13" s="1901">
        <f>IF(AND(B13&gt;0,M13=""),1,IF(M13&gt;B13,1,0))</f>
        <v>0</v>
      </c>
    </row>
    <row r="14" spans="1:86" ht="18" customHeight="1" x14ac:dyDescent="0.3">
      <c r="A14" s="328" t="s">
        <v>1964</v>
      </c>
      <c r="B14" s="4112"/>
      <c r="C14" s="4113"/>
      <c r="D14" s="4113"/>
      <c r="E14" s="4113"/>
      <c r="F14" s="4113"/>
      <c r="G14" s="4113"/>
      <c r="H14" s="4113"/>
      <c r="I14" s="4113"/>
      <c r="J14" s="4113"/>
      <c r="K14" s="4114"/>
      <c r="L14" s="4115"/>
      <c r="M14" s="3672"/>
      <c r="N14" s="1970" t="str">
        <f t="shared" si="0"/>
        <v/>
      </c>
      <c r="CA14" s="1971"/>
    </row>
    <row r="15" spans="1:86" ht="21.6" x14ac:dyDescent="0.3">
      <c r="A15" s="4109" t="s">
        <v>1965</v>
      </c>
      <c r="B15" s="3983">
        <f>SUM(C15:K15)</f>
        <v>0</v>
      </c>
      <c r="C15" s="3361"/>
      <c r="D15" s="960"/>
      <c r="E15" s="960"/>
      <c r="F15" s="960"/>
      <c r="G15" s="960"/>
      <c r="H15" s="960"/>
      <c r="I15" s="960"/>
      <c r="J15" s="960"/>
      <c r="K15" s="4035"/>
      <c r="L15" s="3126"/>
      <c r="M15" s="4013"/>
      <c r="N15" s="1970" t="str">
        <f t="shared" si="0"/>
        <v/>
      </c>
      <c r="CA15" s="4027" t="str">
        <f>IF(AND(B15&gt;0,L15="")," * No olvide digitar la variable Pueblos Originarios. Digite cero si no tiene.",IF(L15&gt;B15, " * La variable Pueblos Originarios no puede ser mayor al Total.",""))</f>
        <v/>
      </c>
      <c r="CB15" s="4027" t="str">
        <f t="shared" ref="CB15:CB16" si="1">IF(AND(B15&gt;0,M15="")," * No olvide digitar la variable Migrantes. Digite cero si no tiene.",IF(M15&gt;B15, " * La variable Migrantes no puede ser mayor al Total.",""))</f>
        <v/>
      </c>
      <c r="CG15" s="1901">
        <f t="shared" ref="CG15:CG16" si="2">IF(AND(B15&gt;0,L15=""),1,IF(L15&gt;B15,1,0))</f>
        <v>0</v>
      </c>
      <c r="CH15" s="1901">
        <f t="shared" ref="CH15:CH16" si="3">IF(AND(B15&gt;0,M15=""),1,IF(M15&gt;B15,1,0))</f>
        <v>0</v>
      </c>
    </row>
    <row r="16" spans="1:86" x14ac:dyDescent="0.3">
      <c r="A16" s="4111" t="s">
        <v>1966</v>
      </c>
      <c r="B16" s="3429">
        <f>SUM(C16:K16)</f>
        <v>0</v>
      </c>
      <c r="C16" s="897"/>
      <c r="D16" s="1914"/>
      <c r="E16" s="1914"/>
      <c r="F16" s="1914"/>
      <c r="G16" s="1914"/>
      <c r="H16" s="1914"/>
      <c r="I16" s="1914"/>
      <c r="J16" s="1914"/>
      <c r="K16" s="3430"/>
      <c r="L16" s="2109"/>
      <c r="M16" s="3499"/>
      <c r="N16" s="1970" t="str">
        <f t="shared" si="0"/>
        <v/>
      </c>
      <c r="CA16" s="4027" t="str">
        <f>IF(AND(B16&gt;0,L16="")," * No olvide digitar la variable Pueblos Originarios. Digite cero si no tiene.",IF(L16&gt;B16, " * La variable Pueblos Originarios no puede ser mayor al Total.",""))</f>
        <v/>
      </c>
      <c r="CB16" s="4027" t="str">
        <f t="shared" si="1"/>
        <v/>
      </c>
      <c r="CG16" s="1901">
        <f t="shared" si="2"/>
        <v>0</v>
      </c>
      <c r="CH16" s="1901">
        <f t="shared" si="3"/>
        <v>0</v>
      </c>
    </row>
    <row r="17" spans="1:86" ht="18" customHeight="1" x14ac:dyDescent="0.3">
      <c r="A17" s="938" t="s">
        <v>1967</v>
      </c>
      <c r="B17" s="4112"/>
      <c r="C17" s="4113"/>
      <c r="D17" s="4113"/>
      <c r="E17" s="4113"/>
      <c r="F17" s="4113"/>
      <c r="G17" s="4113"/>
      <c r="H17" s="4113"/>
      <c r="I17" s="4113"/>
      <c r="J17" s="4113"/>
      <c r="K17" s="4114"/>
      <c r="L17" s="4115"/>
      <c r="M17" s="3672"/>
      <c r="N17" s="1970" t="str">
        <f t="shared" si="0"/>
        <v/>
      </c>
      <c r="CA17" s="1971"/>
    </row>
    <row r="18" spans="1:86" ht="21.6" x14ac:dyDescent="0.3">
      <c r="A18" s="3277" t="s">
        <v>1968</v>
      </c>
      <c r="B18" s="141">
        <f>SUM(C18:K18)</f>
        <v>0</v>
      </c>
      <c r="C18" s="327"/>
      <c r="D18" s="1039"/>
      <c r="E18" s="1039"/>
      <c r="F18" s="1039"/>
      <c r="G18" s="1039"/>
      <c r="H18" s="1039"/>
      <c r="I18" s="1039"/>
      <c r="J18" s="1039"/>
      <c r="K18" s="1918"/>
      <c r="L18" s="337"/>
      <c r="M18" s="142"/>
      <c r="N18" s="1970" t="str">
        <f t="shared" si="0"/>
        <v/>
      </c>
      <c r="CA18" s="4027" t="str">
        <f>IF(AND(B18&gt;0,L18="")," * No olvide digitar la variable Pueblos Originarios. Digite cero si no tiene.",IF(L18&gt;B18, " * La variable Pueblos Originarios no puede ser mayor al Total.",""))</f>
        <v/>
      </c>
      <c r="CB18" s="4027" t="str">
        <f t="shared" ref="CB18:CB19" si="4">IF(AND(B18&gt;0,M18="")," * No olvide digitar la variable Migrantes. Digite cero si no tiene.",IF(M18&gt;B18, " * La variable Migrantes no puede ser mayor al Total.",""))</f>
        <v/>
      </c>
      <c r="CG18" s="1901">
        <f t="shared" ref="CG18:CG19" si="5">IF(AND(B18&gt;0,L18=""),1,IF(L18&gt;B18,1,0))</f>
        <v>0</v>
      </c>
      <c r="CH18" s="1901">
        <f t="shared" ref="CH18:CH19" si="6">IF(AND(B18&gt;0,M18=""),1,IF(M18&gt;B18,1,0))</f>
        <v>0</v>
      </c>
    </row>
    <row r="19" spans="1:86" x14ac:dyDescent="0.3">
      <c r="A19" s="4111" t="s">
        <v>1966</v>
      </c>
      <c r="B19" s="3429">
        <f>SUM(C19:K19)</f>
        <v>0</v>
      </c>
      <c r="C19" s="897"/>
      <c r="D19" s="1914"/>
      <c r="E19" s="1914"/>
      <c r="F19" s="1914"/>
      <c r="G19" s="1914"/>
      <c r="H19" s="1914"/>
      <c r="I19" s="1914"/>
      <c r="J19" s="1914"/>
      <c r="K19" s="3430"/>
      <c r="L19" s="2109"/>
      <c r="M19" s="3499"/>
      <c r="N19" s="1970" t="str">
        <f t="shared" si="0"/>
        <v/>
      </c>
      <c r="CA19" s="4027" t="str">
        <f>IF(AND(B19&gt;0,L19="")," * No olvide digitar la variable Pueblos Originarios. Digite cero si no tiene.",IF(L19&gt;B19, " * La variable Pueblos Originarios no puede ser mayor al Total.",""))</f>
        <v/>
      </c>
      <c r="CB19" s="4027" t="str">
        <f t="shared" si="4"/>
        <v/>
      </c>
      <c r="CG19" s="1901">
        <f t="shared" si="5"/>
        <v>0</v>
      </c>
      <c r="CH19" s="1901">
        <f t="shared" si="6"/>
        <v>0</v>
      </c>
    </row>
    <row r="20" spans="1:86" ht="18" customHeight="1" x14ac:dyDescent="0.3">
      <c r="A20" s="6915" t="s">
        <v>1969</v>
      </c>
      <c r="B20" s="6915"/>
      <c r="C20" s="6915"/>
      <c r="D20" s="6915"/>
      <c r="CA20" s="1971"/>
    </row>
    <row r="21" spans="1:86" ht="20.399999999999999" x14ac:dyDescent="0.3">
      <c r="A21" s="4116"/>
      <c r="B21" s="4045" t="s">
        <v>77</v>
      </c>
      <c r="C21" s="4117" t="s">
        <v>36</v>
      </c>
      <c r="D21" s="4020" t="s">
        <v>37</v>
      </c>
      <c r="CA21" s="1971"/>
    </row>
    <row r="22" spans="1:86" ht="31.8" x14ac:dyDescent="0.3">
      <c r="A22" s="3277" t="s">
        <v>1970</v>
      </c>
      <c r="B22" s="3426"/>
      <c r="C22" s="3126"/>
      <c r="D22" s="4013"/>
      <c r="E22" s="1898" t="str">
        <f>CA22&amp;CB22</f>
        <v/>
      </c>
      <c r="CA22" s="4027" t="str">
        <f>IF(AND(B22&gt;0,C22="")," * No olvide digitar la variable Pueblos Originarios. Digite cero si no tiene.",IF(C22&gt;B22, " * La variable Pueblos Originarios no puede ser mayor al Total.",""))</f>
        <v/>
      </c>
      <c r="CB22" s="4027" t="str">
        <f>IF(AND(B22&gt;0,D22="")," * No olvide digitar la variable Migrantes. Digite cero si no tiene.",IF(D22&gt;B22, " * La variable Migrantes no puede ser mayor al Total.",""))</f>
        <v/>
      </c>
      <c r="CG22" s="3989">
        <f>IF(AND(B22&gt;0,C22=""),1,IF(C22&gt;B22,1,0))</f>
        <v>0</v>
      </c>
      <c r="CH22" s="3989">
        <f>IF(AND(B22&gt;0,D22=""),1,IF(D22&gt;B22,1,0))</f>
        <v>0</v>
      </c>
    </row>
    <row r="23" spans="1:86" ht="21.6" x14ac:dyDescent="0.3">
      <c r="A23" s="2708" t="s">
        <v>1971</v>
      </c>
      <c r="B23" s="3431"/>
      <c r="C23" s="2109"/>
      <c r="D23" s="3499"/>
      <c r="E23" s="1898" t="str">
        <f>CA23&amp;CB23</f>
        <v/>
      </c>
      <c r="CA23" s="4027" t="str">
        <f>IF(AND(B23&gt;0,C23="")," * No olvide digitar la variable Pueblos Originarios. Digite cero si no tiene.",IF(C23&gt;B23, " * La variable Pueblos Originarios no puede ser mayor al Total.",""))</f>
        <v/>
      </c>
      <c r="CB23" s="4027" t="str">
        <f>IF(AND(B23&gt;0,D23="")," * No olvide digitar la variable Migrantes. Digite cero si no tiene.",IF(D23&gt;B23, " * La variable Migrantes no puede ser mayor al Total.",""))</f>
        <v/>
      </c>
      <c r="CG23" s="3989">
        <f>IF(AND(B23&gt;0,C23=""),1,IF(C23&gt;B23,1,0))</f>
        <v>0</v>
      </c>
      <c r="CH23" s="3989">
        <f>IF(AND(B23&gt;0,D23=""),1,IF(D23&gt;B23,1,0))</f>
        <v>0</v>
      </c>
    </row>
    <row r="24" spans="1:86" ht="18" customHeight="1" x14ac:dyDescent="0.3">
      <c r="A24" s="6918" t="s">
        <v>1972</v>
      </c>
      <c r="B24" s="6918"/>
      <c r="C24" s="6918"/>
      <c r="D24" s="6918"/>
      <c r="E24" s="6918"/>
      <c r="F24" s="6918"/>
      <c r="G24" s="6918"/>
      <c r="H24" s="6918"/>
      <c r="I24" s="6918"/>
      <c r="J24" s="6918"/>
      <c r="K24" s="6918"/>
      <c r="CA24" s="1971"/>
    </row>
    <row r="25" spans="1:86" x14ac:dyDescent="0.3">
      <c r="A25" s="6924"/>
      <c r="B25" s="6916" t="s">
        <v>77</v>
      </c>
      <c r="C25" s="6903" t="s">
        <v>1960</v>
      </c>
      <c r="D25" s="6903"/>
      <c r="E25" s="6903"/>
      <c r="F25" s="6903"/>
      <c r="G25" s="6903"/>
      <c r="H25" s="6903"/>
      <c r="I25" s="6903"/>
      <c r="J25" s="6903"/>
      <c r="K25" s="6904"/>
      <c r="L25" s="6330" t="s">
        <v>36</v>
      </c>
      <c r="M25" s="6916" t="s">
        <v>37</v>
      </c>
      <c r="CA25" s="1971"/>
    </row>
    <row r="26" spans="1:86" x14ac:dyDescent="0.3">
      <c r="A26" s="6925"/>
      <c r="B26" s="6917"/>
      <c r="C26" s="4118" t="s">
        <v>94</v>
      </c>
      <c r="D26" s="4103" t="s">
        <v>44</v>
      </c>
      <c r="E26" s="4103" t="s">
        <v>45</v>
      </c>
      <c r="F26" s="4103" t="s">
        <v>46</v>
      </c>
      <c r="G26" s="4103" t="s">
        <v>47</v>
      </c>
      <c r="H26" s="4103" t="s">
        <v>48</v>
      </c>
      <c r="I26" s="4103" t="s">
        <v>49</v>
      </c>
      <c r="J26" s="4103" t="s">
        <v>50</v>
      </c>
      <c r="K26" s="4054" t="s">
        <v>51</v>
      </c>
      <c r="L26" s="6910"/>
      <c r="M26" s="6917"/>
      <c r="CA26" s="1971"/>
    </row>
    <row r="27" spans="1:86" ht="21.6" x14ac:dyDescent="0.3">
      <c r="A27" s="3277" t="s">
        <v>1973</v>
      </c>
      <c r="B27" s="3983">
        <f t="shared" ref="B27:B32" si="7">SUM(C27:K27)</f>
        <v>0</v>
      </c>
      <c r="C27" s="327"/>
      <c r="D27" s="1039"/>
      <c r="E27" s="1039"/>
      <c r="F27" s="1039"/>
      <c r="G27" s="1039"/>
      <c r="H27" s="1039"/>
      <c r="I27" s="1039"/>
      <c r="J27" s="1039"/>
      <c r="K27" s="1918"/>
      <c r="L27" s="44"/>
      <c r="M27" s="2070"/>
      <c r="N27" s="1898" t="str">
        <f>$CA27&amp;CB27</f>
        <v/>
      </c>
      <c r="CA27" s="4027" t="str">
        <f>IF(AND(B27&gt;0,L27="")," No olvide digitar la variable Pueblos Originarios. Digite cero si no tiene.",IF(L27&gt;B27," * La variable Pueblos Originarios no puede ser mayor al Total.",""))</f>
        <v/>
      </c>
      <c r="CB27" s="4027" t="str">
        <f>IF(AND(B27&gt;0,M27="")," No olvide digitar la variable Migrantes. Digite cero si no tiene.",IF(M27&gt;B27," * La variable Migrantes no puede ser mayor al Total.",""))</f>
        <v/>
      </c>
      <c r="CG27" s="3989">
        <f>IF(AND(B27&gt;0,L27=""),1,IF(L27&gt;B27,1,0))</f>
        <v>0</v>
      </c>
      <c r="CH27" s="3989">
        <f>IF(AND(B27&gt;0,M27=""),1,IF(M27&gt;B27,1,0))</f>
        <v>0</v>
      </c>
    </row>
    <row r="28" spans="1:86" x14ac:dyDescent="0.3">
      <c r="A28" s="3277" t="s">
        <v>1974</v>
      </c>
      <c r="B28" s="345">
        <f t="shared" si="7"/>
        <v>0</v>
      </c>
      <c r="C28" s="327"/>
      <c r="D28" s="1039"/>
      <c r="E28" s="1039"/>
      <c r="F28" s="1039"/>
      <c r="G28" s="1039"/>
      <c r="H28" s="1039"/>
      <c r="I28" s="1039"/>
      <c r="J28" s="1039"/>
      <c r="K28" s="1918"/>
      <c r="L28" s="44"/>
      <c r="M28" s="2070"/>
      <c r="N28" s="1898" t="str">
        <f t="shared" ref="N28:N32" si="8">$CA28&amp;CB28</f>
        <v/>
      </c>
      <c r="CA28" s="4027" t="str">
        <f t="shared" ref="CA28:CA32" si="9">IF(AND(B28&gt;0,L28="")," No olvide digitar la variable Pueblos Originarios. Digite cero si no tiene.",IF(L28&gt;B28," * La variable Pueblos Originarios no puede ser mayor al Total.",""))</f>
        <v/>
      </c>
      <c r="CB28" s="4027" t="str">
        <f t="shared" ref="CB28:CB32" si="10">IF(AND(B28&gt;0,M28="")," No olvide digitar la variable Migrantes. Digite cero si no tiene.",IF(M28&gt;B28," * La variable Migrantes no puede ser mayor al Total.",""))</f>
        <v/>
      </c>
      <c r="CG28" s="3989">
        <f t="shared" ref="CG28:CG32" si="11">IF(AND(B28&gt;0,L28=""),1,IF(L28&gt;B28,1,0))</f>
        <v>0</v>
      </c>
      <c r="CH28" s="3989">
        <f t="shared" ref="CH28:CH32" si="12">IF(AND(B28&gt;0,M28=""),1,IF(M28&gt;B28,1,0))</f>
        <v>0</v>
      </c>
    </row>
    <row r="29" spans="1:86" ht="21.6" x14ac:dyDescent="0.3">
      <c r="A29" s="3277" t="s">
        <v>1975</v>
      </c>
      <c r="B29" s="345">
        <f t="shared" si="7"/>
        <v>0</v>
      </c>
      <c r="C29" s="327"/>
      <c r="D29" s="1039"/>
      <c r="E29" s="1039"/>
      <c r="F29" s="1039"/>
      <c r="G29" s="1039"/>
      <c r="H29" s="1039"/>
      <c r="I29" s="1039"/>
      <c r="J29" s="1039"/>
      <c r="K29" s="1918"/>
      <c r="L29" s="44"/>
      <c r="M29" s="2070"/>
      <c r="N29" s="1898" t="str">
        <f t="shared" si="8"/>
        <v/>
      </c>
      <c r="CA29" s="4027" t="str">
        <f t="shared" si="9"/>
        <v/>
      </c>
      <c r="CB29" s="4027" t="str">
        <f t="shared" si="10"/>
        <v/>
      </c>
      <c r="CG29" s="3989">
        <f t="shared" si="11"/>
        <v>0</v>
      </c>
      <c r="CH29" s="3989">
        <f t="shared" si="12"/>
        <v>0</v>
      </c>
    </row>
    <row r="30" spans="1:86" x14ac:dyDescent="0.3">
      <c r="A30" s="3277" t="s">
        <v>1976</v>
      </c>
      <c r="B30" s="345">
        <f t="shared" si="7"/>
        <v>0</v>
      </c>
      <c r="C30" s="327"/>
      <c r="D30" s="1039"/>
      <c r="E30" s="1039"/>
      <c r="F30" s="1039"/>
      <c r="G30" s="1039"/>
      <c r="H30" s="1039"/>
      <c r="I30" s="1039"/>
      <c r="J30" s="1039"/>
      <c r="K30" s="1918"/>
      <c r="L30" s="44"/>
      <c r="M30" s="2070"/>
      <c r="N30" s="1898" t="str">
        <f t="shared" si="8"/>
        <v/>
      </c>
      <c r="CA30" s="4027" t="str">
        <f t="shared" si="9"/>
        <v/>
      </c>
      <c r="CB30" s="4027" t="str">
        <f t="shared" si="10"/>
        <v/>
      </c>
      <c r="CG30" s="3989">
        <f t="shared" si="11"/>
        <v>0</v>
      </c>
      <c r="CH30" s="3989">
        <f t="shared" si="12"/>
        <v>0</v>
      </c>
    </row>
    <row r="31" spans="1:86" ht="21.6" x14ac:dyDescent="0.3">
      <c r="A31" s="3277" t="s">
        <v>1977</v>
      </c>
      <c r="B31" s="345">
        <f t="shared" si="7"/>
        <v>0</v>
      </c>
      <c r="C31" s="327"/>
      <c r="D31" s="1039"/>
      <c r="E31" s="1039"/>
      <c r="F31" s="1039"/>
      <c r="G31" s="1039"/>
      <c r="H31" s="1039"/>
      <c r="I31" s="1039"/>
      <c r="J31" s="1039"/>
      <c r="K31" s="1918"/>
      <c r="L31" s="44"/>
      <c r="M31" s="2070"/>
      <c r="N31" s="1898" t="str">
        <f t="shared" si="8"/>
        <v/>
      </c>
      <c r="CA31" s="4027" t="str">
        <f t="shared" si="9"/>
        <v/>
      </c>
      <c r="CB31" s="4027" t="str">
        <f t="shared" si="10"/>
        <v/>
      </c>
      <c r="CG31" s="3989">
        <f t="shared" si="11"/>
        <v>0</v>
      </c>
      <c r="CH31" s="3989">
        <f t="shared" si="12"/>
        <v>0</v>
      </c>
    </row>
    <row r="32" spans="1:86" x14ac:dyDescent="0.3">
      <c r="A32" s="4111" t="s">
        <v>1978</v>
      </c>
      <c r="B32" s="3429">
        <f t="shared" si="7"/>
        <v>0</v>
      </c>
      <c r="C32" s="876"/>
      <c r="D32" s="1907"/>
      <c r="E32" s="1907"/>
      <c r="F32" s="1907"/>
      <c r="G32" s="1907"/>
      <c r="H32" s="1907"/>
      <c r="I32" s="1907"/>
      <c r="J32" s="1907"/>
      <c r="K32" s="1912"/>
      <c r="L32" s="1911"/>
      <c r="M32" s="1954"/>
      <c r="N32" s="1898" t="str">
        <f t="shared" si="8"/>
        <v/>
      </c>
      <c r="CA32" s="4027" t="str">
        <f t="shared" si="9"/>
        <v/>
      </c>
      <c r="CB32" s="4027" t="str">
        <f t="shared" si="10"/>
        <v/>
      </c>
      <c r="CG32" s="3989">
        <f t="shared" si="11"/>
        <v>0</v>
      </c>
      <c r="CH32" s="3989">
        <f t="shared" si="12"/>
        <v>0</v>
      </c>
    </row>
    <row r="33" spans="1:86" ht="18" customHeight="1" x14ac:dyDescent="0.3">
      <c r="A33" s="6915" t="s">
        <v>1979</v>
      </c>
      <c r="B33" s="6915"/>
      <c r="C33" s="6915"/>
      <c r="D33" s="6915"/>
      <c r="CA33" s="1971"/>
    </row>
    <row r="34" spans="1:86" ht="20.399999999999999" x14ac:dyDescent="0.3">
      <c r="A34" s="4119"/>
      <c r="B34" s="4045" t="s">
        <v>77</v>
      </c>
      <c r="C34" s="4117" t="s">
        <v>36</v>
      </c>
      <c r="D34" s="4020" t="s">
        <v>37</v>
      </c>
      <c r="CA34" s="1971"/>
    </row>
    <row r="35" spans="1:86" x14ac:dyDescent="0.3">
      <c r="A35" s="3277" t="s">
        <v>1980</v>
      </c>
      <c r="B35" s="3427"/>
      <c r="C35" s="44"/>
      <c r="D35" s="905"/>
      <c r="E35" s="1898" t="str">
        <f>CA35&amp;CB35</f>
        <v/>
      </c>
      <c r="CA35" s="4027" t="str">
        <f>IF(AND(B35&gt;0,C35="")," No olvide digitar la variable Pueblos Originarios. Digite cero si no tiene.",IF(C35&gt;B35," * La variable Pueblos Originarios no puede ser mayor al Total.",""))</f>
        <v/>
      </c>
      <c r="CB35" s="4027" t="str">
        <f>IF(AND(B35&gt;0,D35="")," No olvide digitar la variable Migrantes. Digite cero si no tiene.",IF(D35&gt;B35," * La variable Migrantes no puede ser mayor al Total.",""))</f>
        <v/>
      </c>
      <c r="CG35" s="3989">
        <f>IF(AND(B35&gt;0,C35=""),1,IF(C35&gt;B35,1,0))</f>
        <v>0</v>
      </c>
      <c r="CH35" s="3989">
        <f>IF(AND(B35&gt;0,D35=""),1,IF(D35&gt;B35,1,0))</f>
        <v>0</v>
      </c>
    </row>
    <row r="36" spans="1:86" x14ac:dyDescent="0.3">
      <c r="A36" s="2708" t="s">
        <v>1981</v>
      </c>
      <c r="B36" s="4120"/>
      <c r="C36" s="1911"/>
      <c r="D36" s="2009"/>
      <c r="E36" s="1898" t="str">
        <f>CA36&amp;CB36</f>
        <v/>
      </c>
      <c r="CA36" s="4027" t="str">
        <f>IF(AND(B36&gt;0,C36="")," No olvide digitar la variable Pueblos Originarios. Digite cero si no tiene.",IF(C36&gt;B36," * La variable Pueblos Originarios no puede ser mayor al Total.",""))</f>
        <v/>
      </c>
      <c r="CB36" s="4027" t="str">
        <f>IF(AND(B36&gt;0,D36="")," No olvide digitar la variable Migrantes. Digite cero si no tiene.",IF(D36&gt;B36," * La variable Migrantes no puede ser mayor al Total.",""))</f>
        <v/>
      </c>
      <c r="CG36" s="3989">
        <f>IF(AND(B36&gt;0,C36=""),1,IF(C36&gt;B36,1,0))</f>
        <v>0</v>
      </c>
      <c r="CH36" s="3989">
        <f>IF(AND(B36&gt;0,D36=""),1,IF(D36&gt;B36,1,0))</f>
        <v>0</v>
      </c>
    </row>
    <row r="37" spans="1:86" ht="18" customHeight="1" x14ac:dyDescent="0.3">
      <c r="A37" s="6918" t="s">
        <v>1982</v>
      </c>
      <c r="B37" s="6918"/>
      <c r="C37" s="6918"/>
      <c r="D37" s="6918"/>
      <c r="E37" s="6918"/>
      <c r="F37" s="6918"/>
      <c r="G37" s="6918"/>
      <c r="H37" s="6918"/>
      <c r="I37" s="6918"/>
      <c r="J37" s="6918"/>
      <c r="K37" s="6918"/>
      <c r="CA37" s="1971"/>
      <c r="CB37" s="1971"/>
    </row>
    <row r="38" spans="1:86" x14ac:dyDescent="0.3">
      <c r="A38" s="6919"/>
      <c r="B38" s="6921" t="s">
        <v>77</v>
      </c>
      <c r="C38" s="6902" t="s">
        <v>1960</v>
      </c>
      <c r="D38" s="6903"/>
      <c r="E38" s="6903"/>
      <c r="F38" s="6903"/>
      <c r="G38" s="6903"/>
      <c r="H38" s="6903"/>
      <c r="I38" s="6903"/>
      <c r="J38" s="6903"/>
      <c r="K38" s="6904"/>
      <c r="L38" s="6923" t="s">
        <v>36</v>
      </c>
      <c r="M38" s="6330" t="s">
        <v>37</v>
      </c>
      <c r="CA38" s="1971"/>
    </row>
    <row r="39" spans="1:86" x14ac:dyDescent="0.3">
      <c r="A39" s="6920"/>
      <c r="B39" s="6922"/>
      <c r="C39" s="4102" t="s">
        <v>94</v>
      </c>
      <c r="D39" s="4103" t="s">
        <v>44</v>
      </c>
      <c r="E39" s="4103" t="s">
        <v>45</v>
      </c>
      <c r="F39" s="4103" t="s">
        <v>46</v>
      </c>
      <c r="G39" s="4103" t="s">
        <v>47</v>
      </c>
      <c r="H39" s="4103" t="s">
        <v>48</v>
      </c>
      <c r="I39" s="4103" t="s">
        <v>49</v>
      </c>
      <c r="J39" s="4103" t="s">
        <v>50</v>
      </c>
      <c r="K39" s="4054" t="s">
        <v>51</v>
      </c>
      <c r="L39" s="5904"/>
      <c r="M39" s="6910"/>
      <c r="CA39" s="1971"/>
    </row>
    <row r="40" spans="1:86" ht="21.6" x14ac:dyDescent="0.3">
      <c r="A40" s="3277" t="s">
        <v>4345</v>
      </c>
      <c r="B40" s="4121">
        <f>SUM(C40:K40)</f>
        <v>0</v>
      </c>
      <c r="C40" s="3987"/>
      <c r="D40" s="44"/>
      <c r="E40" s="44"/>
      <c r="F40" s="44"/>
      <c r="G40" s="44"/>
      <c r="H40" s="44"/>
      <c r="I40" s="44"/>
      <c r="J40" s="44"/>
      <c r="K40" s="1918"/>
      <c r="L40" s="337"/>
      <c r="M40" s="142"/>
      <c r="N40" s="1898" t="str">
        <f>$CA40&amp;CB40</f>
        <v/>
      </c>
      <c r="CA40" s="4027" t="str">
        <f>IF(AND(B40&gt;0,L40="")," No olvide digitar la variable Pueblos Originarios. Digite cero si no tiene.",IF(L40&gt;B40," * La variable Pueblos Originarios no puede ser mayor al Total.",""))</f>
        <v/>
      </c>
      <c r="CB40" s="4027" t="str">
        <f>IF(AND(B40&gt;0,M40="")," No olvide digitar la variable Migrantes. Digite cero si no tiene.",IF(M40&gt;B40," * La variable Migrantes no puede ser mayor al Total.",""))</f>
        <v/>
      </c>
      <c r="CG40" s="3989">
        <f>IF(AND(B40&gt;0,L40=""),1,IF(L40&gt;B40,1,0))</f>
        <v>0</v>
      </c>
      <c r="CH40" s="3989">
        <f>IF(AND(B40&gt;0,M40=""),1,IF(M40&gt;B40,1,0))</f>
        <v>0</v>
      </c>
    </row>
    <row r="41" spans="1:86" ht="21.6" x14ac:dyDescent="0.3">
      <c r="A41" s="3277" t="s">
        <v>4346</v>
      </c>
      <c r="B41" s="4121">
        <f t="shared" ref="B41:B47" si="13">SUM(C41:K41)</f>
        <v>0</v>
      </c>
      <c r="C41" s="3987"/>
      <c r="D41" s="44"/>
      <c r="E41" s="44"/>
      <c r="F41" s="44"/>
      <c r="G41" s="44"/>
      <c r="H41" s="44"/>
      <c r="I41" s="44"/>
      <c r="J41" s="44"/>
      <c r="K41" s="1918"/>
      <c r="L41" s="337"/>
      <c r="M41" s="142"/>
      <c r="N41" s="1898" t="str">
        <f t="shared" ref="N41:N47" si="14">$CA41&amp;CB41</f>
        <v/>
      </c>
      <c r="CA41" s="4027" t="str">
        <f t="shared" ref="CA41:CA47" si="15">IF(AND(B41&gt;0,L41="")," No olvide digitar la variable Pueblos Originarios. Digite cero si no tiene.",IF(L41&gt;B41," * La variable Pueblos Originarios no puede ser mayor al Total.",""))</f>
        <v/>
      </c>
      <c r="CB41" s="4027" t="str">
        <f t="shared" ref="CB41:CB47" si="16">IF(AND(B41&gt;0,M41="")," No olvide digitar la variable Migrantes. Digite cero si no tiene.",IF(M41&gt;B41," * La variable Migrantes no puede ser mayor al Total.",""))</f>
        <v/>
      </c>
      <c r="CG41" s="3989">
        <f t="shared" ref="CG41:CG47" si="17">IF(AND(B41&gt;0,L41=""),1,IF(L41&gt;B41,1,0))</f>
        <v>0</v>
      </c>
      <c r="CH41" s="3989">
        <f t="shared" ref="CH41:CH47" si="18">IF(AND(B41&gt;0,M41=""),1,IF(M41&gt;B41,1,0))</f>
        <v>0</v>
      </c>
    </row>
    <row r="42" spans="1:86" x14ac:dyDescent="0.3">
      <c r="A42" s="3277" t="s">
        <v>4347</v>
      </c>
      <c r="B42" s="4121">
        <f t="shared" si="13"/>
        <v>0</v>
      </c>
      <c r="C42" s="3987"/>
      <c r="D42" s="44"/>
      <c r="E42" s="44"/>
      <c r="F42" s="44"/>
      <c r="G42" s="44"/>
      <c r="H42" s="44"/>
      <c r="I42" s="44"/>
      <c r="J42" s="44"/>
      <c r="K42" s="1918"/>
      <c r="L42" s="337"/>
      <c r="M42" s="142"/>
      <c r="N42" s="1898" t="str">
        <f t="shared" si="14"/>
        <v/>
      </c>
      <c r="CA42" s="4027" t="str">
        <f t="shared" si="15"/>
        <v/>
      </c>
      <c r="CB42" s="4027" t="str">
        <f t="shared" si="16"/>
        <v/>
      </c>
      <c r="CG42" s="3989">
        <f t="shared" si="17"/>
        <v>0</v>
      </c>
      <c r="CH42" s="3989">
        <f t="shared" si="18"/>
        <v>0</v>
      </c>
    </row>
    <row r="43" spans="1:86" x14ac:dyDescent="0.3">
      <c r="A43" s="4111" t="s">
        <v>4348</v>
      </c>
      <c r="B43" s="2786">
        <f t="shared" si="13"/>
        <v>0</v>
      </c>
      <c r="C43" s="1911"/>
      <c r="D43" s="4122"/>
      <c r="E43" s="4122"/>
      <c r="F43" s="4122"/>
      <c r="G43" s="4122"/>
      <c r="H43" s="4122"/>
      <c r="I43" s="4122"/>
      <c r="J43" s="4122"/>
      <c r="K43" s="3430"/>
      <c r="L43" s="2109"/>
      <c r="M43" s="3499"/>
      <c r="N43" s="1898" t="str">
        <f t="shared" si="14"/>
        <v/>
      </c>
      <c r="CA43" s="4027" t="str">
        <f t="shared" si="15"/>
        <v/>
      </c>
      <c r="CB43" s="4027" t="str">
        <f t="shared" si="16"/>
        <v/>
      </c>
      <c r="CG43" s="3989">
        <f t="shared" si="17"/>
        <v>0</v>
      </c>
      <c r="CH43" s="3989">
        <f t="shared" si="18"/>
        <v>0</v>
      </c>
    </row>
    <row r="44" spans="1:86" ht="21.6" x14ac:dyDescent="0.3">
      <c r="A44" s="3277" t="s">
        <v>4349</v>
      </c>
      <c r="B44" s="4123">
        <f>SUM(C44:K44)</f>
        <v>0</v>
      </c>
      <c r="C44" s="44"/>
      <c r="D44" s="44"/>
      <c r="E44" s="44"/>
      <c r="F44" s="44"/>
      <c r="G44" s="44"/>
      <c r="H44" s="44"/>
      <c r="I44" s="44"/>
      <c r="J44" s="44"/>
      <c r="K44" s="1918"/>
      <c r="L44" s="337"/>
      <c r="M44" s="142"/>
      <c r="N44" s="1898" t="str">
        <f t="shared" si="14"/>
        <v/>
      </c>
      <c r="CA44" s="4027" t="str">
        <f t="shared" si="15"/>
        <v/>
      </c>
      <c r="CB44" s="4027" t="str">
        <f t="shared" si="16"/>
        <v/>
      </c>
      <c r="CG44" s="3989">
        <f t="shared" si="17"/>
        <v>0</v>
      </c>
      <c r="CH44" s="3989">
        <f t="shared" si="18"/>
        <v>0</v>
      </c>
    </row>
    <row r="45" spans="1:86" ht="21.6" x14ac:dyDescent="0.3">
      <c r="A45" s="3277" t="s">
        <v>4350</v>
      </c>
      <c r="B45" s="4121">
        <f t="shared" si="13"/>
        <v>0</v>
      </c>
      <c r="C45" s="3987"/>
      <c r="D45" s="44"/>
      <c r="E45" s="44"/>
      <c r="F45" s="44"/>
      <c r="G45" s="44"/>
      <c r="H45" s="44"/>
      <c r="I45" s="44"/>
      <c r="J45" s="44"/>
      <c r="K45" s="1918"/>
      <c r="L45" s="337"/>
      <c r="M45" s="142"/>
      <c r="N45" s="1898" t="str">
        <f t="shared" si="14"/>
        <v/>
      </c>
      <c r="CA45" s="4027" t="str">
        <f t="shared" si="15"/>
        <v/>
      </c>
      <c r="CB45" s="4027" t="str">
        <f t="shared" si="16"/>
        <v/>
      </c>
      <c r="CG45" s="3989">
        <f t="shared" si="17"/>
        <v>0</v>
      </c>
      <c r="CH45" s="3989">
        <f t="shared" si="18"/>
        <v>0</v>
      </c>
    </row>
    <row r="46" spans="1:86" ht="21.6" x14ac:dyDescent="0.3">
      <c r="A46" s="3277" t="s">
        <v>4351</v>
      </c>
      <c r="B46" s="4121">
        <f>SUM(C46:K46)</f>
        <v>0</v>
      </c>
      <c r="C46" s="3987"/>
      <c r="D46" s="44"/>
      <c r="E46" s="44"/>
      <c r="F46" s="44"/>
      <c r="G46" s="44"/>
      <c r="H46" s="44"/>
      <c r="I46" s="44"/>
      <c r="J46" s="44"/>
      <c r="K46" s="1918"/>
      <c r="L46" s="337"/>
      <c r="M46" s="142"/>
      <c r="N46" s="1898" t="str">
        <f t="shared" si="14"/>
        <v/>
      </c>
      <c r="CA46" s="4027" t="str">
        <f t="shared" si="15"/>
        <v/>
      </c>
      <c r="CB46" s="4027" t="str">
        <f t="shared" si="16"/>
        <v/>
      </c>
      <c r="CG46" s="3989">
        <f t="shared" si="17"/>
        <v>0</v>
      </c>
      <c r="CH46" s="3989">
        <f t="shared" si="18"/>
        <v>0</v>
      </c>
    </row>
    <row r="47" spans="1:86" x14ac:dyDescent="0.3">
      <c r="A47" s="2708" t="s">
        <v>4352</v>
      </c>
      <c r="B47" s="2786">
        <f t="shared" si="13"/>
        <v>0</v>
      </c>
      <c r="C47" s="1911"/>
      <c r="D47" s="1911"/>
      <c r="E47" s="1911"/>
      <c r="F47" s="1911"/>
      <c r="G47" s="1911"/>
      <c r="H47" s="1911"/>
      <c r="I47" s="1911"/>
      <c r="J47" s="1911"/>
      <c r="K47" s="1912"/>
      <c r="L47" s="1913"/>
      <c r="M47" s="877"/>
      <c r="N47" s="1898" t="str">
        <f t="shared" si="14"/>
        <v/>
      </c>
      <c r="CA47" s="4027" t="str">
        <f t="shared" si="15"/>
        <v/>
      </c>
      <c r="CB47" s="4027" t="str">
        <f t="shared" si="16"/>
        <v/>
      </c>
      <c r="CG47" s="3989">
        <f t="shared" si="17"/>
        <v>0</v>
      </c>
      <c r="CH47" s="3989">
        <f t="shared" si="18"/>
        <v>0</v>
      </c>
    </row>
    <row r="48" spans="1:86" ht="18" customHeight="1" x14ac:dyDescent="0.3">
      <c r="A48" s="6914" t="s">
        <v>1983</v>
      </c>
      <c r="B48" s="6914"/>
      <c r="C48" s="6914"/>
      <c r="D48" s="6914"/>
      <c r="E48" s="6914"/>
      <c r="F48" s="6914"/>
      <c r="G48" s="6914"/>
      <c r="H48" s="6914"/>
      <c r="I48" s="6914"/>
      <c r="J48" s="6914"/>
      <c r="K48" s="6914"/>
      <c r="CA48" s="1971"/>
    </row>
    <row r="49" spans="1:86" ht="20.399999999999999" x14ac:dyDescent="0.3">
      <c r="A49" s="4046"/>
      <c r="B49" s="4045" t="s">
        <v>77</v>
      </c>
      <c r="C49" s="4117" t="s">
        <v>36</v>
      </c>
      <c r="D49" s="4020" t="s">
        <v>37</v>
      </c>
      <c r="CA49" s="1971"/>
    </row>
    <row r="50" spans="1:86" ht="21.6" x14ac:dyDescent="0.3">
      <c r="A50" s="3277" t="s">
        <v>1984</v>
      </c>
      <c r="B50" s="4026"/>
      <c r="C50" s="3987"/>
      <c r="D50" s="330"/>
      <c r="E50" s="1898" t="str">
        <f>CA50&amp;CB50</f>
        <v/>
      </c>
      <c r="CA50" s="4027" t="str">
        <f>IF(AND(B50&gt;0,C50="")," No olvide digitar la variable Pueblos Originarios. Digite cero si no tiene.",IF(C50&gt;B50," * La variable Pueblos Originarios no puede ser mayor al Total.",""))</f>
        <v/>
      </c>
      <c r="CB50" s="4027" t="str">
        <f>IF(AND(B50&gt;0,D50="")," No olvide digitar la variable Migrantes. Digite cero si no tiene.",IF(D50&gt;B50," * La variable Migrantes no puede ser mayor al Total.",""))</f>
        <v/>
      </c>
      <c r="CG50" s="3989">
        <f>IF(AND(B50&gt;0,C50=""),1,IF(C50&gt;B50,1,0))</f>
        <v>0</v>
      </c>
      <c r="CH50" s="3989">
        <f>IF(AND(B50&gt;0,D50=""),1,IF(D50&gt;B50,1,0))</f>
        <v>0</v>
      </c>
    </row>
    <row r="51" spans="1:86" x14ac:dyDescent="0.3">
      <c r="A51" s="3277" t="s">
        <v>1985</v>
      </c>
      <c r="B51" s="4026"/>
      <c r="C51" s="3987"/>
      <c r="D51" s="330"/>
      <c r="E51" s="1898" t="str">
        <f t="shared" ref="E51:E53" si="19">CA51&amp;CB51</f>
        <v/>
      </c>
      <c r="CA51" s="4027" t="str">
        <f t="shared" ref="CA51:CA53" si="20">IF(AND(B51&gt;0,C51="")," No olvide digitar la variable Pueblos Originarios. Digite cero si no tiene.",IF(C51&gt;B51," * La variable Pueblos Originarios no puede ser mayor al Total.",""))</f>
        <v/>
      </c>
      <c r="CB51" s="4027" t="str">
        <f t="shared" ref="CB51:CB53" si="21">IF(AND(B51&gt;0,D51="")," No olvide digitar la variable Migrantes. Digite cero si no tiene.",IF(D51&gt;B51," * La variable Migrantes no puede ser mayor al Total.",""))</f>
        <v/>
      </c>
      <c r="CG51" s="3989">
        <f t="shared" ref="CG51:CG53" si="22">IF(AND(B51&gt;0,C51=""),1,IF(C51&gt;B51,1,0))</f>
        <v>0</v>
      </c>
      <c r="CH51" s="3989">
        <f t="shared" ref="CH51:CH53" si="23">IF(AND(B51&gt;0,D51=""),1,IF(D51&gt;B51,1,0))</f>
        <v>0</v>
      </c>
    </row>
    <row r="52" spans="1:86" ht="21.6" x14ac:dyDescent="0.3">
      <c r="A52" s="3277" t="s">
        <v>1986</v>
      </c>
      <c r="B52" s="4026"/>
      <c r="C52" s="3987"/>
      <c r="D52" s="330"/>
      <c r="E52" s="1898" t="str">
        <f t="shared" si="19"/>
        <v/>
      </c>
      <c r="CA52" s="4027" t="str">
        <f t="shared" si="20"/>
        <v/>
      </c>
      <c r="CB52" s="4027" t="str">
        <f t="shared" si="21"/>
        <v/>
      </c>
      <c r="CG52" s="3989">
        <f t="shared" si="22"/>
        <v>0</v>
      </c>
      <c r="CH52" s="3989">
        <f t="shared" si="23"/>
        <v>0</v>
      </c>
    </row>
    <row r="53" spans="1:86" ht="21.6" x14ac:dyDescent="0.3">
      <c r="A53" s="2708" t="s">
        <v>1987</v>
      </c>
      <c r="B53" s="1912"/>
      <c r="C53" s="1911"/>
      <c r="D53" s="877"/>
      <c r="E53" s="1898" t="str">
        <f t="shared" si="19"/>
        <v/>
      </c>
      <c r="CA53" s="4027" t="str">
        <f t="shared" si="20"/>
        <v/>
      </c>
      <c r="CB53" s="4027" t="str">
        <f t="shared" si="21"/>
        <v/>
      </c>
      <c r="CG53" s="3989">
        <f t="shared" si="22"/>
        <v>0</v>
      </c>
      <c r="CH53" s="3989">
        <f t="shared" si="23"/>
        <v>0</v>
      </c>
    </row>
    <row r="54" spans="1:86" ht="18" customHeight="1" x14ac:dyDescent="0.3">
      <c r="A54" s="6915" t="s">
        <v>1988</v>
      </c>
      <c r="B54" s="6915"/>
      <c r="C54" s="6915"/>
      <c r="D54" s="6915"/>
      <c r="CA54" s="1971"/>
    </row>
    <row r="55" spans="1:86" ht="20.399999999999999" x14ac:dyDescent="0.3">
      <c r="A55" s="4124"/>
      <c r="B55" s="4045" t="s">
        <v>77</v>
      </c>
      <c r="C55" s="4117" t="s">
        <v>36</v>
      </c>
      <c r="D55" s="4020" t="s">
        <v>37</v>
      </c>
      <c r="CA55" s="1971"/>
    </row>
    <row r="56" spans="1:86" ht="21.6" x14ac:dyDescent="0.3">
      <c r="A56" s="3277" t="s">
        <v>1989</v>
      </c>
      <c r="B56" s="4026"/>
      <c r="C56" s="3987"/>
      <c r="D56" s="330"/>
      <c r="E56" s="1898" t="str">
        <f>CA56&amp;CB56</f>
        <v/>
      </c>
      <c r="CA56" s="4027" t="str">
        <f>IF(AND(B56&gt;0,C56="")," No olvide digitar la variable Pueblos Originarios. Digite cero si no tiene.",IF(C56&gt;B56," * La variable Pueblos Originarios no puede ser mayor al Total.",""))</f>
        <v/>
      </c>
      <c r="CB56" s="4027" t="str">
        <f>IF(AND(B56&gt;0,D56="")," No olvide digitar la variable Migrantes. Digite cero si no tiene.",IF(D56&gt;B56," * La variable Migrantes no puede ser mayor al Total.",""))</f>
        <v/>
      </c>
      <c r="CG56" s="3989">
        <f>IF(AND(B56&gt;0,C56=""),1,IF(C56&gt;B56,1,0))</f>
        <v>0</v>
      </c>
      <c r="CH56" s="3989">
        <f>IF(AND(B56&gt;0,D56=""),1,IF(D56&gt;B56,1,0))</f>
        <v>0</v>
      </c>
    </row>
    <row r="57" spans="1:86" x14ac:dyDescent="0.3">
      <c r="A57" s="3277" t="s">
        <v>1985</v>
      </c>
      <c r="B57" s="4026"/>
      <c r="C57" s="3987"/>
      <c r="D57" s="330"/>
      <c r="E57" s="1898" t="str">
        <f t="shared" ref="E57:E59" si="24">CA57&amp;CB57</f>
        <v/>
      </c>
      <c r="CA57" s="4027" t="str">
        <f t="shared" ref="CA57:CA59" si="25">IF(AND(B57&gt;0,C57="")," No olvide digitar la variable Pueblos Originarios. Digite cero si no tiene.",IF(C57&gt;B57," * La variable Pueblos Originarios no puede ser mayor al Total.",""))</f>
        <v/>
      </c>
      <c r="CB57" s="4027" t="str">
        <f t="shared" ref="CB57:CB59" si="26">IF(AND(B57&gt;0,D57="")," No olvide digitar la variable Migrantes. Digite cero si no tiene.",IF(D57&gt;B57," * La variable Migrantes no puede ser mayor al Total.",""))</f>
        <v/>
      </c>
      <c r="CG57" s="3989">
        <f t="shared" ref="CG57:CG59" si="27">IF(AND(B57&gt;0,C57=""),1,IF(C57&gt;B57,1,0))</f>
        <v>0</v>
      </c>
      <c r="CH57" s="3989">
        <f t="shared" ref="CH57:CH59" si="28">IF(AND(B57&gt;0,D57=""),1,IF(D57&gt;B57,1,0))</f>
        <v>0</v>
      </c>
    </row>
    <row r="58" spans="1:86" ht="21.6" x14ac:dyDescent="0.3">
      <c r="A58" s="3277" t="s">
        <v>1990</v>
      </c>
      <c r="B58" s="4026"/>
      <c r="C58" s="3987"/>
      <c r="D58" s="330"/>
      <c r="E58" s="1898" t="str">
        <f t="shared" si="24"/>
        <v/>
      </c>
      <c r="CA58" s="4027" t="str">
        <f t="shared" si="25"/>
        <v/>
      </c>
      <c r="CB58" s="4027" t="str">
        <f t="shared" si="26"/>
        <v/>
      </c>
      <c r="CG58" s="3989">
        <f t="shared" si="27"/>
        <v>0</v>
      </c>
      <c r="CH58" s="3989">
        <f t="shared" si="28"/>
        <v>0</v>
      </c>
    </row>
    <row r="59" spans="1:86" ht="21.6" x14ac:dyDescent="0.3">
      <c r="A59" s="4111" t="s">
        <v>1991</v>
      </c>
      <c r="B59" s="4120"/>
      <c r="C59" s="1913"/>
      <c r="D59" s="877"/>
      <c r="E59" s="1898" t="str">
        <f t="shared" si="24"/>
        <v/>
      </c>
      <c r="CA59" s="4027" t="str">
        <f t="shared" si="25"/>
        <v/>
      </c>
      <c r="CB59" s="4027" t="str">
        <f t="shared" si="26"/>
        <v/>
      </c>
      <c r="CG59" s="3989">
        <f t="shared" si="27"/>
        <v>0</v>
      </c>
      <c r="CH59" s="3989">
        <f t="shared" si="28"/>
        <v>0</v>
      </c>
    </row>
    <row r="60" spans="1:86" ht="18" customHeight="1" x14ac:dyDescent="0.3">
      <c r="A60" s="6918" t="s">
        <v>1992</v>
      </c>
      <c r="B60" s="6918"/>
      <c r="C60" s="6918"/>
      <c r="D60" s="6918"/>
      <c r="E60" s="6918"/>
      <c r="F60" s="6918"/>
      <c r="G60" s="6918"/>
      <c r="H60" s="6918"/>
      <c r="I60" s="6918"/>
      <c r="J60" s="6918"/>
      <c r="K60" s="6918"/>
      <c r="L60" s="6"/>
      <c r="M60" s="6"/>
      <c r="CA60" s="1971"/>
    </row>
    <row r="61" spans="1:86" x14ac:dyDescent="0.3">
      <c r="A61" s="6916"/>
      <c r="B61" s="6883" t="s">
        <v>77</v>
      </c>
      <c r="C61" s="6903" t="s">
        <v>1960</v>
      </c>
      <c r="D61" s="6903"/>
      <c r="E61" s="6903"/>
      <c r="F61" s="6903"/>
      <c r="G61" s="6903"/>
      <c r="H61" s="6903"/>
      <c r="I61" s="6903"/>
      <c r="J61" s="6903"/>
      <c r="K61" s="6904"/>
      <c r="L61" s="6907" t="s">
        <v>36</v>
      </c>
      <c r="M61" s="6330" t="s">
        <v>37</v>
      </c>
      <c r="CA61" s="1971"/>
    </row>
    <row r="62" spans="1:86" x14ac:dyDescent="0.3">
      <c r="A62" s="6917"/>
      <c r="B62" s="6885"/>
      <c r="C62" s="4118" t="s">
        <v>94</v>
      </c>
      <c r="D62" s="4103" t="s">
        <v>44</v>
      </c>
      <c r="E62" s="4103" t="s">
        <v>45</v>
      </c>
      <c r="F62" s="4103" t="s">
        <v>46</v>
      </c>
      <c r="G62" s="4103" t="s">
        <v>47</v>
      </c>
      <c r="H62" s="4103" t="s">
        <v>48</v>
      </c>
      <c r="I62" s="4103" t="s">
        <v>49</v>
      </c>
      <c r="J62" s="4103" t="s">
        <v>50</v>
      </c>
      <c r="K62" s="4125" t="s">
        <v>51</v>
      </c>
      <c r="L62" s="6909"/>
      <c r="M62" s="6910"/>
      <c r="CA62" s="1971"/>
    </row>
    <row r="63" spans="1:86" x14ac:dyDescent="0.3">
      <c r="A63" s="4126" t="s">
        <v>1993</v>
      </c>
      <c r="B63" s="4127"/>
      <c r="C63" s="4128"/>
      <c r="D63" s="4128"/>
      <c r="E63" s="4128"/>
      <c r="F63" s="4128"/>
      <c r="G63" s="4128"/>
      <c r="H63" s="4128"/>
      <c r="I63" s="4128"/>
      <c r="J63" s="4128"/>
      <c r="K63" s="4129"/>
      <c r="L63" s="4130"/>
      <c r="M63" s="4108"/>
      <c r="CA63" s="1971"/>
    </row>
    <row r="64" spans="1:86" x14ac:dyDescent="0.3">
      <c r="A64" s="4109" t="s">
        <v>1994</v>
      </c>
      <c r="B64" s="4131">
        <f>SUM(C64:K64)</f>
        <v>0</v>
      </c>
      <c r="C64" s="4036"/>
      <c r="D64" s="4036"/>
      <c r="E64" s="4036"/>
      <c r="F64" s="4036"/>
      <c r="G64" s="4036"/>
      <c r="H64" s="4036"/>
      <c r="I64" s="4036"/>
      <c r="J64" s="4036"/>
      <c r="K64" s="892"/>
      <c r="L64" s="4036"/>
      <c r="M64" s="4013"/>
      <c r="N64" s="1898" t="str">
        <f t="shared" ref="N64:N73" si="29">$CA64&amp;$CB64</f>
        <v/>
      </c>
      <c r="CA64" s="4027" t="str">
        <f>IF(AND(B64&gt;0,L64="")," No olvide digitar la variable Pueblos Originarios. Digite cero si no tiene.",IF(L64&gt;B64," * La variable Pueblos Originarios no puede ser mayor al Total.",""))</f>
        <v/>
      </c>
      <c r="CB64" s="4027" t="str">
        <f>IF(AND(B64&gt;0,M64="")," No olvide digitar la variable Migrantes. Digite cero si no tiene.",IF(M64&gt;B64," * La variable Migrantes no puede ser mayor al Total.",""))</f>
        <v/>
      </c>
      <c r="CG64" s="3989">
        <f>IF(AND(B64&gt;0,L64=""),1,IF(L64&gt;B64,1,0))</f>
        <v>0</v>
      </c>
      <c r="CH64" s="3989">
        <f>IF(AND(B64&gt;0,M64=""),1,IF(M64&gt;B64,1,0))</f>
        <v>0</v>
      </c>
    </row>
    <row r="65" spans="1:86" x14ac:dyDescent="0.3">
      <c r="A65" s="2708" t="s">
        <v>1995</v>
      </c>
      <c r="B65" s="1226">
        <f>SUM(C65:K65)</f>
        <v>0</v>
      </c>
      <c r="C65" s="1911"/>
      <c r="D65" s="1911"/>
      <c r="E65" s="1911"/>
      <c r="F65" s="1911"/>
      <c r="G65" s="1911"/>
      <c r="H65" s="1911"/>
      <c r="I65" s="1911"/>
      <c r="J65" s="1911"/>
      <c r="K65" s="1953"/>
      <c r="L65" s="1911"/>
      <c r="M65" s="877"/>
      <c r="N65" s="1898" t="str">
        <f t="shared" si="29"/>
        <v/>
      </c>
      <c r="CA65" s="4027" t="str">
        <f>IF(AND(B65&gt;0,L65="")," No olvide digitar la variable Pueblos Originarios. Digite cero si no tiene.",IF(L65&gt;B65," * La variable Pueblos Originarios no puede ser mayor al Total.",""))</f>
        <v/>
      </c>
      <c r="CB65" s="4027" t="str">
        <f>IF(AND(B65&gt;0,M65="")," No olvide digitar la variable Migrantes. Digite cero si no tiene.",IF(M65&gt;B65," * La variable Migrantes no puede ser mayor al Total.",""))</f>
        <v/>
      </c>
      <c r="CG65" s="3989">
        <f>IF(AND(B65&gt;0,L65=""),1,IF(L65&gt;B65,1,0))</f>
        <v>0</v>
      </c>
      <c r="CH65" s="3989">
        <f>IF(AND(B65&gt;0,M65=""),1,IF(M65&gt;B65,1,0))</f>
        <v>0</v>
      </c>
    </row>
    <row r="66" spans="1:86" ht="20.399999999999999" x14ac:dyDescent="0.3">
      <c r="A66" s="939" t="s">
        <v>1996</v>
      </c>
      <c r="B66" s="4132"/>
      <c r="C66" s="4133"/>
      <c r="D66" s="4134"/>
      <c r="E66" s="4133"/>
      <c r="F66" s="4134"/>
      <c r="G66" s="4133"/>
      <c r="H66" s="4134"/>
      <c r="I66" s="4133"/>
      <c r="J66" s="4134"/>
      <c r="K66" s="4135"/>
      <c r="L66" s="4136"/>
      <c r="M66" s="3782"/>
      <c r="CA66" s="1971"/>
    </row>
    <row r="67" spans="1:86" x14ac:dyDescent="0.3">
      <c r="A67" s="4109" t="s">
        <v>1997</v>
      </c>
      <c r="B67" s="4131">
        <f>SUM(C67:K67)</f>
        <v>0</v>
      </c>
      <c r="C67" s="4036"/>
      <c r="D67" s="4036"/>
      <c r="E67" s="4036"/>
      <c r="F67" s="4036"/>
      <c r="G67" s="4036"/>
      <c r="H67" s="4036"/>
      <c r="I67" s="4036"/>
      <c r="J67" s="4036"/>
      <c r="K67" s="892"/>
      <c r="L67" s="4036"/>
      <c r="M67" s="4013"/>
      <c r="N67" s="1898" t="str">
        <f t="shared" si="29"/>
        <v/>
      </c>
      <c r="CA67" s="4027" t="str">
        <f>IF(AND(B67&gt;0,L67="")," No olvide digitar la variable Pueblos Originarios. Digite cero si no tiene.",IF(L67&gt;B67," * La variable Pueblos Originarios no puede ser mayor al Total.",""))</f>
        <v/>
      </c>
      <c r="CB67" s="4027" t="str">
        <f t="shared" ref="CB67:CB68" si="30">IF(AND(B67&gt;0,M67="")," No olvide digitar la variable Migrantes. Digite cero si no tiene.",IF(M67&gt;B67," * La variable Migrantes no puede ser mayor al Total.",""))</f>
        <v/>
      </c>
      <c r="CG67" s="3989">
        <f>IF(AND(B67&gt;0,L67=""),1,IF(L67&gt;B67,1,0))</f>
        <v>0</v>
      </c>
      <c r="CH67" s="3989">
        <f>IF(AND(B67&gt;0,M67=""),1,IF(M67&gt;B67,1,0))</f>
        <v>0</v>
      </c>
    </row>
    <row r="68" spans="1:86" x14ac:dyDescent="0.3">
      <c r="A68" s="2708" t="s">
        <v>1998</v>
      </c>
      <c r="B68" s="1226">
        <f>SUM(C68:K68)</f>
        <v>0</v>
      </c>
      <c r="C68" s="1911"/>
      <c r="D68" s="1911"/>
      <c r="E68" s="1911"/>
      <c r="F68" s="1911"/>
      <c r="G68" s="1911"/>
      <c r="H68" s="1911"/>
      <c r="I68" s="1911"/>
      <c r="J68" s="1911"/>
      <c r="K68" s="1953"/>
      <c r="L68" s="4122"/>
      <c r="M68" s="3499"/>
      <c r="N68" s="1898" t="str">
        <f t="shared" si="29"/>
        <v/>
      </c>
      <c r="CA68" s="4027" t="str">
        <f>IF(AND(B68&gt;0,L68="")," No olvide digitar la variable Pueblos Originarios. Digite cero si no tiene.",IF(L68&gt;B68," * La variable Pueblos Originarios no puede ser mayor al Total.",""))</f>
        <v/>
      </c>
      <c r="CB68" s="4027" t="str">
        <f t="shared" si="30"/>
        <v/>
      </c>
      <c r="CG68" s="3989">
        <f>IF(AND(B68&gt;0,L68=""),1,IF(L68&gt;B68,1,0))</f>
        <v>0</v>
      </c>
      <c r="CH68" s="3989">
        <f>IF(AND(B68&gt;0,M68=""),1,IF(M68&gt;B68,1,0))</f>
        <v>0</v>
      </c>
    </row>
    <row r="69" spans="1:86" ht="20.399999999999999" x14ac:dyDescent="0.3">
      <c r="A69" s="939" t="s">
        <v>1999</v>
      </c>
      <c r="B69" s="4132"/>
      <c r="C69" s="4133"/>
      <c r="D69" s="4134"/>
      <c r="E69" s="4133"/>
      <c r="F69" s="4134"/>
      <c r="G69" s="4133"/>
      <c r="H69" s="4134"/>
      <c r="I69" s="4133"/>
      <c r="J69" s="4134"/>
      <c r="K69" s="4135"/>
      <c r="L69" s="4137"/>
      <c r="M69" s="3782"/>
      <c r="CA69" s="1971"/>
    </row>
    <row r="70" spans="1:86" x14ac:dyDescent="0.3">
      <c r="A70" s="4109" t="s">
        <v>2000</v>
      </c>
      <c r="B70" s="4131">
        <f>SUM(C70:K70)</f>
        <v>0</v>
      </c>
      <c r="C70" s="4036"/>
      <c r="D70" s="4036"/>
      <c r="E70" s="4036"/>
      <c r="F70" s="4036"/>
      <c r="G70" s="4036"/>
      <c r="H70" s="4036"/>
      <c r="I70" s="4036"/>
      <c r="J70" s="4036"/>
      <c r="K70" s="892"/>
      <c r="L70" s="4036"/>
      <c r="M70" s="4013"/>
      <c r="N70" s="1898" t="str">
        <f t="shared" si="29"/>
        <v/>
      </c>
      <c r="CA70" s="4027" t="str">
        <f>IF(AND(B70&gt;0,L70="")," No olvide digitar la variable Pueblos Originarios. Digite cero si no tiene.",IF(L70&gt;B70," * La variable Pueblos Originarios no puede ser mayor al Total.",""))</f>
        <v/>
      </c>
      <c r="CB70" s="4027" t="str">
        <f t="shared" ref="CB70:CB71" si="31">IF(AND(B70&gt;0,M70="")," No olvide digitar la variable Migrantes. Digite cero si no tiene.",IF(M70&gt;B70," * La variable Migrantes no puede ser mayor al Total.",""))</f>
        <v/>
      </c>
      <c r="CG70" s="3989">
        <f t="shared" ref="CG70:CG71" si="32">IF(AND(B70&gt;0,L70=""),1,IF(L70&gt;B70,1,0))</f>
        <v>0</v>
      </c>
      <c r="CH70" s="3989">
        <f t="shared" ref="CH70:CH71" si="33">IF(AND(B70&gt;0,M70=""),1,IF(M70&gt;B70,1,0))</f>
        <v>0</v>
      </c>
    </row>
    <row r="71" spans="1:86" x14ac:dyDescent="0.3">
      <c r="A71" s="2708" t="s">
        <v>2001</v>
      </c>
      <c r="B71" s="1226">
        <f>SUM(C71:K71)</f>
        <v>0</v>
      </c>
      <c r="C71" s="1911"/>
      <c r="D71" s="1911"/>
      <c r="E71" s="1911"/>
      <c r="F71" s="1911"/>
      <c r="G71" s="1911"/>
      <c r="H71" s="1911"/>
      <c r="I71" s="1911"/>
      <c r="J71" s="1911"/>
      <c r="K71" s="1953"/>
      <c r="L71" s="1911"/>
      <c r="M71" s="877"/>
      <c r="N71" s="1898" t="str">
        <f t="shared" si="29"/>
        <v/>
      </c>
      <c r="CA71" s="4027" t="str">
        <f>IF(AND(B71&gt;0,L71="")," No olvide digitar la variable Pueblos Originarios. Digite cero si no tiene.",IF(L71&gt;B71," * La variable Pueblos Originarios no puede ser mayor al Total.",""))</f>
        <v/>
      </c>
      <c r="CB71" s="4027" t="str">
        <f t="shared" si="31"/>
        <v/>
      </c>
      <c r="CG71" s="3989">
        <f t="shared" si="32"/>
        <v>0</v>
      </c>
      <c r="CH71" s="3989">
        <f t="shared" si="33"/>
        <v>0</v>
      </c>
    </row>
    <row r="72" spans="1:86" ht="20.399999999999999" x14ac:dyDescent="0.3">
      <c r="A72" s="939" t="s">
        <v>2002</v>
      </c>
      <c r="B72" s="4132"/>
      <c r="C72" s="4133"/>
      <c r="D72" s="4136"/>
      <c r="E72" s="4133"/>
      <c r="F72" s="4136"/>
      <c r="G72" s="4133"/>
      <c r="H72" s="4136"/>
      <c r="I72" s="4133"/>
      <c r="J72" s="4136"/>
      <c r="K72" s="4135"/>
      <c r="L72" s="4136"/>
      <c r="M72" s="3782"/>
      <c r="CA72" s="1971"/>
    </row>
    <row r="73" spans="1:86" x14ac:dyDescent="0.3">
      <c r="A73" s="4111" t="s">
        <v>2003</v>
      </c>
      <c r="B73" s="4138">
        <f>SUM(C73:K73)</f>
        <v>0</v>
      </c>
      <c r="C73" s="4122"/>
      <c r="D73" s="4122"/>
      <c r="E73" s="4122"/>
      <c r="F73" s="4122"/>
      <c r="G73" s="4122"/>
      <c r="H73" s="4122"/>
      <c r="I73" s="4122"/>
      <c r="J73" s="4122"/>
      <c r="K73" s="326"/>
      <c r="L73" s="4122"/>
      <c r="M73" s="3499"/>
      <c r="N73" s="1898" t="str">
        <f t="shared" si="29"/>
        <v/>
      </c>
      <c r="CA73" s="4027" t="str">
        <f>IF(AND(B73&gt;0,L73="")," No olvide digitar la variable Pueblos Originarios. Digite cero si no tiene.",IF(L73&gt;B73," * La variable Pueblos Originarios no puede ser mayor al Total.",""))</f>
        <v/>
      </c>
      <c r="CB73" s="4027" t="str">
        <f>IF(AND(B73&gt;0,M73="")," No olvide digitar la variable Migrantes. Digite cero si no tiene.",IF(M73&gt;B73," * La variable Migrantes no puede ser mayor al Total.",""))</f>
        <v/>
      </c>
      <c r="CG73" s="3989">
        <f>IF(AND(B73&gt;0,L73=""),1,IF(L73&gt;B73,1,0))</f>
        <v>0</v>
      </c>
      <c r="CH73" s="3989">
        <f>IF(AND(B73&gt;0,M73=""),1,IF(M73&gt;B73,1,0))</f>
        <v>0</v>
      </c>
    </row>
    <row r="74" spans="1:86" ht="18" customHeight="1" x14ac:dyDescent="0.3">
      <c r="A74" s="6915" t="s">
        <v>2004</v>
      </c>
      <c r="B74" s="6915"/>
      <c r="C74" s="6915"/>
      <c r="D74" s="6915"/>
      <c r="E74" s="6915"/>
      <c r="F74" s="6915"/>
      <c r="G74" s="6915"/>
      <c r="H74" s="6915"/>
      <c r="I74" s="6915"/>
      <c r="J74" s="6915"/>
      <c r="K74" s="6915"/>
      <c r="CA74" s="1971"/>
    </row>
    <row r="75" spans="1:86" x14ac:dyDescent="0.3">
      <c r="A75" s="6916"/>
      <c r="B75" s="6883" t="s">
        <v>77</v>
      </c>
      <c r="C75" s="6903" t="s">
        <v>29</v>
      </c>
      <c r="D75" s="6903"/>
      <c r="E75" s="6903"/>
      <c r="F75" s="6903"/>
      <c r="G75" s="6903"/>
      <c r="H75" s="6903"/>
      <c r="I75" s="6903"/>
      <c r="J75" s="6903"/>
      <c r="K75" s="6904"/>
      <c r="L75" s="6907" t="s">
        <v>36</v>
      </c>
      <c r="M75" s="6330" t="s">
        <v>37</v>
      </c>
      <c r="CA75" s="1971"/>
    </row>
    <row r="76" spans="1:86" x14ac:dyDescent="0.3">
      <c r="A76" s="6917"/>
      <c r="B76" s="6885"/>
      <c r="C76" s="4118" t="s">
        <v>94</v>
      </c>
      <c r="D76" s="4103" t="s">
        <v>44</v>
      </c>
      <c r="E76" s="4103" t="s">
        <v>45</v>
      </c>
      <c r="F76" s="4103" t="s">
        <v>46</v>
      </c>
      <c r="G76" s="4103" t="s">
        <v>47</v>
      </c>
      <c r="H76" s="4103" t="s">
        <v>48</v>
      </c>
      <c r="I76" s="4103" t="s">
        <v>49</v>
      </c>
      <c r="J76" s="4103" t="s">
        <v>50</v>
      </c>
      <c r="K76" s="4125" t="s">
        <v>51</v>
      </c>
      <c r="L76" s="6909"/>
      <c r="M76" s="6910"/>
      <c r="CA76" s="1971"/>
    </row>
    <row r="77" spans="1:86" ht="22.5" customHeight="1" x14ac:dyDescent="0.3">
      <c r="A77" s="4139" t="s">
        <v>2005</v>
      </c>
      <c r="B77" s="4140"/>
      <c r="C77" s="4128"/>
      <c r="D77" s="4128"/>
      <c r="E77" s="4128"/>
      <c r="F77" s="4128"/>
      <c r="G77" s="4128"/>
      <c r="H77" s="4128"/>
      <c r="I77" s="4128"/>
      <c r="J77" s="4128"/>
      <c r="K77" s="4141"/>
      <c r="L77" s="4130"/>
      <c r="M77" s="4108"/>
      <c r="CA77" s="1971"/>
    </row>
    <row r="78" spans="1:86" x14ac:dyDescent="0.3">
      <c r="A78" s="3277" t="s">
        <v>2006</v>
      </c>
      <c r="B78" s="360">
        <f>SUM(C78:K78)</f>
        <v>0</v>
      </c>
      <c r="C78" s="44"/>
      <c r="D78" s="44"/>
      <c r="E78" s="44"/>
      <c r="F78" s="44"/>
      <c r="G78" s="44"/>
      <c r="H78" s="44"/>
      <c r="I78" s="44"/>
      <c r="J78" s="44"/>
      <c r="K78" s="1026"/>
      <c r="L78" s="44"/>
      <c r="M78" s="142"/>
      <c r="N78" s="1898" t="str">
        <f t="shared" ref="N78:N88" si="34">$CA78&amp;$CB78</f>
        <v/>
      </c>
      <c r="CA78" s="4027" t="str">
        <f>IF(AND(B78&gt;0,L78="")," No olvide digitar la variable Pueblos Originarios. Digite cero si no tiene.",IF(L78&gt;B78," * La variable Pueblos Originarios no puede ser mayor al Total.",""))</f>
        <v/>
      </c>
      <c r="CB78" s="4027" t="str">
        <f t="shared" ref="CB78:CB80" si="35">IF(AND(B78&gt;0,M78="")," No olvide digitar la variable Migrantes. Digite cero si no tiene.",IF(M78&gt;B78," * La variable Migrantes no puede ser mayor al Total.",""))</f>
        <v/>
      </c>
      <c r="CG78" s="3989">
        <f t="shared" ref="CG78:CG80" si="36">IF(AND(B78&gt;0,L78=""),1,IF(L78&gt;B78,1,0))</f>
        <v>0</v>
      </c>
      <c r="CH78" s="3989">
        <f t="shared" ref="CH78:CH80" si="37">IF(AND(B78&gt;0,M78=""),1,IF(M78&gt;B78,1,0))</f>
        <v>0</v>
      </c>
    </row>
    <row r="79" spans="1:86" x14ac:dyDescent="0.3">
      <c r="A79" s="3277" t="s">
        <v>2007</v>
      </c>
      <c r="B79" s="360">
        <f>SUM(C79:K79)</f>
        <v>0</v>
      </c>
      <c r="C79" s="44"/>
      <c r="D79" s="44"/>
      <c r="E79" s="44"/>
      <c r="F79" s="44"/>
      <c r="G79" s="44"/>
      <c r="H79" s="44"/>
      <c r="I79" s="44"/>
      <c r="J79" s="44"/>
      <c r="K79" s="1026"/>
      <c r="L79" s="44"/>
      <c r="M79" s="142"/>
      <c r="N79" s="1898" t="str">
        <f t="shared" si="34"/>
        <v/>
      </c>
      <c r="CA79" s="4027" t="str">
        <f t="shared" ref="CA79:CA80" si="38">IF(AND(B79&gt;0,L79="")," No olvide digitar la variable Pueblos Originarios. Digite cero si no tiene.",IF(L79&gt;B79," * La variable Pueblos Originarios no puede ser mayor al Total.",""))</f>
        <v/>
      </c>
      <c r="CB79" s="4027" t="str">
        <f t="shared" si="35"/>
        <v/>
      </c>
      <c r="CG79" s="3989">
        <f t="shared" si="36"/>
        <v>0</v>
      </c>
      <c r="CH79" s="3989">
        <f t="shared" si="37"/>
        <v>0</v>
      </c>
    </row>
    <row r="80" spans="1:86" ht="20.399999999999999" x14ac:dyDescent="0.3">
      <c r="A80" s="4142" t="s">
        <v>2008</v>
      </c>
      <c r="B80" s="4143">
        <f>SUM(C80:K80)</f>
        <v>0</v>
      </c>
      <c r="C80" s="1911"/>
      <c r="D80" s="1911"/>
      <c r="E80" s="1911"/>
      <c r="F80" s="1911"/>
      <c r="G80" s="1911"/>
      <c r="H80" s="1911"/>
      <c r="I80" s="1911"/>
      <c r="J80" s="1911"/>
      <c r="K80" s="1953"/>
      <c r="L80" s="1911"/>
      <c r="M80" s="877"/>
      <c r="N80" s="1898" t="str">
        <f t="shared" si="34"/>
        <v/>
      </c>
      <c r="CA80" s="4027" t="str">
        <f t="shared" si="38"/>
        <v/>
      </c>
      <c r="CB80" s="4027" t="str">
        <f t="shared" si="35"/>
        <v/>
      </c>
      <c r="CG80" s="3989">
        <f t="shared" si="36"/>
        <v>0</v>
      </c>
      <c r="CH80" s="3989">
        <f t="shared" si="37"/>
        <v>0</v>
      </c>
    </row>
    <row r="81" spans="1:86" ht="21" customHeight="1" x14ac:dyDescent="0.3">
      <c r="A81" s="939" t="s">
        <v>2009</v>
      </c>
      <c r="B81" s="4144"/>
      <c r="C81" s="4136"/>
      <c r="D81" s="4136"/>
      <c r="E81" s="4136"/>
      <c r="F81" s="4136"/>
      <c r="G81" s="4136"/>
      <c r="H81" s="4136"/>
      <c r="I81" s="4136"/>
      <c r="J81" s="4136"/>
      <c r="K81" s="4145"/>
      <c r="L81" s="4136"/>
      <c r="M81" s="3782"/>
      <c r="CA81" s="1971"/>
    </row>
    <row r="82" spans="1:86" x14ac:dyDescent="0.3">
      <c r="A82" s="3277" t="s">
        <v>2006</v>
      </c>
      <c r="B82" s="360">
        <f>SUM(C82:K82)</f>
        <v>0</v>
      </c>
      <c r="C82" s="44"/>
      <c r="D82" s="44"/>
      <c r="E82" s="44"/>
      <c r="F82" s="44"/>
      <c r="G82" s="44"/>
      <c r="H82" s="44"/>
      <c r="I82" s="44"/>
      <c r="J82" s="44"/>
      <c r="K82" s="1026"/>
      <c r="L82" s="44"/>
      <c r="M82" s="142"/>
      <c r="N82" s="1898" t="str">
        <f t="shared" si="34"/>
        <v/>
      </c>
      <c r="CA82" s="4027" t="str">
        <f>IF(AND(B82&gt;0,L82="")," No olvide digitar la variable Pueblos Originarios. Digite cero si no tiene.",IF(L82&gt;B82," * La variable Pueblos Originarios no puede ser mayor al Total.",""))</f>
        <v/>
      </c>
      <c r="CB82" s="4027" t="str">
        <f t="shared" ref="CB82:CB84" si="39">IF(AND(B82&gt;0,M82="")," No olvide digitar la variable Migrantes. Digite cero si no tiene.",IF(M82&gt;B82," * La variable Migrantes no puede ser mayor al Total.",""))</f>
        <v/>
      </c>
      <c r="CG82" s="3989">
        <f t="shared" ref="CG82:CG84" si="40">IF(AND(B82&gt;0,L82=""),1,IF(L82&gt;B82,1,0))</f>
        <v>0</v>
      </c>
      <c r="CH82" s="3989">
        <f t="shared" ref="CH82:CH84" si="41">IF(AND(B82&gt;0,M82=""),1,IF(M82&gt;B82,1,0))</f>
        <v>0</v>
      </c>
    </row>
    <row r="83" spans="1:86" x14ac:dyDescent="0.3">
      <c r="A83" s="3277" t="s">
        <v>2007</v>
      </c>
      <c r="B83" s="360">
        <f>SUM(C83:K83)</f>
        <v>0</v>
      </c>
      <c r="C83" s="44"/>
      <c r="D83" s="44"/>
      <c r="E83" s="44"/>
      <c r="F83" s="44"/>
      <c r="G83" s="44"/>
      <c r="H83" s="44"/>
      <c r="I83" s="44"/>
      <c r="J83" s="44"/>
      <c r="K83" s="1026"/>
      <c r="L83" s="44"/>
      <c r="M83" s="142"/>
      <c r="N83" s="1898" t="str">
        <f t="shared" si="34"/>
        <v/>
      </c>
      <c r="CA83" s="4027" t="str">
        <f t="shared" ref="CA83:CA84" si="42">IF(AND(B83&gt;0,L83="")," No olvide digitar la variable Pueblos Originarios. Digite cero si no tiene.",IF(L83&gt;B83," * La variable Pueblos Originarios no puede ser mayor al Total.",""))</f>
        <v/>
      </c>
      <c r="CB83" s="4027" t="str">
        <f t="shared" si="39"/>
        <v/>
      </c>
      <c r="CG83" s="3989">
        <f t="shared" si="40"/>
        <v>0</v>
      </c>
      <c r="CH83" s="3989">
        <f t="shared" si="41"/>
        <v>0</v>
      </c>
    </row>
    <row r="84" spans="1:86" ht="20.399999999999999" x14ac:dyDescent="0.3">
      <c r="A84" s="4142" t="s">
        <v>2008</v>
      </c>
      <c r="B84" s="4143">
        <f>SUM(C84:K84)</f>
        <v>0</v>
      </c>
      <c r="C84" s="1911"/>
      <c r="D84" s="1911"/>
      <c r="E84" s="1911"/>
      <c r="F84" s="1911"/>
      <c r="G84" s="1911"/>
      <c r="H84" s="1911"/>
      <c r="I84" s="1911"/>
      <c r="J84" s="1911"/>
      <c r="K84" s="1953"/>
      <c r="L84" s="1911"/>
      <c r="M84" s="877"/>
      <c r="N84" s="1898" t="str">
        <f t="shared" si="34"/>
        <v/>
      </c>
      <c r="CA84" s="4027" t="str">
        <f t="shared" si="42"/>
        <v/>
      </c>
      <c r="CB84" s="4027" t="str">
        <f t="shared" si="39"/>
        <v/>
      </c>
      <c r="CG84" s="3989">
        <f t="shared" si="40"/>
        <v>0</v>
      </c>
      <c r="CH84" s="3989">
        <f t="shared" si="41"/>
        <v>0</v>
      </c>
    </row>
    <row r="85" spans="1:86" ht="21" customHeight="1" x14ac:dyDescent="0.3">
      <c r="A85" s="939" t="s">
        <v>2010</v>
      </c>
      <c r="B85" s="4144"/>
      <c r="C85" s="4136"/>
      <c r="D85" s="4136"/>
      <c r="E85" s="4136"/>
      <c r="F85" s="4136"/>
      <c r="G85" s="4136"/>
      <c r="H85" s="4136"/>
      <c r="I85" s="4136"/>
      <c r="J85" s="4136"/>
      <c r="K85" s="4145"/>
      <c r="L85" s="4136"/>
      <c r="M85" s="3782"/>
      <c r="CA85" s="1971"/>
    </row>
    <row r="86" spans="1:86" x14ac:dyDescent="0.3">
      <c r="A86" s="3277" t="s">
        <v>2006</v>
      </c>
      <c r="B86" s="360">
        <f>SUM(C86:K86)</f>
        <v>0</v>
      </c>
      <c r="C86" s="44"/>
      <c r="D86" s="44"/>
      <c r="E86" s="44"/>
      <c r="F86" s="44"/>
      <c r="G86" s="44"/>
      <c r="H86" s="44"/>
      <c r="I86" s="44"/>
      <c r="J86" s="44"/>
      <c r="K86" s="1026"/>
      <c r="L86" s="44"/>
      <c r="M86" s="142"/>
      <c r="N86" s="1898" t="str">
        <f t="shared" si="34"/>
        <v/>
      </c>
      <c r="CA86" s="4027" t="str">
        <f>IF(AND(B86&gt;0,L86="")," No olvide digitar la variable Pueblos Originarios. Digite cero si no tiene.",IF(L86&gt;B86," * La variable Pueblos Originarios no puede ser mayor al Total.",""))</f>
        <v/>
      </c>
      <c r="CB86" s="4027" t="str">
        <f t="shared" ref="CB86:CB88" si="43">IF(AND(B86&gt;0,M86="")," No olvide digitar la variable Migrantes. Digite cero si no tiene.",IF(M86&gt;B86," * La variable Migrantes no puede ser mayor al Total.",""))</f>
        <v/>
      </c>
      <c r="CG86" s="3989">
        <f t="shared" ref="CG86:CG88" si="44">IF(AND(B86&gt;0,L86=""),1,IF(L86&gt;B86,1,0))</f>
        <v>0</v>
      </c>
      <c r="CH86" s="3989">
        <f t="shared" ref="CH86:CH88" si="45">IF(AND(B86&gt;0,M86=""),1,IF(M86&gt;B86,1,0))</f>
        <v>0</v>
      </c>
    </row>
    <row r="87" spans="1:86" x14ac:dyDescent="0.3">
      <c r="A87" s="3277" t="s">
        <v>2007</v>
      </c>
      <c r="B87" s="360">
        <f>SUM(C87:K87)</f>
        <v>0</v>
      </c>
      <c r="C87" s="44"/>
      <c r="D87" s="44"/>
      <c r="E87" s="44"/>
      <c r="F87" s="44"/>
      <c r="G87" s="44"/>
      <c r="H87" s="44"/>
      <c r="I87" s="44"/>
      <c r="J87" s="44"/>
      <c r="K87" s="1026"/>
      <c r="L87" s="44"/>
      <c r="M87" s="142"/>
      <c r="N87" s="1898" t="str">
        <f t="shared" si="34"/>
        <v/>
      </c>
      <c r="CA87" s="4027" t="str">
        <f t="shared" ref="CA87:CA88" si="46">IF(AND(B87&gt;0,L87="")," No olvide digitar la variable Pueblos Originarios. Digite cero si no tiene.",IF(L87&gt;B87," * La variable Pueblos Originarios no puede ser mayor al Total.",""))</f>
        <v/>
      </c>
      <c r="CB87" s="4027" t="str">
        <f t="shared" si="43"/>
        <v/>
      </c>
      <c r="CG87" s="3989">
        <f t="shared" si="44"/>
        <v>0</v>
      </c>
      <c r="CH87" s="3989">
        <f t="shared" si="45"/>
        <v>0</v>
      </c>
    </row>
    <row r="88" spans="1:86" ht="20.399999999999999" x14ac:dyDescent="0.3">
      <c r="A88" s="4142" t="s">
        <v>2011</v>
      </c>
      <c r="B88" s="4143">
        <f>SUM(C88:K88)</f>
        <v>0</v>
      </c>
      <c r="C88" s="1911"/>
      <c r="D88" s="1911"/>
      <c r="E88" s="1911"/>
      <c r="F88" s="1911"/>
      <c r="G88" s="1911"/>
      <c r="H88" s="1911"/>
      <c r="I88" s="1911"/>
      <c r="J88" s="1911"/>
      <c r="K88" s="1953"/>
      <c r="L88" s="4122"/>
      <c r="M88" s="3499"/>
      <c r="N88" s="1898" t="str">
        <f t="shared" si="34"/>
        <v/>
      </c>
      <c r="CA88" s="4027" t="str">
        <f t="shared" si="46"/>
        <v/>
      </c>
      <c r="CB88" s="4027" t="str">
        <f t="shared" si="43"/>
        <v/>
      </c>
      <c r="CG88" s="3989">
        <f t="shared" si="44"/>
        <v>0</v>
      </c>
      <c r="CH88" s="3989">
        <f t="shared" si="45"/>
        <v>0</v>
      </c>
    </row>
    <row r="89" spans="1:86" ht="18" customHeight="1" x14ac:dyDescent="0.3">
      <c r="A89" s="6914" t="s">
        <v>2012</v>
      </c>
      <c r="B89" s="6914"/>
      <c r="C89" s="6914"/>
      <c r="D89" s="6914"/>
      <c r="E89" s="6914"/>
      <c r="F89" s="6914"/>
      <c r="G89" s="6914"/>
      <c r="H89" s="6914"/>
      <c r="I89" s="6914"/>
      <c r="J89" s="6914"/>
      <c r="K89" s="6914"/>
      <c r="CA89" s="1971"/>
    </row>
    <row r="90" spans="1:86" ht="20.399999999999999" x14ac:dyDescent="0.3">
      <c r="A90" s="4046"/>
      <c r="B90" s="4045" t="s">
        <v>77</v>
      </c>
      <c r="C90" s="4047" t="s">
        <v>36</v>
      </c>
      <c r="D90" s="4020" t="s">
        <v>37</v>
      </c>
      <c r="CA90" s="1971"/>
    </row>
    <row r="91" spans="1:86" x14ac:dyDescent="0.3">
      <c r="A91" s="4109" t="s">
        <v>2013</v>
      </c>
      <c r="B91" s="3427"/>
      <c r="C91" s="44"/>
      <c r="D91" s="142"/>
      <c r="E91" s="1898" t="str">
        <f>CA91&amp;CB91</f>
        <v/>
      </c>
      <c r="CA91" s="4027" t="str">
        <f>IF(AND(B91&gt;0,C91="")," No olvide digitar la variable Pueblos Originarios. Digite cero si no tiene.",IF(C91&gt;B91," * La variable Pueblos Originarios no puede ser mayor al Total.",""))</f>
        <v/>
      </c>
      <c r="CB91" s="4027" t="str">
        <f>IF(AND(B91&gt;0,D91="")," No olvide digitar la variable Migrantes. Digite cero si no tiene.",IF(D91&gt;B91," * La variable Migrantes no puede ser mayor al Total.",""))</f>
        <v/>
      </c>
      <c r="CG91" s="3989">
        <f>IF(AND(B91&gt;0,C91=""),1,IF(C91&gt;B91,1,0))</f>
        <v>0</v>
      </c>
      <c r="CH91" s="3989">
        <f>IF(AND(B91&gt;0,D91=""),1,IF(D91&gt;B91,1,0))</f>
        <v>0</v>
      </c>
    </row>
    <row r="92" spans="1:86" ht="20.399999999999999" x14ac:dyDescent="0.3">
      <c r="A92" s="4142" t="s">
        <v>2014</v>
      </c>
      <c r="B92" s="4120"/>
      <c r="C92" s="1911"/>
      <c r="D92" s="877"/>
      <c r="E92" s="1898" t="str">
        <f>CA92&amp;CB92</f>
        <v/>
      </c>
      <c r="CA92" s="4027" t="str">
        <f>IF(AND(B92&gt;0,C92="")," No olvide digitar la variable Pueblos Originarios. Digite cero si no tiene.",IF(C92&gt;B92," * La variable Pueblos Originarios no puede ser mayor al Total.",""))</f>
        <v/>
      </c>
      <c r="CB92" s="4027" t="str">
        <f>IF(AND(B92&gt;0,D92="")," No olvide digitar la variable Migrantes. Digite cero si no tiene.",IF(D92&gt;B92," * La variable Migrantes no puede ser mayor al Total.",""))</f>
        <v/>
      </c>
      <c r="CG92" s="3989">
        <f>IF(AND(B92&gt;0,C92=""),1,IF(C92&gt;B92,1,0))</f>
        <v>0</v>
      </c>
      <c r="CH92" s="3989">
        <f>IF(AND(B92&gt;0,D92=""),1,IF(D92&gt;B92,1,0))</f>
        <v>0</v>
      </c>
    </row>
    <row r="93" spans="1:86" ht="18" customHeight="1" x14ac:dyDescent="0.3">
      <c r="A93" s="6915" t="s">
        <v>2015</v>
      </c>
      <c r="B93" s="6915"/>
      <c r="C93" s="6915"/>
      <c r="D93" s="6915"/>
      <c r="CA93" s="1971"/>
    </row>
    <row r="94" spans="1:86" ht="20.399999999999999" x14ac:dyDescent="0.3">
      <c r="A94" s="4046"/>
      <c r="B94" s="4045" t="s">
        <v>77</v>
      </c>
      <c r="C94" s="4047" t="s">
        <v>36</v>
      </c>
      <c r="D94" s="4020" t="s">
        <v>37</v>
      </c>
      <c r="CA94" s="1971"/>
    </row>
    <row r="95" spans="1:86" ht="17.25" customHeight="1" x14ac:dyDescent="0.3">
      <c r="A95" s="3277" t="s">
        <v>2016</v>
      </c>
      <c r="B95" s="3427"/>
      <c r="C95" s="44"/>
      <c r="D95" s="142"/>
      <c r="E95" s="1898" t="str">
        <f>CA95&amp;CB95</f>
        <v/>
      </c>
      <c r="CA95" s="4027" t="str">
        <f>IF(AND(B95&gt;0,C95="")," No olvide digitar la variable Pueblos Originarios. Digite cero si no tiene.",IF(C95&gt;B95," * La variable Pueblos Originarios no puede ser mayor al Total.",""))</f>
        <v/>
      </c>
      <c r="CB95" s="4027" t="str">
        <f t="shared" ref="CB95:CB96" si="47">IF(AND(B95&gt;0,D95="")," No olvide digitar la variable Migrantes. Digite cero si no tiene.",IF(D95&gt;B95," * La variable Migrantes no puede ser mayor al Total.",""))</f>
        <v/>
      </c>
      <c r="CG95" s="3989">
        <f t="shared" ref="CG95:CG96" si="48">IF(AND(B95&gt;0,C95=""),1,IF(C95&gt;B95,1,0))</f>
        <v>0</v>
      </c>
      <c r="CH95" s="3989">
        <f t="shared" ref="CH95:CH96" si="49">IF(AND(B95&gt;0,D95=""),1,IF(D95&gt;B95,1,0))</f>
        <v>0</v>
      </c>
    </row>
    <row r="96" spans="1:86" ht="21.6" x14ac:dyDescent="0.3">
      <c r="A96" s="2708" t="s">
        <v>2017</v>
      </c>
      <c r="B96" s="4120"/>
      <c r="C96" s="1911"/>
      <c r="D96" s="877"/>
      <c r="E96" s="1898" t="str">
        <f>CA96&amp;CB96</f>
        <v/>
      </c>
      <c r="CA96" s="4027" t="str">
        <f>IF(AND(B96&gt;0,C96="")," No olvide digitar la variable Pueblos Originarios. Digite cero si no tiene.",IF(C96&gt;B96," * La variable Pueblos Originarios no puede ser mayor al Total.",""))</f>
        <v/>
      </c>
      <c r="CB96" s="4027" t="str">
        <f t="shared" si="47"/>
        <v/>
      </c>
      <c r="CG96" s="3989">
        <f t="shared" si="48"/>
        <v>0</v>
      </c>
      <c r="CH96" s="3989">
        <f t="shared" si="49"/>
        <v>0</v>
      </c>
    </row>
    <row r="97" spans="1:86" x14ac:dyDescent="0.3">
      <c r="A97" s="6927" t="s">
        <v>2018</v>
      </c>
      <c r="B97" s="6927"/>
      <c r="C97" s="6927"/>
      <c r="D97" s="6927"/>
      <c r="E97" s="6927"/>
      <c r="F97" s="6927"/>
      <c r="G97" s="6927"/>
      <c r="H97" s="6927"/>
      <c r="I97" s="6927"/>
      <c r="J97" s="6927"/>
      <c r="K97" s="6927"/>
      <c r="L97" s="6927"/>
      <c r="M97" s="6927"/>
      <c r="N97" s="6927"/>
      <c r="O97" s="6927"/>
      <c r="P97" s="6927"/>
      <c r="Q97" s="6927"/>
      <c r="R97" s="6927"/>
      <c r="S97" s="1971"/>
      <c r="T97" s="1971"/>
    </row>
    <row r="98" spans="1:86" x14ac:dyDescent="0.3">
      <c r="A98" s="6916" t="s">
        <v>697</v>
      </c>
      <c r="B98" s="6916" t="s">
        <v>77</v>
      </c>
      <c r="C98" s="6890" t="s">
        <v>2019</v>
      </c>
      <c r="D98" s="6890"/>
      <c r="E98" s="6890"/>
      <c r="F98" s="6890"/>
      <c r="G98" s="6890"/>
      <c r="H98" s="6890"/>
      <c r="I98" s="6890"/>
      <c r="J98" s="6890"/>
      <c r="K98" s="6890"/>
      <c r="L98" s="6888"/>
      <c r="M98" s="6923" t="s">
        <v>36</v>
      </c>
      <c r="N98" s="6330" t="s">
        <v>37</v>
      </c>
    </row>
    <row r="99" spans="1:86" x14ac:dyDescent="0.3">
      <c r="A99" s="6917"/>
      <c r="B99" s="6917"/>
      <c r="C99" s="4049" t="s">
        <v>94</v>
      </c>
      <c r="D99" s="4146" t="s">
        <v>44</v>
      </c>
      <c r="E99" s="4146" t="s">
        <v>45</v>
      </c>
      <c r="F99" s="4146" t="s">
        <v>46</v>
      </c>
      <c r="G99" s="4146" t="s">
        <v>47</v>
      </c>
      <c r="H99" s="4146" t="s">
        <v>48</v>
      </c>
      <c r="I99" s="4146" t="s">
        <v>49</v>
      </c>
      <c r="J99" s="4146" t="s">
        <v>50</v>
      </c>
      <c r="K99" s="4146" t="s">
        <v>51</v>
      </c>
      <c r="L99" s="4021" t="s">
        <v>704</v>
      </c>
      <c r="M99" s="5904"/>
      <c r="N99" s="6910"/>
    </row>
    <row r="100" spans="1:86" x14ac:dyDescent="0.3">
      <c r="A100" s="4147" t="s">
        <v>2020</v>
      </c>
      <c r="B100" s="3500">
        <f>SUM(C100:L100)</f>
        <v>0</v>
      </c>
      <c r="C100" s="290"/>
      <c r="D100" s="535"/>
      <c r="E100" s="535"/>
      <c r="F100" s="535"/>
      <c r="G100" s="535"/>
      <c r="H100" s="535"/>
      <c r="I100" s="535"/>
      <c r="J100" s="535"/>
      <c r="K100" s="535"/>
      <c r="L100" s="61"/>
      <c r="M100" s="4148"/>
      <c r="N100" s="107"/>
      <c r="O100" s="1970" t="s">
        <v>2021</v>
      </c>
      <c r="CA100" s="4027" t="str">
        <f>IF(AND($B100&gt;0,M100="")," No olvide digitar la variable Pueblos Originarios. Digite cero si no tiene.",IF(M100&gt;$B100," * La variable Pueblos Originarios no puede ser mayor al Total.",""))</f>
        <v/>
      </c>
      <c r="CB100" s="4027" t="str">
        <f>IF(AND($B100&gt;0,N100="")," No olvide digitar la variable Migrantes. Digite cero si no tiene.",IF(N100&gt;$B100," * La variable Migrantes no puede ser mayor al Total.",""))</f>
        <v/>
      </c>
      <c r="CG100" s="3989">
        <f>IF(AND(B100&gt;0,M100=""),1,IF(M100&gt;B100,1,0))</f>
        <v>0</v>
      </c>
      <c r="CH100" s="3989">
        <f>IF(AND(B100&gt;0,N100=""),1,IF(N100&gt;B100,1,0))</f>
        <v>0</v>
      </c>
    </row>
    <row r="101" spans="1:86" x14ac:dyDescent="0.3">
      <c r="A101" s="4149" t="s">
        <v>2022</v>
      </c>
      <c r="B101" s="4150">
        <f>SUM(C101:L101)</f>
        <v>0</v>
      </c>
      <c r="C101" s="4089"/>
      <c r="D101" s="369"/>
      <c r="E101" s="369"/>
      <c r="F101" s="369"/>
      <c r="G101" s="369"/>
      <c r="H101" s="369"/>
      <c r="I101" s="369"/>
      <c r="J101" s="369"/>
      <c r="K101" s="369"/>
      <c r="L101" s="4151"/>
      <c r="M101" s="4148"/>
      <c r="N101" s="347"/>
      <c r="O101" s="1970" t="s">
        <v>2021</v>
      </c>
      <c r="CA101" s="4027" t="str">
        <f t="shared" ref="CA101:CA104" si="50">IF(AND($B101&gt;0,M101="")," No olvide digitar la variable Pueblos Originarios. Digite cero si no tiene.",IF(M101&gt;$B101," * La variable Pueblos Originarios no puede ser mayor al Total.",""))</f>
        <v/>
      </c>
      <c r="CB101" s="4027" t="str">
        <f t="shared" ref="CB101:CB104" si="51">IF(AND($B101&gt;0,N101="")," No olvide digitar la variable Migrantes. Digite cero si no tiene.",IF(N101&gt;$B101," * La variable Migrantes no puede ser mayor al Total.",""))</f>
        <v/>
      </c>
      <c r="CG101" s="3989">
        <f t="shared" ref="CG101:CG104" si="52">IF(AND(B101&gt;0,M101=""),1,IF(M101&gt;B101,1,0))</f>
        <v>0</v>
      </c>
      <c r="CH101" s="3989">
        <f t="shared" ref="CH101:CH104" si="53">IF(AND(B101&gt;0,N101=""),1,IF(N101&gt;B101,1,0))</f>
        <v>0</v>
      </c>
    </row>
    <row r="102" spans="1:86" x14ac:dyDescent="0.3">
      <c r="A102" s="4149" t="s">
        <v>2023</v>
      </c>
      <c r="B102" s="4152">
        <f t="shared" ref="B102:B105" si="54">SUM(C102:L102)</f>
        <v>0</v>
      </c>
      <c r="C102" s="4089"/>
      <c r="D102" s="369"/>
      <c r="E102" s="369"/>
      <c r="F102" s="369"/>
      <c r="G102" s="369"/>
      <c r="H102" s="369"/>
      <c r="I102" s="369"/>
      <c r="J102" s="369"/>
      <c r="K102" s="369"/>
      <c r="L102" s="4151"/>
      <c r="M102" s="4148"/>
      <c r="N102" s="347"/>
      <c r="O102" s="1970" t="s">
        <v>2021</v>
      </c>
      <c r="CA102" s="4027" t="str">
        <f t="shared" si="50"/>
        <v/>
      </c>
      <c r="CB102" s="4027" t="str">
        <f t="shared" si="51"/>
        <v/>
      </c>
      <c r="CG102" s="3989">
        <f t="shared" si="52"/>
        <v>0</v>
      </c>
      <c r="CH102" s="3989">
        <f t="shared" si="53"/>
        <v>0</v>
      </c>
    </row>
    <row r="103" spans="1:86" x14ac:dyDescent="0.3">
      <c r="A103" s="4149" t="s">
        <v>2024</v>
      </c>
      <c r="B103" s="4152">
        <f t="shared" si="54"/>
        <v>0</v>
      </c>
      <c r="C103" s="4089"/>
      <c r="D103" s="369"/>
      <c r="E103" s="369"/>
      <c r="F103" s="369"/>
      <c r="G103" s="369"/>
      <c r="H103" s="369"/>
      <c r="I103" s="369"/>
      <c r="J103" s="369"/>
      <c r="K103" s="369"/>
      <c r="L103" s="4151"/>
      <c r="M103" s="4148"/>
      <c r="N103" s="347"/>
      <c r="O103" s="1970" t="s">
        <v>2021</v>
      </c>
      <c r="CA103" s="4027" t="str">
        <f t="shared" si="50"/>
        <v/>
      </c>
      <c r="CB103" s="4027" t="str">
        <f t="shared" si="51"/>
        <v/>
      </c>
      <c r="CG103" s="3989">
        <f t="shared" si="52"/>
        <v>0</v>
      </c>
      <c r="CH103" s="3989">
        <f t="shared" si="53"/>
        <v>0</v>
      </c>
    </row>
    <row r="104" spans="1:86" x14ac:dyDescent="0.3">
      <c r="A104" s="4149" t="s">
        <v>2025</v>
      </c>
      <c r="B104" s="4152">
        <f t="shared" si="54"/>
        <v>0</v>
      </c>
      <c r="C104" s="192"/>
      <c r="D104" s="594"/>
      <c r="E104" s="594"/>
      <c r="F104" s="594"/>
      <c r="G104" s="594"/>
      <c r="H104" s="594"/>
      <c r="I104" s="594"/>
      <c r="J104" s="594"/>
      <c r="K104" s="594"/>
      <c r="L104" s="376"/>
      <c r="M104" s="377"/>
      <c r="N104" s="2"/>
      <c r="O104" s="1970"/>
      <c r="CA104" s="4027" t="str">
        <f t="shared" si="50"/>
        <v/>
      </c>
      <c r="CB104" s="4027" t="str">
        <f t="shared" si="51"/>
        <v/>
      </c>
      <c r="CG104" s="3989">
        <f t="shared" si="52"/>
        <v>0</v>
      </c>
      <c r="CH104" s="3989">
        <f t="shared" si="53"/>
        <v>0</v>
      </c>
    </row>
    <row r="105" spans="1:86" x14ac:dyDescent="0.3">
      <c r="A105" s="4153" t="s">
        <v>2026</v>
      </c>
      <c r="B105" s="4154">
        <f t="shared" si="54"/>
        <v>0</v>
      </c>
      <c r="C105" s="380"/>
      <c r="D105" s="2911"/>
      <c r="E105" s="2911"/>
      <c r="F105" s="2911"/>
      <c r="G105" s="2911"/>
      <c r="H105" s="2911"/>
      <c r="I105" s="2911"/>
      <c r="J105" s="2911"/>
      <c r="K105" s="2911"/>
      <c r="L105" s="392"/>
      <c r="M105" s="379"/>
      <c r="N105" s="388"/>
      <c r="O105" s="1970" t="s">
        <v>2021</v>
      </c>
      <c r="CA105" s="4027" t="str">
        <f>IF(AND($B105&gt;0,M105="")," No olvide digitar la variable Pueblos Originarios. Digite cero si no tiene.",IF(M105&gt;$B105," * La variable Pueblos Originarios no puede ser mayor al Total.",""))</f>
        <v/>
      </c>
      <c r="CB105" s="4027" t="str">
        <f>IF(AND($B105&gt;0,N105="")," No olvide digitar la variable Migrantes. Digite cero si no tiene.",IF(N105&gt;$B105," * La variable Migrantes no puede ser mayor al Total.",""))</f>
        <v/>
      </c>
      <c r="CG105" s="3989">
        <f>IF(AND(B105&gt;0,M105=""),1,IF(M105&gt;B105,1,0))</f>
        <v>0</v>
      </c>
      <c r="CH105" s="3989">
        <f>IF(AND(B105&gt;0,N105=""),1,IF(N105&gt;B105,1,0))</f>
        <v>0</v>
      </c>
    </row>
    <row r="106" spans="1:86" x14ac:dyDescent="0.3">
      <c r="A106" s="6905" t="s">
        <v>2027</v>
      </c>
      <c r="B106" s="6905"/>
      <c r="C106" s="6905"/>
      <c r="D106" s="6905"/>
      <c r="E106" s="6905"/>
      <c r="F106" s="6905"/>
      <c r="G106" s="6905"/>
      <c r="H106" s="6905"/>
      <c r="I106" s="6905"/>
      <c r="J106" s="6905"/>
      <c r="K106" s="6905"/>
      <c r="L106" s="6905"/>
      <c r="M106" s="6905"/>
      <c r="N106" s="6905"/>
      <c r="O106" s="6911"/>
      <c r="P106" s="6911"/>
      <c r="Q106" s="6911"/>
      <c r="R106" s="6911"/>
      <c r="S106" s="99"/>
      <c r="T106" s="99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</row>
    <row r="107" spans="1:86" x14ac:dyDescent="0.3">
      <c r="A107" s="6916" t="s">
        <v>2028</v>
      </c>
      <c r="B107" s="6916" t="s">
        <v>77</v>
      </c>
      <c r="C107" s="6902" t="s">
        <v>29</v>
      </c>
      <c r="D107" s="6903"/>
      <c r="E107" s="6903"/>
      <c r="F107" s="6903"/>
      <c r="G107" s="6903"/>
      <c r="H107" s="6903"/>
      <c r="I107" s="6903"/>
      <c r="J107" s="6903"/>
      <c r="K107" s="6903"/>
      <c r="L107" s="6903"/>
      <c r="M107" s="6903"/>
      <c r="N107" s="6903"/>
      <c r="O107" s="6903"/>
      <c r="P107" s="6903"/>
      <c r="Q107" s="6903"/>
      <c r="R107" s="6904"/>
      <c r="S107" s="6923" t="s">
        <v>36</v>
      </c>
      <c r="T107" s="6330" t="s">
        <v>37</v>
      </c>
    </row>
    <row r="108" spans="1:86" x14ac:dyDescent="0.3">
      <c r="A108" s="6917"/>
      <c r="B108" s="6917"/>
      <c r="C108" s="4049" t="s">
        <v>80</v>
      </c>
      <c r="D108" s="4146" t="s">
        <v>81</v>
      </c>
      <c r="E108" s="4146" t="s">
        <v>82</v>
      </c>
      <c r="F108" s="4146" t="s">
        <v>83</v>
      </c>
      <c r="G108" s="4146" t="s">
        <v>84</v>
      </c>
      <c r="H108" s="4146" t="s">
        <v>2029</v>
      </c>
      <c r="I108" s="4146" t="s">
        <v>86</v>
      </c>
      <c r="J108" s="4146" t="s">
        <v>2030</v>
      </c>
      <c r="K108" s="4146" t="s">
        <v>2031</v>
      </c>
      <c r="L108" s="4146" t="s">
        <v>2032</v>
      </c>
      <c r="M108" s="4146" t="s">
        <v>2033</v>
      </c>
      <c r="N108" s="4146" t="s">
        <v>2034</v>
      </c>
      <c r="O108" s="4146" t="s">
        <v>404</v>
      </c>
      <c r="P108" s="4155" t="s">
        <v>2035</v>
      </c>
      <c r="Q108" s="4155" t="s">
        <v>2036</v>
      </c>
      <c r="R108" s="4156" t="s">
        <v>2037</v>
      </c>
      <c r="S108" s="5904"/>
      <c r="T108" s="6910"/>
    </row>
    <row r="109" spans="1:86" x14ac:dyDescent="0.3">
      <c r="A109" s="4147" t="s">
        <v>2038</v>
      </c>
      <c r="B109" s="3500">
        <f>SUM(C109:R109)</f>
        <v>0</v>
      </c>
      <c r="C109" s="3310"/>
      <c r="D109" s="773"/>
      <c r="E109" s="773"/>
      <c r="F109" s="773"/>
      <c r="G109" s="773"/>
      <c r="H109" s="773"/>
      <c r="I109" s="773"/>
      <c r="J109" s="773"/>
      <c r="K109" s="773"/>
      <c r="L109" s="773"/>
      <c r="M109" s="773"/>
      <c r="N109" s="773"/>
      <c r="O109" s="773"/>
      <c r="P109" s="773"/>
      <c r="Q109" s="773"/>
      <c r="R109" s="4157"/>
      <c r="S109" s="758"/>
      <c r="T109" s="4158"/>
      <c r="U109" s="1970" t="s">
        <v>2021</v>
      </c>
      <c r="CA109" s="4027" t="str">
        <f>IF(AND($B109&gt;0,S109="")," No olvide digitar la variable Pueblos Originarios. Digite cero si no tiene.",IF(S109&gt;$B109," * La variable Pueblos Originarios no puede ser mayor al Total.",""))</f>
        <v/>
      </c>
      <c r="CB109" s="4027" t="str">
        <f>IF(AND($B109&gt;0,T109="")," No olvide digitar la variable Migrantes. Digite cero si no tiene.",IF(T109&gt;$B109," * La variable Migrantes no puede ser mayor al Total.",""))</f>
        <v/>
      </c>
      <c r="CG109" s="3989">
        <f>IF(AND(B109&gt;0,S109=""),1,IF(S109&gt;B109,1,0))</f>
        <v>0</v>
      </c>
      <c r="CH109" s="3989">
        <f>IF(AND(B109&gt;0,T109=""),1,IF(T109&gt;B109,1,0))</f>
        <v>0</v>
      </c>
    </row>
    <row r="110" spans="1:86" x14ac:dyDescent="0.3">
      <c r="A110" s="4149" t="s">
        <v>2039</v>
      </c>
      <c r="B110" s="4159">
        <f>SUM(C110:R110)</f>
        <v>0</v>
      </c>
      <c r="C110" s="4089"/>
      <c r="D110" s="369"/>
      <c r="E110" s="369"/>
      <c r="F110" s="369"/>
      <c r="G110" s="369"/>
      <c r="H110" s="369"/>
      <c r="I110" s="369"/>
      <c r="J110" s="369"/>
      <c r="K110" s="369"/>
      <c r="L110" s="369"/>
      <c r="M110" s="369"/>
      <c r="N110" s="369"/>
      <c r="O110" s="369"/>
      <c r="P110" s="369"/>
      <c r="Q110" s="369"/>
      <c r="R110" s="4151"/>
      <c r="S110" s="4148"/>
      <c r="T110" s="347"/>
      <c r="U110" s="1970" t="s">
        <v>2021</v>
      </c>
      <c r="CA110" s="4027" t="str">
        <f t="shared" ref="CA110:CA113" si="55">IF(AND($B110&gt;0,S110="")," No olvide digitar la variable Pueblos Originarios. Digite cero si no tiene.",IF(S110&gt;$B110," * La variable Pueblos Originarios no puede ser mayor al Total.",""))</f>
        <v/>
      </c>
      <c r="CB110" s="4027" t="str">
        <f t="shared" ref="CB110:CB113" si="56">IF(AND($B110&gt;0,T110="")," No olvide digitar la variable Migrantes. Digite cero si no tiene.",IF(T110&gt;$B110," * La variable Migrantes no puede ser mayor al Total.",""))</f>
        <v/>
      </c>
      <c r="CG110" s="3989">
        <f t="shared" ref="CG110:CG112" si="57">IF(AND(B110&gt;0,S110=""),1,IF(S110&gt;B110,1,0))</f>
        <v>0</v>
      </c>
      <c r="CH110" s="3989">
        <f t="shared" ref="CH110:CH113" si="58">IF(AND(B110&gt;0,T110=""),1,IF(T110&gt;B110,1,0))</f>
        <v>0</v>
      </c>
    </row>
    <row r="111" spans="1:86" ht="21.6" x14ac:dyDescent="0.3">
      <c r="A111" s="4095" t="s">
        <v>2040</v>
      </c>
      <c r="B111" s="4150">
        <f t="shared" ref="B111:B113" si="59">SUM(C111:R111)</f>
        <v>0</v>
      </c>
      <c r="C111" s="4089"/>
      <c r="D111" s="369"/>
      <c r="E111" s="369"/>
      <c r="F111" s="369"/>
      <c r="G111" s="369"/>
      <c r="H111" s="369"/>
      <c r="I111" s="369"/>
      <c r="J111" s="369"/>
      <c r="K111" s="369"/>
      <c r="L111" s="369"/>
      <c r="M111" s="369"/>
      <c r="N111" s="369"/>
      <c r="O111" s="369"/>
      <c r="P111" s="369"/>
      <c r="Q111" s="369"/>
      <c r="R111" s="4151"/>
      <c r="S111" s="4148"/>
      <c r="T111" s="347"/>
      <c r="U111" s="1970" t="s">
        <v>2021</v>
      </c>
      <c r="CA111" s="4027" t="str">
        <f t="shared" si="55"/>
        <v/>
      </c>
      <c r="CB111" s="4027" t="str">
        <f t="shared" si="56"/>
        <v/>
      </c>
      <c r="CG111" s="3989">
        <f t="shared" si="57"/>
        <v>0</v>
      </c>
      <c r="CH111" s="3989">
        <f t="shared" si="58"/>
        <v>0</v>
      </c>
    </row>
    <row r="112" spans="1:86" ht="21.6" x14ac:dyDescent="0.3">
      <c r="A112" s="4160" t="s">
        <v>2041</v>
      </c>
      <c r="B112" s="4152">
        <f t="shared" si="59"/>
        <v>0</v>
      </c>
      <c r="C112" s="4089"/>
      <c r="D112" s="369"/>
      <c r="E112" s="369"/>
      <c r="F112" s="369"/>
      <c r="G112" s="369"/>
      <c r="H112" s="369"/>
      <c r="I112" s="369"/>
      <c r="J112" s="369"/>
      <c r="K112" s="369"/>
      <c r="L112" s="369"/>
      <c r="M112" s="369"/>
      <c r="N112" s="369"/>
      <c r="O112" s="369"/>
      <c r="P112" s="369"/>
      <c r="Q112" s="369"/>
      <c r="R112" s="4151"/>
      <c r="S112" s="4148"/>
      <c r="T112" s="347"/>
      <c r="U112" s="1970" t="s">
        <v>2021</v>
      </c>
      <c r="CA112" s="4027" t="str">
        <f t="shared" si="55"/>
        <v/>
      </c>
      <c r="CB112" s="4027" t="str">
        <f t="shared" si="56"/>
        <v/>
      </c>
      <c r="CG112" s="3989">
        <f t="shared" si="57"/>
        <v>0</v>
      </c>
      <c r="CH112" s="3989">
        <f t="shared" si="58"/>
        <v>0</v>
      </c>
    </row>
    <row r="113" spans="1:86" ht="21.6" x14ac:dyDescent="0.3">
      <c r="A113" s="4111" t="s">
        <v>2042</v>
      </c>
      <c r="B113" s="4161">
        <f t="shared" si="59"/>
        <v>0</v>
      </c>
      <c r="C113" s="1289"/>
      <c r="D113" s="262"/>
      <c r="E113" s="262"/>
      <c r="F113" s="262"/>
      <c r="G113" s="262"/>
      <c r="H113" s="262"/>
      <c r="I113" s="262"/>
      <c r="J113" s="262"/>
      <c r="K113" s="262"/>
      <c r="L113" s="262"/>
      <c r="M113" s="262"/>
      <c r="N113" s="262"/>
      <c r="O113" s="262"/>
      <c r="P113" s="262"/>
      <c r="Q113" s="262"/>
      <c r="R113" s="1475"/>
      <c r="S113" s="266"/>
      <c r="T113" s="1474"/>
      <c r="U113" s="1970" t="s">
        <v>2021</v>
      </c>
      <c r="CA113" s="4027" t="str">
        <f t="shared" si="55"/>
        <v/>
      </c>
      <c r="CB113" s="4027" t="str">
        <f t="shared" si="56"/>
        <v/>
      </c>
      <c r="CG113" s="3989">
        <f>IF(AND(B113&gt;0,S113=""),1,IF(S113&gt;B113,1,0))</f>
        <v>0</v>
      </c>
      <c r="CH113" s="3989">
        <f t="shared" si="58"/>
        <v>0</v>
      </c>
    </row>
    <row r="114" spans="1:86" x14ac:dyDescent="0.3">
      <c r="A114" s="6911" t="s">
        <v>2043</v>
      </c>
      <c r="B114" s="6911"/>
      <c r="C114" s="6911"/>
      <c r="D114" s="6911"/>
      <c r="E114" s="6911"/>
      <c r="F114" s="6911"/>
      <c r="G114" s="6911"/>
      <c r="H114" s="6911"/>
      <c r="I114" s="6911"/>
      <c r="J114" s="6911"/>
      <c r="K114" s="6911"/>
      <c r="L114" s="6911"/>
      <c r="M114" s="6911"/>
      <c r="N114" s="6911"/>
      <c r="O114" s="6911"/>
      <c r="P114" s="6911"/>
      <c r="Q114" s="6911"/>
      <c r="R114" s="6911"/>
      <c r="S114" s="6911"/>
      <c r="T114" s="6911"/>
      <c r="U114" s="6911"/>
      <c r="V114" s="6911"/>
      <c r="W114" s="6911"/>
      <c r="X114" s="6911"/>
      <c r="Y114" s="6911"/>
      <c r="Z114" s="6911"/>
      <c r="AA114" s="6911"/>
      <c r="AB114" s="6911"/>
      <c r="AC114" s="6911"/>
      <c r="AD114" s="6911"/>
      <c r="AE114" s="6911"/>
      <c r="AF114" s="6911"/>
      <c r="AG114" s="6911"/>
      <c r="AH114" s="6911"/>
      <c r="AI114" s="6911"/>
      <c r="AJ114" s="6911"/>
    </row>
    <row r="115" spans="1:86" x14ac:dyDescent="0.3">
      <c r="A115" s="6883" t="s">
        <v>697</v>
      </c>
      <c r="B115" s="6906" t="s">
        <v>77</v>
      </c>
      <c r="C115" s="6397"/>
      <c r="D115" s="6330"/>
      <c r="E115" s="6902" t="s">
        <v>101</v>
      </c>
      <c r="F115" s="6903"/>
      <c r="G115" s="6903"/>
      <c r="H115" s="6903"/>
      <c r="I115" s="6903"/>
      <c r="J115" s="6903"/>
      <c r="K115" s="6903"/>
      <c r="L115" s="6903"/>
      <c r="M115" s="6903"/>
      <c r="N115" s="6903"/>
      <c r="O115" s="6903"/>
      <c r="P115" s="6903"/>
      <c r="Q115" s="6903"/>
      <c r="R115" s="6903"/>
      <c r="S115" s="6903"/>
      <c r="T115" s="6903"/>
      <c r="U115" s="6903"/>
      <c r="V115" s="6903"/>
      <c r="W115" s="6903"/>
      <c r="X115" s="6903"/>
      <c r="Y115" s="6903"/>
      <c r="Z115" s="6903"/>
      <c r="AA115" s="6903"/>
      <c r="AB115" s="6903"/>
      <c r="AC115" s="6903"/>
      <c r="AD115" s="6903"/>
      <c r="AE115" s="6903"/>
      <c r="AF115" s="6903"/>
      <c r="AG115" s="6903"/>
      <c r="AH115" s="6903"/>
      <c r="AI115" s="6903"/>
      <c r="AJ115" s="6928"/>
    </row>
    <row r="116" spans="1:86" x14ac:dyDescent="0.3">
      <c r="A116" s="6884"/>
      <c r="B116" s="6929" t="s">
        <v>389</v>
      </c>
      <c r="C116" s="6224" t="s">
        <v>58</v>
      </c>
      <c r="D116" s="6243" t="s">
        <v>59</v>
      </c>
      <c r="E116" s="6868" t="s">
        <v>474</v>
      </c>
      <c r="F116" s="6871"/>
      <c r="G116" s="6912" t="s">
        <v>1953</v>
      </c>
      <c r="H116" s="6913"/>
      <c r="I116" s="6912" t="s">
        <v>1954</v>
      </c>
      <c r="J116" s="6913"/>
      <c r="K116" s="6912" t="s">
        <v>303</v>
      </c>
      <c r="L116" s="6913"/>
      <c r="M116" s="6868" t="s">
        <v>44</v>
      </c>
      <c r="N116" s="6871"/>
      <c r="O116" s="6868" t="s">
        <v>45</v>
      </c>
      <c r="P116" s="6871"/>
      <c r="Q116" s="6868" t="s">
        <v>46</v>
      </c>
      <c r="R116" s="6871"/>
      <c r="S116" s="6868" t="s">
        <v>47</v>
      </c>
      <c r="T116" s="6871"/>
      <c r="U116" s="6868" t="s">
        <v>48</v>
      </c>
      <c r="V116" s="6871"/>
      <c r="W116" s="6868" t="s">
        <v>49</v>
      </c>
      <c r="X116" s="6871"/>
      <c r="Y116" s="6868" t="s">
        <v>50</v>
      </c>
      <c r="Z116" s="6871"/>
      <c r="AA116" s="6868" t="s">
        <v>51</v>
      </c>
      <c r="AB116" s="6871"/>
      <c r="AC116" s="6868" t="s">
        <v>1949</v>
      </c>
      <c r="AD116" s="6871"/>
      <c r="AE116" s="6868" t="s">
        <v>1583</v>
      </c>
      <c r="AF116" s="6871"/>
      <c r="AG116" s="6868" t="s">
        <v>308</v>
      </c>
      <c r="AH116" s="6871"/>
      <c r="AI116" s="6868" t="s">
        <v>737</v>
      </c>
      <c r="AJ116" s="6871"/>
    </row>
    <row r="117" spans="1:86" x14ac:dyDescent="0.3">
      <c r="A117" s="6885"/>
      <c r="B117" s="6483"/>
      <c r="C117" s="6626"/>
      <c r="D117" s="6687"/>
      <c r="E117" s="3977" t="s">
        <v>58</v>
      </c>
      <c r="F117" s="3976" t="s">
        <v>59</v>
      </c>
      <c r="G117" s="3977" t="s">
        <v>58</v>
      </c>
      <c r="H117" s="3973" t="s">
        <v>59</v>
      </c>
      <c r="I117" s="3977" t="s">
        <v>58</v>
      </c>
      <c r="J117" s="3976" t="s">
        <v>59</v>
      </c>
      <c r="K117" s="3977" t="s">
        <v>58</v>
      </c>
      <c r="L117" s="3976" t="s">
        <v>59</v>
      </c>
      <c r="M117" s="3975" t="s">
        <v>58</v>
      </c>
      <c r="N117" s="3976" t="s">
        <v>59</v>
      </c>
      <c r="O117" s="3977" t="s">
        <v>58</v>
      </c>
      <c r="P117" s="3976" t="s">
        <v>59</v>
      </c>
      <c r="Q117" s="3977" t="s">
        <v>58</v>
      </c>
      <c r="R117" s="3976" t="s">
        <v>59</v>
      </c>
      <c r="S117" s="3977" t="s">
        <v>58</v>
      </c>
      <c r="T117" s="3976" t="s">
        <v>59</v>
      </c>
      <c r="U117" s="3977" t="s">
        <v>58</v>
      </c>
      <c r="V117" s="3976" t="s">
        <v>59</v>
      </c>
      <c r="W117" s="3977" t="s">
        <v>58</v>
      </c>
      <c r="X117" s="3976" t="s">
        <v>59</v>
      </c>
      <c r="Y117" s="3977" t="s">
        <v>58</v>
      </c>
      <c r="Z117" s="3976" t="s">
        <v>59</v>
      </c>
      <c r="AA117" s="3977" t="s">
        <v>58</v>
      </c>
      <c r="AB117" s="3976" t="s">
        <v>59</v>
      </c>
      <c r="AC117" s="3977" t="s">
        <v>58</v>
      </c>
      <c r="AD117" s="3976" t="s">
        <v>59</v>
      </c>
      <c r="AE117" s="3977" t="s">
        <v>58</v>
      </c>
      <c r="AF117" s="3976" t="s">
        <v>59</v>
      </c>
      <c r="AG117" s="3977" t="s">
        <v>58</v>
      </c>
      <c r="AH117" s="3976" t="s">
        <v>59</v>
      </c>
      <c r="AI117" s="3977" t="s">
        <v>58</v>
      </c>
      <c r="AJ117" s="3976" t="s">
        <v>59</v>
      </c>
    </row>
    <row r="118" spans="1:86" ht="21.6" x14ac:dyDescent="0.3">
      <c r="A118" s="4109" t="s">
        <v>2044</v>
      </c>
      <c r="B118" s="3337">
        <f>SUM(C118:D118)</f>
        <v>0</v>
      </c>
      <c r="C118" s="4087">
        <f>+E118+G118+I118+K118+M118+O118+Q118+S118+U118+W118+Y118+AA118+AC118+AE118+AG118+AI118</f>
        <v>0</v>
      </c>
      <c r="D118" s="3983">
        <f>+F118+H118+J118+L118+N118+P118+R118+T118+V118+X118+Z118+AB118+AD118+AF118+AH118+AJ118</f>
        <v>0</v>
      </c>
      <c r="E118" s="3361"/>
      <c r="F118" s="330"/>
      <c r="G118" s="3361"/>
      <c r="H118" s="330"/>
      <c r="I118" s="3361"/>
      <c r="J118" s="330"/>
      <c r="K118" s="3361"/>
      <c r="L118" s="330"/>
      <c r="M118" s="3361"/>
      <c r="N118" s="330"/>
      <c r="O118" s="3361"/>
      <c r="P118" s="330"/>
      <c r="Q118" s="3361"/>
      <c r="R118" s="330"/>
      <c r="S118" s="3361"/>
      <c r="T118" s="330"/>
      <c r="U118" s="3361"/>
      <c r="V118" s="330"/>
      <c r="W118" s="3361"/>
      <c r="X118" s="330"/>
      <c r="Y118" s="3361"/>
      <c r="Z118" s="330"/>
      <c r="AA118" s="3361"/>
      <c r="AB118" s="330"/>
      <c r="AC118" s="3996"/>
      <c r="AD118" s="330"/>
      <c r="AE118" s="3996"/>
      <c r="AF118" s="330"/>
      <c r="AG118" s="3996"/>
      <c r="AH118" s="330"/>
      <c r="AI118" s="3996"/>
      <c r="AJ118" s="330"/>
    </row>
    <row r="119" spans="1:86" ht="21.6" x14ac:dyDescent="0.3">
      <c r="A119" s="4095" t="s">
        <v>2045</v>
      </c>
      <c r="B119" s="4096">
        <f t="shared" ref="B119:B123" si="60">SUM(C119:D119)</f>
        <v>0</v>
      </c>
      <c r="C119" s="4097">
        <f t="shared" ref="C119:D123" si="61">+E119+G119+I119+K119+M119+O119+Q119+S119+U119+W119+Y119+AA119+AC119+AE119+AG119+AI119</f>
        <v>0</v>
      </c>
      <c r="D119" s="4070">
        <f t="shared" si="61"/>
        <v>0</v>
      </c>
      <c r="E119" s="3996"/>
      <c r="F119" s="330"/>
      <c r="G119" s="3996"/>
      <c r="H119" s="330"/>
      <c r="I119" s="3996"/>
      <c r="J119" s="330"/>
      <c r="K119" s="3996"/>
      <c r="L119" s="330"/>
      <c r="M119" s="3996"/>
      <c r="N119" s="330"/>
      <c r="O119" s="3996"/>
      <c r="P119" s="330"/>
      <c r="Q119" s="3996"/>
      <c r="R119" s="330"/>
      <c r="S119" s="3996"/>
      <c r="T119" s="330"/>
      <c r="U119" s="3996"/>
      <c r="V119" s="330"/>
      <c r="W119" s="3996"/>
      <c r="X119" s="330"/>
      <c r="Y119" s="3996"/>
      <c r="Z119" s="330"/>
      <c r="AA119" s="3996"/>
      <c r="AB119" s="330"/>
      <c r="AC119" s="3996"/>
      <c r="AD119" s="330"/>
      <c r="AE119" s="3996"/>
      <c r="AF119" s="330"/>
      <c r="AG119" s="3996"/>
      <c r="AH119" s="330"/>
      <c r="AI119" s="3996"/>
      <c r="AJ119" s="330"/>
    </row>
    <row r="120" spans="1:86" ht="21.6" x14ac:dyDescent="0.3">
      <c r="A120" s="4095" t="s">
        <v>2046</v>
      </c>
      <c r="B120" s="4096">
        <f t="shared" si="60"/>
        <v>0</v>
      </c>
      <c r="C120" s="4097">
        <f t="shared" si="61"/>
        <v>0</v>
      </c>
      <c r="D120" s="345">
        <f t="shared" si="61"/>
        <v>0</v>
      </c>
      <c r="E120" s="3996"/>
      <c r="F120" s="330"/>
      <c r="G120" s="3996"/>
      <c r="H120" s="330"/>
      <c r="I120" s="3996"/>
      <c r="J120" s="330"/>
      <c r="K120" s="3996"/>
      <c r="L120" s="330"/>
      <c r="M120" s="3996"/>
      <c r="N120" s="330"/>
      <c r="O120" s="3996"/>
      <c r="P120" s="330"/>
      <c r="Q120" s="3996"/>
      <c r="R120" s="330"/>
      <c r="S120" s="3996"/>
      <c r="T120" s="330"/>
      <c r="U120" s="3996"/>
      <c r="V120" s="330"/>
      <c r="W120" s="3996"/>
      <c r="X120" s="330"/>
      <c r="Y120" s="3996"/>
      <c r="Z120" s="330"/>
      <c r="AA120" s="3996"/>
      <c r="AB120" s="330"/>
      <c r="AC120" s="3996"/>
      <c r="AD120" s="330"/>
      <c r="AE120" s="3996"/>
      <c r="AF120" s="330"/>
      <c r="AG120" s="3996"/>
      <c r="AH120" s="330"/>
      <c r="AI120" s="3996"/>
      <c r="AJ120" s="330"/>
    </row>
    <row r="121" spans="1:86" ht="21.6" x14ac:dyDescent="0.3">
      <c r="A121" s="4095" t="s">
        <v>2047</v>
      </c>
      <c r="B121" s="4162">
        <f t="shared" si="60"/>
        <v>0</v>
      </c>
      <c r="C121" s="4163">
        <f t="shared" si="61"/>
        <v>0</v>
      </c>
      <c r="D121" s="4082">
        <f t="shared" si="61"/>
        <v>0</v>
      </c>
      <c r="E121" s="327"/>
      <c r="F121" s="142"/>
      <c r="G121" s="327"/>
      <c r="H121" s="142"/>
      <c r="I121" s="327"/>
      <c r="J121" s="142"/>
      <c r="K121" s="327"/>
      <c r="L121" s="142"/>
      <c r="M121" s="327"/>
      <c r="N121" s="142"/>
      <c r="O121" s="327"/>
      <c r="P121" s="142"/>
      <c r="Q121" s="327"/>
      <c r="R121" s="142"/>
      <c r="S121" s="327"/>
      <c r="T121" s="142"/>
      <c r="U121" s="327"/>
      <c r="V121" s="142"/>
      <c r="W121" s="327"/>
      <c r="X121" s="142"/>
      <c r="Y121" s="327"/>
      <c r="Z121" s="142"/>
      <c r="AA121" s="327"/>
      <c r="AB121" s="142"/>
      <c r="AC121" s="327"/>
      <c r="AD121" s="142"/>
      <c r="AE121" s="327"/>
      <c r="AF121" s="142"/>
      <c r="AG121" s="327"/>
      <c r="AH121" s="142"/>
      <c r="AI121" s="327"/>
      <c r="AJ121" s="142"/>
    </row>
    <row r="122" spans="1:86" ht="21.6" x14ac:dyDescent="0.3">
      <c r="A122" s="4095" t="s">
        <v>2048</v>
      </c>
      <c r="B122" s="4096">
        <f t="shared" si="60"/>
        <v>0</v>
      </c>
      <c r="C122" s="4097">
        <f t="shared" si="61"/>
        <v>0</v>
      </c>
      <c r="D122" s="4070">
        <f t="shared" si="61"/>
        <v>0</v>
      </c>
      <c r="E122" s="3996"/>
      <c r="F122" s="330"/>
      <c r="G122" s="3996"/>
      <c r="H122" s="330"/>
      <c r="I122" s="3996"/>
      <c r="J122" s="330"/>
      <c r="K122" s="3996"/>
      <c r="L122" s="330"/>
      <c r="M122" s="3996"/>
      <c r="N122" s="330"/>
      <c r="O122" s="3996"/>
      <c r="P122" s="330"/>
      <c r="Q122" s="3996"/>
      <c r="R122" s="330"/>
      <c r="S122" s="3996"/>
      <c r="T122" s="330"/>
      <c r="U122" s="3996"/>
      <c r="V122" s="330"/>
      <c r="W122" s="3996"/>
      <c r="X122" s="330"/>
      <c r="Y122" s="3996"/>
      <c r="Z122" s="330"/>
      <c r="AA122" s="3996"/>
      <c r="AB122" s="330"/>
      <c r="AC122" s="3996"/>
      <c r="AD122" s="330"/>
      <c r="AE122" s="3996"/>
      <c r="AF122" s="330"/>
      <c r="AG122" s="3996"/>
      <c r="AH122" s="330"/>
      <c r="AI122" s="3996"/>
      <c r="AJ122" s="330"/>
    </row>
    <row r="123" spans="1:86" ht="21.6" x14ac:dyDescent="0.3">
      <c r="A123" s="3291" t="s">
        <v>2049</v>
      </c>
      <c r="B123" s="4090">
        <f t="shared" si="60"/>
        <v>0</v>
      </c>
      <c r="C123" s="4091">
        <f t="shared" si="61"/>
        <v>0</v>
      </c>
      <c r="D123" s="4084">
        <f t="shared" si="61"/>
        <v>0</v>
      </c>
      <c r="E123" s="876"/>
      <c r="F123" s="877"/>
      <c r="G123" s="876"/>
      <c r="H123" s="877"/>
      <c r="I123" s="876"/>
      <c r="J123" s="877"/>
      <c r="K123" s="876"/>
      <c r="L123" s="877"/>
      <c r="M123" s="876"/>
      <c r="N123" s="877"/>
      <c r="O123" s="876"/>
      <c r="P123" s="877"/>
      <c r="Q123" s="876"/>
      <c r="R123" s="877"/>
      <c r="S123" s="876"/>
      <c r="T123" s="877"/>
      <c r="U123" s="876"/>
      <c r="V123" s="877"/>
      <c r="W123" s="876"/>
      <c r="X123" s="877"/>
      <c r="Y123" s="876"/>
      <c r="Z123" s="877"/>
      <c r="AA123" s="876"/>
      <c r="AB123" s="877"/>
      <c r="AC123" s="876"/>
      <c r="AD123" s="877"/>
      <c r="AE123" s="876"/>
      <c r="AF123" s="877"/>
      <c r="AG123" s="876"/>
      <c r="AH123" s="877"/>
      <c r="AI123" s="876"/>
      <c r="AJ123" s="877"/>
    </row>
    <row r="150" spans="1:2" hidden="1" x14ac:dyDescent="0.3">
      <c r="A150" s="4164">
        <f>SUM(B12:B13,B15:B16,B18:B19,B22:B23,B27:B32,B35:B36,B40:B47,B50:B53,B56:B59,B64:B65,B67:B68,B70:B71,B73,B78:B80,B82:B84,B86:B88,B91:B92,B95:B96,B100:B105,B109:B113,B118:B123)</f>
        <v>0</v>
      </c>
      <c r="B150" s="4165">
        <f>SUM(CG12:CH113)</f>
        <v>0</v>
      </c>
    </row>
  </sheetData>
  <sheetProtection algorithmName="SHA-512" hashValue="KarvbFqZk0/9wq2hLLSoJRyBZVBrgGbxlfrp/YX+Y22bbrtiDrSDVSCbtZ0a5uF+9h/beEtqysuYBw3Re3js6g==" saltValue="3alygx1F31kZwYZRe2ceGA==" spinCount="100000" sheet="1" objects="1" scenarios="1"/>
  <mergeCells count="72">
    <mergeCell ref="AG116:AH116"/>
    <mergeCell ref="W116:X116"/>
    <mergeCell ref="Y116:Z116"/>
    <mergeCell ref="AA116:AB116"/>
    <mergeCell ref="AC116:AD116"/>
    <mergeCell ref="AE116:AF116"/>
    <mergeCell ref="A115:A117"/>
    <mergeCell ref="B115:D115"/>
    <mergeCell ref="E115:AJ115"/>
    <mergeCell ref="B116:B117"/>
    <mergeCell ref="C116:C117"/>
    <mergeCell ref="D116:D117"/>
    <mergeCell ref="E116:F116"/>
    <mergeCell ref="G116:H116"/>
    <mergeCell ref="I116:J116"/>
    <mergeCell ref="K116:L116"/>
    <mergeCell ref="AI116:AJ116"/>
    <mergeCell ref="M116:N116"/>
    <mergeCell ref="O116:P116"/>
    <mergeCell ref="Q116:R116"/>
    <mergeCell ref="S116:T116"/>
    <mergeCell ref="U116:V116"/>
    <mergeCell ref="A97:R97"/>
    <mergeCell ref="A114:AJ114"/>
    <mergeCell ref="A98:A99"/>
    <mergeCell ref="B98:B99"/>
    <mergeCell ref="C98:L98"/>
    <mergeCell ref="M98:M99"/>
    <mergeCell ref="N98:N99"/>
    <mergeCell ref="A106:R106"/>
    <mergeCell ref="A107:A108"/>
    <mergeCell ref="B107:B108"/>
    <mergeCell ref="C107:R107"/>
    <mergeCell ref="S107:S108"/>
    <mergeCell ref="T107:T108"/>
    <mergeCell ref="A6:M6"/>
    <mergeCell ref="A8:K8"/>
    <mergeCell ref="A9:A10"/>
    <mergeCell ref="B9:B10"/>
    <mergeCell ref="C9:K9"/>
    <mergeCell ref="L9:L10"/>
    <mergeCell ref="M9:M10"/>
    <mergeCell ref="A20:D20"/>
    <mergeCell ref="A24:K24"/>
    <mergeCell ref="A25:A26"/>
    <mergeCell ref="B25:B26"/>
    <mergeCell ref="C25:K25"/>
    <mergeCell ref="M25:M26"/>
    <mergeCell ref="A33:D33"/>
    <mergeCell ref="A37:K37"/>
    <mergeCell ref="A38:A39"/>
    <mergeCell ref="B38:B39"/>
    <mergeCell ref="C38:K38"/>
    <mergeCell ref="L38:L39"/>
    <mergeCell ref="M38:M39"/>
    <mergeCell ref="L25:L26"/>
    <mergeCell ref="A48:K48"/>
    <mergeCell ref="A54:D54"/>
    <mergeCell ref="A60:K60"/>
    <mergeCell ref="A61:A62"/>
    <mergeCell ref="B61:B62"/>
    <mergeCell ref="C61:K61"/>
    <mergeCell ref="A89:K89"/>
    <mergeCell ref="A93:D93"/>
    <mergeCell ref="L61:L62"/>
    <mergeCell ref="M61:M62"/>
    <mergeCell ref="A74:K74"/>
    <mergeCell ref="A75:A76"/>
    <mergeCell ref="B75:B76"/>
    <mergeCell ref="C75:K75"/>
    <mergeCell ref="L75:L76"/>
    <mergeCell ref="M75:M76"/>
  </mergeCells>
  <dataValidations count="7">
    <dataValidation type="whole" operator="greaterThanOrEqual" allowBlank="1" showInputMessage="1" showErrorMessage="1" sqref="B91:D92 B12:M13 B15:M16 B18:M19 B22:D23 C27:M32 B35:D36 C40:M47 B50:D53 C70:M71 B56:D59 C67:M68 C64:M65 C73:M73 B95:D96" xr:uid="{00000000-0002-0000-0B00-000000000000}">
      <formula1>0</formula1>
    </dataValidation>
    <dataValidation type="whole" operator="equal" allowBlank="1" showInputMessage="1" showErrorMessage="1" sqref="B11:M11 B14:M14 B17:M17 B63:M63 B66:M66 B69:M69 B72:M72 B77:M77 B81:M81 B85:M85" xr:uid="{D608E012-09B3-41C7-9541-587DD9DA7142}">
      <formula1>0</formula1>
    </dataValidation>
    <dataValidation type="whole" allowBlank="1" showInputMessage="1" showErrorMessage="1" sqref="C78:M80 C109:T113" xr:uid="{80CCC387-9128-4C41-A10A-A4E5212DBF6F}">
      <formula1>0</formula1>
      <formula2>9.99999999999999E+36</formula2>
    </dataValidation>
    <dataValidation type="whole" allowBlank="1" showInputMessage="1" showErrorMessage="1" sqref="C82:M84" xr:uid="{D37C0000-471C-4114-8CAA-96841CCD8F96}">
      <formula1>0</formula1>
      <formula2>9.99999999999999E+35</formula2>
    </dataValidation>
    <dataValidation type="whole" allowBlank="1" showInputMessage="1" showErrorMessage="1" sqref="C86:M88" xr:uid="{916784ED-39E7-4C05-A7BC-E4F01410A200}">
      <formula1>0</formula1>
      <formula2>9.99999999999999E+39</formula2>
    </dataValidation>
    <dataValidation type="whole" allowBlank="1" showInputMessage="1" showErrorMessage="1" sqref="C100:N105" xr:uid="{8AD889E3-AFF0-4D3E-866A-1169A0F31ABB}">
      <formula1>0</formula1>
      <formula2>9.99999999999999E+37</formula2>
    </dataValidation>
    <dataValidation type="whole" allowBlank="1" showInputMessage="1" showErrorMessage="1" sqref="E118:AJ123" xr:uid="{A2CF76A2-7B20-465E-BAF2-8C860AE578D3}">
      <formula1>0</formula1>
      <formula2>9.99999999999999E+41</formula2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DG203"/>
  <sheetViews>
    <sheetView showGridLines="0" workbookViewId="0"/>
  </sheetViews>
  <sheetFormatPr baseColWidth="10" defaultColWidth="11.44140625" defaultRowHeight="14.4" x14ac:dyDescent="0.3"/>
  <cols>
    <col min="1" max="1" width="43.109375" customWidth="1"/>
    <col min="2" max="2" width="31.6640625" customWidth="1"/>
    <col min="3" max="3" width="18.88671875" bestFit="1" customWidth="1"/>
    <col min="4" max="4" width="17.109375" bestFit="1" customWidth="1"/>
    <col min="5" max="5" width="14" bestFit="1" customWidth="1"/>
    <col min="6" max="6" width="14.5546875" bestFit="1" customWidth="1"/>
    <col min="7" max="7" width="11.5546875" bestFit="1" customWidth="1"/>
    <col min="8" max="8" width="14" bestFit="1" customWidth="1"/>
    <col min="9" max="9" width="13.33203125" customWidth="1"/>
    <col min="10" max="10" width="15.44140625" customWidth="1"/>
    <col min="11" max="11" width="17" customWidth="1"/>
    <col min="12" max="12" width="14.88671875" customWidth="1"/>
    <col min="14" max="14" width="13.5546875" customWidth="1"/>
    <col min="38" max="38" width="13.6640625" customWidth="1"/>
    <col min="40" max="40" width="12.6640625" customWidth="1"/>
    <col min="41" max="41" width="13" customWidth="1"/>
    <col min="42" max="42" width="13.109375" customWidth="1"/>
    <col min="44" max="44" width="12.44140625" customWidth="1"/>
    <col min="75" max="76" width="11.6640625" customWidth="1"/>
    <col min="77" max="77" width="11.44140625" customWidth="1"/>
    <col min="78" max="96" width="11.44140625" hidden="1" customWidth="1"/>
    <col min="97" max="105" width="11.44140625" customWidth="1"/>
  </cols>
  <sheetData>
    <row r="1" spans="1:104" x14ac:dyDescent="0.3">
      <c r="A1" s="50" t="s">
        <v>23</v>
      </c>
    </row>
    <row r="2" spans="1:104" x14ac:dyDescent="0.3">
      <c r="A2" s="50" t="str">
        <f>CONCATENATE("COMUNA: ",NOMBRE!B2, " (",NOMBRE!C2,NOMBRE!D2,NOMBRE!E2,NOMBRE!F2,NOMBRE!G2,")")</f>
        <v>COMUNA:  ()</v>
      </c>
    </row>
    <row r="3" spans="1:104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104" x14ac:dyDescent="0.3">
      <c r="A4" s="50" t="str">
        <f>CONCATENATE("MES: ",NOMBRE!B6, " (",NOMBRE!C6,NOMBRE!D6,")")</f>
        <v>MES:  ()</v>
      </c>
    </row>
    <row r="5" spans="1:104" x14ac:dyDescent="0.3">
      <c r="A5" s="50" t="str">
        <f>CONCATENATE("AÑO: ",NOMBRE!B7)</f>
        <v>AÑO: 2025</v>
      </c>
    </row>
    <row r="6" spans="1:104" s="2184" customFormat="1" ht="18" customHeight="1" x14ac:dyDescent="0.3">
      <c r="A6" s="5819" t="s">
        <v>2050</v>
      </c>
      <c r="B6" s="5819"/>
      <c r="C6" s="5819"/>
      <c r="D6" s="5819"/>
      <c r="E6" s="5819"/>
      <c r="F6" s="5819"/>
      <c r="G6" s="5819"/>
      <c r="H6" s="5819"/>
      <c r="I6" s="5819"/>
      <c r="J6" s="5819"/>
      <c r="K6" s="5819"/>
      <c r="L6" s="5819"/>
      <c r="M6" s="5819"/>
      <c r="N6" s="5819"/>
      <c r="O6" s="5819"/>
      <c r="P6" s="5819"/>
      <c r="Q6" s="5819"/>
      <c r="R6" s="5819"/>
      <c r="S6" s="5819"/>
      <c r="T6" s="5819"/>
      <c r="BX6" s="4166"/>
      <c r="BY6" s="4166"/>
      <c r="BZ6" s="4166"/>
      <c r="CA6" s="3969"/>
      <c r="CB6" s="3969"/>
      <c r="CC6" s="3969"/>
      <c r="CD6" s="3969"/>
      <c r="CE6" s="3969"/>
      <c r="CF6" s="3969"/>
      <c r="CG6" s="3969"/>
      <c r="CH6" s="3969"/>
      <c r="CI6" s="3969"/>
      <c r="CJ6" s="3969"/>
      <c r="CK6" s="3969"/>
      <c r="CL6" s="3969"/>
      <c r="CM6" s="3969"/>
      <c r="CN6" s="3969"/>
      <c r="CO6" s="3969"/>
      <c r="CP6" s="3969"/>
      <c r="CQ6" s="3969"/>
      <c r="CR6" s="3969"/>
      <c r="CS6" s="3969"/>
      <c r="CT6" s="3969"/>
      <c r="CU6" s="3969"/>
      <c r="CV6" s="3969"/>
      <c r="CW6" s="3969"/>
      <c r="CX6" s="3969"/>
      <c r="CY6" s="3969"/>
      <c r="CZ6" s="3969"/>
    </row>
    <row r="8" spans="1:104" ht="18" customHeight="1" x14ac:dyDescent="0.3">
      <c r="A8" s="6059" t="s">
        <v>2051</v>
      </c>
      <c r="B8" s="6059"/>
      <c r="C8" s="6059"/>
      <c r="D8" s="6059"/>
      <c r="E8" s="6059"/>
      <c r="F8" s="6059"/>
      <c r="G8" s="6059"/>
      <c r="H8" s="6059"/>
      <c r="I8" s="6059"/>
      <c r="J8" s="6059"/>
      <c r="K8" s="6059"/>
      <c r="L8" s="6059"/>
      <c r="M8" s="6059"/>
      <c r="N8" s="6059"/>
      <c r="O8" s="6059"/>
      <c r="P8" s="6059"/>
      <c r="Q8" s="6059"/>
      <c r="R8" s="6059"/>
      <c r="S8" s="6059"/>
      <c r="T8" s="6059"/>
      <c r="U8" s="6059"/>
      <c r="V8" s="6059"/>
      <c r="W8" s="6059"/>
      <c r="X8" s="6059"/>
      <c r="Y8" s="6059"/>
      <c r="Z8" s="6059"/>
      <c r="AA8" s="6059"/>
      <c r="AB8" s="6059"/>
      <c r="AC8" s="6059"/>
      <c r="AD8" s="6059"/>
      <c r="AE8" s="6059"/>
      <c r="AF8" s="6059"/>
      <c r="AG8" s="6059"/>
      <c r="AH8" s="6059"/>
      <c r="AI8" s="6059"/>
      <c r="AJ8" s="6059"/>
      <c r="AK8" s="6059"/>
      <c r="AL8" s="6059"/>
      <c r="AM8" s="6059"/>
    </row>
    <row r="9" spans="1:104" ht="18" customHeight="1" x14ac:dyDescent="0.3">
      <c r="A9" s="6911" t="s">
        <v>2052</v>
      </c>
      <c r="B9" s="6911"/>
      <c r="C9" s="6911"/>
      <c r="D9" s="6911"/>
      <c r="E9" s="6911"/>
      <c r="F9" s="6911"/>
      <c r="G9" s="6911"/>
      <c r="H9" s="6911"/>
      <c r="I9" s="6911"/>
      <c r="J9" s="6911"/>
      <c r="K9" s="6911"/>
      <c r="L9" s="6911"/>
      <c r="M9" s="6911"/>
      <c r="N9" s="6911"/>
      <c r="O9" s="6911"/>
      <c r="P9" s="6911"/>
      <c r="Q9" s="6911"/>
      <c r="R9" s="6911"/>
      <c r="S9" s="6911"/>
      <c r="T9" s="6911"/>
      <c r="U9" s="6911"/>
      <c r="V9" s="6911"/>
      <c r="W9" s="6911"/>
      <c r="X9" s="6911"/>
      <c r="Y9" s="6911"/>
      <c r="Z9" s="6911"/>
      <c r="AA9" s="6911"/>
      <c r="AB9" s="6911"/>
      <c r="AC9" s="6911"/>
      <c r="AD9" s="6911"/>
      <c r="AE9" s="6911"/>
      <c r="AF9" s="6911"/>
      <c r="AG9" s="6911"/>
      <c r="AH9" s="6911"/>
      <c r="AI9" s="6911"/>
      <c r="AJ9" s="6911"/>
      <c r="AK9" s="6911"/>
      <c r="AL9" s="6911"/>
      <c r="AM9" s="6911"/>
    </row>
    <row r="10" spans="1:104" ht="18" customHeight="1" x14ac:dyDescent="0.3">
      <c r="A10" s="6686" t="s">
        <v>2053</v>
      </c>
      <c r="B10" s="6930" t="s">
        <v>27</v>
      </c>
      <c r="C10" s="6853" t="s">
        <v>302</v>
      </c>
      <c r="D10" s="6242"/>
      <c r="E10" s="6243"/>
      <c r="F10" s="6838" t="s">
        <v>101</v>
      </c>
      <c r="G10" s="6223"/>
      <c r="H10" s="6223"/>
      <c r="I10" s="6223"/>
      <c r="J10" s="6223"/>
      <c r="K10" s="6223"/>
      <c r="L10" s="6223"/>
      <c r="M10" s="6223"/>
      <c r="N10" s="6223"/>
      <c r="O10" s="6223"/>
      <c r="P10" s="6223"/>
      <c r="Q10" s="6223"/>
      <c r="R10" s="6223"/>
      <c r="S10" s="6223"/>
      <c r="T10" s="6223"/>
      <c r="U10" s="6223"/>
      <c r="V10" s="6223"/>
      <c r="W10" s="6223"/>
      <c r="X10" s="6223"/>
      <c r="Y10" s="6223"/>
      <c r="Z10" s="6223"/>
      <c r="AA10" s="6223"/>
      <c r="AB10" s="6223"/>
      <c r="AC10" s="6223"/>
      <c r="AD10" s="6223"/>
      <c r="AE10" s="6223"/>
      <c r="AF10" s="6223"/>
      <c r="AG10" s="6223"/>
      <c r="AH10" s="6223"/>
      <c r="AI10" s="6223"/>
      <c r="AJ10" s="6223"/>
      <c r="AK10" s="6223"/>
      <c r="AL10" s="6223"/>
      <c r="AM10" s="6934"/>
      <c r="AN10" s="6937" t="s">
        <v>2054</v>
      </c>
      <c r="AO10" s="6242" t="s">
        <v>457</v>
      </c>
      <c r="AP10" s="6243"/>
      <c r="AQ10" s="6837" t="s">
        <v>36</v>
      </c>
      <c r="AR10" s="6837" t="s">
        <v>37</v>
      </c>
      <c r="AS10" s="6837" t="s">
        <v>1907</v>
      </c>
      <c r="AT10" s="6837" t="s">
        <v>34</v>
      </c>
      <c r="AU10" s="6837" t="s">
        <v>2055</v>
      </c>
    </row>
    <row r="11" spans="1:104" ht="18" customHeight="1" x14ac:dyDescent="0.3">
      <c r="A11" s="6686"/>
      <c r="B11" s="5771"/>
      <c r="C11" s="6466"/>
      <c r="D11" s="6467"/>
      <c r="E11" s="6687"/>
      <c r="F11" s="6939" t="s">
        <v>343</v>
      </c>
      <c r="G11" s="6939"/>
      <c r="H11" s="6848" t="s">
        <v>326</v>
      </c>
      <c r="I11" s="6849"/>
      <c r="J11" s="6848" t="s">
        <v>94</v>
      </c>
      <c r="K11" s="6849"/>
      <c r="L11" s="6848" t="s">
        <v>2056</v>
      </c>
      <c r="M11" s="6849"/>
      <c r="N11" s="6848" t="s">
        <v>305</v>
      </c>
      <c r="O11" s="6849"/>
      <c r="P11" s="6848" t="s">
        <v>974</v>
      </c>
      <c r="Q11" s="6849"/>
      <c r="R11" s="6848" t="s">
        <v>629</v>
      </c>
      <c r="S11" s="6849"/>
      <c r="T11" s="6848" t="s">
        <v>2057</v>
      </c>
      <c r="U11" s="6849"/>
      <c r="V11" s="6848" t="s">
        <v>630</v>
      </c>
      <c r="W11" s="6849"/>
      <c r="X11" s="6848" t="s">
        <v>2058</v>
      </c>
      <c r="Y11" s="6849"/>
      <c r="Z11" s="6848" t="s">
        <v>2059</v>
      </c>
      <c r="AA11" s="6849"/>
      <c r="AB11" s="6848" t="s">
        <v>1949</v>
      </c>
      <c r="AC11" s="6849"/>
      <c r="AD11" s="6848" t="s">
        <v>1583</v>
      </c>
      <c r="AE11" s="6849"/>
      <c r="AF11" s="6848" t="s">
        <v>308</v>
      </c>
      <c r="AG11" s="6849"/>
      <c r="AH11" s="6848" t="s">
        <v>2060</v>
      </c>
      <c r="AI11" s="6849"/>
      <c r="AJ11" s="6848" t="s">
        <v>2061</v>
      </c>
      <c r="AK11" s="6849"/>
      <c r="AL11" s="6839" t="s">
        <v>57</v>
      </c>
      <c r="AM11" s="6841"/>
      <c r="AN11" s="6938"/>
      <c r="AO11" s="6467"/>
      <c r="AP11" s="6687"/>
      <c r="AQ11" s="5755"/>
      <c r="AR11" s="5755"/>
      <c r="AS11" s="5755"/>
      <c r="AT11" s="5755"/>
      <c r="AU11" s="5755"/>
    </row>
    <row r="12" spans="1:104" ht="18" customHeight="1" x14ac:dyDescent="0.3">
      <c r="A12" s="6686"/>
      <c r="B12" s="6465"/>
      <c r="C12" s="3977" t="s">
        <v>79</v>
      </c>
      <c r="D12" s="3980" t="s">
        <v>58</v>
      </c>
      <c r="E12" s="3976" t="s">
        <v>59</v>
      </c>
      <c r="F12" s="3977" t="s">
        <v>58</v>
      </c>
      <c r="G12" s="3976" t="s">
        <v>59</v>
      </c>
      <c r="H12" s="3977" t="s">
        <v>58</v>
      </c>
      <c r="I12" s="3976" t="s">
        <v>59</v>
      </c>
      <c r="J12" s="3977" t="s">
        <v>58</v>
      </c>
      <c r="K12" s="3976" t="s">
        <v>59</v>
      </c>
      <c r="L12" s="3977" t="s">
        <v>58</v>
      </c>
      <c r="M12" s="3976" t="s">
        <v>59</v>
      </c>
      <c r="N12" s="3977" t="s">
        <v>58</v>
      </c>
      <c r="O12" s="3976" t="s">
        <v>59</v>
      </c>
      <c r="P12" s="3977" t="s">
        <v>58</v>
      </c>
      <c r="Q12" s="3976" t="s">
        <v>59</v>
      </c>
      <c r="R12" s="3977" t="s">
        <v>58</v>
      </c>
      <c r="S12" s="3976" t="s">
        <v>59</v>
      </c>
      <c r="T12" s="3977" t="s">
        <v>58</v>
      </c>
      <c r="U12" s="3976" t="s">
        <v>59</v>
      </c>
      <c r="V12" s="3977" t="s">
        <v>58</v>
      </c>
      <c r="W12" s="3976" t="s">
        <v>59</v>
      </c>
      <c r="X12" s="3977" t="s">
        <v>58</v>
      </c>
      <c r="Y12" s="3976" t="s">
        <v>59</v>
      </c>
      <c r="Z12" s="3977" t="s">
        <v>58</v>
      </c>
      <c r="AA12" s="3976" t="s">
        <v>59</v>
      </c>
      <c r="AB12" s="3977" t="s">
        <v>58</v>
      </c>
      <c r="AC12" s="3976" t="s">
        <v>59</v>
      </c>
      <c r="AD12" s="3977" t="s">
        <v>58</v>
      </c>
      <c r="AE12" s="3976" t="s">
        <v>59</v>
      </c>
      <c r="AF12" s="3977" t="s">
        <v>58</v>
      </c>
      <c r="AG12" s="3976" t="s">
        <v>59</v>
      </c>
      <c r="AH12" s="3977" t="s">
        <v>58</v>
      </c>
      <c r="AI12" s="3976" t="s">
        <v>59</v>
      </c>
      <c r="AJ12" s="3977" t="s">
        <v>58</v>
      </c>
      <c r="AK12" s="3976" t="s">
        <v>59</v>
      </c>
      <c r="AL12" s="3977" t="s">
        <v>58</v>
      </c>
      <c r="AM12" s="3976" t="s">
        <v>59</v>
      </c>
      <c r="AN12" s="6669"/>
      <c r="AO12" s="504" t="s">
        <v>462</v>
      </c>
      <c r="AP12" s="487" t="s">
        <v>1553</v>
      </c>
      <c r="AQ12" s="6471"/>
      <c r="AR12" s="6471"/>
      <c r="AS12" s="6471"/>
      <c r="AT12" s="6471"/>
      <c r="AU12" s="6471"/>
    </row>
    <row r="13" spans="1:104" x14ac:dyDescent="0.3">
      <c r="A13" s="6896" t="s">
        <v>2062</v>
      </c>
      <c r="B13" s="3448" t="s">
        <v>64</v>
      </c>
      <c r="C13" s="3308">
        <f t="shared" ref="C13:C75" si="0">SUM(D13+E13)</f>
        <v>0</v>
      </c>
      <c r="D13" s="4055">
        <f>+F13+H13+J13+L13+N13+P13+R13+T13+V13+X13+Z13+AB13+AD13+AF13+AH13+AJ13+AL13</f>
        <v>0</v>
      </c>
      <c r="E13" s="4168">
        <f>+G13+I13+K13+M13+O13+Q13+S13+U13+W13+Y13+AA13+AC13+AE13+AG13+AI13+AK13+AM13</f>
        <v>0</v>
      </c>
      <c r="F13" s="4010"/>
      <c r="G13" s="4169"/>
      <c r="H13" s="4010"/>
      <c r="I13" s="4169"/>
      <c r="J13" s="4010"/>
      <c r="K13" s="4012"/>
      <c r="L13" s="4010"/>
      <c r="M13" s="4012"/>
      <c r="N13" s="4010"/>
      <c r="O13" s="4012"/>
      <c r="P13" s="4010"/>
      <c r="Q13" s="4012"/>
      <c r="R13" s="4010"/>
      <c r="S13" s="4012"/>
      <c r="T13" s="4010"/>
      <c r="U13" s="4012"/>
      <c r="V13" s="4010"/>
      <c r="W13" s="4012"/>
      <c r="X13" s="4010"/>
      <c r="Y13" s="4012"/>
      <c r="Z13" s="4010"/>
      <c r="AA13" s="4012"/>
      <c r="AB13" s="4010"/>
      <c r="AC13" s="4012"/>
      <c r="AD13" s="4010"/>
      <c r="AE13" s="4012"/>
      <c r="AF13" s="4010"/>
      <c r="AG13" s="4012"/>
      <c r="AH13" s="4010"/>
      <c r="AI13" s="4012"/>
      <c r="AJ13" s="4010"/>
      <c r="AK13" s="4012"/>
      <c r="AL13" s="4170"/>
      <c r="AM13" s="4171"/>
      <c r="AN13" s="4172"/>
      <c r="AO13" s="4173"/>
      <c r="AP13" s="4013"/>
      <c r="AQ13" s="4174"/>
      <c r="AR13" s="4174"/>
      <c r="AS13" s="4175"/>
      <c r="AT13" s="4051"/>
      <c r="AU13" s="4051"/>
      <c r="AV13" s="1898" t="str">
        <f>$CA13&amp;$CB13&amp;CC13&amp;CD13&amp;CE13&amp;CG13&amp;CH13</f>
        <v/>
      </c>
      <c r="CA13" s="1899" t="str">
        <f>IF(AND($C13&lt;&gt;0,AN13=""),"* No olvide ingresar la columna Espacios Amigables /adolescentes (Digite CERO si no tiene). ",IF(AN13&gt;$C13,"* El Número de Espacios Amigables no puede superar el Total. ",""))</f>
        <v/>
      </c>
      <c r="CB13" s="1899" t="str">
        <f>IF(AND(E13&gt;0,OR(AO13="")),"No olvide digitar los campos *TRANS Masculino (Digite CERO si no tiene).",IF(AO13&gt;E13,"* El Número de TRANS Masculino no puede superar el Total Mujeres. ",""))</f>
        <v/>
      </c>
      <c r="CC13" s="1899" t="str">
        <f>IF(AND(D13&gt;0,OR(AP13="")),"No olvide digitar los campos *TRANS Femenino (Digite CERO si no tiene).",IF(AP13&gt;$D13,"* El Número de TRANS Femenino no puede superar el Total Hombres. ",""))</f>
        <v/>
      </c>
      <c r="CD13" s="1899" t="str">
        <f>IF(AND($C13&lt;&gt;0,AQ13=""),"* No olvide ingresar la columna Pueblos Originarios (Digite CERO si no tiene).  ",IF(AQ13&gt;$C13,"* El Número de Pueblos Originarios no puede superar el Total. ",""))</f>
        <v/>
      </c>
      <c r="CE13" s="1899" t="str">
        <f>IF(AND($C13&lt;&gt;0,AR13=""),"* No olvide ingresar la columna Migrantes (Digite CERO si no tiene).  ",IF(AR13&gt;$C13,"* El Número de Migrantes no puede superar el Total. ",""))</f>
        <v/>
      </c>
      <c r="CF13" s="1900"/>
      <c r="CG13" s="1899" t="str">
        <f>IF(AND($C13&lt;&gt;0,AT13=""),"* No olvide ingresar la columna Niños, Niñas, Adolescentes y Jóvenes SENAME (Digite CERO si no tiene).  ",IF(AT13&gt;$C13,"* El Número de Niños, Niñas, Adolescentes y Jóvenes SENAME no puede superar el Total. ",""))</f>
        <v/>
      </c>
      <c r="CH13" s="1899" t="str">
        <f>IF(AND($C13&lt;&gt;0,AU13=""),"* No olvide ingresar la columna Niños, Niñas, Adolescentes y Jóvenes Mejor Niñez (Digite CERO si no tiene). ",IF(AU13&gt;$C13,"* El Número de Niños, Niñas, Adolescentes y Jóvenes Mejor Niñez no puede superar el Total. ",""))</f>
        <v/>
      </c>
      <c r="CI13" s="1970"/>
      <c r="CJ13" s="1901">
        <f>IF(AND($C13&lt;&gt;0,AN13=""),1,IF(AN13&gt;$C13,1,0))</f>
        <v>0</v>
      </c>
      <c r="CK13" s="1901">
        <f>IF(AND(E13&gt;0,OR(AO13="")),1,IF(AO13&gt;E13,1,0))</f>
        <v>0</v>
      </c>
      <c r="CL13" s="1901">
        <f>IF(AND(D13&gt;0,OR(AP13="")),1,IF(AP13&gt;D13,1,0))</f>
        <v>0</v>
      </c>
      <c r="CM13" s="1901">
        <f>IF(AND($C13&lt;&gt;0,AQ13=""),1,IF(AQ13&gt;$C13,1,0))</f>
        <v>0</v>
      </c>
      <c r="CN13" s="1901">
        <f>IF(AND($C13&lt;&gt;0,AR13=""),1,IF(AR13&gt;$C13,1,0))</f>
        <v>0</v>
      </c>
      <c r="CO13" s="1902"/>
      <c r="CP13" s="1901">
        <f>IF(AND($C13&lt;&gt;0,AT13=""),1,IF(AT13&gt;$C13,1,0))</f>
        <v>0</v>
      </c>
      <c r="CQ13" s="1901">
        <f>IF(AND($C13&lt;&gt;0,AU13=""),1,IF(AU13&gt;$C13,1,0))</f>
        <v>0</v>
      </c>
      <c r="CR13" s="1970"/>
      <c r="CS13" s="1970"/>
      <c r="CT13" s="1970"/>
      <c r="CU13" s="1970"/>
    </row>
    <row r="14" spans="1:104" x14ac:dyDescent="0.3">
      <c r="A14" s="5790"/>
      <c r="B14" s="4176" t="s">
        <v>98</v>
      </c>
      <c r="C14" s="3991">
        <f t="shared" si="0"/>
        <v>0</v>
      </c>
      <c r="D14" s="4061">
        <f t="shared" ref="D14:E23" si="1">+F14+H14+J14+L14+N14+P14+R14+T14+V14+X14+Z14+AB14+AD14+AF14+AH14+AJ14+AL14</f>
        <v>0</v>
      </c>
      <c r="E14" s="4177">
        <f>+G14+I14+K14+M14+O14+Q14+S14+U14+W14+Y14+AA14+AC14+AE14+AG14+AI14+AK14+AM14</f>
        <v>0</v>
      </c>
      <c r="F14" s="3996"/>
      <c r="G14" s="330"/>
      <c r="H14" s="3996"/>
      <c r="I14" s="330"/>
      <c r="J14" s="3996"/>
      <c r="K14" s="2003"/>
      <c r="L14" s="3996"/>
      <c r="M14" s="2003"/>
      <c r="N14" s="3996"/>
      <c r="O14" s="2003"/>
      <c r="P14" s="3996"/>
      <c r="Q14" s="2003"/>
      <c r="R14" s="3996"/>
      <c r="S14" s="2003"/>
      <c r="T14" s="3996"/>
      <c r="U14" s="2003"/>
      <c r="V14" s="3996"/>
      <c r="W14" s="2003"/>
      <c r="X14" s="3996"/>
      <c r="Y14" s="2003"/>
      <c r="Z14" s="3996"/>
      <c r="AA14" s="2003"/>
      <c r="AB14" s="3996"/>
      <c r="AC14" s="2003"/>
      <c r="AD14" s="3996"/>
      <c r="AE14" s="2003"/>
      <c r="AF14" s="3996"/>
      <c r="AG14" s="2003"/>
      <c r="AH14" s="3996"/>
      <c r="AI14" s="2003"/>
      <c r="AJ14" s="3996"/>
      <c r="AK14" s="2003"/>
      <c r="AL14" s="4178"/>
      <c r="AM14" s="332"/>
      <c r="AN14" s="4179"/>
      <c r="AO14" s="3987"/>
      <c r="AP14" s="330"/>
      <c r="AQ14" s="4051"/>
      <c r="AR14" s="4051"/>
      <c r="AS14" s="4180"/>
      <c r="AT14" s="4051"/>
      <c r="AU14" s="4051"/>
      <c r="AV14" s="1898" t="str">
        <f t="shared" ref="AV14:AV56" si="2">$CA14&amp;$CB14&amp;CC14&amp;CD14&amp;CE14&amp;CG14&amp;CH14</f>
        <v/>
      </c>
      <c r="CA14" s="1899" t="str">
        <f t="shared" ref="CA14:CA89" si="3">IF(AND($C14&lt;&gt;0,AN14=""),"* No olvide ingresar la columna Espacios Amigables /adolescentes (Digite CERO si no tiene). ",IF(AN14&gt;$C14,"* El Número de Espacios Amigables no puede superar el Total. ",""))</f>
        <v/>
      </c>
      <c r="CB14" s="1899" t="str">
        <f t="shared" ref="CB14:CB89" si="4">IF(AND(E14&gt;0,OR(AO14="")),"No olvide digitar los campos *TRANS Masculino (Digite CERO si no tiene).",IF(AO14&gt;E14,"* El Número de TRANS Masculino no puede superar el Total Mujeres. ",""))</f>
        <v/>
      </c>
      <c r="CC14" s="1899" t="str">
        <f t="shared" ref="CC14:CC89" si="5">IF(AND(D14&gt;0,OR(AP14="")),"No olvide digitar los campos *TRANS Femenino (Digite CERO si no tiene).",IF(AP14&gt;$D14,"* El Número de TRANS Femenino no puede superar el Total Hombres. ",""))</f>
        <v/>
      </c>
      <c r="CD14" s="1899" t="str">
        <f t="shared" ref="CD14:CD89" si="6">IF(AND($C14&lt;&gt;0,AQ14=""),"* No olvide ingresar la columna Pueblos Originarios (Digite CERO si no tiene).  ",IF(AQ14&gt;$C14,"* El Número de Pueblos Originarios no puede superar el Total. ",""))</f>
        <v/>
      </c>
      <c r="CE14" s="1899" t="str">
        <f t="shared" ref="CE14:CE89" si="7">IF(AND($C14&lt;&gt;0,AR14=""),"* No olvide ingresar la columna Migrantes (Digite CERO si no tiene).  ",IF(AR14&gt;$C14,"* El Número de Migrantes no puede superar el Total. ",""))</f>
        <v/>
      </c>
      <c r="CF14" s="1900"/>
      <c r="CG14" s="1899" t="str">
        <f t="shared" ref="CG14:CG89" si="8">IF(AND($C14&lt;&gt;0,AT14=""),"* No olvide ingresar la columna Niños, Niñas, Adolescentes y Jóvenes SENAME (Digite CERO si no tiene).  ",IF(AT14&gt;$C14,"* El Número de Niños, Niñas, Adolescentes y Jóvenes SENAME no puede superar el Total. ",""))</f>
        <v/>
      </c>
      <c r="CH14" s="1899" t="str">
        <f t="shared" ref="CH14:CH89" si="9">IF(AND($C14&lt;&gt;0,AU14=""),"* No olvide ingresar la columna Niños, Niñas, Adolescentes y Jóvenes Mejor Niñez (Digite CERO si no tiene). ",IF(AU14&gt;$C14,"* El Número de Niños, Niñas, Adolescentes y Jóvenes Mejor Niñez no puede superar el Total. ",""))</f>
        <v/>
      </c>
      <c r="CI14" s="1970"/>
      <c r="CJ14" s="1901">
        <f t="shared" ref="CJ14:CJ89" si="10">IF(AND($C14&lt;&gt;0,AN14=""),1,IF(AN14&gt;$C14,1,0))</f>
        <v>0</v>
      </c>
      <c r="CK14" s="1901">
        <f t="shared" ref="CK14:CK89" si="11">IF(AND(E14&gt;0,OR(AO14="")),1,IF(AO14&gt;E14,1,0))</f>
        <v>0</v>
      </c>
      <c r="CL14" s="1901">
        <f t="shared" ref="CL14:CL89" si="12">IF(AND(D14&gt;0,OR(AP14="")),1,IF(AP14&gt;D14,1,0))</f>
        <v>0</v>
      </c>
      <c r="CM14" s="1901">
        <f t="shared" ref="CM14:CN89" si="13">IF(AND($C14&lt;&gt;0,AQ14=""),1,IF(AQ14&gt;$C14,1,0))</f>
        <v>0</v>
      </c>
      <c r="CN14" s="1901">
        <f t="shared" si="13"/>
        <v>0</v>
      </c>
      <c r="CO14" s="1902"/>
      <c r="CP14" s="1901">
        <f t="shared" ref="CP14:CQ89" si="14">IF(AND($C14&lt;&gt;0,AT14=""),1,IF(AT14&gt;$C14,1,0))</f>
        <v>0</v>
      </c>
      <c r="CQ14" s="1901">
        <f t="shared" si="14"/>
        <v>0</v>
      </c>
    </row>
    <row r="15" spans="1:104" x14ac:dyDescent="0.3">
      <c r="A15" s="5790"/>
      <c r="B15" s="4176" t="s">
        <v>65</v>
      </c>
      <c r="C15" s="3991">
        <f t="shared" si="0"/>
        <v>0</v>
      </c>
      <c r="D15" s="4061">
        <f t="shared" si="1"/>
        <v>0</v>
      </c>
      <c r="E15" s="4177">
        <f t="shared" si="1"/>
        <v>0</v>
      </c>
      <c r="F15" s="3996"/>
      <c r="G15" s="330"/>
      <c r="H15" s="3996"/>
      <c r="I15" s="330"/>
      <c r="J15" s="3996"/>
      <c r="K15" s="2003"/>
      <c r="L15" s="3996"/>
      <c r="M15" s="2003"/>
      <c r="N15" s="3996"/>
      <c r="O15" s="2003"/>
      <c r="P15" s="3996"/>
      <c r="Q15" s="2003"/>
      <c r="R15" s="3996"/>
      <c r="S15" s="2003"/>
      <c r="T15" s="3996"/>
      <c r="U15" s="2003"/>
      <c r="V15" s="3996"/>
      <c r="W15" s="2003"/>
      <c r="X15" s="3996"/>
      <c r="Y15" s="2003"/>
      <c r="Z15" s="3996"/>
      <c r="AA15" s="2003"/>
      <c r="AB15" s="3996"/>
      <c r="AC15" s="2003"/>
      <c r="AD15" s="3996"/>
      <c r="AE15" s="2003"/>
      <c r="AF15" s="3996"/>
      <c r="AG15" s="2003"/>
      <c r="AH15" s="3996"/>
      <c r="AI15" s="2003"/>
      <c r="AJ15" s="3996"/>
      <c r="AK15" s="2003"/>
      <c r="AL15" s="4178"/>
      <c r="AM15" s="332"/>
      <c r="AN15" s="4179"/>
      <c r="AO15" s="3987"/>
      <c r="AP15" s="330"/>
      <c r="AQ15" s="4051"/>
      <c r="AR15" s="4051"/>
      <c r="AS15" s="4180"/>
      <c r="AT15" s="4051"/>
      <c r="AU15" s="4051"/>
      <c r="AV15" s="1898" t="str">
        <f t="shared" si="2"/>
        <v/>
      </c>
      <c r="CA15" s="1899" t="str">
        <f t="shared" si="3"/>
        <v/>
      </c>
      <c r="CB15" s="1899" t="str">
        <f t="shared" si="4"/>
        <v/>
      </c>
      <c r="CC15" s="1899" t="str">
        <f t="shared" si="5"/>
        <v/>
      </c>
      <c r="CD15" s="1899" t="str">
        <f t="shared" si="6"/>
        <v/>
      </c>
      <c r="CE15" s="1899" t="str">
        <f t="shared" si="7"/>
        <v/>
      </c>
      <c r="CF15" s="1900"/>
      <c r="CG15" s="1899" t="str">
        <f t="shared" si="8"/>
        <v/>
      </c>
      <c r="CH15" s="1899" t="str">
        <f t="shared" si="9"/>
        <v/>
      </c>
      <c r="CI15" s="1970"/>
      <c r="CJ15" s="1901">
        <f t="shared" si="10"/>
        <v>0</v>
      </c>
      <c r="CK15" s="1901">
        <f t="shared" si="11"/>
        <v>0</v>
      </c>
      <c r="CL15" s="1901">
        <f t="shared" si="12"/>
        <v>0</v>
      </c>
      <c r="CM15" s="1901">
        <f t="shared" si="13"/>
        <v>0</v>
      </c>
      <c r="CN15" s="1901">
        <f t="shared" si="13"/>
        <v>0</v>
      </c>
      <c r="CO15" s="1902"/>
      <c r="CP15" s="1901">
        <f t="shared" si="14"/>
        <v>0</v>
      </c>
      <c r="CQ15" s="1901">
        <f t="shared" si="14"/>
        <v>0</v>
      </c>
    </row>
    <row r="16" spans="1:104" x14ac:dyDescent="0.3">
      <c r="A16" s="5790"/>
      <c r="B16" s="4176" t="s">
        <v>105</v>
      </c>
      <c r="C16" s="3991">
        <f t="shared" si="0"/>
        <v>0</v>
      </c>
      <c r="D16" s="4061">
        <f t="shared" si="1"/>
        <v>0</v>
      </c>
      <c r="E16" s="4177">
        <f t="shared" si="1"/>
        <v>0</v>
      </c>
      <c r="F16" s="3996"/>
      <c r="G16" s="330"/>
      <c r="H16" s="3996"/>
      <c r="I16" s="330"/>
      <c r="J16" s="3996"/>
      <c r="K16" s="2003"/>
      <c r="L16" s="3996"/>
      <c r="M16" s="2003"/>
      <c r="N16" s="3996"/>
      <c r="O16" s="2003"/>
      <c r="P16" s="3996"/>
      <c r="Q16" s="2003"/>
      <c r="R16" s="3996"/>
      <c r="S16" s="2003"/>
      <c r="T16" s="3996"/>
      <c r="U16" s="2003"/>
      <c r="V16" s="3996"/>
      <c r="W16" s="2003"/>
      <c r="X16" s="3996"/>
      <c r="Y16" s="2003"/>
      <c r="Z16" s="3996"/>
      <c r="AA16" s="2003"/>
      <c r="AB16" s="3996"/>
      <c r="AC16" s="2003"/>
      <c r="AD16" s="3996"/>
      <c r="AE16" s="2003"/>
      <c r="AF16" s="3996"/>
      <c r="AG16" s="2003"/>
      <c r="AH16" s="3996"/>
      <c r="AI16" s="2003"/>
      <c r="AJ16" s="3996"/>
      <c r="AK16" s="2003"/>
      <c r="AL16" s="4178"/>
      <c r="AM16" s="332"/>
      <c r="AN16" s="4179"/>
      <c r="AO16" s="3987"/>
      <c r="AP16" s="330"/>
      <c r="AQ16" s="4051"/>
      <c r="AR16" s="4051"/>
      <c r="AS16" s="4180"/>
      <c r="AT16" s="4051"/>
      <c r="AU16" s="4051"/>
      <c r="AV16" s="1898" t="str">
        <f t="shared" si="2"/>
        <v/>
      </c>
      <c r="CA16" s="1899" t="str">
        <f t="shared" si="3"/>
        <v/>
      </c>
      <c r="CB16" s="1899" t="str">
        <f t="shared" si="4"/>
        <v/>
      </c>
      <c r="CC16" s="1899" t="str">
        <f t="shared" si="5"/>
        <v/>
      </c>
      <c r="CD16" s="1899" t="str">
        <f t="shared" si="6"/>
        <v/>
      </c>
      <c r="CE16" s="1899" t="str">
        <f t="shared" si="7"/>
        <v/>
      </c>
      <c r="CF16" s="1900"/>
      <c r="CG16" s="1899" t="str">
        <f t="shared" si="8"/>
        <v/>
      </c>
      <c r="CH16" s="1899" t="str">
        <f t="shared" si="9"/>
        <v/>
      </c>
      <c r="CI16" s="1970"/>
      <c r="CJ16" s="1901">
        <f t="shared" si="10"/>
        <v>0</v>
      </c>
      <c r="CK16" s="1901">
        <f t="shared" si="11"/>
        <v>0</v>
      </c>
      <c r="CL16" s="1901">
        <f t="shared" si="12"/>
        <v>0</v>
      </c>
      <c r="CM16" s="1901">
        <f t="shared" si="13"/>
        <v>0</v>
      </c>
      <c r="CN16" s="1901">
        <f t="shared" si="13"/>
        <v>0</v>
      </c>
      <c r="CO16" s="1902"/>
      <c r="CP16" s="1901">
        <f t="shared" si="14"/>
        <v>0</v>
      </c>
      <c r="CQ16" s="1901">
        <f t="shared" si="14"/>
        <v>0</v>
      </c>
    </row>
    <row r="17" spans="1:99" x14ac:dyDescent="0.3">
      <c r="A17" s="5790"/>
      <c r="B17" s="4176" t="s">
        <v>1035</v>
      </c>
      <c r="C17" s="3991">
        <f t="shared" si="0"/>
        <v>0</v>
      </c>
      <c r="D17" s="4061">
        <f t="shared" si="1"/>
        <v>0</v>
      </c>
      <c r="E17" s="4177">
        <f t="shared" si="1"/>
        <v>0</v>
      </c>
      <c r="F17" s="3996"/>
      <c r="G17" s="330"/>
      <c r="H17" s="3996"/>
      <c r="I17" s="330"/>
      <c r="J17" s="3996"/>
      <c r="K17" s="2003"/>
      <c r="L17" s="3996"/>
      <c r="M17" s="2003"/>
      <c r="N17" s="3996"/>
      <c r="O17" s="2003"/>
      <c r="P17" s="3996"/>
      <c r="Q17" s="2003"/>
      <c r="R17" s="3996"/>
      <c r="S17" s="2003"/>
      <c r="T17" s="3996"/>
      <c r="U17" s="2003"/>
      <c r="V17" s="3996"/>
      <c r="W17" s="2003"/>
      <c r="X17" s="3996"/>
      <c r="Y17" s="2003"/>
      <c r="Z17" s="3996"/>
      <c r="AA17" s="2003"/>
      <c r="AB17" s="3996"/>
      <c r="AC17" s="2003"/>
      <c r="AD17" s="3996"/>
      <c r="AE17" s="2003"/>
      <c r="AF17" s="3996"/>
      <c r="AG17" s="2003"/>
      <c r="AH17" s="3996"/>
      <c r="AI17" s="2003"/>
      <c r="AJ17" s="3996"/>
      <c r="AK17" s="2003"/>
      <c r="AL17" s="4178"/>
      <c r="AM17" s="332"/>
      <c r="AN17" s="4179"/>
      <c r="AO17" s="3987"/>
      <c r="AP17" s="330"/>
      <c r="AQ17" s="4051"/>
      <c r="AR17" s="4051"/>
      <c r="AS17" s="4180"/>
      <c r="AT17" s="4051"/>
      <c r="AU17" s="4051"/>
      <c r="AV17" s="1898" t="str">
        <f t="shared" si="2"/>
        <v/>
      </c>
      <c r="CA17" s="1899" t="str">
        <f t="shared" si="3"/>
        <v/>
      </c>
      <c r="CB17" s="1899" t="str">
        <f t="shared" si="4"/>
        <v/>
      </c>
      <c r="CC17" s="1899" t="str">
        <f t="shared" si="5"/>
        <v/>
      </c>
      <c r="CD17" s="1899" t="str">
        <f t="shared" si="6"/>
        <v/>
      </c>
      <c r="CE17" s="1899" t="str">
        <f t="shared" si="7"/>
        <v/>
      </c>
      <c r="CF17" s="1900"/>
      <c r="CG17" s="1899" t="str">
        <f t="shared" si="8"/>
        <v/>
      </c>
      <c r="CH17" s="1899" t="str">
        <f t="shared" si="9"/>
        <v/>
      </c>
      <c r="CI17" s="1970"/>
      <c r="CJ17" s="1901">
        <f t="shared" si="10"/>
        <v>0</v>
      </c>
      <c r="CK17" s="1901">
        <f t="shared" si="11"/>
        <v>0</v>
      </c>
      <c r="CL17" s="1901">
        <f t="shared" si="12"/>
        <v>0</v>
      </c>
      <c r="CM17" s="1901">
        <f t="shared" si="13"/>
        <v>0</v>
      </c>
      <c r="CN17" s="1901">
        <f t="shared" si="13"/>
        <v>0</v>
      </c>
      <c r="CO17" s="1902"/>
      <c r="CP17" s="1901">
        <f t="shared" si="14"/>
        <v>0</v>
      </c>
      <c r="CQ17" s="1901">
        <f t="shared" si="14"/>
        <v>0</v>
      </c>
    </row>
    <row r="18" spans="1:99" x14ac:dyDescent="0.3">
      <c r="A18" s="5790"/>
      <c r="B18" s="4176" t="s">
        <v>1034</v>
      </c>
      <c r="C18" s="3991">
        <f t="shared" si="0"/>
        <v>0</v>
      </c>
      <c r="D18" s="4061">
        <f t="shared" si="1"/>
        <v>0</v>
      </c>
      <c r="E18" s="4177">
        <f t="shared" si="1"/>
        <v>0</v>
      </c>
      <c r="F18" s="3996"/>
      <c r="G18" s="330"/>
      <c r="H18" s="3996"/>
      <c r="I18" s="330"/>
      <c r="J18" s="3996"/>
      <c r="K18" s="2003"/>
      <c r="L18" s="3996"/>
      <c r="M18" s="2003"/>
      <c r="N18" s="3996"/>
      <c r="O18" s="2003"/>
      <c r="P18" s="3996"/>
      <c r="Q18" s="2003"/>
      <c r="R18" s="3996"/>
      <c r="S18" s="2003"/>
      <c r="T18" s="3996"/>
      <c r="U18" s="2003"/>
      <c r="V18" s="3996"/>
      <c r="W18" s="2003"/>
      <c r="X18" s="3996"/>
      <c r="Y18" s="2003"/>
      <c r="Z18" s="3996"/>
      <c r="AA18" s="2003"/>
      <c r="AB18" s="3996"/>
      <c r="AC18" s="2003"/>
      <c r="AD18" s="3996"/>
      <c r="AE18" s="2003"/>
      <c r="AF18" s="3996"/>
      <c r="AG18" s="2003"/>
      <c r="AH18" s="3996"/>
      <c r="AI18" s="2003"/>
      <c r="AJ18" s="3996"/>
      <c r="AK18" s="2003"/>
      <c r="AL18" s="4178"/>
      <c r="AM18" s="332"/>
      <c r="AN18" s="4179"/>
      <c r="AO18" s="3987"/>
      <c r="AP18" s="330"/>
      <c r="AQ18" s="4051"/>
      <c r="AR18" s="4051"/>
      <c r="AS18" s="4180"/>
      <c r="AT18" s="4051"/>
      <c r="AU18" s="4051"/>
      <c r="AV18" s="1898" t="str">
        <f t="shared" si="2"/>
        <v/>
      </c>
      <c r="CA18" s="1899" t="str">
        <f t="shared" si="3"/>
        <v/>
      </c>
      <c r="CB18" s="1899" t="str">
        <f t="shared" si="4"/>
        <v/>
      </c>
      <c r="CC18" s="1899" t="str">
        <f t="shared" si="5"/>
        <v/>
      </c>
      <c r="CD18" s="1899" t="str">
        <f t="shared" si="6"/>
        <v/>
      </c>
      <c r="CE18" s="1899" t="str">
        <f t="shared" si="7"/>
        <v/>
      </c>
      <c r="CF18" s="1900"/>
      <c r="CG18" s="1899" t="str">
        <f t="shared" si="8"/>
        <v/>
      </c>
      <c r="CH18" s="1899" t="str">
        <f t="shared" si="9"/>
        <v/>
      </c>
      <c r="CI18" s="1970"/>
      <c r="CJ18" s="1901">
        <f t="shared" si="10"/>
        <v>0</v>
      </c>
      <c r="CK18" s="1901">
        <f t="shared" si="11"/>
        <v>0</v>
      </c>
      <c r="CL18" s="1901">
        <f t="shared" si="12"/>
        <v>0</v>
      </c>
      <c r="CM18" s="1901">
        <f t="shared" si="13"/>
        <v>0</v>
      </c>
      <c r="CN18" s="1901">
        <f t="shared" si="13"/>
        <v>0</v>
      </c>
      <c r="CO18" s="1902"/>
      <c r="CP18" s="1901">
        <f t="shared" si="14"/>
        <v>0</v>
      </c>
      <c r="CQ18" s="1901">
        <f t="shared" si="14"/>
        <v>0</v>
      </c>
    </row>
    <row r="19" spans="1:99" x14ac:dyDescent="0.3">
      <c r="A19" s="5790"/>
      <c r="B19" s="4176" t="s">
        <v>1406</v>
      </c>
      <c r="C19" s="3991">
        <f t="shared" si="0"/>
        <v>0</v>
      </c>
      <c r="D19" s="4061">
        <f t="shared" si="1"/>
        <v>0</v>
      </c>
      <c r="E19" s="4177">
        <f t="shared" si="1"/>
        <v>0</v>
      </c>
      <c r="F19" s="3996"/>
      <c r="G19" s="330"/>
      <c r="H19" s="3996"/>
      <c r="I19" s="330"/>
      <c r="J19" s="3996"/>
      <c r="K19" s="2003"/>
      <c r="L19" s="3996"/>
      <c r="M19" s="2003"/>
      <c r="N19" s="3996"/>
      <c r="O19" s="2003"/>
      <c r="P19" s="3996"/>
      <c r="Q19" s="2003"/>
      <c r="R19" s="3996"/>
      <c r="S19" s="2003"/>
      <c r="T19" s="3996"/>
      <c r="U19" s="2003"/>
      <c r="V19" s="3996"/>
      <c r="W19" s="2003"/>
      <c r="X19" s="3996"/>
      <c r="Y19" s="2003"/>
      <c r="Z19" s="3996"/>
      <c r="AA19" s="2003"/>
      <c r="AB19" s="3996"/>
      <c r="AC19" s="2003"/>
      <c r="AD19" s="3996"/>
      <c r="AE19" s="2003"/>
      <c r="AF19" s="3996"/>
      <c r="AG19" s="2003"/>
      <c r="AH19" s="3996"/>
      <c r="AI19" s="2003"/>
      <c r="AJ19" s="3996"/>
      <c r="AK19" s="2003"/>
      <c r="AL19" s="4178"/>
      <c r="AM19" s="332"/>
      <c r="AN19" s="4179"/>
      <c r="AO19" s="3987"/>
      <c r="AP19" s="330"/>
      <c r="AQ19" s="4051"/>
      <c r="AR19" s="4051"/>
      <c r="AS19" s="4180"/>
      <c r="AT19" s="4051"/>
      <c r="AU19" s="4051"/>
      <c r="AV19" s="1898" t="str">
        <f t="shared" si="2"/>
        <v/>
      </c>
      <c r="CA19" s="1899" t="str">
        <f t="shared" si="3"/>
        <v/>
      </c>
      <c r="CB19" s="1899" t="str">
        <f t="shared" si="4"/>
        <v/>
      </c>
      <c r="CC19" s="1899" t="str">
        <f t="shared" si="5"/>
        <v/>
      </c>
      <c r="CD19" s="1899" t="str">
        <f t="shared" si="6"/>
        <v/>
      </c>
      <c r="CE19" s="1899" t="str">
        <f t="shared" si="7"/>
        <v/>
      </c>
      <c r="CF19" s="1900"/>
      <c r="CG19" s="1899" t="str">
        <f t="shared" si="8"/>
        <v/>
      </c>
      <c r="CH19" s="1899" t="str">
        <f t="shared" si="9"/>
        <v/>
      </c>
      <c r="CI19" s="1970"/>
      <c r="CJ19" s="1901">
        <f t="shared" si="10"/>
        <v>0</v>
      </c>
      <c r="CK19" s="1901">
        <f t="shared" si="11"/>
        <v>0</v>
      </c>
      <c r="CL19" s="1901">
        <f t="shared" si="12"/>
        <v>0</v>
      </c>
      <c r="CM19" s="1901">
        <f t="shared" si="13"/>
        <v>0</v>
      </c>
      <c r="CN19" s="1901">
        <f t="shared" si="13"/>
        <v>0</v>
      </c>
      <c r="CO19" s="1902"/>
      <c r="CP19" s="1901">
        <f t="shared" si="14"/>
        <v>0</v>
      </c>
      <c r="CQ19" s="1901">
        <f t="shared" si="14"/>
        <v>0</v>
      </c>
    </row>
    <row r="20" spans="1:99" x14ac:dyDescent="0.3">
      <c r="A20" s="5790"/>
      <c r="B20" s="4181" t="s">
        <v>2063</v>
      </c>
      <c r="C20" s="3919">
        <f t="shared" si="0"/>
        <v>0</v>
      </c>
      <c r="D20" s="4072">
        <f t="shared" si="1"/>
        <v>0</v>
      </c>
      <c r="E20" s="3401">
        <f t="shared" si="1"/>
        <v>0</v>
      </c>
      <c r="F20" s="212"/>
      <c r="G20" s="34"/>
      <c r="H20" s="212"/>
      <c r="I20" s="34"/>
      <c r="J20" s="212"/>
      <c r="K20" s="1161"/>
      <c r="L20" s="212"/>
      <c r="M20" s="1161"/>
      <c r="N20" s="212"/>
      <c r="O20" s="1161"/>
      <c r="P20" s="212"/>
      <c r="Q20" s="1161"/>
      <c r="R20" s="212"/>
      <c r="S20" s="1161"/>
      <c r="T20" s="212"/>
      <c r="U20" s="1161"/>
      <c r="V20" s="212"/>
      <c r="W20" s="1161"/>
      <c r="X20" s="212"/>
      <c r="Y20" s="1161"/>
      <c r="Z20" s="212"/>
      <c r="AA20" s="1161"/>
      <c r="AB20" s="212"/>
      <c r="AC20" s="1161"/>
      <c r="AD20" s="212"/>
      <c r="AE20" s="1161"/>
      <c r="AF20" s="212"/>
      <c r="AG20" s="1161"/>
      <c r="AH20" s="212"/>
      <c r="AI20" s="1161"/>
      <c r="AJ20" s="212"/>
      <c r="AK20" s="1161"/>
      <c r="AL20" s="2244"/>
      <c r="AM20" s="2444"/>
      <c r="AN20" s="4179"/>
      <c r="AO20" s="1162"/>
      <c r="AP20" s="330"/>
      <c r="AQ20" s="4051"/>
      <c r="AR20" s="4051"/>
      <c r="AS20" s="4180"/>
      <c r="AT20" s="4051"/>
      <c r="AU20" s="4051"/>
      <c r="AV20" s="1898" t="str">
        <f t="shared" si="2"/>
        <v/>
      </c>
      <c r="CA20" s="1899" t="str">
        <f t="shared" si="3"/>
        <v/>
      </c>
      <c r="CB20" s="1899" t="str">
        <f t="shared" si="4"/>
        <v/>
      </c>
      <c r="CC20" s="1899" t="str">
        <f t="shared" si="5"/>
        <v/>
      </c>
      <c r="CD20" s="1899" t="str">
        <f t="shared" si="6"/>
        <v/>
      </c>
      <c r="CE20" s="1899" t="str">
        <f t="shared" si="7"/>
        <v/>
      </c>
      <c r="CF20" s="1900"/>
      <c r="CG20" s="1899" t="str">
        <f t="shared" si="8"/>
        <v/>
      </c>
      <c r="CH20" s="1899" t="str">
        <f t="shared" si="9"/>
        <v/>
      </c>
      <c r="CI20" s="1970"/>
      <c r="CJ20" s="1901">
        <f t="shared" si="10"/>
        <v>0</v>
      </c>
      <c r="CK20" s="1901">
        <f t="shared" si="11"/>
        <v>0</v>
      </c>
      <c r="CL20" s="1901">
        <f t="shared" si="12"/>
        <v>0</v>
      </c>
      <c r="CM20" s="1901">
        <f t="shared" si="13"/>
        <v>0</v>
      </c>
      <c r="CN20" s="1901">
        <f t="shared" si="13"/>
        <v>0</v>
      </c>
      <c r="CO20" s="1902"/>
      <c r="CP20" s="1901">
        <f t="shared" si="14"/>
        <v>0</v>
      </c>
      <c r="CQ20" s="1901">
        <f t="shared" si="14"/>
        <v>0</v>
      </c>
    </row>
    <row r="21" spans="1:99" x14ac:dyDescent="0.3">
      <c r="A21" s="5790"/>
      <c r="B21" s="4176" t="s">
        <v>2064</v>
      </c>
      <c r="C21" s="3991">
        <f t="shared" si="0"/>
        <v>0</v>
      </c>
      <c r="D21" s="4061">
        <f t="shared" si="1"/>
        <v>0</v>
      </c>
      <c r="E21" s="4177">
        <f t="shared" si="1"/>
        <v>0</v>
      </c>
      <c r="F21" s="3996"/>
      <c r="G21" s="330"/>
      <c r="H21" s="3996"/>
      <c r="I21" s="330"/>
      <c r="J21" s="3996"/>
      <c r="K21" s="2003"/>
      <c r="L21" s="3996"/>
      <c r="M21" s="2003"/>
      <c r="N21" s="3996"/>
      <c r="O21" s="2003"/>
      <c r="P21" s="3996"/>
      <c r="Q21" s="2003"/>
      <c r="R21" s="3996"/>
      <c r="S21" s="2003"/>
      <c r="T21" s="3996"/>
      <c r="U21" s="2003"/>
      <c r="V21" s="3996"/>
      <c r="W21" s="2003"/>
      <c r="X21" s="3996"/>
      <c r="Y21" s="2003"/>
      <c r="Z21" s="3996"/>
      <c r="AA21" s="2003"/>
      <c r="AB21" s="3996"/>
      <c r="AC21" s="2003"/>
      <c r="AD21" s="3996"/>
      <c r="AE21" s="2003"/>
      <c r="AF21" s="3996"/>
      <c r="AG21" s="2003"/>
      <c r="AH21" s="3996"/>
      <c r="AI21" s="2003"/>
      <c r="AJ21" s="3996"/>
      <c r="AK21" s="2003"/>
      <c r="AL21" s="4178"/>
      <c r="AM21" s="332"/>
      <c r="AN21" s="4179"/>
      <c r="AO21" s="3987"/>
      <c r="AP21" s="330"/>
      <c r="AQ21" s="4051"/>
      <c r="AR21" s="4051"/>
      <c r="AS21" s="4180"/>
      <c r="AT21" s="4051"/>
      <c r="AU21" s="4051"/>
      <c r="AV21" s="1898" t="str">
        <f t="shared" si="2"/>
        <v/>
      </c>
      <c r="CA21" s="1899" t="str">
        <f t="shared" si="3"/>
        <v/>
      </c>
      <c r="CB21" s="1899" t="str">
        <f t="shared" si="4"/>
        <v/>
      </c>
      <c r="CC21" s="1899" t="str">
        <f t="shared" si="5"/>
        <v/>
      </c>
      <c r="CD21" s="1899" t="str">
        <f t="shared" si="6"/>
        <v/>
      </c>
      <c r="CE21" s="1899" t="str">
        <f t="shared" si="7"/>
        <v/>
      </c>
      <c r="CF21" s="1900"/>
      <c r="CG21" s="1899" t="str">
        <f t="shared" si="8"/>
        <v/>
      </c>
      <c r="CH21" s="1899" t="str">
        <f t="shared" si="9"/>
        <v/>
      </c>
      <c r="CI21" s="1970"/>
      <c r="CJ21" s="1901">
        <f t="shared" si="10"/>
        <v>0</v>
      </c>
      <c r="CK21" s="1901">
        <f t="shared" si="11"/>
        <v>0</v>
      </c>
      <c r="CL21" s="1901">
        <f t="shared" si="12"/>
        <v>0</v>
      </c>
      <c r="CM21" s="1901">
        <f t="shared" si="13"/>
        <v>0</v>
      </c>
      <c r="CN21" s="1901">
        <f t="shared" si="13"/>
        <v>0</v>
      </c>
      <c r="CO21" s="1902"/>
      <c r="CP21" s="1901">
        <f t="shared" si="14"/>
        <v>0</v>
      </c>
      <c r="CQ21" s="1901">
        <f t="shared" si="14"/>
        <v>0</v>
      </c>
    </row>
    <row r="22" spans="1:99" x14ac:dyDescent="0.3">
      <c r="A22" s="5790"/>
      <c r="B22" s="24" t="s">
        <v>2065</v>
      </c>
      <c r="C22" s="3991">
        <f t="shared" si="0"/>
        <v>0</v>
      </c>
      <c r="D22" s="210">
        <f t="shared" si="1"/>
        <v>0</v>
      </c>
      <c r="E22" s="4182">
        <f t="shared" si="1"/>
        <v>0</v>
      </c>
      <c r="F22" s="3996"/>
      <c r="G22" s="330"/>
      <c r="H22" s="3996"/>
      <c r="I22" s="330"/>
      <c r="J22" s="3996"/>
      <c r="K22" s="2003"/>
      <c r="L22" s="3996"/>
      <c r="M22" s="2003"/>
      <c r="N22" s="3996"/>
      <c r="O22" s="2003"/>
      <c r="P22" s="3996"/>
      <c r="Q22" s="2003"/>
      <c r="R22" s="3996"/>
      <c r="S22" s="2003"/>
      <c r="T22" s="3996"/>
      <c r="U22" s="2003"/>
      <c r="V22" s="3996"/>
      <c r="W22" s="2003"/>
      <c r="X22" s="3996"/>
      <c r="Y22" s="2003"/>
      <c r="Z22" s="3996"/>
      <c r="AA22" s="2003"/>
      <c r="AB22" s="3996"/>
      <c r="AC22" s="2003"/>
      <c r="AD22" s="3996"/>
      <c r="AE22" s="2003"/>
      <c r="AF22" s="3996"/>
      <c r="AG22" s="2003"/>
      <c r="AH22" s="3996"/>
      <c r="AI22" s="2003"/>
      <c r="AJ22" s="3996"/>
      <c r="AK22" s="2003"/>
      <c r="AL22" s="4183"/>
      <c r="AM22" s="332"/>
      <c r="AN22" s="4179"/>
      <c r="AO22" s="3987"/>
      <c r="AP22" s="330"/>
      <c r="AQ22" s="4051"/>
      <c r="AR22" s="4051"/>
      <c r="AS22" s="4180"/>
      <c r="AT22" s="4051"/>
      <c r="AU22" s="4051"/>
      <c r="AV22" s="1898" t="str">
        <f t="shared" si="2"/>
        <v/>
      </c>
      <c r="CA22" s="1899" t="str">
        <f t="shared" si="3"/>
        <v/>
      </c>
      <c r="CB22" s="1899" t="str">
        <f t="shared" si="4"/>
        <v/>
      </c>
      <c r="CC22" s="1899" t="str">
        <f t="shared" si="5"/>
        <v/>
      </c>
      <c r="CD22" s="1899" t="str">
        <f t="shared" si="6"/>
        <v/>
      </c>
      <c r="CE22" s="1899" t="str">
        <f t="shared" si="7"/>
        <v/>
      </c>
      <c r="CF22" s="1900"/>
      <c r="CG22" s="1899" t="str">
        <f t="shared" si="8"/>
        <v/>
      </c>
      <c r="CH22" s="1899" t="str">
        <f t="shared" si="9"/>
        <v/>
      </c>
      <c r="CI22" s="1970"/>
      <c r="CJ22" s="1901">
        <f t="shared" si="10"/>
        <v>0</v>
      </c>
      <c r="CK22" s="1901">
        <f t="shared" si="11"/>
        <v>0</v>
      </c>
      <c r="CL22" s="1901">
        <f t="shared" si="12"/>
        <v>0</v>
      </c>
      <c r="CM22" s="1901">
        <f t="shared" si="13"/>
        <v>0</v>
      </c>
      <c r="CN22" s="1901">
        <f t="shared" si="13"/>
        <v>0</v>
      </c>
      <c r="CO22" s="1902"/>
      <c r="CP22" s="1901">
        <f t="shared" si="14"/>
        <v>0</v>
      </c>
      <c r="CQ22" s="1901">
        <f t="shared" si="14"/>
        <v>0</v>
      </c>
    </row>
    <row r="23" spans="1:99" x14ac:dyDescent="0.3">
      <c r="A23" s="6574"/>
      <c r="B23" s="518" t="s">
        <v>99</v>
      </c>
      <c r="C23" s="638">
        <f t="shared" si="0"/>
        <v>0</v>
      </c>
      <c r="D23" s="4077">
        <f t="shared" si="1"/>
        <v>0</v>
      </c>
      <c r="E23" s="4184">
        <f t="shared" si="1"/>
        <v>0</v>
      </c>
      <c r="F23" s="897"/>
      <c r="G23" s="3499"/>
      <c r="H23" s="897"/>
      <c r="I23" s="3499"/>
      <c r="J23" s="897"/>
      <c r="K23" s="325"/>
      <c r="L23" s="897"/>
      <c r="M23" s="325"/>
      <c r="N23" s="897"/>
      <c r="O23" s="325"/>
      <c r="P23" s="897"/>
      <c r="Q23" s="325"/>
      <c r="R23" s="897"/>
      <c r="S23" s="325"/>
      <c r="T23" s="897"/>
      <c r="U23" s="325"/>
      <c r="V23" s="897"/>
      <c r="W23" s="325"/>
      <c r="X23" s="897"/>
      <c r="Y23" s="325"/>
      <c r="Z23" s="897"/>
      <c r="AA23" s="325"/>
      <c r="AB23" s="897"/>
      <c r="AC23" s="325"/>
      <c r="AD23" s="897"/>
      <c r="AE23" s="325"/>
      <c r="AF23" s="897"/>
      <c r="AG23" s="325"/>
      <c r="AH23" s="897"/>
      <c r="AI23" s="325"/>
      <c r="AJ23" s="897"/>
      <c r="AK23" s="325"/>
      <c r="AL23" s="876"/>
      <c r="AM23" s="326"/>
      <c r="AN23" s="2320"/>
      <c r="AO23" s="4122"/>
      <c r="AP23" s="877"/>
      <c r="AQ23" s="1954"/>
      <c r="AR23" s="1954"/>
      <c r="AS23" s="1915"/>
      <c r="AT23" s="1954"/>
      <c r="AU23" s="1954"/>
      <c r="AV23" s="1898" t="str">
        <f t="shared" si="2"/>
        <v/>
      </c>
      <c r="CA23" s="1899" t="str">
        <f t="shared" si="3"/>
        <v/>
      </c>
      <c r="CB23" s="1899" t="str">
        <f t="shared" si="4"/>
        <v/>
      </c>
      <c r="CC23" s="1899" t="str">
        <f t="shared" si="5"/>
        <v/>
      </c>
      <c r="CD23" s="1899" t="str">
        <f t="shared" si="6"/>
        <v/>
      </c>
      <c r="CE23" s="1899" t="str">
        <f t="shared" si="7"/>
        <v/>
      </c>
      <c r="CF23" s="1900"/>
      <c r="CG23" s="1899" t="str">
        <f t="shared" si="8"/>
        <v/>
      </c>
      <c r="CH23" s="1899" t="str">
        <f t="shared" si="9"/>
        <v/>
      </c>
      <c r="CI23" s="1970"/>
      <c r="CJ23" s="1901">
        <f t="shared" si="10"/>
        <v>0</v>
      </c>
      <c r="CK23" s="1901">
        <f t="shared" si="11"/>
        <v>0</v>
      </c>
      <c r="CL23" s="1901">
        <f t="shared" si="12"/>
        <v>0</v>
      </c>
      <c r="CM23" s="1901">
        <f t="shared" si="13"/>
        <v>0</v>
      </c>
      <c r="CN23" s="1901">
        <f t="shared" si="13"/>
        <v>0</v>
      </c>
      <c r="CO23" s="1902"/>
      <c r="CP23" s="1901">
        <f t="shared" si="14"/>
        <v>0</v>
      </c>
      <c r="CQ23" s="1901">
        <f t="shared" si="14"/>
        <v>0</v>
      </c>
    </row>
    <row r="24" spans="1:99" x14ac:dyDescent="0.3">
      <c r="A24" s="6896" t="s">
        <v>2066</v>
      </c>
      <c r="B24" s="3448" t="s">
        <v>64</v>
      </c>
      <c r="C24" s="3308">
        <f t="shared" ref="C24:C34" si="15">SUM(D24+E24)</f>
        <v>0</v>
      </c>
      <c r="D24" s="4055">
        <f>+F24+H24+J24+L24+N24+P24+R24+T24+V24+X24+Z24+AB24+AD24+AF24+AH24+AJ24+AL24</f>
        <v>0</v>
      </c>
      <c r="E24" s="4168">
        <f>+G24+I24+K24+M24+O24+Q24+S24+U24+W24+Y24+AA24+AC24+AE24+AG24+AI24+AK24+AM24</f>
        <v>0</v>
      </c>
      <c r="F24" s="4010"/>
      <c r="G24" s="4169"/>
      <c r="H24" s="4010"/>
      <c r="I24" s="4169"/>
      <c r="J24" s="4010"/>
      <c r="K24" s="4012"/>
      <c r="L24" s="4010"/>
      <c r="M24" s="4012"/>
      <c r="N24" s="4010"/>
      <c r="O24" s="4012"/>
      <c r="P24" s="4010"/>
      <c r="Q24" s="4012"/>
      <c r="R24" s="4010"/>
      <c r="S24" s="4012"/>
      <c r="T24" s="4010"/>
      <c r="U24" s="4012"/>
      <c r="V24" s="4010"/>
      <c r="W24" s="4012"/>
      <c r="X24" s="4010"/>
      <c r="Y24" s="4012"/>
      <c r="Z24" s="4010"/>
      <c r="AA24" s="4012"/>
      <c r="AB24" s="4010"/>
      <c r="AC24" s="4012"/>
      <c r="AD24" s="4010"/>
      <c r="AE24" s="4012"/>
      <c r="AF24" s="4010"/>
      <c r="AG24" s="4012"/>
      <c r="AH24" s="4010"/>
      <c r="AI24" s="4012"/>
      <c r="AJ24" s="4010"/>
      <c r="AK24" s="4012"/>
      <c r="AL24" s="4170"/>
      <c r="AM24" s="4171"/>
      <c r="AN24" s="4172"/>
      <c r="AO24" s="4173"/>
      <c r="AP24" s="4013"/>
      <c r="AQ24" s="4174"/>
      <c r="AR24" s="4174"/>
      <c r="AS24" s="4175"/>
      <c r="AT24" s="4051"/>
      <c r="AU24" s="4051"/>
      <c r="AV24" s="1898" t="str">
        <f>$CA24&amp;$CB24&amp;CC24&amp;CD24&amp;CE24&amp;CG24&amp;CH24</f>
        <v/>
      </c>
      <c r="CA24" s="1899" t="str">
        <f>IF(AND($C24&lt;&gt;0,AN24=""),"* No olvide ingresar la columna Espacios Amigables /adolescentes (Digite CERO si no tiene). ",IF(AN24&gt;$C24,"* El Número de Espacios Amigables no puede superar el Total. ",""))</f>
        <v/>
      </c>
      <c r="CB24" s="1899" t="str">
        <f>IF(AND(E24&gt;0,OR(AO24="")),"No olvide digitar los campos *TRANS Masculino (Digite CERO si no tiene).",IF(AO24&gt;E24,"* El Número de TRANS Masculino no puede superar el Total Mujeres. ",""))</f>
        <v/>
      </c>
      <c r="CC24" s="1899" t="str">
        <f>IF(AND(D24&gt;0,OR(AP24="")),"No olvide digitar los campos *TRANS Femenino (Digite CERO si no tiene).",IF(AP24&gt;$D24,"* El Número de TRANS Femenino no puede superar el Total Hombres. ",""))</f>
        <v/>
      </c>
      <c r="CD24" s="1899" t="str">
        <f>IF(AND($C24&lt;&gt;0,AQ24=""),"* No olvide ingresar la columna Pueblos Originarios (Digite CERO si no tiene).  ",IF(AQ24&gt;$C24,"* El Número de Pueblos Originarios no puede superar el Total. ",""))</f>
        <v/>
      </c>
      <c r="CE24" s="1899" t="str">
        <f>IF(AND($C24&lt;&gt;0,AR24=""),"* No olvide ingresar la columna Migrantes (Digite CERO si no tiene).  ",IF(AR24&gt;$C24,"* El Número de Migrantes no puede superar el Total. ",""))</f>
        <v/>
      </c>
      <c r="CF24" s="1900"/>
      <c r="CG24" s="1899" t="str">
        <f>IF(AND($C24&lt;&gt;0,AT24=""),"* No olvide ingresar la columna Niños, Niñas, Adolescentes y Jóvenes SENAME (Digite CERO si no tiene).  ",IF(AT24&gt;$C24,"* El Número de Niños, Niñas, Adolescentes y Jóvenes SENAME no puede superar el Total. ",""))</f>
        <v/>
      </c>
      <c r="CH24" s="1899" t="str">
        <f>IF(AND($C24&lt;&gt;0,AU24=""),"* No olvide ingresar la columna Niños, Niñas, Adolescentes y Jóvenes Mejor Niñez (Digite CERO si no tiene). ",IF(AU24&gt;$C24,"* El Número de Niños, Niñas, Adolescentes y Jóvenes Mejor Niñez no puede superar el Total. ",""))</f>
        <v/>
      </c>
      <c r="CI24" s="1970"/>
      <c r="CJ24" s="1901">
        <f>IF(AND($C24&lt;&gt;0,AN24=""),1,IF(AN24&gt;$C24,1,0))</f>
        <v>0</v>
      </c>
      <c r="CK24" s="1901">
        <f>IF(AND(E24&gt;0,OR(AO24="")),1,IF(AO24&gt;E24,1,0))</f>
        <v>0</v>
      </c>
      <c r="CL24" s="1901">
        <f>IF(AND(D24&gt;0,OR(AP24="")),1,IF(AP24&gt;D24,1,0))</f>
        <v>0</v>
      </c>
      <c r="CM24" s="1901">
        <f>IF(AND($C24&lt;&gt;0,AQ24=""),1,IF(AQ24&gt;$C24,1,0))</f>
        <v>0</v>
      </c>
      <c r="CN24" s="1901">
        <f>IF(AND($C24&lt;&gt;0,AR24=""),1,IF(AR24&gt;$C24,1,0))</f>
        <v>0</v>
      </c>
      <c r="CO24" s="1902"/>
      <c r="CP24" s="1901">
        <f>IF(AND($C24&lt;&gt;0,AT24=""),1,IF(AT24&gt;$C24,1,0))</f>
        <v>0</v>
      </c>
      <c r="CQ24" s="1901">
        <f>IF(AND($C24&lt;&gt;0,AU24=""),1,IF(AU24&gt;$C24,1,0))</f>
        <v>0</v>
      </c>
      <c r="CR24" s="1970"/>
      <c r="CS24" s="1970"/>
      <c r="CT24" s="1970"/>
      <c r="CU24" s="1970"/>
    </row>
    <row r="25" spans="1:99" x14ac:dyDescent="0.3">
      <c r="A25" s="5790"/>
      <c r="B25" s="4176" t="s">
        <v>98</v>
      </c>
      <c r="C25" s="3991">
        <f t="shared" si="15"/>
        <v>0</v>
      </c>
      <c r="D25" s="4061">
        <f t="shared" ref="D25:E34" si="16">+F25+H25+J25+L25+N25+P25+R25+T25+V25+X25+Z25+AB25+AD25+AF25+AH25+AJ25+AL25</f>
        <v>0</v>
      </c>
      <c r="E25" s="4177">
        <f>+G25+I25+K25+M25+O25+Q25+S25+U25+W25+Y25+AA25+AC25+AE25+AG25+AI25+AK25+AM25</f>
        <v>0</v>
      </c>
      <c r="F25" s="3996"/>
      <c r="G25" s="330"/>
      <c r="H25" s="3996"/>
      <c r="I25" s="330"/>
      <c r="J25" s="3996"/>
      <c r="K25" s="2003"/>
      <c r="L25" s="3996"/>
      <c r="M25" s="2003"/>
      <c r="N25" s="3996"/>
      <c r="O25" s="2003"/>
      <c r="P25" s="3996"/>
      <c r="Q25" s="2003"/>
      <c r="R25" s="3996"/>
      <c r="S25" s="2003"/>
      <c r="T25" s="3996"/>
      <c r="U25" s="2003"/>
      <c r="V25" s="3996"/>
      <c r="W25" s="2003"/>
      <c r="X25" s="3996"/>
      <c r="Y25" s="2003"/>
      <c r="Z25" s="3996"/>
      <c r="AA25" s="2003"/>
      <c r="AB25" s="3996"/>
      <c r="AC25" s="2003"/>
      <c r="AD25" s="3996"/>
      <c r="AE25" s="2003"/>
      <c r="AF25" s="3996"/>
      <c r="AG25" s="2003"/>
      <c r="AH25" s="3996"/>
      <c r="AI25" s="2003"/>
      <c r="AJ25" s="3996"/>
      <c r="AK25" s="2003"/>
      <c r="AL25" s="4178"/>
      <c r="AM25" s="332"/>
      <c r="AN25" s="4179"/>
      <c r="AO25" s="3987"/>
      <c r="AP25" s="330"/>
      <c r="AQ25" s="4051"/>
      <c r="AR25" s="4051"/>
      <c r="AS25" s="4180"/>
      <c r="AT25" s="4051"/>
      <c r="AU25" s="4051"/>
      <c r="AV25" s="1898" t="str">
        <f t="shared" ref="AV25:AV34" si="17">$CA25&amp;$CB25&amp;CC25&amp;CD25&amp;CE25&amp;CG25&amp;CH25</f>
        <v/>
      </c>
      <c r="CA25" s="1899" t="str">
        <f t="shared" ref="CA25:CA34" si="18">IF(AND($C25&lt;&gt;0,AN25=""),"* No olvide ingresar la columna Espacios Amigables /adolescentes (Digite CERO si no tiene). ",IF(AN25&gt;$C25,"* El Número de Espacios Amigables no puede superar el Total. ",""))</f>
        <v/>
      </c>
      <c r="CB25" s="1899" t="str">
        <f t="shared" ref="CB25:CB34" si="19">IF(AND(E25&gt;0,OR(AO25="")),"No olvide digitar los campos *TRANS Masculino (Digite CERO si no tiene).",IF(AO25&gt;E25,"* El Número de TRANS Masculino no puede superar el Total Mujeres. ",""))</f>
        <v/>
      </c>
      <c r="CC25" s="1899" t="str">
        <f t="shared" ref="CC25:CC34" si="20">IF(AND(D25&gt;0,OR(AP25="")),"No olvide digitar los campos *TRANS Femenino (Digite CERO si no tiene).",IF(AP25&gt;$D25,"* El Número de TRANS Femenino no puede superar el Total Hombres. ",""))</f>
        <v/>
      </c>
      <c r="CD25" s="1899" t="str">
        <f t="shared" ref="CD25:CD34" si="21">IF(AND($C25&lt;&gt;0,AQ25=""),"* No olvide ingresar la columna Pueblos Originarios (Digite CERO si no tiene).  ",IF(AQ25&gt;$C25,"* El Número de Pueblos Originarios no puede superar el Total. ",""))</f>
        <v/>
      </c>
      <c r="CE25" s="1899" t="str">
        <f t="shared" ref="CE25:CE34" si="22">IF(AND($C25&lt;&gt;0,AR25=""),"* No olvide ingresar la columna Migrantes (Digite CERO si no tiene).  ",IF(AR25&gt;$C25,"* El Número de Migrantes no puede superar el Total. ",""))</f>
        <v/>
      </c>
      <c r="CF25" s="1900"/>
      <c r="CG25" s="1899" t="str">
        <f t="shared" ref="CG25:CG34" si="23">IF(AND($C25&lt;&gt;0,AT25=""),"* No olvide ingresar la columna Niños, Niñas, Adolescentes y Jóvenes SENAME (Digite CERO si no tiene).  ",IF(AT25&gt;$C25,"* El Número de Niños, Niñas, Adolescentes y Jóvenes SENAME no puede superar el Total. ",""))</f>
        <v/>
      </c>
      <c r="CH25" s="1899" t="str">
        <f t="shared" ref="CH25:CH34" si="24">IF(AND($C25&lt;&gt;0,AU25=""),"* No olvide ingresar la columna Niños, Niñas, Adolescentes y Jóvenes Mejor Niñez (Digite CERO si no tiene). ",IF(AU25&gt;$C25,"* El Número de Niños, Niñas, Adolescentes y Jóvenes Mejor Niñez no puede superar el Total. ",""))</f>
        <v/>
      </c>
      <c r="CI25" s="1970"/>
      <c r="CJ25" s="1901">
        <f t="shared" ref="CJ25:CJ34" si="25">IF(AND($C25&lt;&gt;0,AN25=""),1,IF(AN25&gt;$C25,1,0))</f>
        <v>0</v>
      </c>
      <c r="CK25" s="1901">
        <f t="shared" ref="CK25:CK34" si="26">IF(AND(E25&gt;0,OR(AO25="")),1,IF(AO25&gt;E25,1,0))</f>
        <v>0</v>
      </c>
      <c r="CL25" s="1901">
        <f t="shared" ref="CL25:CL34" si="27">IF(AND(D25&gt;0,OR(AP25="")),1,IF(AP25&gt;D25,1,0))</f>
        <v>0</v>
      </c>
      <c r="CM25" s="1901">
        <f t="shared" ref="CM25:CN34" si="28">IF(AND($C25&lt;&gt;0,AQ25=""),1,IF(AQ25&gt;$C25,1,0))</f>
        <v>0</v>
      </c>
      <c r="CN25" s="1901">
        <f t="shared" si="28"/>
        <v>0</v>
      </c>
      <c r="CO25" s="1902"/>
      <c r="CP25" s="1901">
        <f t="shared" ref="CP25:CQ34" si="29">IF(AND($C25&lt;&gt;0,AT25=""),1,IF(AT25&gt;$C25,1,0))</f>
        <v>0</v>
      </c>
      <c r="CQ25" s="1901">
        <f t="shared" si="29"/>
        <v>0</v>
      </c>
    </row>
    <row r="26" spans="1:99" x14ac:dyDescent="0.3">
      <c r="A26" s="5790"/>
      <c r="B26" s="4176" t="s">
        <v>65</v>
      </c>
      <c r="C26" s="3991">
        <f t="shared" si="15"/>
        <v>0</v>
      </c>
      <c r="D26" s="4061">
        <f t="shared" si="16"/>
        <v>0</v>
      </c>
      <c r="E26" s="4177">
        <f t="shared" si="16"/>
        <v>0</v>
      </c>
      <c r="F26" s="3996"/>
      <c r="G26" s="330"/>
      <c r="H26" s="3996"/>
      <c r="I26" s="330"/>
      <c r="J26" s="3996"/>
      <c r="K26" s="2003"/>
      <c r="L26" s="3996"/>
      <c r="M26" s="2003"/>
      <c r="N26" s="3996"/>
      <c r="O26" s="2003"/>
      <c r="P26" s="3996"/>
      <c r="Q26" s="2003"/>
      <c r="R26" s="3996"/>
      <c r="S26" s="2003"/>
      <c r="T26" s="3996"/>
      <c r="U26" s="2003"/>
      <c r="V26" s="3996"/>
      <c r="W26" s="2003"/>
      <c r="X26" s="3996"/>
      <c r="Y26" s="2003"/>
      <c r="Z26" s="3996"/>
      <c r="AA26" s="2003"/>
      <c r="AB26" s="3996"/>
      <c r="AC26" s="2003"/>
      <c r="AD26" s="3996"/>
      <c r="AE26" s="2003"/>
      <c r="AF26" s="3996"/>
      <c r="AG26" s="2003"/>
      <c r="AH26" s="3996"/>
      <c r="AI26" s="2003"/>
      <c r="AJ26" s="3996"/>
      <c r="AK26" s="2003"/>
      <c r="AL26" s="4178"/>
      <c r="AM26" s="332"/>
      <c r="AN26" s="4179"/>
      <c r="AO26" s="3987"/>
      <c r="AP26" s="330"/>
      <c r="AQ26" s="4051"/>
      <c r="AR26" s="4051"/>
      <c r="AS26" s="4180"/>
      <c r="AT26" s="4051"/>
      <c r="AU26" s="4051"/>
      <c r="AV26" s="1898" t="str">
        <f t="shared" si="17"/>
        <v/>
      </c>
      <c r="CA26" s="1899" t="str">
        <f t="shared" si="18"/>
        <v/>
      </c>
      <c r="CB26" s="1899" t="str">
        <f t="shared" si="19"/>
        <v/>
      </c>
      <c r="CC26" s="1899" t="str">
        <f t="shared" si="20"/>
        <v/>
      </c>
      <c r="CD26" s="1899" t="str">
        <f t="shared" si="21"/>
        <v/>
      </c>
      <c r="CE26" s="1899" t="str">
        <f t="shared" si="22"/>
        <v/>
      </c>
      <c r="CF26" s="1900"/>
      <c r="CG26" s="1899" t="str">
        <f t="shared" si="23"/>
        <v/>
      </c>
      <c r="CH26" s="1899" t="str">
        <f t="shared" si="24"/>
        <v/>
      </c>
      <c r="CI26" s="1970"/>
      <c r="CJ26" s="1901">
        <f t="shared" si="25"/>
        <v>0</v>
      </c>
      <c r="CK26" s="1901">
        <f t="shared" si="26"/>
        <v>0</v>
      </c>
      <c r="CL26" s="1901">
        <f t="shared" si="27"/>
        <v>0</v>
      </c>
      <c r="CM26" s="1901">
        <f t="shared" si="28"/>
        <v>0</v>
      </c>
      <c r="CN26" s="1901">
        <f t="shared" si="28"/>
        <v>0</v>
      </c>
      <c r="CO26" s="1902"/>
      <c r="CP26" s="1901">
        <f t="shared" si="29"/>
        <v>0</v>
      </c>
      <c r="CQ26" s="1901">
        <f t="shared" si="29"/>
        <v>0</v>
      </c>
    </row>
    <row r="27" spans="1:99" x14ac:dyDescent="0.3">
      <c r="A27" s="5790"/>
      <c r="B27" s="4176" t="s">
        <v>105</v>
      </c>
      <c r="C27" s="3991">
        <f t="shared" si="15"/>
        <v>0</v>
      </c>
      <c r="D27" s="4061">
        <f t="shared" si="16"/>
        <v>0</v>
      </c>
      <c r="E27" s="4177">
        <f t="shared" si="16"/>
        <v>0</v>
      </c>
      <c r="F27" s="3996"/>
      <c r="G27" s="330"/>
      <c r="H27" s="3996"/>
      <c r="I27" s="330"/>
      <c r="J27" s="3996"/>
      <c r="K27" s="2003"/>
      <c r="L27" s="3996"/>
      <c r="M27" s="2003"/>
      <c r="N27" s="3996"/>
      <c r="O27" s="2003"/>
      <c r="P27" s="3996"/>
      <c r="Q27" s="2003"/>
      <c r="R27" s="3996"/>
      <c r="S27" s="2003"/>
      <c r="T27" s="3996"/>
      <c r="U27" s="2003"/>
      <c r="V27" s="3996"/>
      <c r="W27" s="2003"/>
      <c r="X27" s="3996"/>
      <c r="Y27" s="2003"/>
      <c r="Z27" s="3996"/>
      <c r="AA27" s="2003"/>
      <c r="AB27" s="3996"/>
      <c r="AC27" s="2003"/>
      <c r="AD27" s="3996"/>
      <c r="AE27" s="2003"/>
      <c r="AF27" s="3996"/>
      <c r="AG27" s="2003"/>
      <c r="AH27" s="3996"/>
      <c r="AI27" s="2003"/>
      <c r="AJ27" s="3996"/>
      <c r="AK27" s="2003"/>
      <c r="AL27" s="4178"/>
      <c r="AM27" s="332"/>
      <c r="AN27" s="4179"/>
      <c r="AO27" s="3987"/>
      <c r="AP27" s="330"/>
      <c r="AQ27" s="4051"/>
      <c r="AR27" s="4051"/>
      <c r="AS27" s="4180"/>
      <c r="AT27" s="4051"/>
      <c r="AU27" s="4051"/>
      <c r="AV27" s="1898" t="str">
        <f t="shared" si="17"/>
        <v/>
      </c>
      <c r="CA27" s="1899" t="str">
        <f t="shared" si="18"/>
        <v/>
      </c>
      <c r="CB27" s="1899" t="str">
        <f t="shared" si="19"/>
        <v/>
      </c>
      <c r="CC27" s="1899" t="str">
        <f t="shared" si="20"/>
        <v/>
      </c>
      <c r="CD27" s="1899" t="str">
        <f t="shared" si="21"/>
        <v/>
      </c>
      <c r="CE27" s="1899" t="str">
        <f t="shared" si="22"/>
        <v/>
      </c>
      <c r="CF27" s="1900"/>
      <c r="CG27" s="1899" t="str">
        <f t="shared" si="23"/>
        <v/>
      </c>
      <c r="CH27" s="1899" t="str">
        <f t="shared" si="24"/>
        <v/>
      </c>
      <c r="CI27" s="1970"/>
      <c r="CJ27" s="1901">
        <f t="shared" si="25"/>
        <v>0</v>
      </c>
      <c r="CK27" s="1901">
        <f t="shared" si="26"/>
        <v>0</v>
      </c>
      <c r="CL27" s="1901">
        <f t="shared" si="27"/>
        <v>0</v>
      </c>
      <c r="CM27" s="1901">
        <f t="shared" si="28"/>
        <v>0</v>
      </c>
      <c r="CN27" s="1901">
        <f t="shared" si="28"/>
        <v>0</v>
      </c>
      <c r="CO27" s="1902"/>
      <c r="CP27" s="1901">
        <f t="shared" si="29"/>
        <v>0</v>
      </c>
      <c r="CQ27" s="1901">
        <f t="shared" si="29"/>
        <v>0</v>
      </c>
    </row>
    <row r="28" spans="1:99" x14ac:dyDescent="0.3">
      <c r="A28" s="5790"/>
      <c r="B28" s="4176" t="s">
        <v>1035</v>
      </c>
      <c r="C28" s="3991">
        <f t="shared" si="15"/>
        <v>0</v>
      </c>
      <c r="D28" s="4061">
        <f t="shared" si="16"/>
        <v>0</v>
      </c>
      <c r="E28" s="4177">
        <f t="shared" si="16"/>
        <v>0</v>
      </c>
      <c r="F28" s="3996"/>
      <c r="G28" s="330"/>
      <c r="H28" s="3996"/>
      <c r="I28" s="330"/>
      <c r="J28" s="3996"/>
      <c r="K28" s="2003"/>
      <c r="L28" s="3996"/>
      <c r="M28" s="2003"/>
      <c r="N28" s="3996"/>
      <c r="O28" s="2003"/>
      <c r="P28" s="3996"/>
      <c r="Q28" s="2003"/>
      <c r="R28" s="3996"/>
      <c r="S28" s="2003"/>
      <c r="T28" s="3996"/>
      <c r="U28" s="2003"/>
      <c r="V28" s="3996"/>
      <c r="W28" s="2003"/>
      <c r="X28" s="3996"/>
      <c r="Y28" s="2003"/>
      <c r="Z28" s="3996"/>
      <c r="AA28" s="2003"/>
      <c r="AB28" s="3996"/>
      <c r="AC28" s="2003"/>
      <c r="AD28" s="3996"/>
      <c r="AE28" s="2003"/>
      <c r="AF28" s="3996"/>
      <c r="AG28" s="2003"/>
      <c r="AH28" s="3996"/>
      <c r="AI28" s="2003"/>
      <c r="AJ28" s="3996"/>
      <c r="AK28" s="2003"/>
      <c r="AL28" s="4178"/>
      <c r="AM28" s="332"/>
      <c r="AN28" s="4179"/>
      <c r="AO28" s="3987"/>
      <c r="AP28" s="330"/>
      <c r="AQ28" s="4051"/>
      <c r="AR28" s="4051"/>
      <c r="AS28" s="4180"/>
      <c r="AT28" s="4051"/>
      <c r="AU28" s="4051"/>
      <c r="AV28" s="1898" t="str">
        <f t="shared" si="17"/>
        <v/>
      </c>
      <c r="CA28" s="1899" t="str">
        <f t="shared" si="18"/>
        <v/>
      </c>
      <c r="CB28" s="1899" t="str">
        <f t="shared" si="19"/>
        <v/>
      </c>
      <c r="CC28" s="1899" t="str">
        <f t="shared" si="20"/>
        <v/>
      </c>
      <c r="CD28" s="1899" t="str">
        <f t="shared" si="21"/>
        <v/>
      </c>
      <c r="CE28" s="1899" t="str">
        <f t="shared" si="22"/>
        <v/>
      </c>
      <c r="CF28" s="1900"/>
      <c r="CG28" s="1899" t="str">
        <f t="shared" si="23"/>
        <v/>
      </c>
      <c r="CH28" s="1899" t="str">
        <f t="shared" si="24"/>
        <v/>
      </c>
      <c r="CI28" s="1970"/>
      <c r="CJ28" s="1901">
        <f t="shared" si="25"/>
        <v>0</v>
      </c>
      <c r="CK28" s="1901">
        <f t="shared" si="26"/>
        <v>0</v>
      </c>
      <c r="CL28" s="1901">
        <f t="shared" si="27"/>
        <v>0</v>
      </c>
      <c r="CM28" s="1901">
        <f t="shared" si="28"/>
        <v>0</v>
      </c>
      <c r="CN28" s="1901">
        <f t="shared" si="28"/>
        <v>0</v>
      </c>
      <c r="CO28" s="1902"/>
      <c r="CP28" s="1901">
        <f t="shared" si="29"/>
        <v>0</v>
      </c>
      <c r="CQ28" s="1901">
        <f t="shared" si="29"/>
        <v>0</v>
      </c>
    </row>
    <row r="29" spans="1:99" x14ac:dyDescent="0.3">
      <c r="A29" s="5790"/>
      <c r="B29" s="4176" t="s">
        <v>1034</v>
      </c>
      <c r="C29" s="3991">
        <f t="shared" si="15"/>
        <v>0</v>
      </c>
      <c r="D29" s="4061">
        <f t="shared" si="16"/>
        <v>0</v>
      </c>
      <c r="E29" s="4177">
        <f t="shared" si="16"/>
        <v>0</v>
      </c>
      <c r="F29" s="3996"/>
      <c r="G29" s="330"/>
      <c r="H29" s="3996"/>
      <c r="I29" s="330"/>
      <c r="J29" s="3996"/>
      <c r="K29" s="2003"/>
      <c r="L29" s="3996"/>
      <c r="M29" s="2003"/>
      <c r="N29" s="3996"/>
      <c r="O29" s="2003"/>
      <c r="P29" s="3996"/>
      <c r="Q29" s="2003"/>
      <c r="R29" s="3996"/>
      <c r="S29" s="2003"/>
      <c r="T29" s="3996"/>
      <c r="U29" s="2003"/>
      <c r="V29" s="3996"/>
      <c r="W29" s="2003"/>
      <c r="X29" s="3996"/>
      <c r="Y29" s="2003"/>
      <c r="Z29" s="3996"/>
      <c r="AA29" s="2003"/>
      <c r="AB29" s="3996"/>
      <c r="AC29" s="2003"/>
      <c r="AD29" s="3996"/>
      <c r="AE29" s="2003"/>
      <c r="AF29" s="3996"/>
      <c r="AG29" s="2003"/>
      <c r="AH29" s="3996"/>
      <c r="AI29" s="2003"/>
      <c r="AJ29" s="3996"/>
      <c r="AK29" s="2003"/>
      <c r="AL29" s="4178"/>
      <c r="AM29" s="332"/>
      <c r="AN29" s="4179"/>
      <c r="AO29" s="3987"/>
      <c r="AP29" s="330"/>
      <c r="AQ29" s="4051"/>
      <c r="AR29" s="4051"/>
      <c r="AS29" s="4180"/>
      <c r="AT29" s="4051"/>
      <c r="AU29" s="4051"/>
      <c r="AV29" s="1898" t="str">
        <f t="shared" si="17"/>
        <v/>
      </c>
      <c r="CA29" s="1899" t="str">
        <f t="shared" si="18"/>
        <v/>
      </c>
      <c r="CB29" s="1899" t="str">
        <f t="shared" si="19"/>
        <v/>
      </c>
      <c r="CC29" s="1899" t="str">
        <f t="shared" si="20"/>
        <v/>
      </c>
      <c r="CD29" s="1899" t="str">
        <f t="shared" si="21"/>
        <v/>
      </c>
      <c r="CE29" s="1899" t="str">
        <f t="shared" si="22"/>
        <v/>
      </c>
      <c r="CF29" s="1900"/>
      <c r="CG29" s="1899" t="str">
        <f t="shared" si="23"/>
        <v/>
      </c>
      <c r="CH29" s="1899" t="str">
        <f t="shared" si="24"/>
        <v/>
      </c>
      <c r="CI29" s="1970"/>
      <c r="CJ29" s="1901">
        <f t="shared" si="25"/>
        <v>0</v>
      </c>
      <c r="CK29" s="1901">
        <f t="shared" si="26"/>
        <v>0</v>
      </c>
      <c r="CL29" s="1901">
        <f t="shared" si="27"/>
        <v>0</v>
      </c>
      <c r="CM29" s="1901">
        <f t="shared" si="28"/>
        <v>0</v>
      </c>
      <c r="CN29" s="1901">
        <f t="shared" si="28"/>
        <v>0</v>
      </c>
      <c r="CO29" s="1902"/>
      <c r="CP29" s="1901">
        <f t="shared" si="29"/>
        <v>0</v>
      </c>
      <c r="CQ29" s="1901">
        <f t="shared" si="29"/>
        <v>0</v>
      </c>
    </row>
    <row r="30" spans="1:99" x14ac:dyDescent="0.3">
      <c r="A30" s="5790"/>
      <c r="B30" s="4176" t="s">
        <v>1406</v>
      </c>
      <c r="C30" s="3991">
        <f t="shared" si="15"/>
        <v>0</v>
      </c>
      <c r="D30" s="4061">
        <f t="shared" si="16"/>
        <v>0</v>
      </c>
      <c r="E30" s="4177">
        <f t="shared" si="16"/>
        <v>0</v>
      </c>
      <c r="F30" s="3996"/>
      <c r="G30" s="330"/>
      <c r="H30" s="3996"/>
      <c r="I30" s="330"/>
      <c r="J30" s="3996"/>
      <c r="K30" s="2003"/>
      <c r="L30" s="3996"/>
      <c r="M30" s="2003"/>
      <c r="N30" s="3996"/>
      <c r="O30" s="2003"/>
      <c r="P30" s="3996"/>
      <c r="Q30" s="2003"/>
      <c r="R30" s="3996"/>
      <c r="S30" s="2003"/>
      <c r="T30" s="3996"/>
      <c r="U30" s="2003"/>
      <c r="V30" s="3996"/>
      <c r="W30" s="2003"/>
      <c r="X30" s="3996"/>
      <c r="Y30" s="2003"/>
      <c r="Z30" s="3996"/>
      <c r="AA30" s="2003"/>
      <c r="AB30" s="3996"/>
      <c r="AC30" s="2003"/>
      <c r="AD30" s="3996"/>
      <c r="AE30" s="2003"/>
      <c r="AF30" s="3996"/>
      <c r="AG30" s="2003"/>
      <c r="AH30" s="3996"/>
      <c r="AI30" s="2003"/>
      <c r="AJ30" s="3996"/>
      <c r="AK30" s="2003"/>
      <c r="AL30" s="4178"/>
      <c r="AM30" s="332"/>
      <c r="AN30" s="4179"/>
      <c r="AO30" s="3987"/>
      <c r="AP30" s="330"/>
      <c r="AQ30" s="4051"/>
      <c r="AR30" s="4051"/>
      <c r="AS30" s="4180"/>
      <c r="AT30" s="4051"/>
      <c r="AU30" s="4051"/>
      <c r="AV30" s="1898" t="str">
        <f t="shared" si="17"/>
        <v/>
      </c>
      <c r="CA30" s="1899" t="str">
        <f t="shared" si="18"/>
        <v/>
      </c>
      <c r="CB30" s="1899" t="str">
        <f t="shared" si="19"/>
        <v/>
      </c>
      <c r="CC30" s="1899" t="str">
        <f t="shared" si="20"/>
        <v/>
      </c>
      <c r="CD30" s="1899" t="str">
        <f t="shared" si="21"/>
        <v/>
      </c>
      <c r="CE30" s="1899" t="str">
        <f t="shared" si="22"/>
        <v/>
      </c>
      <c r="CF30" s="1900"/>
      <c r="CG30" s="1899" t="str">
        <f t="shared" si="23"/>
        <v/>
      </c>
      <c r="CH30" s="1899" t="str">
        <f t="shared" si="24"/>
        <v/>
      </c>
      <c r="CI30" s="1970"/>
      <c r="CJ30" s="1901">
        <f t="shared" si="25"/>
        <v>0</v>
      </c>
      <c r="CK30" s="1901">
        <f t="shared" si="26"/>
        <v>0</v>
      </c>
      <c r="CL30" s="1901">
        <f t="shared" si="27"/>
        <v>0</v>
      </c>
      <c r="CM30" s="1901">
        <f t="shared" si="28"/>
        <v>0</v>
      </c>
      <c r="CN30" s="1901">
        <f t="shared" si="28"/>
        <v>0</v>
      </c>
      <c r="CO30" s="1902"/>
      <c r="CP30" s="1901">
        <f t="shared" si="29"/>
        <v>0</v>
      </c>
      <c r="CQ30" s="1901">
        <f t="shared" si="29"/>
        <v>0</v>
      </c>
    </row>
    <row r="31" spans="1:99" x14ac:dyDescent="0.3">
      <c r="A31" s="5790"/>
      <c r="B31" s="4181" t="s">
        <v>2063</v>
      </c>
      <c r="C31" s="3919">
        <f t="shared" si="15"/>
        <v>0</v>
      </c>
      <c r="D31" s="4072">
        <f t="shared" si="16"/>
        <v>0</v>
      </c>
      <c r="E31" s="3401">
        <f t="shared" si="16"/>
        <v>0</v>
      </c>
      <c r="F31" s="212"/>
      <c r="G31" s="34"/>
      <c r="H31" s="212"/>
      <c r="I31" s="34"/>
      <c r="J31" s="212"/>
      <c r="K31" s="1161"/>
      <c r="L31" s="212"/>
      <c r="M31" s="1161"/>
      <c r="N31" s="212"/>
      <c r="O31" s="1161"/>
      <c r="P31" s="212"/>
      <c r="Q31" s="1161"/>
      <c r="R31" s="212"/>
      <c r="S31" s="1161"/>
      <c r="T31" s="212"/>
      <c r="U31" s="1161"/>
      <c r="V31" s="212"/>
      <c r="W31" s="1161"/>
      <c r="X31" s="212"/>
      <c r="Y31" s="1161"/>
      <c r="Z31" s="212"/>
      <c r="AA31" s="1161"/>
      <c r="AB31" s="212"/>
      <c r="AC31" s="1161"/>
      <c r="AD31" s="212"/>
      <c r="AE31" s="1161"/>
      <c r="AF31" s="212"/>
      <c r="AG31" s="1161"/>
      <c r="AH31" s="212"/>
      <c r="AI31" s="1161"/>
      <c r="AJ31" s="212"/>
      <c r="AK31" s="1161"/>
      <c r="AL31" s="2244"/>
      <c r="AM31" s="2444"/>
      <c r="AN31" s="4179"/>
      <c r="AO31" s="1162"/>
      <c r="AP31" s="330"/>
      <c r="AQ31" s="4051"/>
      <c r="AR31" s="4051"/>
      <c r="AS31" s="4180"/>
      <c r="AT31" s="4051"/>
      <c r="AU31" s="4051"/>
      <c r="AV31" s="1898" t="str">
        <f t="shared" si="17"/>
        <v/>
      </c>
      <c r="CA31" s="1899" t="str">
        <f t="shared" si="18"/>
        <v/>
      </c>
      <c r="CB31" s="1899" t="str">
        <f t="shared" si="19"/>
        <v/>
      </c>
      <c r="CC31" s="1899" t="str">
        <f t="shared" si="20"/>
        <v/>
      </c>
      <c r="CD31" s="1899" t="str">
        <f t="shared" si="21"/>
        <v/>
      </c>
      <c r="CE31" s="1899" t="str">
        <f t="shared" si="22"/>
        <v/>
      </c>
      <c r="CF31" s="1900"/>
      <c r="CG31" s="1899" t="str">
        <f t="shared" si="23"/>
        <v/>
      </c>
      <c r="CH31" s="1899" t="str">
        <f t="shared" si="24"/>
        <v/>
      </c>
      <c r="CI31" s="1970"/>
      <c r="CJ31" s="1901">
        <f t="shared" si="25"/>
        <v>0</v>
      </c>
      <c r="CK31" s="1901">
        <f t="shared" si="26"/>
        <v>0</v>
      </c>
      <c r="CL31" s="1901">
        <f t="shared" si="27"/>
        <v>0</v>
      </c>
      <c r="CM31" s="1901">
        <f t="shared" si="28"/>
        <v>0</v>
      </c>
      <c r="CN31" s="1901">
        <f t="shared" si="28"/>
        <v>0</v>
      </c>
      <c r="CO31" s="1902"/>
      <c r="CP31" s="1901">
        <f t="shared" si="29"/>
        <v>0</v>
      </c>
      <c r="CQ31" s="1901">
        <f t="shared" si="29"/>
        <v>0</v>
      </c>
    </row>
    <row r="32" spans="1:99" x14ac:dyDescent="0.3">
      <c r="A32" s="5790"/>
      <c r="B32" s="4176" t="s">
        <v>2064</v>
      </c>
      <c r="C32" s="3991">
        <f t="shared" si="15"/>
        <v>0</v>
      </c>
      <c r="D32" s="4061">
        <f t="shared" si="16"/>
        <v>0</v>
      </c>
      <c r="E32" s="4177">
        <f t="shared" si="16"/>
        <v>0</v>
      </c>
      <c r="F32" s="3996"/>
      <c r="G32" s="330"/>
      <c r="H32" s="3996"/>
      <c r="I32" s="330"/>
      <c r="J32" s="3996"/>
      <c r="K32" s="2003"/>
      <c r="L32" s="3996"/>
      <c r="M32" s="2003"/>
      <c r="N32" s="3996"/>
      <c r="O32" s="2003"/>
      <c r="P32" s="3996"/>
      <c r="Q32" s="2003"/>
      <c r="R32" s="3996"/>
      <c r="S32" s="2003"/>
      <c r="T32" s="3996"/>
      <c r="U32" s="2003"/>
      <c r="V32" s="3996"/>
      <c r="W32" s="2003"/>
      <c r="X32" s="3996"/>
      <c r="Y32" s="2003"/>
      <c r="Z32" s="3996"/>
      <c r="AA32" s="2003"/>
      <c r="AB32" s="3996"/>
      <c r="AC32" s="2003"/>
      <c r="AD32" s="3996"/>
      <c r="AE32" s="2003"/>
      <c r="AF32" s="3996"/>
      <c r="AG32" s="2003"/>
      <c r="AH32" s="3996"/>
      <c r="AI32" s="2003"/>
      <c r="AJ32" s="3996"/>
      <c r="AK32" s="2003"/>
      <c r="AL32" s="4178"/>
      <c r="AM32" s="332"/>
      <c r="AN32" s="4179"/>
      <c r="AO32" s="3987"/>
      <c r="AP32" s="330"/>
      <c r="AQ32" s="4051"/>
      <c r="AR32" s="4051"/>
      <c r="AS32" s="4180"/>
      <c r="AT32" s="4051"/>
      <c r="AU32" s="4051"/>
      <c r="AV32" s="1898" t="str">
        <f t="shared" si="17"/>
        <v/>
      </c>
      <c r="CA32" s="1899" t="str">
        <f t="shared" si="18"/>
        <v/>
      </c>
      <c r="CB32" s="1899" t="str">
        <f t="shared" si="19"/>
        <v/>
      </c>
      <c r="CC32" s="1899" t="str">
        <f t="shared" si="20"/>
        <v/>
      </c>
      <c r="CD32" s="1899" t="str">
        <f t="shared" si="21"/>
        <v/>
      </c>
      <c r="CE32" s="1899" t="str">
        <f t="shared" si="22"/>
        <v/>
      </c>
      <c r="CF32" s="1900"/>
      <c r="CG32" s="1899" t="str">
        <f t="shared" si="23"/>
        <v/>
      </c>
      <c r="CH32" s="1899" t="str">
        <f t="shared" si="24"/>
        <v/>
      </c>
      <c r="CI32" s="1970"/>
      <c r="CJ32" s="1901">
        <f t="shared" si="25"/>
        <v>0</v>
      </c>
      <c r="CK32" s="1901">
        <f t="shared" si="26"/>
        <v>0</v>
      </c>
      <c r="CL32" s="1901">
        <f t="shared" si="27"/>
        <v>0</v>
      </c>
      <c r="CM32" s="1901">
        <f t="shared" si="28"/>
        <v>0</v>
      </c>
      <c r="CN32" s="1901">
        <f t="shared" si="28"/>
        <v>0</v>
      </c>
      <c r="CO32" s="1902"/>
      <c r="CP32" s="1901">
        <f t="shared" si="29"/>
        <v>0</v>
      </c>
      <c r="CQ32" s="1901">
        <f t="shared" si="29"/>
        <v>0</v>
      </c>
    </row>
    <row r="33" spans="1:95" x14ac:dyDescent="0.3">
      <c r="A33" s="5790"/>
      <c r="B33" s="24" t="s">
        <v>2065</v>
      </c>
      <c r="C33" s="3991">
        <f t="shared" si="15"/>
        <v>0</v>
      </c>
      <c r="D33" s="210">
        <f t="shared" si="16"/>
        <v>0</v>
      </c>
      <c r="E33" s="4182">
        <f t="shared" si="16"/>
        <v>0</v>
      </c>
      <c r="F33" s="3996"/>
      <c r="G33" s="330"/>
      <c r="H33" s="3996"/>
      <c r="I33" s="330"/>
      <c r="J33" s="3996"/>
      <c r="K33" s="2003"/>
      <c r="L33" s="3996"/>
      <c r="M33" s="2003"/>
      <c r="N33" s="3996"/>
      <c r="O33" s="2003"/>
      <c r="P33" s="3996"/>
      <c r="Q33" s="2003"/>
      <c r="R33" s="3996"/>
      <c r="S33" s="2003"/>
      <c r="T33" s="3996"/>
      <c r="U33" s="2003"/>
      <c r="V33" s="3996"/>
      <c r="W33" s="2003"/>
      <c r="X33" s="3996"/>
      <c r="Y33" s="2003"/>
      <c r="Z33" s="3996"/>
      <c r="AA33" s="2003"/>
      <c r="AB33" s="3996"/>
      <c r="AC33" s="2003"/>
      <c r="AD33" s="3996"/>
      <c r="AE33" s="2003"/>
      <c r="AF33" s="3996"/>
      <c r="AG33" s="2003"/>
      <c r="AH33" s="3996"/>
      <c r="AI33" s="2003"/>
      <c r="AJ33" s="3996"/>
      <c r="AK33" s="2003"/>
      <c r="AL33" s="4183"/>
      <c r="AM33" s="332"/>
      <c r="AN33" s="4179"/>
      <c r="AO33" s="3987"/>
      <c r="AP33" s="330"/>
      <c r="AQ33" s="4051"/>
      <c r="AR33" s="4051"/>
      <c r="AS33" s="4180"/>
      <c r="AT33" s="4051"/>
      <c r="AU33" s="4051"/>
      <c r="AV33" s="1898" t="str">
        <f t="shared" si="17"/>
        <v/>
      </c>
      <c r="CA33" s="1899" t="str">
        <f t="shared" si="18"/>
        <v/>
      </c>
      <c r="CB33" s="1899" t="str">
        <f t="shared" si="19"/>
        <v/>
      </c>
      <c r="CC33" s="1899" t="str">
        <f t="shared" si="20"/>
        <v/>
      </c>
      <c r="CD33" s="1899" t="str">
        <f t="shared" si="21"/>
        <v/>
      </c>
      <c r="CE33" s="1899" t="str">
        <f t="shared" si="22"/>
        <v/>
      </c>
      <c r="CF33" s="1900"/>
      <c r="CG33" s="1899" t="str">
        <f t="shared" si="23"/>
        <v/>
      </c>
      <c r="CH33" s="1899" t="str">
        <f t="shared" si="24"/>
        <v/>
      </c>
      <c r="CI33" s="1970"/>
      <c r="CJ33" s="1901">
        <f t="shared" si="25"/>
        <v>0</v>
      </c>
      <c r="CK33" s="1901">
        <f t="shared" si="26"/>
        <v>0</v>
      </c>
      <c r="CL33" s="1901">
        <f t="shared" si="27"/>
        <v>0</v>
      </c>
      <c r="CM33" s="1901">
        <f t="shared" si="28"/>
        <v>0</v>
      </c>
      <c r="CN33" s="1901">
        <f t="shared" si="28"/>
        <v>0</v>
      </c>
      <c r="CO33" s="1902"/>
      <c r="CP33" s="1901">
        <f t="shared" si="29"/>
        <v>0</v>
      </c>
      <c r="CQ33" s="1901">
        <f t="shared" si="29"/>
        <v>0</v>
      </c>
    </row>
    <row r="34" spans="1:95" x14ac:dyDescent="0.3">
      <c r="A34" s="6574"/>
      <c r="B34" s="518" t="s">
        <v>99</v>
      </c>
      <c r="C34" s="638">
        <f t="shared" si="15"/>
        <v>0</v>
      </c>
      <c r="D34" s="4077">
        <f t="shared" si="16"/>
        <v>0</v>
      </c>
      <c r="E34" s="4184">
        <f t="shared" si="16"/>
        <v>0</v>
      </c>
      <c r="F34" s="897"/>
      <c r="G34" s="3499"/>
      <c r="H34" s="897"/>
      <c r="I34" s="3499"/>
      <c r="J34" s="897"/>
      <c r="K34" s="325"/>
      <c r="L34" s="897"/>
      <c r="M34" s="325"/>
      <c r="N34" s="897"/>
      <c r="O34" s="325"/>
      <c r="P34" s="897"/>
      <c r="Q34" s="325"/>
      <c r="R34" s="897"/>
      <c r="S34" s="325"/>
      <c r="T34" s="897"/>
      <c r="U34" s="325"/>
      <c r="V34" s="897"/>
      <c r="W34" s="325"/>
      <c r="X34" s="897"/>
      <c r="Y34" s="325"/>
      <c r="Z34" s="897"/>
      <c r="AA34" s="325"/>
      <c r="AB34" s="897"/>
      <c r="AC34" s="325"/>
      <c r="AD34" s="897"/>
      <c r="AE34" s="325"/>
      <c r="AF34" s="897"/>
      <c r="AG34" s="325"/>
      <c r="AH34" s="897"/>
      <c r="AI34" s="325"/>
      <c r="AJ34" s="897"/>
      <c r="AK34" s="325"/>
      <c r="AL34" s="876"/>
      <c r="AM34" s="326"/>
      <c r="AN34" s="2320"/>
      <c r="AO34" s="4122"/>
      <c r="AP34" s="877"/>
      <c r="AQ34" s="1954"/>
      <c r="AR34" s="1954"/>
      <c r="AS34" s="1915"/>
      <c r="AT34" s="1954"/>
      <c r="AU34" s="1954"/>
      <c r="AV34" s="1898" t="str">
        <f t="shared" si="17"/>
        <v/>
      </c>
      <c r="CA34" s="1899" t="str">
        <f t="shared" si="18"/>
        <v/>
      </c>
      <c r="CB34" s="1899" t="str">
        <f t="shared" si="19"/>
        <v/>
      </c>
      <c r="CC34" s="1899" t="str">
        <f t="shared" si="20"/>
        <v/>
      </c>
      <c r="CD34" s="1899" t="str">
        <f t="shared" si="21"/>
        <v/>
      </c>
      <c r="CE34" s="1899" t="str">
        <f t="shared" si="22"/>
        <v/>
      </c>
      <c r="CF34" s="1900"/>
      <c r="CG34" s="1899" t="str">
        <f t="shared" si="23"/>
        <v/>
      </c>
      <c r="CH34" s="1899" t="str">
        <f t="shared" si="24"/>
        <v/>
      </c>
      <c r="CI34" s="1970"/>
      <c r="CJ34" s="1901">
        <f t="shared" si="25"/>
        <v>0</v>
      </c>
      <c r="CK34" s="1901">
        <f t="shared" si="26"/>
        <v>0</v>
      </c>
      <c r="CL34" s="1901">
        <f t="shared" si="27"/>
        <v>0</v>
      </c>
      <c r="CM34" s="1901">
        <f t="shared" si="28"/>
        <v>0</v>
      </c>
      <c r="CN34" s="1901">
        <f t="shared" si="28"/>
        <v>0</v>
      </c>
      <c r="CO34" s="1902"/>
      <c r="CP34" s="1901">
        <f t="shared" si="29"/>
        <v>0</v>
      </c>
      <c r="CQ34" s="1901">
        <f t="shared" si="29"/>
        <v>0</v>
      </c>
    </row>
    <row r="35" spans="1:95" x14ac:dyDescent="0.3">
      <c r="A35" s="6896" t="s">
        <v>203</v>
      </c>
      <c r="B35" s="3448" t="s">
        <v>64</v>
      </c>
      <c r="C35" s="3308">
        <f t="shared" si="0"/>
        <v>0</v>
      </c>
      <c r="D35" s="4055">
        <f>SUM(H35+J35+L35+N35+P35+R35+T35+V35+X35+Z35+AB35+AD35+AF35+AH35+AJ35+AL35)</f>
        <v>0</v>
      </c>
      <c r="E35" s="4168">
        <f>SUM(I35+K35+M35+O35+Q35+S35+U35+W35+Y35+AA35+AC35+AE35+AG35+AI35+AK35+AM35)</f>
        <v>0</v>
      </c>
      <c r="F35" s="4033"/>
      <c r="G35" s="4185"/>
      <c r="H35" s="4010"/>
      <c r="I35" s="4169"/>
      <c r="J35" s="4010"/>
      <c r="K35" s="4012"/>
      <c r="L35" s="4010"/>
      <c r="M35" s="4012"/>
      <c r="N35" s="4010"/>
      <c r="O35" s="4012"/>
      <c r="P35" s="4010"/>
      <c r="Q35" s="4012"/>
      <c r="R35" s="4010"/>
      <c r="S35" s="4012"/>
      <c r="T35" s="4010"/>
      <c r="U35" s="4012"/>
      <c r="V35" s="4010"/>
      <c r="W35" s="4012"/>
      <c r="X35" s="4010"/>
      <c r="Y35" s="4012"/>
      <c r="Z35" s="4010"/>
      <c r="AA35" s="4012"/>
      <c r="AB35" s="4010"/>
      <c r="AC35" s="4012"/>
      <c r="AD35" s="4010"/>
      <c r="AE35" s="4012"/>
      <c r="AF35" s="4010"/>
      <c r="AG35" s="4012"/>
      <c r="AH35" s="4010"/>
      <c r="AI35" s="4012"/>
      <c r="AJ35" s="4010"/>
      <c r="AK35" s="4012"/>
      <c r="AL35" s="4170"/>
      <c r="AM35" s="4171"/>
      <c r="AN35" s="2069"/>
      <c r="AO35" s="4173"/>
      <c r="AP35" s="4013"/>
      <c r="AQ35" s="4174"/>
      <c r="AR35" s="4174"/>
      <c r="AS35" s="4175"/>
      <c r="AT35" s="2070"/>
      <c r="AU35" s="2070"/>
      <c r="AV35" s="1898" t="str">
        <f t="shared" si="2"/>
        <v/>
      </c>
      <c r="CA35" s="1899" t="str">
        <f t="shared" si="3"/>
        <v/>
      </c>
      <c r="CB35" s="1899" t="str">
        <f t="shared" si="4"/>
        <v/>
      </c>
      <c r="CC35" s="1899" t="str">
        <f t="shared" si="5"/>
        <v/>
      </c>
      <c r="CD35" s="1899" t="str">
        <f t="shared" si="6"/>
        <v/>
      </c>
      <c r="CE35" s="1899" t="str">
        <f t="shared" si="7"/>
        <v/>
      </c>
      <c r="CF35" s="1900"/>
      <c r="CG35" s="1899" t="str">
        <f t="shared" si="8"/>
        <v/>
      </c>
      <c r="CH35" s="1899" t="str">
        <f t="shared" si="9"/>
        <v/>
      </c>
      <c r="CI35" s="1970"/>
      <c r="CJ35" s="1901">
        <f t="shared" si="10"/>
        <v>0</v>
      </c>
      <c r="CK35" s="1901">
        <f t="shared" si="11"/>
        <v>0</v>
      </c>
      <c r="CL35" s="1901">
        <f t="shared" si="12"/>
        <v>0</v>
      </c>
      <c r="CM35" s="1901">
        <f t="shared" si="13"/>
        <v>0</v>
      </c>
      <c r="CN35" s="1901">
        <f t="shared" si="13"/>
        <v>0</v>
      </c>
      <c r="CO35" s="1902"/>
      <c r="CP35" s="1901">
        <f t="shared" si="14"/>
        <v>0</v>
      </c>
      <c r="CQ35" s="1901">
        <f t="shared" si="14"/>
        <v>0</v>
      </c>
    </row>
    <row r="36" spans="1:95" x14ac:dyDescent="0.3">
      <c r="A36" s="5790"/>
      <c r="B36" s="4176" t="s">
        <v>1404</v>
      </c>
      <c r="C36" s="3991">
        <f t="shared" si="0"/>
        <v>0</v>
      </c>
      <c r="D36" s="4061">
        <f t="shared" ref="D36:E51" si="30">SUM(H36+J36+L36+N36+P36+R36+T36+V36+X36+Z36+AB36+AD36+AF36+AH36+AJ36+AL36)</f>
        <v>0</v>
      </c>
      <c r="E36" s="4177">
        <f t="shared" si="30"/>
        <v>0</v>
      </c>
      <c r="F36" s="1924"/>
      <c r="G36" s="4186"/>
      <c r="H36" s="3996"/>
      <c r="I36" s="330"/>
      <c r="J36" s="3996"/>
      <c r="K36" s="2003"/>
      <c r="L36" s="3996"/>
      <c r="M36" s="2003"/>
      <c r="N36" s="3996"/>
      <c r="O36" s="2003"/>
      <c r="P36" s="3996"/>
      <c r="Q36" s="2003"/>
      <c r="R36" s="3996"/>
      <c r="S36" s="2003"/>
      <c r="T36" s="3996"/>
      <c r="U36" s="2003"/>
      <c r="V36" s="3996"/>
      <c r="W36" s="2003"/>
      <c r="X36" s="3996"/>
      <c r="Y36" s="2003"/>
      <c r="Z36" s="3996"/>
      <c r="AA36" s="2003"/>
      <c r="AB36" s="3996"/>
      <c r="AC36" s="2003"/>
      <c r="AD36" s="3996"/>
      <c r="AE36" s="2003"/>
      <c r="AF36" s="3996"/>
      <c r="AG36" s="2003"/>
      <c r="AH36" s="3996"/>
      <c r="AI36" s="2003"/>
      <c r="AJ36" s="3996"/>
      <c r="AK36" s="2003"/>
      <c r="AL36" s="4178"/>
      <c r="AM36" s="332"/>
      <c r="AN36" s="4179"/>
      <c r="AO36" s="3987"/>
      <c r="AP36" s="330"/>
      <c r="AQ36" s="4051"/>
      <c r="AR36" s="4051"/>
      <c r="AS36" s="4180"/>
      <c r="AT36" s="4051"/>
      <c r="AU36" s="4051"/>
      <c r="AV36" s="1898" t="str">
        <f t="shared" si="2"/>
        <v/>
      </c>
      <c r="CA36" s="1899" t="str">
        <f t="shared" si="3"/>
        <v/>
      </c>
      <c r="CB36" s="1899" t="str">
        <f t="shared" si="4"/>
        <v/>
      </c>
      <c r="CC36" s="1899" t="str">
        <f t="shared" si="5"/>
        <v/>
      </c>
      <c r="CD36" s="1899" t="str">
        <f t="shared" si="6"/>
        <v/>
      </c>
      <c r="CE36" s="1899" t="str">
        <f t="shared" si="7"/>
        <v/>
      </c>
      <c r="CF36" s="1900"/>
      <c r="CG36" s="1899" t="str">
        <f t="shared" si="8"/>
        <v/>
      </c>
      <c r="CH36" s="1899" t="str">
        <f t="shared" si="9"/>
        <v/>
      </c>
      <c r="CI36" s="1970"/>
      <c r="CJ36" s="1901">
        <f t="shared" si="10"/>
        <v>0</v>
      </c>
      <c r="CK36" s="1901">
        <f t="shared" si="11"/>
        <v>0</v>
      </c>
      <c r="CL36" s="1901">
        <f t="shared" si="12"/>
        <v>0</v>
      </c>
      <c r="CM36" s="1901">
        <f t="shared" si="13"/>
        <v>0</v>
      </c>
      <c r="CN36" s="1901">
        <f t="shared" si="13"/>
        <v>0</v>
      </c>
      <c r="CO36" s="1902"/>
      <c r="CP36" s="1901">
        <f t="shared" si="14"/>
        <v>0</v>
      </c>
      <c r="CQ36" s="1901">
        <f t="shared" si="14"/>
        <v>0</v>
      </c>
    </row>
    <row r="37" spans="1:95" x14ac:dyDescent="0.3">
      <c r="A37" s="5790"/>
      <c r="B37" s="4176" t="s">
        <v>65</v>
      </c>
      <c r="C37" s="3991">
        <f t="shared" si="0"/>
        <v>0</v>
      </c>
      <c r="D37" s="4061">
        <f t="shared" si="30"/>
        <v>0</v>
      </c>
      <c r="E37" s="4177">
        <f t="shared" si="30"/>
        <v>0</v>
      </c>
      <c r="F37" s="1924"/>
      <c r="G37" s="4186"/>
      <c r="H37" s="3996"/>
      <c r="I37" s="330"/>
      <c r="J37" s="3996"/>
      <c r="K37" s="2003"/>
      <c r="L37" s="3996"/>
      <c r="M37" s="2003"/>
      <c r="N37" s="3996"/>
      <c r="O37" s="2003"/>
      <c r="P37" s="3996"/>
      <c r="Q37" s="2003"/>
      <c r="R37" s="3996"/>
      <c r="S37" s="2003"/>
      <c r="T37" s="3996"/>
      <c r="U37" s="2003"/>
      <c r="V37" s="3996"/>
      <c r="W37" s="2003"/>
      <c r="X37" s="3996"/>
      <c r="Y37" s="2003"/>
      <c r="Z37" s="3996"/>
      <c r="AA37" s="2003"/>
      <c r="AB37" s="3996"/>
      <c r="AC37" s="2003"/>
      <c r="AD37" s="3996"/>
      <c r="AE37" s="2003"/>
      <c r="AF37" s="3996"/>
      <c r="AG37" s="2003"/>
      <c r="AH37" s="3996"/>
      <c r="AI37" s="2003"/>
      <c r="AJ37" s="3996"/>
      <c r="AK37" s="2003"/>
      <c r="AL37" s="4178"/>
      <c r="AM37" s="332"/>
      <c r="AN37" s="4179"/>
      <c r="AO37" s="3987"/>
      <c r="AP37" s="330"/>
      <c r="AQ37" s="4051"/>
      <c r="AR37" s="4051"/>
      <c r="AS37" s="4180"/>
      <c r="AT37" s="4051"/>
      <c r="AU37" s="4051"/>
      <c r="AV37" s="1898" t="str">
        <f t="shared" si="2"/>
        <v/>
      </c>
      <c r="CA37" s="1899" t="str">
        <f t="shared" si="3"/>
        <v/>
      </c>
      <c r="CB37" s="1899" t="str">
        <f t="shared" si="4"/>
        <v/>
      </c>
      <c r="CC37" s="1899" t="str">
        <f t="shared" si="5"/>
        <v/>
      </c>
      <c r="CD37" s="1899" t="str">
        <f t="shared" si="6"/>
        <v/>
      </c>
      <c r="CE37" s="1899" t="str">
        <f t="shared" si="7"/>
        <v/>
      </c>
      <c r="CF37" s="1900"/>
      <c r="CG37" s="1899" t="str">
        <f t="shared" si="8"/>
        <v/>
      </c>
      <c r="CH37" s="1899" t="str">
        <f t="shared" si="9"/>
        <v/>
      </c>
      <c r="CI37" s="1970"/>
      <c r="CJ37" s="1901">
        <f t="shared" si="10"/>
        <v>0</v>
      </c>
      <c r="CK37" s="1901">
        <f t="shared" si="11"/>
        <v>0</v>
      </c>
      <c r="CL37" s="1901">
        <f t="shared" si="12"/>
        <v>0</v>
      </c>
      <c r="CM37" s="1901">
        <f t="shared" si="13"/>
        <v>0</v>
      </c>
      <c r="CN37" s="1901">
        <f t="shared" si="13"/>
        <v>0</v>
      </c>
      <c r="CO37" s="1902"/>
      <c r="CP37" s="1901">
        <f t="shared" si="14"/>
        <v>0</v>
      </c>
      <c r="CQ37" s="1901">
        <f t="shared" si="14"/>
        <v>0</v>
      </c>
    </row>
    <row r="38" spans="1:95" x14ac:dyDescent="0.3">
      <c r="A38" s="5790"/>
      <c r="B38" s="4176" t="s">
        <v>105</v>
      </c>
      <c r="C38" s="3991">
        <f t="shared" si="0"/>
        <v>0</v>
      </c>
      <c r="D38" s="4061">
        <f t="shared" si="30"/>
        <v>0</v>
      </c>
      <c r="E38" s="4177">
        <f t="shared" si="30"/>
        <v>0</v>
      </c>
      <c r="F38" s="1924"/>
      <c r="G38" s="4186"/>
      <c r="H38" s="3996"/>
      <c r="I38" s="330"/>
      <c r="J38" s="3996"/>
      <c r="K38" s="2003"/>
      <c r="L38" s="3996"/>
      <c r="M38" s="2003"/>
      <c r="N38" s="3996"/>
      <c r="O38" s="2003"/>
      <c r="P38" s="3996"/>
      <c r="Q38" s="2003"/>
      <c r="R38" s="3996"/>
      <c r="S38" s="2003"/>
      <c r="T38" s="3996"/>
      <c r="U38" s="2003"/>
      <c r="V38" s="3996"/>
      <c r="W38" s="2003"/>
      <c r="X38" s="3996"/>
      <c r="Y38" s="2003"/>
      <c r="Z38" s="3996"/>
      <c r="AA38" s="2003"/>
      <c r="AB38" s="3996"/>
      <c r="AC38" s="2003"/>
      <c r="AD38" s="3996"/>
      <c r="AE38" s="2003"/>
      <c r="AF38" s="3996"/>
      <c r="AG38" s="2003"/>
      <c r="AH38" s="3996"/>
      <c r="AI38" s="2003"/>
      <c r="AJ38" s="3996"/>
      <c r="AK38" s="2003"/>
      <c r="AL38" s="4178"/>
      <c r="AM38" s="332"/>
      <c r="AN38" s="4179"/>
      <c r="AO38" s="3987"/>
      <c r="AP38" s="330"/>
      <c r="AQ38" s="4051"/>
      <c r="AR38" s="4051"/>
      <c r="AS38" s="4180"/>
      <c r="AT38" s="4051"/>
      <c r="AU38" s="4051"/>
      <c r="AV38" s="1898" t="str">
        <f t="shared" si="2"/>
        <v/>
      </c>
      <c r="CA38" s="1899" t="str">
        <f t="shared" si="3"/>
        <v/>
      </c>
      <c r="CB38" s="1899" t="str">
        <f t="shared" si="4"/>
        <v/>
      </c>
      <c r="CC38" s="1899" t="str">
        <f t="shared" si="5"/>
        <v/>
      </c>
      <c r="CD38" s="1899" t="str">
        <f t="shared" si="6"/>
        <v/>
      </c>
      <c r="CE38" s="1899" t="str">
        <f t="shared" si="7"/>
        <v/>
      </c>
      <c r="CF38" s="1900"/>
      <c r="CG38" s="1899" t="str">
        <f t="shared" si="8"/>
        <v/>
      </c>
      <c r="CH38" s="1899" t="str">
        <f t="shared" si="9"/>
        <v/>
      </c>
      <c r="CI38" s="1970"/>
      <c r="CJ38" s="1901">
        <f t="shared" si="10"/>
        <v>0</v>
      </c>
      <c r="CK38" s="1901">
        <f t="shared" si="11"/>
        <v>0</v>
      </c>
      <c r="CL38" s="1901">
        <f t="shared" si="12"/>
        <v>0</v>
      </c>
      <c r="CM38" s="1901">
        <f t="shared" si="13"/>
        <v>0</v>
      </c>
      <c r="CN38" s="1901">
        <f t="shared" si="13"/>
        <v>0</v>
      </c>
      <c r="CO38" s="1902"/>
      <c r="CP38" s="1901">
        <f t="shared" si="14"/>
        <v>0</v>
      </c>
      <c r="CQ38" s="1901">
        <f t="shared" si="14"/>
        <v>0</v>
      </c>
    </row>
    <row r="39" spans="1:95" x14ac:dyDescent="0.3">
      <c r="A39" s="5790"/>
      <c r="B39" s="4176" t="s">
        <v>2067</v>
      </c>
      <c r="C39" s="3991">
        <f t="shared" si="0"/>
        <v>0</v>
      </c>
      <c r="D39" s="4061">
        <f t="shared" si="30"/>
        <v>0</v>
      </c>
      <c r="E39" s="4177">
        <f t="shared" si="30"/>
        <v>0</v>
      </c>
      <c r="F39" s="1924"/>
      <c r="G39" s="4186"/>
      <c r="H39" s="3996"/>
      <c r="I39" s="330"/>
      <c r="J39" s="3996"/>
      <c r="K39" s="2003"/>
      <c r="L39" s="3996"/>
      <c r="M39" s="2003"/>
      <c r="N39" s="3996"/>
      <c r="O39" s="2003"/>
      <c r="P39" s="3996"/>
      <c r="Q39" s="2003"/>
      <c r="R39" s="3996"/>
      <c r="S39" s="2003"/>
      <c r="T39" s="3996"/>
      <c r="U39" s="2003"/>
      <c r="V39" s="3996"/>
      <c r="W39" s="2003"/>
      <c r="X39" s="3996"/>
      <c r="Y39" s="2003"/>
      <c r="Z39" s="3996"/>
      <c r="AA39" s="2003"/>
      <c r="AB39" s="3996"/>
      <c r="AC39" s="2003"/>
      <c r="AD39" s="3996"/>
      <c r="AE39" s="2003"/>
      <c r="AF39" s="3996"/>
      <c r="AG39" s="2003"/>
      <c r="AH39" s="3996"/>
      <c r="AI39" s="2003"/>
      <c r="AJ39" s="3996"/>
      <c r="AK39" s="2003"/>
      <c r="AL39" s="4178"/>
      <c r="AM39" s="332"/>
      <c r="AN39" s="4179"/>
      <c r="AO39" s="3987"/>
      <c r="AP39" s="330"/>
      <c r="AQ39" s="4051"/>
      <c r="AR39" s="4051"/>
      <c r="AS39" s="4180"/>
      <c r="AT39" s="4051"/>
      <c r="AU39" s="4051"/>
      <c r="AV39" s="1898" t="str">
        <f t="shared" si="2"/>
        <v/>
      </c>
      <c r="CA39" s="1899" t="str">
        <f t="shared" si="3"/>
        <v/>
      </c>
      <c r="CB39" s="1899" t="str">
        <f t="shared" si="4"/>
        <v/>
      </c>
      <c r="CC39" s="1899" t="str">
        <f t="shared" si="5"/>
        <v/>
      </c>
      <c r="CD39" s="1899" t="str">
        <f t="shared" si="6"/>
        <v/>
      </c>
      <c r="CE39" s="1899" t="str">
        <f t="shared" si="7"/>
        <v/>
      </c>
      <c r="CF39" s="1900"/>
      <c r="CG39" s="1899" t="str">
        <f t="shared" si="8"/>
        <v/>
      </c>
      <c r="CH39" s="1899" t="str">
        <f t="shared" si="9"/>
        <v/>
      </c>
      <c r="CI39" s="1970"/>
      <c r="CJ39" s="1901">
        <f t="shared" si="10"/>
        <v>0</v>
      </c>
      <c r="CK39" s="1901">
        <f t="shared" si="11"/>
        <v>0</v>
      </c>
      <c r="CL39" s="1901">
        <f t="shared" si="12"/>
        <v>0</v>
      </c>
      <c r="CM39" s="1901">
        <f t="shared" si="13"/>
        <v>0</v>
      </c>
      <c r="CN39" s="1901">
        <f t="shared" si="13"/>
        <v>0</v>
      </c>
      <c r="CO39" s="1902"/>
      <c r="CP39" s="1901">
        <f t="shared" si="14"/>
        <v>0</v>
      </c>
      <c r="CQ39" s="1901">
        <f t="shared" si="14"/>
        <v>0</v>
      </c>
    </row>
    <row r="40" spans="1:95" x14ac:dyDescent="0.3">
      <c r="A40" s="5790"/>
      <c r="B40" s="4176" t="s">
        <v>2068</v>
      </c>
      <c r="C40" s="3991">
        <f t="shared" si="0"/>
        <v>0</v>
      </c>
      <c r="D40" s="4061">
        <f t="shared" si="30"/>
        <v>0</v>
      </c>
      <c r="E40" s="4177">
        <f t="shared" si="30"/>
        <v>0</v>
      </c>
      <c r="F40" s="1924"/>
      <c r="G40" s="4186"/>
      <c r="H40" s="3996"/>
      <c r="I40" s="330"/>
      <c r="J40" s="3996"/>
      <c r="K40" s="2003"/>
      <c r="L40" s="3996"/>
      <c r="M40" s="2003"/>
      <c r="N40" s="3996"/>
      <c r="O40" s="2003"/>
      <c r="P40" s="3996"/>
      <c r="Q40" s="2003"/>
      <c r="R40" s="3996"/>
      <c r="S40" s="2003"/>
      <c r="T40" s="3996"/>
      <c r="U40" s="2003"/>
      <c r="V40" s="3996"/>
      <c r="W40" s="2003"/>
      <c r="X40" s="3996"/>
      <c r="Y40" s="2003"/>
      <c r="Z40" s="3996"/>
      <c r="AA40" s="2003"/>
      <c r="AB40" s="3996"/>
      <c r="AC40" s="2003"/>
      <c r="AD40" s="3996"/>
      <c r="AE40" s="2003"/>
      <c r="AF40" s="3996"/>
      <c r="AG40" s="2003"/>
      <c r="AH40" s="3996"/>
      <c r="AI40" s="2003"/>
      <c r="AJ40" s="3996"/>
      <c r="AK40" s="2003"/>
      <c r="AL40" s="4178"/>
      <c r="AM40" s="332"/>
      <c r="AN40" s="4179"/>
      <c r="AO40" s="3987"/>
      <c r="AP40" s="330"/>
      <c r="AQ40" s="4051"/>
      <c r="AR40" s="4051"/>
      <c r="AS40" s="4180"/>
      <c r="AT40" s="4051"/>
      <c r="AU40" s="4051"/>
      <c r="AV40" s="1898" t="str">
        <f t="shared" si="2"/>
        <v/>
      </c>
      <c r="CA40" s="1899" t="str">
        <f t="shared" si="3"/>
        <v/>
      </c>
      <c r="CB40" s="1899" t="str">
        <f t="shared" si="4"/>
        <v/>
      </c>
      <c r="CC40" s="1899" t="str">
        <f t="shared" si="5"/>
        <v/>
      </c>
      <c r="CD40" s="1899" t="str">
        <f t="shared" si="6"/>
        <v/>
      </c>
      <c r="CE40" s="1899" t="str">
        <f t="shared" si="7"/>
        <v/>
      </c>
      <c r="CF40" s="1900"/>
      <c r="CG40" s="1899" t="str">
        <f t="shared" si="8"/>
        <v/>
      </c>
      <c r="CH40" s="1899" t="str">
        <f t="shared" si="9"/>
        <v/>
      </c>
      <c r="CI40" s="1970"/>
      <c r="CJ40" s="1901">
        <f t="shared" si="10"/>
        <v>0</v>
      </c>
      <c r="CK40" s="1901">
        <f t="shared" si="11"/>
        <v>0</v>
      </c>
      <c r="CL40" s="1901">
        <f t="shared" si="12"/>
        <v>0</v>
      </c>
      <c r="CM40" s="1901">
        <f t="shared" si="13"/>
        <v>0</v>
      </c>
      <c r="CN40" s="1901">
        <f t="shared" si="13"/>
        <v>0</v>
      </c>
      <c r="CO40" s="1902"/>
      <c r="CP40" s="1901">
        <f t="shared" si="14"/>
        <v>0</v>
      </c>
      <c r="CQ40" s="1901">
        <f t="shared" si="14"/>
        <v>0</v>
      </c>
    </row>
    <row r="41" spans="1:95" x14ac:dyDescent="0.3">
      <c r="A41" s="5790"/>
      <c r="B41" s="4176" t="s">
        <v>1406</v>
      </c>
      <c r="C41" s="3991">
        <f t="shared" si="0"/>
        <v>0</v>
      </c>
      <c r="D41" s="4061">
        <f t="shared" si="30"/>
        <v>0</v>
      </c>
      <c r="E41" s="4177">
        <f t="shared" si="30"/>
        <v>0</v>
      </c>
      <c r="F41" s="1924"/>
      <c r="G41" s="4186"/>
      <c r="H41" s="3996"/>
      <c r="I41" s="330"/>
      <c r="J41" s="3996"/>
      <c r="K41" s="2003"/>
      <c r="L41" s="3996"/>
      <c r="M41" s="2003"/>
      <c r="N41" s="3996"/>
      <c r="O41" s="2003"/>
      <c r="P41" s="3996"/>
      <c r="Q41" s="2003"/>
      <c r="R41" s="3996"/>
      <c r="S41" s="2003"/>
      <c r="T41" s="3996"/>
      <c r="U41" s="2003"/>
      <c r="V41" s="3996"/>
      <c r="W41" s="2003"/>
      <c r="X41" s="3996"/>
      <c r="Y41" s="2003"/>
      <c r="Z41" s="3996"/>
      <c r="AA41" s="2003"/>
      <c r="AB41" s="3996"/>
      <c r="AC41" s="2003"/>
      <c r="AD41" s="3996"/>
      <c r="AE41" s="2003"/>
      <c r="AF41" s="3996"/>
      <c r="AG41" s="2003"/>
      <c r="AH41" s="3996"/>
      <c r="AI41" s="2003"/>
      <c r="AJ41" s="3996"/>
      <c r="AK41" s="2003"/>
      <c r="AL41" s="4178"/>
      <c r="AM41" s="332"/>
      <c r="AN41" s="4179"/>
      <c r="AO41" s="3987"/>
      <c r="AP41" s="330"/>
      <c r="AQ41" s="4051"/>
      <c r="AR41" s="4051"/>
      <c r="AS41" s="4180"/>
      <c r="AT41" s="4051"/>
      <c r="AU41" s="4051"/>
      <c r="AV41" s="1898" t="str">
        <f t="shared" si="2"/>
        <v/>
      </c>
      <c r="CA41" s="1899" t="str">
        <f t="shared" si="3"/>
        <v/>
      </c>
      <c r="CB41" s="1899" t="str">
        <f t="shared" si="4"/>
        <v/>
      </c>
      <c r="CC41" s="1899" t="str">
        <f t="shared" si="5"/>
        <v/>
      </c>
      <c r="CD41" s="1899" t="str">
        <f t="shared" si="6"/>
        <v/>
      </c>
      <c r="CE41" s="1899" t="str">
        <f t="shared" si="7"/>
        <v/>
      </c>
      <c r="CF41" s="1900"/>
      <c r="CG41" s="1899" t="str">
        <f t="shared" si="8"/>
        <v/>
      </c>
      <c r="CH41" s="1899" t="str">
        <f t="shared" si="9"/>
        <v/>
      </c>
      <c r="CI41" s="1970"/>
      <c r="CJ41" s="1901">
        <f t="shared" si="10"/>
        <v>0</v>
      </c>
      <c r="CK41" s="1901">
        <f t="shared" si="11"/>
        <v>0</v>
      </c>
      <c r="CL41" s="1901">
        <f t="shared" si="12"/>
        <v>0</v>
      </c>
      <c r="CM41" s="1901">
        <f t="shared" si="13"/>
        <v>0</v>
      </c>
      <c r="CN41" s="1901">
        <f t="shared" si="13"/>
        <v>0</v>
      </c>
      <c r="CO41" s="1902"/>
      <c r="CP41" s="1901">
        <f t="shared" si="14"/>
        <v>0</v>
      </c>
      <c r="CQ41" s="1901">
        <f t="shared" si="14"/>
        <v>0</v>
      </c>
    </row>
    <row r="42" spans="1:95" x14ac:dyDescent="0.3">
      <c r="A42" s="5790"/>
      <c r="B42" s="4181" t="s">
        <v>2063</v>
      </c>
      <c r="C42" s="3919">
        <f t="shared" si="0"/>
        <v>0</v>
      </c>
      <c r="D42" s="4072">
        <f t="shared" si="30"/>
        <v>0</v>
      </c>
      <c r="E42" s="3401">
        <f t="shared" si="30"/>
        <v>0</v>
      </c>
      <c r="F42" s="1924"/>
      <c r="G42" s="4186"/>
      <c r="H42" s="212"/>
      <c r="I42" s="34"/>
      <c r="J42" s="212"/>
      <c r="K42" s="1161"/>
      <c r="L42" s="212"/>
      <c r="M42" s="1161"/>
      <c r="N42" s="212"/>
      <c r="O42" s="1161"/>
      <c r="P42" s="212"/>
      <c r="Q42" s="1161"/>
      <c r="R42" s="212"/>
      <c r="S42" s="1161"/>
      <c r="T42" s="212"/>
      <c r="U42" s="1161"/>
      <c r="V42" s="212"/>
      <c r="W42" s="1161"/>
      <c r="X42" s="212"/>
      <c r="Y42" s="1161"/>
      <c r="Z42" s="212"/>
      <c r="AA42" s="1161"/>
      <c r="AB42" s="212"/>
      <c r="AC42" s="1161"/>
      <c r="AD42" s="212"/>
      <c r="AE42" s="1161"/>
      <c r="AF42" s="212"/>
      <c r="AG42" s="1161"/>
      <c r="AH42" s="212"/>
      <c r="AI42" s="1161"/>
      <c r="AJ42" s="212"/>
      <c r="AK42" s="1161"/>
      <c r="AL42" s="2244"/>
      <c r="AM42" s="2444"/>
      <c r="AN42" s="4179"/>
      <c r="AO42" s="1162"/>
      <c r="AP42" s="330"/>
      <c r="AQ42" s="4051"/>
      <c r="AR42" s="4051"/>
      <c r="AS42" s="4180"/>
      <c r="AT42" s="4051"/>
      <c r="AU42" s="4051"/>
      <c r="AV42" s="1898" t="str">
        <f t="shared" si="2"/>
        <v/>
      </c>
      <c r="CA42" s="1899" t="str">
        <f t="shared" si="3"/>
        <v/>
      </c>
      <c r="CB42" s="1899" t="str">
        <f t="shared" si="4"/>
        <v/>
      </c>
      <c r="CC42" s="1899" t="str">
        <f t="shared" si="5"/>
        <v/>
      </c>
      <c r="CD42" s="1899" t="str">
        <f t="shared" si="6"/>
        <v/>
      </c>
      <c r="CE42" s="1899" t="str">
        <f t="shared" si="7"/>
        <v/>
      </c>
      <c r="CF42" s="1900"/>
      <c r="CG42" s="1899" t="str">
        <f t="shared" si="8"/>
        <v/>
      </c>
      <c r="CH42" s="1899" t="str">
        <f t="shared" si="9"/>
        <v/>
      </c>
      <c r="CI42" s="1970"/>
      <c r="CJ42" s="1901">
        <f t="shared" si="10"/>
        <v>0</v>
      </c>
      <c r="CK42" s="1901">
        <f t="shared" si="11"/>
        <v>0</v>
      </c>
      <c r="CL42" s="1901">
        <f t="shared" si="12"/>
        <v>0</v>
      </c>
      <c r="CM42" s="1901">
        <f t="shared" si="13"/>
        <v>0</v>
      </c>
      <c r="CN42" s="1901">
        <f t="shared" si="13"/>
        <v>0</v>
      </c>
      <c r="CO42" s="1902"/>
      <c r="CP42" s="1901">
        <f t="shared" si="14"/>
        <v>0</v>
      </c>
      <c r="CQ42" s="1901">
        <f t="shared" si="14"/>
        <v>0</v>
      </c>
    </row>
    <row r="43" spans="1:95" x14ac:dyDescent="0.3">
      <c r="A43" s="5790"/>
      <c r="B43" s="4176" t="s">
        <v>2064</v>
      </c>
      <c r="C43" s="3991">
        <f t="shared" si="0"/>
        <v>0</v>
      </c>
      <c r="D43" s="4061">
        <f t="shared" si="30"/>
        <v>0</v>
      </c>
      <c r="E43" s="4177">
        <f t="shared" si="30"/>
        <v>0</v>
      </c>
      <c r="F43" s="1924"/>
      <c r="G43" s="2002"/>
      <c r="H43" s="3996"/>
      <c r="I43" s="330"/>
      <c r="J43" s="3996"/>
      <c r="K43" s="2003"/>
      <c r="L43" s="3996"/>
      <c r="M43" s="2003"/>
      <c r="N43" s="3996"/>
      <c r="O43" s="2003"/>
      <c r="P43" s="3996"/>
      <c r="Q43" s="2003"/>
      <c r="R43" s="3996"/>
      <c r="S43" s="2003"/>
      <c r="T43" s="3996"/>
      <c r="U43" s="2003"/>
      <c r="V43" s="3996"/>
      <c r="W43" s="2003"/>
      <c r="X43" s="3996"/>
      <c r="Y43" s="2003"/>
      <c r="Z43" s="3996"/>
      <c r="AA43" s="2003"/>
      <c r="AB43" s="3996"/>
      <c r="AC43" s="2003"/>
      <c r="AD43" s="3996"/>
      <c r="AE43" s="2003"/>
      <c r="AF43" s="3996"/>
      <c r="AG43" s="2003"/>
      <c r="AH43" s="3996"/>
      <c r="AI43" s="2003"/>
      <c r="AJ43" s="3996"/>
      <c r="AK43" s="2003"/>
      <c r="AL43" s="4178"/>
      <c r="AM43" s="332"/>
      <c r="AN43" s="4179"/>
      <c r="AO43" s="3987"/>
      <c r="AP43" s="330"/>
      <c r="AQ43" s="4051"/>
      <c r="AR43" s="4051"/>
      <c r="AS43" s="4180"/>
      <c r="AT43" s="4051"/>
      <c r="AU43" s="4051"/>
      <c r="AV43" s="1898" t="str">
        <f t="shared" si="2"/>
        <v/>
      </c>
      <c r="CA43" s="1899" t="str">
        <f t="shared" si="3"/>
        <v/>
      </c>
      <c r="CB43" s="1899" t="str">
        <f t="shared" si="4"/>
        <v/>
      </c>
      <c r="CC43" s="1899" t="str">
        <f t="shared" si="5"/>
        <v/>
      </c>
      <c r="CD43" s="1899" t="str">
        <f t="shared" si="6"/>
        <v/>
      </c>
      <c r="CE43" s="1899" t="str">
        <f t="shared" si="7"/>
        <v/>
      </c>
      <c r="CF43" s="1900"/>
      <c r="CG43" s="1899" t="str">
        <f t="shared" si="8"/>
        <v/>
      </c>
      <c r="CH43" s="1899" t="str">
        <f t="shared" si="9"/>
        <v/>
      </c>
      <c r="CI43" s="1970"/>
      <c r="CJ43" s="1901">
        <f t="shared" si="10"/>
        <v>0</v>
      </c>
      <c r="CK43" s="1901">
        <f t="shared" si="11"/>
        <v>0</v>
      </c>
      <c r="CL43" s="1901">
        <f t="shared" si="12"/>
        <v>0</v>
      </c>
      <c r="CM43" s="1901">
        <f t="shared" si="13"/>
        <v>0</v>
      </c>
      <c r="CN43" s="1901">
        <f t="shared" si="13"/>
        <v>0</v>
      </c>
      <c r="CO43" s="1902"/>
      <c r="CP43" s="1901">
        <f t="shared" si="14"/>
        <v>0</v>
      </c>
      <c r="CQ43" s="1901">
        <f t="shared" si="14"/>
        <v>0</v>
      </c>
    </row>
    <row r="44" spans="1:95" x14ac:dyDescent="0.3">
      <c r="A44" s="5790"/>
      <c r="B44" s="24" t="s">
        <v>2065</v>
      </c>
      <c r="C44" s="3991">
        <f t="shared" si="0"/>
        <v>0</v>
      </c>
      <c r="D44" s="4061">
        <f t="shared" si="30"/>
        <v>0</v>
      </c>
      <c r="E44" s="4182">
        <f t="shared" si="30"/>
        <v>0</v>
      </c>
      <c r="F44" s="1924"/>
      <c r="G44" s="1012"/>
      <c r="H44" s="327"/>
      <c r="I44" s="142"/>
      <c r="J44" s="327"/>
      <c r="K44" s="905"/>
      <c r="L44" s="327"/>
      <c r="M44" s="905"/>
      <c r="N44" s="327"/>
      <c r="O44" s="905"/>
      <c r="P44" s="327"/>
      <c r="Q44" s="905"/>
      <c r="R44" s="3996"/>
      <c r="S44" s="2003"/>
      <c r="T44" s="3996"/>
      <c r="U44" s="2003"/>
      <c r="V44" s="3996"/>
      <c r="W44" s="2003"/>
      <c r="X44" s="3996"/>
      <c r="Y44" s="2003"/>
      <c r="Z44" s="3996"/>
      <c r="AA44" s="2003"/>
      <c r="AB44" s="3996"/>
      <c r="AC44" s="2003"/>
      <c r="AD44" s="3996"/>
      <c r="AE44" s="2003"/>
      <c r="AF44" s="3996"/>
      <c r="AG44" s="2003"/>
      <c r="AH44" s="3996"/>
      <c r="AI44" s="2003"/>
      <c r="AJ44" s="3996"/>
      <c r="AK44" s="2003"/>
      <c r="AL44" s="4178"/>
      <c r="AM44" s="332"/>
      <c r="AN44" s="4179"/>
      <c r="AO44" s="3987"/>
      <c r="AP44" s="330"/>
      <c r="AQ44" s="4051"/>
      <c r="AR44" s="4051"/>
      <c r="AS44" s="4180"/>
      <c r="AT44" s="4051"/>
      <c r="AU44" s="4051"/>
      <c r="AV44" s="1898" t="str">
        <f t="shared" si="2"/>
        <v/>
      </c>
      <c r="CA44" s="1899" t="str">
        <f t="shared" si="3"/>
        <v/>
      </c>
      <c r="CB44" s="1899" t="str">
        <f t="shared" si="4"/>
        <v/>
      </c>
      <c r="CC44" s="1899" t="str">
        <f t="shared" si="5"/>
        <v/>
      </c>
      <c r="CD44" s="1899" t="str">
        <f t="shared" si="6"/>
        <v/>
      </c>
      <c r="CE44" s="1899" t="str">
        <f t="shared" si="7"/>
        <v/>
      </c>
      <c r="CF44" s="1900"/>
      <c r="CG44" s="1899" t="str">
        <f t="shared" si="8"/>
        <v/>
      </c>
      <c r="CH44" s="1899" t="str">
        <f t="shared" si="9"/>
        <v/>
      </c>
      <c r="CI44" s="1970"/>
      <c r="CJ44" s="1901">
        <f t="shared" si="10"/>
        <v>0</v>
      </c>
      <c r="CK44" s="1901">
        <f t="shared" si="11"/>
        <v>0</v>
      </c>
      <c r="CL44" s="1901">
        <f t="shared" si="12"/>
        <v>0</v>
      </c>
      <c r="CM44" s="1901">
        <f t="shared" si="13"/>
        <v>0</v>
      </c>
      <c r="CN44" s="1901">
        <f t="shared" si="13"/>
        <v>0</v>
      </c>
      <c r="CO44" s="1902"/>
      <c r="CP44" s="1901">
        <f t="shared" si="14"/>
        <v>0</v>
      </c>
      <c r="CQ44" s="1901">
        <f t="shared" si="14"/>
        <v>0</v>
      </c>
    </row>
    <row r="45" spans="1:95" x14ac:dyDescent="0.3">
      <c r="A45" s="6574"/>
      <c r="B45" s="518" t="s">
        <v>99</v>
      </c>
      <c r="C45" s="638">
        <f t="shared" si="0"/>
        <v>0</v>
      </c>
      <c r="D45" s="4077">
        <f t="shared" si="30"/>
        <v>0</v>
      </c>
      <c r="E45" s="4184">
        <f t="shared" si="30"/>
        <v>0</v>
      </c>
      <c r="F45" s="1905"/>
      <c r="G45" s="4187"/>
      <c r="H45" s="897"/>
      <c r="I45" s="3499"/>
      <c r="J45" s="897"/>
      <c r="K45" s="325"/>
      <c r="L45" s="897"/>
      <c r="M45" s="325"/>
      <c r="N45" s="897"/>
      <c r="O45" s="325"/>
      <c r="P45" s="897"/>
      <c r="Q45" s="325"/>
      <c r="R45" s="897"/>
      <c r="S45" s="325"/>
      <c r="T45" s="897"/>
      <c r="U45" s="325"/>
      <c r="V45" s="897"/>
      <c r="W45" s="325"/>
      <c r="X45" s="897"/>
      <c r="Y45" s="325"/>
      <c r="Z45" s="897"/>
      <c r="AA45" s="325"/>
      <c r="AB45" s="897"/>
      <c r="AC45" s="325"/>
      <c r="AD45" s="897"/>
      <c r="AE45" s="325"/>
      <c r="AF45" s="897"/>
      <c r="AG45" s="325"/>
      <c r="AH45" s="897"/>
      <c r="AI45" s="325"/>
      <c r="AJ45" s="897"/>
      <c r="AK45" s="325"/>
      <c r="AL45" s="4188"/>
      <c r="AM45" s="326"/>
      <c r="AN45" s="2320"/>
      <c r="AO45" s="4122"/>
      <c r="AP45" s="877"/>
      <c r="AQ45" s="1954"/>
      <c r="AR45" s="1954"/>
      <c r="AS45" s="1915"/>
      <c r="AT45" s="1954"/>
      <c r="AU45" s="1954"/>
      <c r="AV45" s="1898" t="str">
        <f t="shared" si="2"/>
        <v/>
      </c>
      <c r="CA45" s="1899" t="str">
        <f t="shared" si="3"/>
        <v/>
      </c>
      <c r="CB45" s="1899" t="str">
        <f t="shared" si="4"/>
        <v/>
      </c>
      <c r="CC45" s="1899" t="str">
        <f t="shared" si="5"/>
        <v/>
      </c>
      <c r="CD45" s="1899" t="str">
        <f t="shared" si="6"/>
        <v/>
      </c>
      <c r="CE45" s="1899" t="str">
        <f t="shared" si="7"/>
        <v/>
      </c>
      <c r="CF45" s="1900"/>
      <c r="CG45" s="1899" t="str">
        <f t="shared" si="8"/>
        <v/>
      </c>
      <c r="CH45" s="1899" t="str">
        <f t="shared" si="9"/>
        <v/>
      </c>
      <c r="CI45" s="1970"/>
      <c r="CJ45" s="1901">
        <f t="shared" si="10"/>
        <v>0</v>
      </c>
      <c r="CK45" s="1901">
        <f t="shared" si="11"/>
        <v>0</v>
      </c>
      <c r="CL45" s="1901">
        <f t="shared" si="12"/>
        <v>0</v>
      </c>
      <c r="CM45" s="1901">
        <f t="shared" si="13"/>
        <v>0</v>
      </c>
      <c r="CN45" s="1901">
        <f t="shared" si="13"/>
        <v>0</v>
      </c>
      <c r="CO45" s="1902"/>
      <c r="CP45" s="1901">
        <f t="shared" si="14"/>
        <v>0</v>
      </c>
      <c r="CQ45" s="1901">
        <f t="shared" si="14"/>
        <v>0</v>
      </c>
    </row>
    <row r="46" spans="1:95" x14ac:dyDescent="0.3">
      <c r="A46" s="6896" t="s">
        <v>2069</v>
      </c>
      <c r="B46" s="3448" t="s">
        <v>64</v>
      </c>
      <c r="C46" s="3308">
        <f t="shared" si="0"/>
        <v>0</v>
      </c>
      <c r="D46" s="4055">
        <f t="shared" si="30"/>
        <v>0</v>
      </c>
      <c r="E46" s="4168">
        <f t="shared" si="30"/>
        <v>0</v>
      </c>
      <c r="F46" s="4033"/>
      <c r="G46" s="4185"/>
      <c r="H46" s="4010"/>
      <c r="I46" s="4169"/>
      <c r="J46" s="4010"/>
      <c r="K46" s="4012"/>
      <c r="L46" s="4010"/>
      <c r="M46" s="4012"/>
      <c r="N46" s="4010"/>
      <c r="O46" s="4012"/>
      <c r="P46" s="4010"/>
      <c r="Q46" s="4012"/>
      <c r="R46" s="4010"/>
      <c r="S46" s="4012"/>
      <c r="T46" s="4010"/>
      <c r="U46" s="4012"/>
      <c r="V46" s="4010"/>
      <c r="W46" s="4012"/>
      <c r="X46" s="4010"/>
      <c r="Y46" s="4012"/>
      <c r="Z46" s="4010"/>
      <c r="AA46" s="4012"/>
      <c r="AB46" s="4010"/>
      <c r="AC46" s="4012"/>
      <c r="AD46" s="4010"/>
      <c r="AE46" s="4012"/>
      <c r="AF46" s="4010"/>
      <c r="AG46" s="4012"/>
      <c r="AH46" s="4010"/>
      <c r="AI46" s="4012"/>
      <c r="AJ46" s="4010"/>
      <c r="AK46" s="4012"/>
      <c r="AL46" s="4170"/>
      <c r="AM46" s="4171"/>
      <c r="AN46" s="2069"/>
      <c r="AO46" s="4173"/>
      <c r="AP46" s="4013"/>
      <c r="AQ46" s="2070"/>
      <c r="AR46" s="2070"/>
      <c r="AS46" s="4189"/>
      <c r="AT46" s="2070"/>
      <c r="AU46" s="2070"/>
      <c r="AV46" s="1898" t="str">
        <f t="shared" si="2"/>
        <v/>
      </c>
      <c r="CA46" s="1899" t="str">
        <f t="shared" si="3"/>
        <v/>
      </c>
      <c r="CB46" s="1899" t="str">
        <f t="shared" si="4"/>
        <v/>
      </c>
      <c r="CC46" s="1899" t="str">
        <f t="shared" si="5"/>
        <v/>
      </c>
      <c r="CD46" s="1899" t="str">
        <f t="shared" si="6"/>
        <v/>
      </c>
      <c r="CE46" s="1899" t="str">
        <f t="shared" si="7"/>
        <v/>
      </c>
      <c r="CF46" s="1900"/>
      <c r="CG46" s="1899" t="str">
        <f t="shared" si="8"/>
        <v/>
      </c>
      <c r="CH46" s="1899" t="str">
        <f t="shared" si="9"/>
        <v/>
      </c>
      <c r="CI46" s="1970"/>
      <c r="CJ46" s="1901">
        <f t="shared" si="10"/>
        <v>0</v>
      </c>
      <c r="CK46" s="1901">
        <f t="shared" si="11"/>
        <v>0</v>
      </c>
      <c r="CL46" s="1901">
        <f t="shared" si="12"/>
        <v>0</v>
      </c>
      <c r="CM46" s="1901">
        <f t="shared" si="13"/>
        <v>0</v>
      </c>
      <c r="CN46" s="1901">
        <f t="shared" si="13"/>
        <v>0</v>
      </c>
      <c r="CO46" s="1902"/>
      <c r="CP46" s="1901">
        <f t="shared" si="14"/>
        <v>0</v>
      </c>
      <c r="CQ46" s="1901">
        <f t="shared" si="14"/>
        <v>0</v>
      </c>
    </row>
    <row r="47" spans="1:95" x14ac:dyDescent="0.3">
      <c r="A47" s="5790"/>
      <c r="B47" s="4176" t="s">
        <v>98</v>
      </c>
      <c r="C47" s="3991">
        <f t="shared" si="0"/>
        <v>0</v>
      </c>
      <c r="D47" s="4061">
        <f>SUM(H47+J47+L47+N47+P47+R47+T47+V47+X47+Z47+AB47+AD47+AF47+AH47+AJ47+AL47)</f>
        <v>0</v>
      </c>
      <c r="E47" s="4177">
        <f t="shared" si="30"/>
        <v>0</v>
      </c>
      <c r="F47" s="1924"/>
      <c r="G47" s="4186"/>
      <c r="H47" s="3996"/>
      <c r="I47" s="330"/>
      <c r="J47" s="3996"/>
      <c r="K47" s="2003"/>
      <c r="L47" s="3996"/>
      <c r="M47" s="2003"/>
      <c r="N47" s="3996"/>
      <c r="O47" s="2003"/>
      <c r="P47" s="3996"/>
      <c r="Q47" s="2003"/>
      <c r="R47" s="3996"/>
      <c r="S47" s="2003"/>
      <c r="T47" s="3996"/>
      <c r="U47" s="2003"/>
      <c r="V47" s="3996"/>
      <c r="W47" s="2003"/>
      <c r="X47" s="3996"/>
      <c r="Y47" s="2003"/>
      <c r="Z47" s="3996"/>
      <c r="AA47" s="2003"/>
      <c r="AB47" s="3996"/>
      <c r="AC47" s="2003"/>
      <c r="AD47" s="3996"/>
      <c r="AE47" s="2003"/>
      <c r="AF47" s="3996"/>
      <c r="AG47" s="2003"/>
      <c r="AH47" s="3996"/>
      <c r="AI47" s="2003"/>
      <c r="AJ47" s="3996"/>
      <c r="AK47" s="2003"/>
      <c r="AL47" s="4178"/>
      <c r="AM47" s="332"/>
      <c r="AN47" s="4179"/>
      <c r="AO47" s="3987"/>
      <c r="AP47" s="330"/>
      <c r="AQ47" s="4051"/>
      <c r="AR47" s="4051"/>
      <c r="AS47" s="4180"/>
      <c r="AT47" s="4051"/>
      <c r="AU47" s="4051"/>
      <c r="AV47" s="1898" t="str">
        <f t="shared" si="2"/>
        <v/>
      </c>
      <c r="CA47" s="1899" t="str">
        <f t="shared" si="3"/>
        <v/>
      </c>
      <c r="CB47" s="1899" t="str">
        <f t="shared" si="4"/>
        <v/>
      </c>
      <c r="CC47" s="1899" t="str">
        <f t="shared" si="5"/>
        <v/>
      </c>
      <c r="CD47" s="1899" t="str">
        <f t="shared" si="6"/>
        <v/>
      </c>
      <c r="CE47" s="1899" t="str">
        <f t="shared" si="7"/>
        <v/>
      </c>
      <c r="CF47" s="1900"/>
      <c r="CG47" s="1899" t="str">
        <f t="shared" si="8"/>
        <v/>
      </c>
      <c r="CH47" s="1899" t="str">
        <f t="shared" si="9"/>
        <v/>
      </c>
      <c r="CI47" s="1970"/>
      <c r="CJ47" s="1901">
        <f t="shared" si="10"/>
        <v>0</v>
      </c>
      <c r="CK47" s="1901">
        <f t="shared" si="11"/>
        <v>0</v>
      </c>
      <c r="CL47" s="1901">
        <f t="shared" si="12"/>
        <v>0</v>
      </c>
      <c r="CM47" s="1901">
        <f t="shared" si="13"/>
        <v>0</v>
      </c>
      <c r="CN47" s="1901">
        <f t="shared" si="13"/>
        <v>0</v>
      </c>
      <c r="CO47" s="1902"/>
      <c r="CP47" s="1901">
        <f t="shared" si="14"/>
        <v>0</v>
      </c>
      <c r="CQ47" s="1901">
        <f t="shared" si="14"/>
        <v>0</v>
      </c>
    </row>
    <row r="48" spans="1:95" x14ac:dyDescent="0.3">
      <c r="A48" s="5790"/>
      <c r="B48" s="4176" t="s">
        <v>65</v>
      </c>
      <c r="C48" s="3991">
        <f t="shared" si="0"/>
        <v>0</v>
      </c>
      <c r="D48" s="4061">
        <f t="shared" si="30"/>
        <v>0</v>
      </c>
      <c r="E48" s="4177">
        <f t="shared" si="30"/>
        <v>0</v>
      </c>
      <c r="F48" s="1924"/>
      <c r="G48" s="4186"/>
      <c r="H48" s="3996"/>
      <c r="I48" s="330"/>
      <c r="J48" s="3996"/>
      <c r="K48" s="2003"/>
      <c r="L48" s="3996"/>
      <c r="M48" s="2003"/>
      <c r="N48" s="3996"/>
      <c r="O48" s="2003"/>
      <c r="P48" s="3996"/>
      <c r="Q48" s="2003"/>
      <c r="R48" s="3996"/>
      <c r="S48" s="2003"/>
      <c r="T48" s="3996"/>
      <c r="U48" s="2003"/>
      <c r="V48" s="3996"/>
      <c r="W48" s="2003"/>
      <c r="X48" s="3996"/>
      <c r="Y48" s="2003"/>
      <c r="Z48" s="3996"/>
      <c r="AA48" s="2003"/>
      <c r="AB48" s="3996"/>
      <c r="AC48" s="2003"/>
      <c r="AD48" s="3996"/>
      <c r="AE48" s="2003"/>
      <c r="AF48" s="3996"/>
      <c r="AG48" s="2003"/>
      <c r="AH48" s="3996"/>
      <c r="AI48" s="2003"/>
      <c r="AJ48" s="3996"/>
      <c r="AK48" s="2003"/>
      <c r="AL48" s="4178"/>
      <c r="AM48" s="332"/>
      <c r="AN48" s="4179"/>
      <c r="AO48" s="3987"/>
      <c r="AP48" s="330"/>
      <c r="AQ48" s="4051"/>
      <c r="AR48" s="4051"/>
      <c r="AS48" s="4180"/>
      <c r="AT48" s="4051"/>
      <c r="AU48" s="4051"/>
      <c r="AV48" s="1898" t="str">
        <f t="shared" si="2"/>
        <v/>
      </c>
      <c r="CA48" s="1899" t="str">
        <f t="shared" si="3"/>
        <v/>
      </c>
      <c r="CB48" s="1899" t="str">
        <f t="shared" si="4"/>
        <v/>
      </c>
      <c r="CC48" s="1899" t="str">
        <f t="shared" si="5"/>
        <v/>
      </c>
      <c r="CD48" s="1899" t="str">
        <f t="shared" si="6"/>
        <v/>
      </c>
      <c r="CE48" s="1899" t="str">
        <f t="shared" si="7"/>
        <v/>
      </c>
      <c r="CF48" s="1900"/>
      <c r="CG48" s="1899" t="str">
        <f t="shared" si="8"/>
        <v/>
      </c>
      <c r="CH48" s="1899" t="str">
        <f t="shared" si="9"/>
        <v/>
      </c>
      <c r="CI48" s="1970"/>
      <c r="CJ48" s="1901">
        <f t="shared" si="10"/>
        <v>0</v>
      </c>
      <c r="CK48" s="1901">
        <f t="shared" si="11"/>
        <v>0</v>
      </c>
      <c r="CL48" s="1901">
        <f t="shared" si="12"/>
        <v>0</v>
      </c>
      <c r="CM48" s="1901">
        <f t="shared" si="13"/>
        <v>0</v>
      </c>
      <c r="CN48" s="1901">
        <f t="shared" si="13"/>
        <v>0</v>
      </c>
      <c r="CO48" s="1902"/>
      <c r="CP48" s="1901">
        <f t="shared" si="14"/>
        <v>0</v>
      </c>
      <c r="CQ48" s="1901">
        <f t="shared" si="14"/>
        <v>0</v>
      </c>
    </row>
    <row r="49" spans="1:95" x14ac:dyDescent="0.3">
      <c r="A49" s="5790"/>
      <c r="B49" s="4176" t="s">
        <v>105</v>
      </c>
      <c r="C49" s="3991">
        <f t="shared" si="0"/>
        <v>0</v>
      </c>
      <c r="D49" s="4061">
        <f t="shared" si="30"/>
        <v>0</v>
      </c>
      <c r="E49" s="4177">
        <f t="shared" si="30"/>
        <v>0</v>
      </c>
      <c r="F49" s="1924"/>
      <c r="G49" s="4186"/>
      <c r="H49" s="3996"/>
      <c r="I49" s="330"/>
      <c r="J49" s="3996"/>
      <c r="K49" s="2003"/>
      <c r="L49" s="3996"/>
      <c r="M49" s="2003"/>
      <c r="N49" s="3996"/>
      <c r="O49" s="2003"/>
      <c r="P49" s="3996"/>
      <c r="Q49" s="2003"/>
      <c r="R49" s="3996"/>
      <c r="S49" s="2003"/>
      <c r="T49" s="3996"/>
      <c r="U49" s="2003"/>
      <c r="V49" s="3996"/>
      <c r="W49" s="2003"/>
      <c r="X49" s="3996"/>
      <c r="Y49" s="2003"/>
      <c r="Z49" s="3996"/>
      <c r="AA49" s="2003"/>
      <c r="AB49" s="3996"/>
      <c r="AC49" s="2003"/>
      <c r="AD49" s="3996"/>
      <c r="AE49" s="2003"/>
      <c r="AF49" s="3996"/>
      <c r="AG49" s="2003"/>
      <c r="AH49" s="3996"/>
      <c r="AI49" s="2003"/>
      <c r="AJ49" s="3996"/>
      <c r="AK49" s="2003"/>
      <c r="AL49" s="4178"/>
      <c r="AM49" s="332"/>
      <c r="AN49" s="4179"/>
      <c r="AO49" s="3987"/>
      <c r="AP49" s="330"/>
      <c r="AQ49" s="4051"/>
      <c r="AR49" s="4051"/>
      <c r="AS49" s="4180"/>
      <c r="AT49" s="4051"/>
      <c r="AU49" s="4051"/>
      <c r="AV49" s="1898" t="str">
        <f t="shared" si="2"/>
        <v/>
      </c>
      <c r="CA49" s="1899" t="str">
        <f t="shared" si="3"/>
        <v/>
      </c>
      <c r="CB49" s="1899" t="str">
        <f t="shared" si="4"/>
        <v/>
      </c>
      <c r="CC49" s="1899" t="str">
        <f t="shared" si="5"/>
        <v/>
      </c>
      <c r="CD49" s="1899" t="str">
        <f t="shared" si="6"/>
        <v/>
      </c>
      <c r="CE49" s="1899" t="str">
        <f t="shared" si="7"/>
        <v/>
      </c>
      <c r="CF49" s="1900"/>
      <c r="CG49" s="1899" t="str">
        <f t="shared" si="8"/>
        <v/>
      </c>
      <c r="CH49" s="1899" t="str">
        <f t="shared" si="9"/>
        <v/>
      </c>
      <c r="CI49" s="1970"/>
      <c r="CJ49" s="1901">
        <f t="shared" si="10"/>
        <v>0</v>
      </c>
      <c r="CK49" s="1901">
        <f t="shared" si="11"/>
        <v>0</v>
      </c>
      <c r="CL49" s="1901">
        <f t="shared" si="12"/>
        <v>0</v>
      </c>
      <c r="CM49" s="1901">
        <f t="shared" si="13"/>
        <v>0</v>
      </c>
      <c r="CN49" s="1901">
        <f t="shared" si="13"/>
        <v>0</v>
      </c>
      <c r="CO49" s="1902"/>
      <c r="CP49" s="1901">
        <f t="shared" si="14"/>
        <v>0</v>
      </c>
      <c r="CQ49" s="1901">
        <f t="shared" si="14"/>
        <v>0</v>
      </c>
    </row>
    <row r="50" spans="1:95" x14ac:dyDescent="0.3">
      <c r="A50" s="5790"/>
      <c r="B50" s="4176" t="s">
        <v>2067</v>
      </c>
      <c r="C50" s="3991">
        <f t="shared" si="0"/>
        <v>0</v>
      </c>
      <c r="D50" s="4061">
        <f>SUM(H50+J50+L50+N50+P50+R50+T50+V50+X50+Z50+AB50+AD50+AF50+AH50+AJ50+AL50)</f>
        <v>0</v>
      </c>
      <c r="E50" s="4177">
        <f t="shared" si="30"/>
        <v>0</v>
      </c>
      <c r="F50" s="1924"/>
      <c r="G50" s="4186"/>
      <c r="H50" s="3996"/>
      <c r="I50" s="330"/>
      <c r="J50" s="3996"/>
      <c r="K50" s="2003"/>
      <c r="L50" s="3996"/>
      <c r="M50" s="2003"/>
      <c r="N50" s="3996"/>
      <c r="O50" s="2003"/>
      <c r="P50" s="3996"/>
      <c r="Q50" s="2003"/>
      <c r="R50" s="3996"/>
      <c r="S50" s="2003"/>
      <c r="T50" s="3996"/>
      <c r="U50" s="2003"/>
      <c r="V50" s="3996"/>
      <c r="W50" s="2003"/>
      <c r="X50" s="3996"/>
      <c r="Y50" s="2003"/>
      <c r="Z50" s="3996"/>
      <c r="AA50" s="2003"/>
      <c r="AB50" s="3996"/>
      <c r="AC50" s="2003"/>
      <c r="AD50" s="3996"/>
      <c r="AE50" s="2003"/>
      <c r="AF50" s="3996"/>
      <c r="AG50" s="2003"/>
      <c r="AH50" s="3996"/>
      <c r="AI50" s="2003"/>
      <c r="AJ50" s="3996"/>
      <c r="AK50" s="2003"/>
      <c r="AL50" s="4178"/>
      <c r="AM50" s="332"/>
      <c r="AN50" s="4179"/>
      <c r="AO50" s="3987"/>
      <c r="AP50" s="330"/>
      <c r="AQ50" s="4051"/>
      <c r="AR50" s="4051"/>
      <c r="AS50" s="4180"/>
      <c r="AT50" s="4051"/>
      <c r="AU50" s="4051"/>
      <c r="AV50" s="1898" t="str">
        <f t="shared" si="2"/>
        <v/>
      </c>
      <c r="CA50" s="1899" t="str">
        <f t="shared" si="3"/>
        <v/>
      </c>
      <c r="CB50" s="1899" t="str">
        <f t="shared" si="4"/>
        <v/>
      </c>
      <c r="CC50" s="1899" t="str">
        <f t="shared" si="5"/>
        <v/>
      </c>
      <c r="CD50" s="1899" t="str">
        <f t="shared" si="6"/>
        <v/>
      </c>
      <c r="CE50" s="1899" t="str">
        <f t="shared" si="7"/>
        <v/>
      </c>
      <c r="CF50" s="1900"/>
      <c r="CG50" s="1899" t="str">
        <f t="shared" si="8"/>
        <v/>
      </c>
      <c r="CH50" s="1899" t="str">
        <f t="shared" si="9"/>
        <v/>
      </c>
      <c r="CI50" s="1970"/>
      <c r="CJ50" s="1901">
        <f t="shared" si="10"/>
        <v>0</v>
      </c>
      <c r="CK50" s="1901">
        <f t="shared" si="11"/>
        <v>0</v>
      </c>
      <c r="CL50" s="1901">
        <f t="shared" si="12"/>
        <v>0</v>
      </c>
      <c r="CM50" s="1901">
        <f t="shared" si="13"/>
        <v>0</v>
      </c>
      <c r="CN50" s="1901">
        <f t="shared" si="13"/>
        <v>0</v>
      </c>
      <c r="CO50" s="1902"/>
      <c r="CP50" s="1901">
        <f t="shared" si="14"/>
        <v>0</v>
      </c>
      <c r="CQ50" s="1901">
        <f t="shared" si="14"/>
        <v>0</v>
      </c>
    </row>
    <row r="51" spans="1:95" x14ac:dyDescent="0.3">
      <c r="A51" s="5790"/>
      <c r="B51" s="4176" t="s">
        <v>1034</v>
      </c>
      <c r="C51" s="3991">
        <f t="shared" si="0"/>
        <v>0</v>
      </c>
      <c r="D51" s="4061">
        <f t="shared" si="30"/>
        <v>0</v>
      </c>
      <c r="E51" s="4177">
        <f t="shared" si="30"/>
        <v>0</v>
      </c>
      <c r="F51" s="1924"/>
      <c r="G51" s="4186"/>
      <c r="H51" s="3996"/>
      <c r="I51" s="330"/>
      <c r="J51" s="3996"/>
      <c r="K51" s="2003"/>
      <c r="L51" s="3996"/>
      <c r="M51" s="2003"/>
      <c r="N51" s="3996"/>
      <c r="O51" s="2003"/>
      <c r="P51" s="3996"/>
      <c r="Q51" s="2003"/>
      <c r="R51" s="3996"/>
      <c r="S51" s="2003"/>
      <c r="T51" s="3996"/>
      <c r="U51" s="2003"/>
      <c r="V51" s="3996"/>
      <c r="W51" s="2003"/>
      <c r="X51" s="3996"/>
      <c r="Y51" s="2003"/>
      <c r="Z51" s="3996"/>
      <c r="AA51" s="2003"/>
      <c r="AB51" s="3996"/>
      <c r="AC51" s="2003"/>
      <c r="AD51" s="3996"/>
      <c r="AE51" s="2003"/>
      <c r="AF51" s="3996"/>
      <c r="AG51" s="2003"/>
      <c r="AH51" s="3996"/>
      <c r="AI51" s="2003"/>
      <c r="AJ51" s="3996"/>
      <c r="AK51" s="2003"/>
      <c r="AL51" s="4178"/>
      <c r="AM51" s="332"/>
      <c r="AN51" s="4179"/>
      <c r="AO51" s="3987"/>
      <c r="AP51" s="330"/>
      <c r="AQ51" s="4051"/>
      <c r="AR51" s="4051"/>
      <c r="AS51" s="4180"/>
      <c r="AT51" s="4051"/>
      <c r="AU51" s="4051"/>
      <c r="AV51" s="1898" t="str">
        <f t="shared" si="2"/>
        <v/>
      </c>
      <c r="CA51" s="1899" t="str">
        <f t="shared" si="3"/>
        <v/>
      </c>
      <c r="CB51" s="1899" t="str">
        <f t="shared" si="4"/>
        <v/>
      </c>
      <c r="CC51" s="1899" t="str">
        <f t="shared" si="5"/>
        <v/>
      </c>
      <c r="CD51" s="1899" t="str">
        <f t="shared" si="6"/>
        <v/>
      </c>
      <c r="CE51" s="1899" t="str">
        <f t="shared" si="7"/>
        <v/>
      </c>
      <c r="CF51" s="1900"/>
      <c r="CG51" s="1899" t="str">
        <f t="shared" si="8"/>
        <v/>
      </c>
      <c r="CH51" s="1899" t="str">
        <f t="shared" si="9"/>
        <v/>
      </c>
      <c r="CI51" s="1970"/>
      <c r="CJ51" s="1901">
        <f t="shared" si="10"/>
        <v>0</v>
      </c>
      <c r="CK51" s="1901">
        <f t="shared" si="11"/>
        <v>0</v>
      </c>
      <c r="CL51" s="1901">
        <f t="shared" si="12"/>
        <v>0</v>
      </c>
      <c r="CM51" s="1901">
        <f t="shared" si="13"/>
        <v>0</v>
      </c>
      <c r="CN51" s="1901">
        <f t="shared" si="13"/>
        <v>0</v>
      </c>
      <c r="CO51" s="1902"/>
      <c r="CP51" s="1901">
        <f t="shared" si="14"/>
        <v>0</v>
      </c>
      <c r="CQ51" s="1901">
        <f t="shared" si="14"/>
        <v>0</v>
      </c>
    </row>
    <row r="52" spans="1:95" x14ac:dyDescent="0.3">
      <c r="A52" s="5790"/>
      <c r="B52" s="4176" t="s">
        <v>1406</v>
      </c>
      <c r="C52" s="3991">
        <f t="shared" si="0"/>
        <v>0</v>
      </c>
      <c r="D52" s="4061">
        <f t="shared" ref="D52:E56" si="31">SUM(H52+J52+L52+N52+P52+R52+T52+V52+X52+Z52+AB52+AD52+AF52+AH52+AJ52+AL52)</f>
        <v>0</v>
      </c>
      <c r="E52" s="4177">
        <f t="shared" si="31"/>
        <v>0</v>
      </c>
      <c r="F52" s="1924"/>
      <c r="G52" s="4186"/>
      <c r="H52" s="3996"/>
      <c r="I52" s="330"/>
      <c r="J52" s="3996"/>
      <c r="K52" s="2003"/>
      <c r="L52" s="3996"/>
      <c r="M52" s="2003"/>
      <c r="N52" s="3996"/>
      <c r="O52" s="2003"/>
      <c r="P52" s="3996"/>
      <c r="Q52" s="2003"/>
      <c r="R52" s="3996"/>
      <c r="S52" s="2003"/>
      <c r="T52" s="3996"/>
      <c r="U52" s="2003"/>
      <c r="V52" s="3996"/>
      <c r="W52" s="2003"/>
      <c r="X52" s="3996"/>
      <c r="Y52" s="2003"/>
      <c r="Z52" s="3996"/>
      <c r="AA52" s="2003"/>
      <c r="AB52" s="3996"/>
      <c r="AC52" s="2003"/>
      <c r="AD52" s="3996"/>
      <c r="AE52" s="2003"/>
      <c r="AF52" s="3996"/>
      <c r="AG52" s="2003"/>
      <c r="AH52" s="3996"/>
      <c r="AI52" s="2003"/>
      <c r="AJ52" s="3996"/>
      <c r="AK52" s="2003"/>
      <c r="AL52" s="4178"/>
      <c r="AM52" s="332"/>
      <c r="AN52" s="4179"/>
      <c r="AO52" s="3987"/>
      <c r="AP52" s="330"/>
      <c r="AQ52" s="4051"/>
      <c r="AR52" s="4051"/>
      <c r="AS52" s="4180"/>
      <c r="AT52" s="4051"/>
      <c r="AU52" s="4051"/>
      <c r="AV52" s="1898" t="str">
        <f t="shared" si="2"/>
        <v/>
      </c>
      <c r="CA52" s="1899" t="str">
        <f t="shared" si="3"/>
        <v/>
      </c>
      <c r="CB52" s="1899" t="str">
        <f t="shared" si="4"/>
        <v/>
      </c>
      <c r="CC52" s="1899" t="str">
        <f t="shared" si="5"/>
        <v/>
      </c>
      <c r="CD52" s="1899" t="str">
        <f t="shared" si="6"/>
        <v/>
      </c>
      <c r="CE52" s="1899" t="str">
        <f t="shared" si="7"/>
        <v/>
      </c>
      <c r="CF52" s="1900"/>
      <c r="CG52" s="1899" t="str">
        <f t="shared" si="8"/>
        <v/>
      </c>
      <c r="CH52" s="1899" t="str">
        <f t="shared" si="9"/>
        <v/>
      </c>
      <c r="CI52" s="1970"/>
      <c r="CJ52" s="1901">
        <f t="shared" si="10"/>
        <v>0</v>
      </c>
      <c r="CK52" s="1901">
        <f t="shared" si="11"/>
        <v>0</v>
      </c>
      <c r="CL52" s="1901">
        <f t="shared" si="12"/>
        <v>0</v>
      </c>
      <c r="CM52" s="1901">
        <f t="shared" si="13"/>
        <v>0</v>
      </c>
      <c r="CN52" s="1901">
        <f t="shared" si="13"/>
        <v>0</v>
      </c>
      <c r="CO52" s="1902"/>
      <c r="CP52" s="1901">
        <f t="shared" si="14"/>
        <v>0</v>
      </c>
      <c r="CQ52" s="1901">
        <f t="shared" si="14"/>
        <v>0</v>
      </c>
    </row>
    <row r="53" spans="1:95" x14ac:dyDescent="0.3">
      <c r="A53" s="5790"/>
      <c r="B53" s="4181" t="s">
        <v>2063</v>
      </c>
      <c r="C53" s="3919">
        <f t="shared" si="0"/>
        <v>0</v>
      </c>
      <c r="D53" s="4072">
        <f t="shared" si="31"/>
        <v>0</v>
      </c>
      <c r="E53" s="3401">
        <f t="shared" si="31"/>
        <v>0</v>
      </c>
      <c r="F53" s="1924"/>
      <c r="G53" s="4186"/>
      <c r="H53" s="212"/>
      <c r="I53" s="34"/>
      <c r="J53" s="212"/>
      <c r="K53" s="1161"/>
      <c r="L53" s="212"/>
      <c r="M53" s="1161"/>
      <c r="N53" s="212"/>
      <c r="O53" s="1161"/>
      <c r="P53" s="212"/>
      <c r="Q53" s="1161"/>
      <c r="R53" s="212"/>
      <c r="S53" s="1161"/>
      <c r="T53" s="212"/>
      <c r="U53" s="1161"/>
      <c r="V53" s="212"/>
      <c r="W53" s="1161"/>
      <c r="X53" s="212"/>
      <c r="Y53" s="1161"/>
      <c r="Z53" s="212"/>
      <c r="AA53" s="1161"/>
      <c r="AB53" s="212"/>
      <c r="AC53" s="1161"/>
      <c r="AD53" s="212"/>
      <c r="AE53" s="1161"/>
      <c r="AF53" s="212"/>
      <c r="AG53" s="1161"/>
      <c r="AH53" s="212"/>
      <c r="AI53" s="1161"/>
      <c r="AJ53" s="212"/>
      <c r="AK53" s="1161"/>
      <c r="AL53" s="2244"/>
      <c r="AM53" s="2444"/>
      <c r="AN53" s="4179"/>
      <c r="AO53" s="1162"/>
      <c r="AP53" s="330"/>
      <c r="AQ53" s="4051"/>
      <c r="AR53" s="4051"/>
      <c r="AS53" s="4180"/>
      <c r="AT53" s="4051"/>
      <c r="AU53" s="4051"/>
      <c r="AV53" s="1898" t="str">
        <f t="shared" si="2"/>
        <v/>
      </c>
      <c r="CA53" s="1899" t="str">
        <f t="shared" si="3"/>
        <v/>
      </c>
      <c r="CB53" s="1899" t="str">
        <f t="shared" si="4"/>
        <v/>
      </c>
      <c r="CC53" s="1899" t="str">
        <f t="shared" si="5"/>
        <v/>
      </c>
      <c r="CD53" s="1899" t="str">
        <f t="shared" si="6"/>
        <v/>
      </c>
      <c r="CE53" s="1899" t="str">
        <f t="shared" si="7"/>
        <v/>
      </c>
      <c r="CF53" s="1900"/>
      <c r="CG53" s="1899" t="str">
        <f t="shared" si="8"/>
        <v/>
      </c>
      <c r="CH53" s="1899" t="str">
        <f t="shared" si="9"/>
        <v/>
      </c>
      <c r="CI53" s="1970"/>
      <c r="CJ53" s="1901">
        <f t="shared" si="10"/>
        <v>0</v>
      </c>
      <c r="CK53" s="1901">
        <f t="shared" si="11"/>
        <v>0</v>
      </c>
      <c r="CL53" s="1901">
        <f t="shared" si="12"/>
        <v>0</v>
      </c>
      <c r="CM53" s="1901">
        <f t="shared" si="13"/>
        <v>0</v>
      </c>
      <c r="CN53" s="1901">
        <f t="shared" si="13"/>
        <v>0</v>
      </c>
      <c r="CO53" s="1902"/>
      <c r="CP53" s="1901">
        <f t="shared" si="14"/>
        <v>0</v>
      </c>
      <c r="CQ53" s="1901">
        <f t="shared" si="14"/>
        <v>0</v>
      </c>
    </row>
    <row r="54" spans="1:95" x14ac:dyDescent="0.3">
      <c r="A54" s="5790"/>
      <c r="B54" s="4176" t="s">
        <v>2064</v>
      </c>
      <c r="C54" s="3991">
        <f t="shared" si="0"/>
        <v>0</v>
      </c>
      <c r="D54" s="4061">
        <f t="shared" si="31"/>
        <v>0</v>
      </c>
      <c r="E54" s="4177">
        <f t="shared" si="31"/>
        <v>0</v>
      </c>
      <c r="F54" s="1924"/>
      <c r="G54" s="2002"/>
      <c r="H54" s="3996"/>
      <c r="I54" s="330"/>
      <c r="J54" s="3996"/>
      <c r="K54" s="2003"/>
      <c r="L54" s="3996"/>
      <c r="M54" s="2003"/>
      <c r="N54" s="3996"/>
      <c r="O54" s="2003"/>
      <c r="P54" s="3996"/>
      <c r="Q54" s="2003"/>
      <c r="R54" s="3996"/>
      <c r="S54" s="2003"/>
      <c r="T54" s="3996"/>
      <c r="U54" s="2003"/>
      <c r="V54" s="3996"/>
      <c r="W54" s="2003"/>
      <c r="X54" s="3996"/>
      <c r="Y54" s="2003"/>
      <c r="Z54" s="3996"/>
      <c r="AA54" s="2003"/>
      <c r="AB54" s="3996"/>
      <c r="AC54" s="2003"/>
      <c r="AD54" s="3996"/>
      <c r="AE54" s="2003"/>
      <c r="AF54" s="3996"/>
      <c r="AG54" s="2003"/>
      <c r="AH54" s="3996"/>
      <c r="AI54" s="2003"/>
      <c r="AJ54" s="3996"/>
      <c r="AK54" s="2003"/>
      <c r="AL54" s="4178"/>
      <c r="AM54" s="332"/>
      <c r="AN54" s="4179"/>
      <c r="AO54" s="3987"/>
      <c r="AP54" s="330"/>
      <c r="AQ54" s="4051"/>
      <c r="AR54" s="4051"/>
      <c r="AS54" s="4180"/>
      <c r="AT54" s="4051"/>
      <c r="AU54" s="4051"/>
      <c r="AV54" s="1898" t="str">
        <f t="shared" si="2"/>
        <v/>
      </c>
      <c r="CA54" s="1899" t="str">
        <f t="shared" si="3"/>
        <v/>
      </c>
      <c r="CB54" s="1899" t="str">
        <f t="shared" si="4"/>
        <v/>
      </c>
      <c r="CC54" s="1899" t="str">
        <f t="shared" si="5"/>
        <v/>
      </c>
      <c r="CD54" s="1899" t="str">
        <f t="shared" si="6"/>
        <v/>
      </c>
      <c r="CE54" s="1899" t="str">
        <f t="shared" si="7"/>
        <v/>
      </c>
      <c r="CF54" s="1900"/>
      <c r="CG54" s="1899" t="str">
        <f t="shared" si="8"/>
        <v/>
      </c>
      <c r="CH54" s="1899" t="str">
        <f t="shared" si="9"/>
        <v/>
      </c>
      <c r="CI54" s="1970"/>
      <c r="CJ54" s="1901">
        <f t="shared" si="10"/>
        <v>0</v>
      </c>
      <c r="CK54" s="1901">
        <f t="shared" si="11"/>
        <v>0</v>
      </c>
      <c r="CL54" s="1901">
        <f t="shared" si="12"/>
        <v>0</v>
      </c>
      <c r="CM54" s="1901">
        <f t="shared" si="13"/>
        <v>0</v>
      </c>
      <c r="CN54" s="1901">
        <f t="shared" si="13"/>
        <v>0</v>
      </c>
      <c r="CO54" s="1902"/>
      <c r="CP54" s="1901">
        <f t="shared" si="14"/>
        <v>0</v>
      </c>
      <c r="CQ54" s="1901">
        <f t="shared" si="14"/>
        <v>0</v>
      </c>
    </row>
    <row r="55" spans="1:95" x14ac:dyDescent="0.3">
      <c r="A55" s="5790"/>
      <c r="B55" s="24" t="s">
        <v>2065</v>
      </c>
      <c r="C55" s="3991">
        <f t="shared" si="0"/>
        <v>0</v>
      </c>
      <c r="D55" s="4061">
        <f t="shared" si="31"/>
        <v>0</v>
      </c>
      <c r="E55" s="4182">
        <f t="shared" si="31"/>
        <v>0</v>
      </c>
      <c r="F55" s="1924"/>
      <c r="G55" s="1012"/>
      <c r="H55" s="3996"/>
      <c r="I55" s="330"/>
      <c r="J55" s="3996"/>
      <c r="K55" s="2003"/>
      <c r="L55" s="3996"/>
      <c r="M55" s="2003"/>
      <c r="N55" s="3996"/>
      <c r="O55" s="2003"/>
      <c r="P55" s="3996"/>
      <c r="Q55" s="2003"/>
      <c r="R55" s="3996"/>
      <c r="S55" s="2003"/>
      <c r="T55" s="3996"/>
      <c r="U55" s="2003"/>
      <c r="V55" s="3996"/>
      <c r="W55" s="2003"/>
      <c r="X55" s="3996"/>
      <c r="Y55" s="2003"/>
      <c r="Z55" s="3996"/>
      <c r="AA55" s="2003"/>
      <c r="AB55" s="3996"/>
      <c r="AC55" s="2003"/>
      <c r="AD55" s="3996"/>
      <c r="AE55" s="2003"/>
      <c r="AF55" s="3996"/>
      <c r="AG55" s="2235"/>
      <c r="AH55" s="3996"/>
      <c r="AI55" s="2003"/>
      <c r="AJ55" s="3996"/>
      <c r="AK55" s="2003"/>
      <c r="AL55" s="4178"/>
      <c r="AM55" s="332"/>
      <c r="AN55" s="4179"/>
      <c r="AO55" s="3987"/>
      <c r="AP55" s="330"/>
      <c r="AQ55" s="4051"/>
      <c r="AR55" s="4051"/>
      <c r="AS55" s="4180"/>
      <c r="AT55" s="4051"/>
      <c r="AU55" s="4051"/>
      <c r="AV55" s="1898" t="str">
        <f t="shared" si="2"/>
        <v/>
      </c>
      <c r="CA55" s="1899" t="str">
        <f t="shared" si="3"/>
        <v/>
      </c>
      <c r="CB55" s="1899" t="str">
        <f t="shared" si="4"/>
        <v/>
      </c>
      <c r="CC55" s="1899" t="str">
        <f t="shared" si="5"/>
        <v/>
      </c>
      <c r="CD55" s="1899" t="str">
        <f t="shared" si="6"/>
        <v/>
      </c>
      <c r="CE55" s="1899" t="str">
        <f t="shared" si="7"/>
        <v/>
      </c>
      <c r="CF55" s="1900"/>
      <c r="CG55" s="1899" t="str">
        <f t="shared" si="8"/>
        <v/>
      </c>
      <c r="CH55" s="1899" t="str">
        <f t="shared" si="9"/>
        <v/>
      </c>
      <c r="CI55" s="1970"/>
      <c r="CJ55" s="1901">
        <f t="shared" si="10"/>
        <v>0</v>
      </c>
      <c r="CK55" s="1901">
        <f t="shared" si="11"/>
        <v>0</v>
      </c>
      <c r="CL55" s="1901">
        <f t="shared" si="12"/>
        <v>0</v>
      </c>
      <c r="CM55" s="1901">
        <f t="shared" si="13"/>
        <v>0</v>
      </c>
      <c r="CN55" s="1901">
        <f t="shared" si="13"/>
        <v>0</v>
      </c>
      <c r="CO55" s="1902"/>
      <c r="CP55" s="1901">
        <f t="shared" si="14"/>
        <v>0</v>
      </c>
      <c r="CQ55" s="1901">
        <f t="shared" si="14"/>
        <v>0</v>
      </c>
    </row>
    <row r="56" spans="1:95" x14ac:dyDescent="0.3">
      <c r="A56" s="6574"/>
      <c r="B56" s="518" t="s">
        <v>99</v>
      </c>
      <c r="C56" s="638">
        <f t="shared" si="0"/>
        <v>0</v>
      </c>
      <c r="D56" s="4077">
        <f t="shared" si="31"/>
        <v>0</v>
      </c>
      <c r="E56" s="4184">
        <f t="shared" si="31"/>
        <v>0</v>
      </c>
      <c r="F56" s="1905"/>
      <c r="G56" s="4187"/>
      <c r="H56" s="897"/>
      <c r="I56" s="3499"/>
      <c r="J56" s="897"/>
      <c r="K56" s="325"/>
      <c r="L56" s="897"/>
      <c r="M56" s="325"/>
      <c r="N56" s="897"/>
      <c r="O56" s="325"/>
      <c r="P56" s="897"/>
      <c r="Q56" s="325"/>
      <c r="R56" s="897"/>
      <c r="S56" s="325"/>
      <c r="T56" s="897"/>
      <c r="U56" s="325"/>
      <c r="V56" s="897"/>
      <c r="W56" s="325"/>
      <c r="X56" s="897"/>
      <c r="Y56" s="325"/>
      <c r="Z56" s="897"/>
      <c r="AA56" s="325"/>
      <c r="AB56" s="897"/>
      <c r="AC56" s="325"/>
      <c r="AD56" s="897"/>
      <c r="AE56" s="325"/>
      <c r="AF56" s="897"/>
      <c r="AG56" s="325"/>
      <c r="AH56" s="897"/>
      <c r="AI56" s="325"/>
      <c r="AJ56" s="897"/>
      <c r="AK56" s="325"/>
      <c r="AL56" s="4188"/>
      <c r="AM56" s="326"/>
      <c r="AN56" s="2320"/>
      <c r="AO56" s="4122"/>
      <c r="AP56" s="877"/>
      <c r="AQ56" s="1954"/>
      <c r="AR56" s="1954"/>
      <c r="AS56" s="4180"/>
      <c r="AT56" s="4051"/>
      <c r="AU56" s="4051"/>
      <c r="AV56" s="1898" t="str">
        <f t="shared" si="2"/>
        <v/>
      </c>
      <c r="CA56" s="1899" t="str">
        <f t="shared" si="3"/>
        <v/>
      </c>
      <c r="CB56" s="1899" t="str">
        <f t="shared" si="4"/>
        <v/>
      </c>
      <c r="CC56" s="1899" t="str">
        <f t="shared" si="5"/>
        <v/>
      </c>
      <c r="CD56" s="1899" t="str">
        <f t="shared" si="6"/>
        <v/>
      </c>
      <c r="CE56" s="1899" t="str">
        <f t="shared" si="7"/>
        <v/>
      </c>
      <c r="CF56" s="1900"/>
      <c r="CG56" s="1899" t="str">
        <f t="shared" si="8"/>
        <v/>
      </c>
      <c r="CH56" s="1899" t="str">
        <f t="shared" si="9"/>
        <v/>
      </c>
      <c r="CI56" s="1970"/>
      <c r="CJ56" s="1901">
        <f t="shared" si="10"/>
        <v>0</v>
      </c>
      <c r="CK56" s="1901">
        <f t="shared" si="11"/>
        <v>0</v>
      </c>
      <c r="CL56" s="1901">
        <f t="shared" si="12"/>
        <v>0</v>
      </c>
      <c r="CM56" s="1901">
        <f t="shared" si="13"/>
        <v>0</v>
      </c>
      <c r="CN56" s="1901">
        <f t="shared" si="13"/>
        <v>0</v>
      </c>
      <c r="CO56" s="1902"/>
      <c r="CP56" s="1901">
        <f t="shared" si="14"/>
        <v>0</v>
      </c>
      <c r="CQ56" s="1901">
        <f t="shared" si="14"/>
        <v>0</v>
      </c>
    </row>
    <row r="57" spans="1:95" x14ac:dyDescent="0.3">
      <c r="A57" s="6896" t="s">
        <v>2070</v>
      </c>
      <c r="B57" s="3448" t="s">
        <v>64</v>
      </c>
      <c r="C57" s="3308">
        <f t="shared" si="0"/>
        <v>0</v>
      </c>
      <c r="D57" s="4055">
        <f>SUM(J57+L57+N57+P57+R57+T57+V57+X57+Z57+AB57+AD57+AF57+AH57+AJ57+AL57)</f>
        <v>0</v>
      </c>
      <c r="E57" s="4168">
        <f>SUM(K57+M57+O57+Q57+S57+U57+W57+Y57+AA57+AC57+AE57+AG57+AI57+AK57+AM57)</f>
        <v>0</v>
      </c>
      <c r="F57" s="4033"/>
      <c r="G57" s="4185"/>
      <c r="H57" s="4033"/>
      <c r="I57" s="4185"/>
      <c r="J57" s="4010"/>
      <c r="K57" s="4012"/>
      <c r="L57" s="4010"/>
      <c r="M57" s="4012"/>
      <c r="N57" s="4010"/>
      <c r="O57" s="4012"/>
      <c r="P57" s="4010"/>
      <c r="Q57" s="4012"/>
      <c r="R57" s="4010"/>
      <c r="S57" s="4012"/>
      <c r="T57" s="4010"/>
      <c r="U57" s="4012"/>
      <c r="V57" s="4010"/>
      <c r="W57" s="4012"/>
      <c r="X57" s="4010"/>
      <c r="Y57" s="4012"/>
      <c r="Z57" s="4010"/>
      <c r="AA57" s="4012"/>
      <c r="AB57" s="4010"/>
      <c r="AC57" s="4012"/>
      <c r="AD57" s="4010"/>
      <c r="AE57" s="4012"/>
      <c r="AF57" s="4010"/>
      <c r="AG57" s="4012"/>
      <c r="AH57" s="4010"/>
      <c r="AI57" s="4012"/>
      <c r="AJ57" s="4010"/>
      <c r="AK57" s="4012"/>
      <c r="AL57" s="4170"/>
      <c r="AM57" s="4171"/>
      <c r="AN57" s="2069"/>
      <c r="AO57" s="4173"/>
      <c r="AP57" s="4169"/>
      <c r="AQ57" s="4190"/>
      <c r="AR57" s="4190"/>
      <c r="AS57" s="4190"/>
      <c r="AT57" s="4190"/>
      <c r="AU57" s="4190"/>
      <c r="AV57" s="1898" t="str">
        <f>$CA57&amp;$CB57&amp;CC57&amp;CD57&amp;CE57&amp;CF57&amp;CG57&amp;CH57</f>
        <v/>
      </c>
      <c r="CA57" s="1899" t="str">
        <f t="shared" si="3"/>
        <v/>
      </c>
      <c r="CB57" s="1899" t="str">
        <f t="shared" si="4"/>
        <v/>
      </c>
      <c r="CC57" s="1899" t="str">
        <f t="shared" si="5"/>
        <v/>
      </c>
      <c r="CD57" s="1899" t="str">
        <f t="shared" si="6"/>
        <v/>
      </c>
      <c r="CE57" s="1899" t="str">
        <f>IF(AND($C57&lt;&gt;0,AR57=""),"* No olvide ingresar la columna Migrantes (Digite CERO si no tiene).  ",IF(AR57&gt;$C57,"* El Número de Migrantes no puede superar el Total. ",""))</f>
        <v/>
      </c>
      <c r="CF57" s="4191" t="str">
        <f>IF(AND(SUM(J57:M57)&gt;0,AS57=""),"* No olvide digitar la variable 14-18 años. Si no tiene digite Cero.",IF(AS57&gt;SUM(J57:M57),"* La variable 14-18 años no puede ser mayor al total por grupo edad de 10 a 19 años. ",""))</f>
        <v/>
      </c>
      <c r="CG57" s="1899" t="str">
        <f t="shared" si="8"/>
        <v/>
      </c>
      <c r="CH57" s="1899" t="str">
        <f t="shared" si="9"/>
        <v/>
      </c>
      <c r="CI57" s="1970"/>
      <c r="CJ57" s="1901">
        <f t="shared" si="10"/>
        <v>0</v>
      </c>
      <c r="CK57" s="1901">
        <f t="shared" si="11"/>
        <v>0</v>
      </c>
      <c r="CL57" s="1901">
        <f t="shared" si="12"/>
        <v>0</v>
      </c>
      <c r="CM57" s="1901">
        <f t="shared" si="13"/>
        <v>0</v>
      </c>
      <c r="CN57" s="1901">
        <f t="shared" si="13"/>
        <v>0</v>
      </c>
      <c r="CO57" s="3989">
        <f>IF(AND(SUM(J57:M57)&gt;0,AS57=""),1,IF(AS57&gt;SUM(J57:M57),1,0))</f>
        <v>0</v>
      </c>
      <c r="CP57" s="1901">
        <f t="shared" si="14"/>
        <v>0</v>
      </c>
      <c r="CQ57" s="1901">
        <f t="shared" si="14"/>
        <v>0</v>
      </c>
    </row>
    <row r="58" spans="1:95" x14ac:dyDescent="0.3">
      <c r="A58" s="5790"/>
      <c r="B58" s="4176" t="s">
        <v>98</v>
      </c>
      <c r="C58" s="3991">
        <f t="shared" si="0"/>
        <v>0</v>
      </c>
      <c r="D58" s="4061">
        <f t="shared" ref="D58:E62" si="32">SUM(J58+L58+N58+P58+R58+T58+V58+X58+Z58+AB58+AD58+AF58+AH58+AJ58+AL58)</f>
        <v>0</v>
      </c>
      <c r="E58" s="4177">
        <f>SUM(K58+M58+O58+Q58+S58+U58+W58+Y58+AA58+AC58+AE58+AG58+AI58+AK58+AM58)</f>
        <v>0</v>
      </c>
      <c r="F58" s="1924"/>
      <c r="G58" s="4186"/>
      <c r="H58" s="1924"/>
      <c r="I58" s="4186"/>
      <c r="J58" s="3996"/>
      <c r="K58" s="2003"/>
      <c r="L58" s="3996"/>
      <c r="M58" s="2003"/>
      <c r="N58" s="3996"/>
      <c r="O58" s="2003"/>
      <c r="P58" s="3996"/>
      <c r="Q58" s="2003"/>
      <c r="R58" s="3996"/>
      <c r="S58" s="2003"/>
      <c r="T58" s="3996"/>
      <c r="U58" s="2003"/>
      <c r="V58" s="3996"/>
      <c r="W58" s="2003"/>
      <c r="X58" s="3996"/>
      <c r="Y58" s="2003"/>
      <c r="Z58" s="3996"/>
      <c r="AA58" s="2003"/>
      <c r="AB58" s="3996"/>
      <c r="AC58" s="2003"/>
      <c r="AD58" s="3996"/>
      <c r="AE58" s="2003"/>
      <c r="AF58" s="3996"/>
      <c r="AG58" s="2003"/>
      <c r="AH58" s="3996"/>
      <c r="AI58" s="2003"/>
      <c r="AJ58" s="3996"/>
      <c r="AK58" s="2003"/>
      <c r="AL58" s="4178"/>
      <c r="AM58" s="332"/>
      <c r="AN58" s="4179"/>
      <c r="AO58" s="3987"/>
      <c r="AP58" s="330"/>
      <c r="AQ58" s="4051"/>
      <c r="AR58" s="4051"/>
      <c r="AS58" s="4051"/>
      <c r="AT58" s="4051"/>
      <c r="AU58" s="4051"/>
      <c r="AV58" s="1898" t="str">
        <f t="shared" ref="AV58:AV89" si="33">$CA58&amp;$CB58&amp;CC58&amp;CD58&amp;CE58&amp;CF58&amp;CG58&amp;CH58</f>
        <v/>
      </c>
      <c r="CA58" s="1899" t="str">
        <f t="shared" si="3"/>
        <v/>
      </c>
      <c r="CB58" s="1899" t="str">
        <f t="shared" si="4"/>
        <v/>
      </c>
      <c r="CC58" s="1899" t="str">
        <f t="shared" si="5"/>
        <v/>
      </c>
      <c r="CD58" s="1899" t="str">
        <f t="shared" si="6"/>
        <v/>
      </c>
      <c r="CE58" s="1899" t="str">
        <f t="shared" si="7"/>
        <v/>
      </c>
      <c r="CF58" s="4191" t="str">
        <f t="shared" ref="CF58:CF89" si="34">IF(AND(SUM(J58:M58)&gt;0,AS58=""),"* No olvide digitar la variable 14-18 años. Si no tiene digite Cero.",IF(AS58&gt;SUM(J58:M58),"* La variable 14-18 años no puede ser mayor al total por grupo edad de 10 a 19 años. ",""))</f>
        <v/>
      </c>
      <c r="CG58" s="1899" t="str">
        <f t="shared" si="8"/>
        <v/>
      </c>
      <c r="CH58" s="1899" t="str">
        <f t="shared" si="9"/>
        <v/>
      </c>
      <c r="CI58" s="1970"/>
      <c r="CJ58" s="1901">
        <f t="shared" si="10"/>
        <v>0</v>
      </c>
      <c r="CK58" s="1901">
        <f t="shared" si="11"/>
        <v>0</v>
      </c>
      <c r="CL58" s="1901">
        <f t="shared" si="12"/>
        <v>0</v>
      </c>
      <c r="CM58" s="1901">
        <f t="shared" si="13"/>
        <v>0</v>
      </c>
      <c r="CN58" s="1901">
        <f t="shared" si="13"/>
        <v>0</v>
      </c>
      <c r="CO58" s="3989">
        <f t="shared" ref="CO58:CO89" si="35">IF(AND(SUM(J58:M58)&gt;0,AS58=""),1,IF(AS58&gt;SUM(J58:M58),1,0))</f>
        <v>0</v>
      </c>
      <c r="CP58" s="1901">
        <f t="shared" si="14"/>
        <v>0</v>
      </c>
      <c r="CQ58" s="1901">
        <f t="shared" si="14"/>
        <v>0</v>
      </c>
    </row>
    <row r="59" spans="1:95" x14ac:dyDescent="0.3">
      <c r="A59" s="5790"/>
      <c r="B59" s="4176" t="s">
        <v>65</v>
      </c>
      <c r="C59" s="3991">
        <f t="shared" si="0"/>
        <v>0</v>
      </c>
      <c r="D59" s="4061">
        <f>SUM(J59+L59+N59+P59+R59+T59+V59+X59+Z59+AB59+AD59+AF59+AH59+AJ59+AL59)</f>
        <v>0</v>
      </c>
      <c r="E59" s="4177">
        <f>SUM(K59+M59+O59+Q59+S59+U59+W59+Y59+AA59+AC59+AE59+AG59+AI59+AK59+AM59)</f>
        <v>0</v>
      </c>
      <c r="F59" s="1924"/>
      <c r="G59" s="4186"/>
      <c r="H59" s="1924"/>
      <c r="I59" s="4186"/>
      <c r="J59" s="3996"/>
      <c r="K59" s="2003"/>
      <c r="L59" s="3996"/>
      <c r="M59" s="2003"/>
      <c r="N59" s="3996"/>
      <c r="O59" s="2003"/>
      <c r="P59" s="3996"/>
      <c r="Q59" s="2003"/>
      <c r="R59" s="3996"/>
      <c r="S59" s="2003"/>
      <c r="T59" s="3996"/>
      <c r="U59" s="2003"/>
      <c r="V59" s="3996"/>
      <c r="W59" s="2003"/>
      <c r="X59" s="3996"/>
      <c r="Y59" s="2003"/>
      <c r="Z59" s="3996"/>
      <c r="AA59" s="2003"/>
      <c r="AB59" s="3996"/>
      <c r="AC59" s="2003"/>
      <c r="AD59" s="3996"/>
      <c r="AE59" s="2003"/>
      <c r="AF59" s="3996"/>
      <c r="AG59" s="2003"/>
      <c r="AH59" s="3996"/>
      <c r="AI59" s="2003"/>
      <c r="AJ59" s="3996"/>
      <c r="AK59" s="2003"/>
      <c r="AL59" s="4178"/>
      <c r="AM59" s="332"/>
      <c r="AN59" s="4179"/>
      <c r="AO59" s="3987"/>
      <c r="AP59" s="330"/>
      <c r="AQ59" s="4051"/>
      <c r="AR59" s="4051"/>
      <c r="AS59" s="4051"/>
      <c r="AT59" s="4051"/>
      <c r="AU59" s="4051"/>
      <c r="AV59" s="1898" t="str">
        <f t="shared" si="33"/>
        <v/>
      </c>
      <c r="CA59" s="1899" t="str">
        <f t="shared" si="3"/>
        <v/>
      </c>
      <c r="CB59" s="1899" t="str">
        <f t="shared" si="4"/>
        <v/>
      </c>
      <c r="CC59" s="1899" t="str">
        <f t="shared" si="5"/>
        <v/>
      </c>
      <c r="CD59" s="1899" t="str">
        <f t="shared" si="6"/>
        <v/>
      </c>
      <c r="CE59" s="1899" t="str">
        <f t="shared" si="7"/>
        <v/>
      </c>
      <c r="CF59" s="4191" t="str">
        <f t="shared" si="34"/>
        <v/>
      </c>
      <c r="CG59" s="1899" t="str">
        <f t="shared" si="8"/>
        <v/>
      </c>
      <c r="CH59" s="1899" t="str">
        <f t="shared" si="9"/>
        <v/>
      </c>
      <c r="CI59" s="1970"/>
      <c r="CJ59" s="1901">
        <f t="shared" si="10"/>
        <v>0</v>
      </c>
      <c r="CK59" s="1901">
        <f t="shared" si="11"/>
        <v>0</v>
      </c>
      <c r="CL59" s="1901">
        <f t="shared" si="12"/>
        <v>0</v>
      </c>
      <c r="CM59" s="1901">
        <f t="shared" si="13"/>
        <v>0</v>
      </c>
      <c r="CN59" s="1901">
        <f t="shared" si="13"/>
        <v>0</v>
      </c>
      <c r="CO59" s="3989">
        <f t="shared" si="35"/>
        <v>0</v>
      </c>
      <c r="CP59" s="1901">
        <f t="shared" si="14"/>
        <v>0</v>
      </c>
      <c r="CQ59" s="1901">
        <f t="shared" si="14"/>
        <v>0</v>
      </c>
    </row>
    <row r="60" spans="1:95" x14ac:dyDescent="0.3">
      <c r="A60" s="5790"/>
      <c r="B60" s="4176" t="s">
        <v>1034</v>
      </c>
      <c r="C60" s="3991">
        <f t="shared" si="0"/>
        <v>0</v>
      </c>
      <c r="D60" s="4061">
        <f t="shared" si="32"/>
        <v>0</v>
      </c>
      <c r="E60" s="4177">
        <f t="shared" si="32"/>
        <v>0</v>
      </c>
      <c r="F60" s="1924"/>
      <c r="G60" s="4186"/>
      <c r="H60" s="1924"/>
      <c r="I60" s="4186"/>
      <c r="J60" s="3996"/>
      <c r="K60" s="2003"/>
      <c r="L60" s="3996"/>
      <c r="M60" s="2003"/>
      <c r="N60" s="3996"/>
      <c r="O60" s="2003"/>
      <c r="P60" s="3996"/>
      <c r="Q60" s="2003"/>
      <c r="R60" s="3996"/>
      <c r="S60" s="2003"/>
      <c r="T60" s="3996"/>
      <c r="U60" s="2003"/>
      <c r="V60" s="3996"/>
      <c r="W60" s="2003"/>
      <c r="X60" s="3996"/>
      <c r="Y60" s="2003"/>
      <c r="Z60" s="3996"/>
      <c r="AA60" s="2003"/>
      <c r="AB60" s="3996"/>
      <c r="AC60" s="2003"/>
      <c r="AD60" s="3996"/>
      <c r="AE60" s="2003"/>
      <c r="AF60" s="3996"/>
      <c r="AG60" s="2003"/>
      <c r="AH60" s="3996"/>
      <c r="AI60" s="2003"/>
      <c r="AJ60" s="3996"/>
      <c r="AK60" s="2003"/>
      <c r="AL60" s="4178"/>
      <c r="AM60" s="332"/>
      <c r="AN60" s="4179"/>
      <c r="AO60" s="3987"/>
      <c r="AP60" s="330"/>
      <c r="AQ60" s="4051"/>
      <c r="AR60" s="4051"/>
      <c r="AS60" s="4051"/>
      <c r="AT60" s="4051"/>
      <c r="AU60" s="4051"/>
      <c r="AV60" s="1898" t="str">
        <f t="shared" si="33"/>
        <v/>
      </c>
      <c r="CA60" s="1899" t="str">
        <f t="shared" si="3"/>
        <v/>
      </c>
      <c r="CB60" s="1899" t="str">
        <f t="shared" si="4"/>
        <v/>
      </c>
      <c r="CC60" s="1899" t="str">
        <f t="shared" si="5"/>
        <v/>
      </c>
      <c r="CD60" s="1899" t="str">
        <f t="shared" si="6"/>
        <v/>
      </c>
      <c r="CE60" s="1899" t="str">
        <f t="shared" si="7"/>
        <v/>
      </c>
      <c r="CF60" s="4191" t="str">
        <f t="shared" si="34"/>
        <v/>
      </c>
      <c r="CG60" s="1899" t="str">
        <f t="shared" si="8"/>
        <v/>
      </c>
      <c r="CH60" s="1899" t="str">
        <f t="shared" si="9"/>
        <v/>
      </c>
      <c r="CI60" s="1970"/>
      <c r="CJ60" s="1901">
        <f t="shared" si="10"/>
        <v>0</v>
      </c>
      <c r="CK60" s="1901">
        <f t="shared" si="11"/>
        <v>0</v>
      </c>
      <c r="CL60" s="1901">
        <f t="shared" si="12"/>
        <v>0</v>
      </c>
      <c r="CM60" s="1901">
        <f t="shared" si="13"/>
        <v>0</v>
      </c>
      <c r="CN60" s="1901">
        <f t="shared" si="13"/>
        <v>0</v>
      </c>
      <c r="CO60" s="3989">
        <f t="shared" si="35"/>
        <v>0</v>
      </c>
      <c r="CP60" s="1901">
        <f t="shared" si="14"/>
        <v>0</v>
      </c>
      <c r="CQ60" s="1901">
        <f t="shared" si="14"/>
        <v>0</v>
      </c>
    </row>
    <row r="61" spans="1:95" x14ac:dyDescent="0.3">
      <c r="A61" s="5790"/>
      <c r="B61" s="4060" t="s">
        <v>2065</v>
      </c>
      <c r="C61" s="231">
        <f t="shared" si="0"/>
        <v>0</v>
      </c>
      <c r="D61" s="4061">
        <f>SUM(J61+L61+N61+P61+R61+T61+V61+X61+Z61+AB61+AD61+AF61+AH61+AJ61+AL61)</f>
        <v>0</v>
      </c>
      <c r="E61" s="4182">
        <f>SUM(K61+M61+O61+Q61+S61+U61+W61+Y61+AA61+AC61+AE61+AG61+AI61+AK61+AM61)</f>
        <v>0</v>
      </c>
      <c r="F61" s="1924"/>
      <c r="G61" s="4186"/>
      <c r="H61" s="1924"/>
      <c r="I61" s="4186"/>
      <c r="J61" s="212"/>
      <c r="K61" s="1161"/>
      <c r="L61" s="212"/>
      <c r="M61" s="1161"/>
      <c r="N61" s="212"/>
      <c r="O61" s="1161"/>
      <c r="P61" s="212"/>
      <c r="Q61" s="1161"/>
      <c r="R61" s="212"/>
      <c r="S61" s="1161"/>
      <c r="T61" s="212"/>
      <c r="U61" s="1161"/>
      <c r="V61" s="212"/>
      <c r="W61" s="1161"/>
      <c r="X61" s="212"/>
      <c r="Y61" s="1161"/>
      <c r="Z61" s="212"/>
      <c r="AA61" s="1161"/>
      <c r="AB61" s="212"/>
      <c r="AC61" s="1161"/>
      <c r="AD61" s="212"/>
      <c r="AE61" s="1161"/>
      <c r="AF61" s="212"/>
      <c r="AG61" s="1161"/>
      <c r="AH61" s="212"/>
      <c r="AI61" s="1161"/>
      <c r="AJ61" s="212"/>
      <c r="AK61" s="1161"/>
      <c r="AL61" s="2244"/>
      <c r="AM61" s="2444"/>
      <c r="AN61" s="4179"/>
      <c r="AO61" s="1162"/>
      <c r="AP61" s="34"/>
      <c r="AQ61" s="4192"/>
      <c r="AR61" s="4192"/>
      <c r="AS61" s="4192"/>
      <c r="AT61" s="4192"/>
      <c r="AU61" s="4192"/>
      <c r="AV61" s="1898" t="str">
        <f t="shared" si="33"/>
        <v/>
      </c>
      <c r="CA61" s="1899" t="str">
        <f t="shared" si="3"/>
        <v/>
      </c>
      <c r="CB61" s="1899" t="str">
        <f t="shared" si="4"/>
        <v/>
      </c>
      <c r="CC61" s="1899" t="str">
        <f t="shared" si="5"/>
        <v/>
      </c>
      <c r="CD61" s="1899" t="str">
        <f t="shared" si="6"/>
        <v/>
      </c>
      <c r="CE61" s="1899" t="str">
        <f t="shared" si="7"/>
        <v/>
      </c>
      <c r="CF61" s="4191" t="str">
        <f t="shared" si="34"/>
        <v/>
      </c>
      <c r="CG61" s="1899" t="str">
        <f t="shared" si="8"/>
        <v/>
      </c>
      <c r="CH61" s="1899" t="str">
        <f t="shared" si="9"/>
        <v/>
      </c>
      <c r="CI61" s="1970"/>
      <c r="CJ61" s="1901">
        <f t="shared" si="10"/>
        <v>0</v>
      </c>
      <c r="CK61" s="1901">
        <f t="shared" si="11"/>
        <v>0</v>
      </c>
      <c r="CL61" s="1901">
        <f t="shared" si="12"/>
        <v>0</v>
      </c>
      <c r="CM61" s="1901">
        <f t="shared" si="13"/>
        <v>0</v>
      </c>
      <c r="CN61" s="1901">
        <f t="shared" si="13"/>
        <v>0</v>
      </c>
      <c r="CO61" s="3989">
        <f t="shared" si="35"/>
        <v>0</v>
      </c>
      <c r="CP61" s="1901">
        <f t="shared" si="14"/>
        <v>0</v>
      </c>
      <c r="CQ61" s="1901">
        <f t="shared" si="14"/>
        <v>0</v>
      </c>
    </row>
    <row r="62" spans="1:95" x14ac:dyDescent="0.3">
      <c r="A62" s="6574"/>
      <c r="B62" s="518" t="s">
        <v>2064</v>
      </c>
      <c r="C62" s="638">
        <f t="shared" si="0"/>
        <v>0</v>
      </c>
      <c r="D62" s="4077">
        <f t="shared" si="32"/>
        <v>0</v>
      </c>
      <c r="E62" s="4184">
        <f t="shared" si="32"/>
        <v>0</v>
      </c>
      <c r="F62" s="1905"/>
      <c r="G62" s="2020"/>
      <c r="H62" s="1905"/>
      <c r="I62" s="2020"/>
      <c r="J62" s="876"/>
      <c r="K62" s="2009"/>
      <c r="L62" s="876"/>
      <c r="M62" s="2009"/>
      <c r="N62" s="876"/>
      <c r="O62" s="2009"/>
      <c r="P62" s="876"/>
      <c r="Q62" s="2009"/>
      <c r="R62" s="876"/>
      <c r="S62" s="2009"/>
      <c r="T62" s="876"/>
      <c r="U62" s="2009"/>
      <c r="V62" s="876"/>
      <c r="W62" s="2009"/>
      <c r="X62" s="876"/>
      <c r="Y62" s="2009"/>
      <c r="Z62" s="876"/>
      <c r="AA62" s="2009"/>
      <c r="AB62" s="876"/>
      <c r="AC62" s="2009"/>
      <c r="AD62" s="876"/>
      <c r="AE62" s="2009"/>
      <c r="AF62" s="876"/>
      <c r="AG62" s="2009"/>
      <c r="AH62" s="876"/>
      <c r="AI62" s="2009"/>
      <c r="AJ62" s="876"/>
      <c r="AK62" s="2009"/>
      <c r="AL62" s="2049"/>
      <c r="AM62" s="1953"/>
      <c r="AN62" s="2320"/>
      <c r="AO62" s="1911"/>
      <c r="AP62" s="877"/>
      <c r="AQ62" s="1954"/>
      <c r="AR62" s="1954"/>
      <c r="AS62" s="1954"/>
      <c r="AT62" s="1954"/>
      <c r="AU62" s="1954"/>
      <c r="AV62" s="1898" t="str">
        <f t="shared" si="33"/>
        <v/>
      </c>
      <c r="CA62" s="1899" t="str">
        <f t="shared" si="3"/>
        <v/>
      </c>
      <c r="CB62" s="1899" t="str">
        <f t="shared" si="4"/>
        <v/>
      </c>
      <c r="CC62" s="1899" t="str">
        <f t="shared" si="5"/>
        <v/>
      </c>
      <c r="CD62" s="1899" t="str">
        <f t="shared" si="6"/>
        <v/>
      </c>
      <c r="CE62" s="1899" t="str">
        <f t="shared" si="7"/>
        <v/>
      </c>
      <c r="CF62" s="4191" t="str">
        <f t="shared" si="34"/>
        <v/>
      </c>
      <c r="CG62" s="1899" t="str">
        <f t="shared" si="8"/>
        <v/>
      </c>
      <c r="CH62" s="1899" t="str">
        <f t="shared" si="9"/>
        <v/>
      </c>
      <c r="CI62" s="1970"/>
      <c r="CJ62" s="1901">
        <f t="shared" si="10"/>
        <v>0</v>
      </c>
      <c r="CK62" s="1901">
        <f t="shared" si="11"/>
        <v>0</v>
      </c>
      <c r="CL62" s="1901">
        <f t="shared" si="12"/>
        <v>0</v>
      </c>
      <c r="CM62" s="1901">
        <f t="shared" si="13"/>
        <v>0</v>
      </c>
      <c r="CN62" s="1901">
        <f t="shared" si="13"/>
        <v>0</v>
      </c>
      <c r="CO62" s="3989">
        <f t="shared" si="35"/>
        <v>0</v>
      </c>
      <c r="CP62" s="1901">
        <f t="shared" si="14"/>
        <v>0</v>
      </c>
      <c r="CQ62" s="1901">
        <f t="shared" si="14"/>
        <v>0</v>
      </c>
    </row>
    <row r="63" spans="1:95" x14ac:dyDescent="0.3">
      <c r="A63" s="6896" t="s">
        <v>2071</v>
      </c>
      <c r="B63" s="3448" t="s">
        <v>64</v>
      </c>
      <c r="C63" s="3308">
        <f t="shared" si="0"/>
        <v>0</v>
      </c>
      <c r="D63" s="4055">
        <f t="shared" ref="D63:E66" si="36">SUM(J63+L63+N63+P63+R63+T63+V63+X63+Z63+AB63)</f>
        <v>0</v>
      </c>
      <c r="E63" s="4168">
        <f t="shared" si="36"/>
        <v>0</v>
      </c>
      <c r="F63" s="4033"/>
      <c r="G63" s="4185"/>
      <c r="H63" s="4033"/>
      <c r="I63" s="4185"/>
      <c r="J63" s="4010"/>
      <c r="K63" s="4012"/>
      <c r="L63" s="4010"/>
      <c r="M63" s="4012"/>
      <c r="N63" s="4010"/>
      <c r="O63" s="4012"/>
      <c r="P63" s="4010"/>
      <c r="Q63" s="4012"/>
      <c r="R63" s="4010"/>
      <c r="S63" s="4012"/>
      <c r="T63" s="4010"/>
      <c r="U63" s="4012"/>
      <c r="V63" s="4010"/>
      <c r="W63" s="4012"/>
      <c r="X63" s="4010"/>
      <c r="Y63" s="4012"/>
      <c r="Z63" s="4010"/>
      <c r="AA63" s="4012"/>
      <c r="AB63" s="3996"/>
      <c r="AC63" s="2003"/>
      <c r="AD63" s="3997"/>
      <c r="AE63" s="2342"/>
      <c r="AF63" s="4023"/>
      <c r="AG63" s="1033"/>
      <c r="AH63" s="4023"/>
      <c r="AI63" s="1033"/>
      <c r="AJ63" s="4023"/>
      <c r="AK63" s="1033"/>
      <c r="AL63" s="4193"/>
      <c r="AM63" s="1014"/>
      <c r="AN63" s="2069"/>
      <c r="AO63" s="4036"/>
      <c r="AP63" s="4013"/>
      <c r="AQ63" s="4174"/>
      <c r="AR63" s="4174"/>
      <c r="AS63" s="4174"/>
      <c r="AT63" s="4174"/>
      <c r="AU63" s="4174"/>
      <c r="AV63" s="1898" t="str">
        <f t="shared" si="33"/>
        <v/>
      </c>
      <c r="CA63" s="1899" t="str">
        <f t="shared" si="3"/>
        <v/>
      </c>
      <c r="CB63" s="1899" t="str">
        <f t="shared" si="4"/>
        <v/>
      </c>
      <c r="CC63" s="1899" t="str">
        <f t="shared" si="5"/>
        <v/>
      </c>
      <c r="CD63" s="1899" t="str">
        <f t="shared" si="6"/>
        <v/>
      </c>
      <c r="CE63" s="1899" t="str">
        <f t="shared" si="7"/>
        <v/>
      </c>
      <c r="CF63" s="4191" t="str">
        <f t="shared" si="34"/>
        <v/>
      </c>
      <c r="CG63" s="1899" t="str">
        <f t="shared" si="8"/>
        <v/>
      </c>
      <c r="CH63" s="1899" t="str">
        <f t="shared" si="9"/>
        <v/>
      </c>
      <c r="CI63" s="1970"/>
      <c r="CJ63" s="1901">
        <f t="shared" si="10"/>
        <v>0</v>
      </c>
      <c r="CK63" s="1901">
        <f t="shared" si="11"/>
        <v>0</v>
      </c>
      <c r="CL63" s="1901">
        <f t="shared" si="12"/>
        <v>0</v>
      </c>
      <c r="CM63" s="1901">
        <f t="shared" si="13"/>
        <v>0</v>
      </c>
      <c r="CN63" s="1901">
        <f t="shared" si="13"/>
        <v>0</v>
      </c>
      <c r="CO63" s="3989">
        <f t="shared" si="35"/>
        <v>0</v>
      </c>
      <c r="CP63" s="1901">
        <f t="shared" si="14"/>
        <v>0</v>
      </c>
      <c r="CQ63" s="1901">
        <f t="shared" si="14"/>
        <v>0</v>
      </c>
    </row>
    <row r="64" spans="1:95" x14ac:dyDescent="0.3">
      <c r="A64" s="5790"/>
      <c r="B64" s="4176" t="s">
        <v>65</v>
      </c>
      <c r="C64" s="3991">
        <f t="shared" si="0"/>
        <v>0</v>
      </c>
      <c r="D64" s="4061">
        <f t="shared" si="36"/>
        <v>0</v>
      </c>
      <c r="E64" s="4177">
        <f t="shared" si="36"/>
        <v>0</v>
      </c>
      <c r="F64" s="1924"/>
      <c r="G64" s="4186"/>
      <c r="H64" s="1924"/>
      <c r="I64" s="4186"/>
      <c r="J64" s="3996"/>
      <c r="K64" s="2003"/>
      <c r="L64" s="3996"/>
      <c r="M64" s="2003"/>
      <c r="N64" s="3996"/>
      <c r="O64" s="2003"/>
      <c r="P64" s="3996"/>
      <c r="Q64" s="2003"/>
      <c r="R64" s="3996"/>
      <c r="S64" s="2003"/>
      <c r="T64" s="3996"/>
      <c r="U64" s="2003"/>
      <c r="V64" s="3996"/>
      <c r="W64" s="2003"/>
      <c r="X64" s="3996"/>
      <c r="Y64" s="2003"/>
      <c r="Z64" s="3996"/>
      <c r="AA64" s="2003"/>
      <c r="AB64" s="3996"/>
      <c r="AC64" s="2003"/>
      <c r="AD64" s="3997"/>
      <c r="AE64" s="2342"/>
      <c r="AF64" s="3992"/>
      <c r="AG64" s="2002"/>
      <c r="AH64" s="3992"/>
      <c r="AI64" s="2002"/>
      <c r="AJ64" s="3992"/>
      <c r="AK64" s="2002"/>
      <c r="AL64" s="4194"/>
      <c r="AM64" s="2055"/>
      <c r="AN64" s="4179"/>
      <c r="AO64" s="3987"/>
      <c r="AP64" s="330"/>
      <c r="AQ64" s="4051"/>
      <c r="AR64" s="4051"/>
      <c r="AS64" s="4051"/>
      <c r="AT64" s="4051"/>
      <c r="AU64" s="4051"/>
      <c r="AV64" s="1898" t="str">
        <f t="shared" si="33"/>
        <v/>
      </c>
      <c r="CA64" s="1899" t="str">
        <f t="shared" si="3"/>
        <v/>
      </c>
      <c r="CB64" s="1899" t="str">
        <f t="shared" si="4"/>
        <v/>
      </c>
      <c r="CC64" s="1899" t="str">
        <f t="shared" si="5"/>
        <v/>
      </c>
      <c r="CD64" s="1899" t="str">
        <f t="shared" si="6"/>
        <v/>
      </c>
      <c r="CE64" s="1899" t="str">
        <f t="shared" si="7"/>
        <v/>
      </c>
      <c r="CF64" s="4191" t="str">
        <f t="shared" si="34"/>
        <v/>
      </c>
      <c r="CG64" s="1899" t="str">
        <f t="shared" si="8"/>
        <v/>
      </c>
      <c r="CH64" s="1899" t="str">
        <f t="shared" si="9"/>
        <v/>
      </c>
      <c r="CI64" s="1970"/>
      <c r="CJ64" s="1901">
        <f t="shared" si="10"/>
        <v>0</v>
      </c>
      <c r="CK64" s="1901">
        <f t="shared" si="11"/>
        <v>0</v>
      </c>
      <c r="CL64" s="1901">
        <f t="shared" si="12"/>
        <v>0</v>
      </c>
      <c r="CM64" s="1901">
        <f t="shared" si="13"/>
        <v>0</v>
      </c>
      <c r="CN64" s="1901">
        <f t="shared" si="13"/>
        <v>0</v>
      </c>
      <c r="CO64" s="3989">
        <f t="shared" si="35"/>
        <v>0</v>
      </c>
      <c r="CP64" s="1901">
        <f t="shared" si="14"/>
        <v>0</v>
      </c>
      <c r="CQ64" s="1901">
        <f t="shared" si="14"/>
        <v>0</v>
      </c>
    </row>
    <row r="65" spans="1:95" x14ac:dyDescent="0.3">
      <c r="A65" s="5790"/>
      <c r="B65" s="24" t="s">
        <v>2065</v>
      </c>
      <c r="C65" s="3991">
        <f t="shared" si="0"/>
        <v>0</v>
      </c>
      <c r="D65" s="4061">
        <f t="shared" si="36"/>
        <v>0</v>
      </c>
      <c r="E65" s="4182">
        <f t="shared" si="36"/>
        <v>0</v>
      </c>
      <c r="F65" s="1924"/>
      <c r="G65" s="4186"/>
      <c r="H65" s="1924"/>
      <c r="I65" s="4186"/>
      <c r="J65" s="212"/>
      <c r="K65" s="1161"/>
      <c r="L65" s="212"/>
      <c r="M65" s="1161"/>
      <c r="N65" s="212"/>
      <c r="O65" s="1161"/>
      <c r="P65" s="212"/>
      <c r="Q65" s="1161"/>
      <c r="R65" s="212"/>
      <c r="S65" s="1161"/>
      <c r="T65" s="212"/>
      <c r="U65" s="1161"/>
      <c r="V65" s="212"/>
      <c r="W65" s="1161"/>
      <c r="X65" s="212"/>
      <c r="Y65" s="1161"/>
      <c r="Z65" s="212"/>
      <c r="AA65" s="1161"/>
      <c r="AB65" s="3996"/>
      <c r="AC65" s="2003"/>
      <c r="AD65" s="3997"/>
      <c r="AE65" s="2342"/>
      <c r="AF65" s="1924"/>
      <c r="AG65" s="4195"/>
      <c r="AH65" s="1924"/>
      <c r="AI65" s="4195"/>
      <c r="AJ65" s="1924"/>
      <c r="AK65" s="4195"/>
      <c r="AL65" s="4196"/>
      <c r="AM65" s="1927"/>
      <c r="AN65" s="4179"/>
      <c r="AO65" s="1162"/>
      <c r="AP65" s="34"/>
      <c r="AQ65" s="4192"/>
      <c r="AR65" s="4192"/>
      <c r="AS65" s="4192"/>
      <c r="AT65" s="4192"/>
      <c r="AU65" s="4192"/>
      <c r="AV65" s="1898" t="str">
        <f t="shared" si="33"/>
        <v/>
      </c>
      <c r="CA65" s="1899" t="str">
        <f t="shared" si="3"/>
        <v/>
      </c>
      <c r="CB65" s="1899" t="str">
        <f t="shared" si="4"/>
        <v/>
      </c>
      <c r="CC65" s="1899" t="str">
        <f t="shared" si="5"/>
        <v/>
      </c>
      <c r="CD65" s="1899" t="str">
        <f t="shared" si="6"/>
        <v/>
      </c>
      <c r="CE65" s="1899" t="str">
        <f t="shared" si="7"/>
        <v/>
      </c>
      <c r="CF65" s="4191" t="str">
        <f t="shared" si="34"/>
        <v/>
      </c>
      <c r="CG65" s="1899" t="str">
        <f t="shared" si="8"/>
        <v/>
      </c>
      <c r="CH65" s="1899" t="str">
        <f t="shared" si="9"/>
        <v/>
      </c>
      <c r="CI65" s="1970"/>
      <c r="CJ65" s="1901">
        <f t="shared" si="10"/>
        <v>0</v>
      </c>
      <c r="CK65" s="1901">
        <f t="shared" si="11"/>
        <v>0</v>
      </c>
      <c r="CL65" s="1901">
        <f t="shared" si="12"/>
        <v>0</v>
      </c>
      <c r="CM65" s="1901">
        <f t="shared" si="13"/>
        <v>0</v>
      </c>
      <c r="CN65" s="1901">
        <f t="shared" si="13"/>
        <v>0</v>
      </c>
      <c r="CO65" s="3989">
        <f t="shared" si="35"/>
        <v>0</v>
      </c>
      <c r="CP65" s="1901">
        <f t="shared" si="14"/>
        <v>0</v>
      </c>
      <c r="CQ65" s="1901">
        <f t="shared" si="14"/>
        <v>0</v>
      </c>
    </row>
    <row r="66" spans="1:95" x14ac:dyDescent="0.3">
      <c r="A66" s="6574"/>
      <c r="B66" s="518" t="s">
        <v>2064</v>
      </c>
      <c r="C66" s="638">
        <f t="shared" si="0"/>
        <v>0</v>
      </c>
      <c r="D66" s="4077">
        <f t="shared" si="36"/>
        <v>0</v>
      </c>
      <c r="E66" s="4184">
        <f t="shared" si="36"/>
        <v>0</v>
      </c>
      <c r="F66" s="1905"/>
      <c r="G66" s="2020"/>
      <c r="H66" s="1905"/>
      <c r="I66" s="2020"/>
      <c r="J66" s="876"/>
      <c r="K66" s="2009"/>
      <c r="L66" s="876"/>
      <c r="M66" s="2009"/>
      <c r="N66" s="876"/>
      <c r="O66" s="2009"/>
      <c r="P66" s="876"/>
      <c r="Q66" s="2009"/>
      <c r="R66" s="876"/>
      <c r="S66" s="2009"/>
      <c r="T66" s="876"/>
      <c r="U66" s="2009"/>
      <c r="V66" s="876"/>
      <c r="W66" s="2009"/>
      <c r="X66" s="876"/>
      <c r="Y66" s="2009"/>
      <c r="Z66" s="876"/>
      <c r="AA66" s="2009"/>
      <c r="AB66" s="3996"/>
      <c r="AC66" s="2003"/>
      <c r="AD66" s="3997"/>
      <c r="AE66" s="2342"/>
      <c r="AF66" s="1905"/>
      <c r="AG66" s="2021"/>
      <c r="AH66" s="1905"/>
      <c r="AI66" s="2021"/>
      <c r="AJ66" s="1905"/>
      <c r="AK66" s="2021"/>
      <c r="AL66" s="2059"/>
      <c r="AM66" s="1910"/>
      <c r="AN66" s="2320"/>
      <c r="AO66" s="1911"/>
      <c r="AP66" s="877"/>
      <c r="AQ66" s="1954"/>
      <c r="AR66" s="1954"/>
      <c r="AS66" s="1954"/>
      <c r="AT66" s="1954"/>
      <c r="AU66" s="1954"/>
      <c r="AV66" s="1898" t="str">
        <f t="shared" si="33"/>
        <v/>
      </c>
      <c r="CA66" s="1899" t="str">
        <f t="shared" si="3"/>
        <v/>
      </c>
      <c r="CB66" s="1899" t="str">
        <f t="shared" si="4"/>
        <v/>
      </c>
      <c r="CC66" s="1899" t="str">
        <f t="shared" si="5"/>
        <v/>
      </c>
      <c r="CD66" s="1899" t="str">
        <f t="shared" si="6"/>
        <v/>
      </c>
      <c r="CE66" s="1899" t="str">
        <f t="shared" si="7"/>
        <v/>
      </c>
      <c r="CF66" s="4191" t="str">
        <f t="shared" si="34"/>
        <v/>
      </c>
      <c r="CG66" s="1899" t="str">
        <f t="shared" si="8"/>
        <v/>
      </c>
      <c r="CH66" s="1899" t="str">
        <f t="shared" si="9"/>
        <v/>
      </c>
      <c r="CI66" s="1970"/>
      <c r="CJ66" s="1901">
        <f t="shared" si="10"/>
        <v>0</v>
      </c>
      <c r="CK66" s="1901">
        <f t="shared" si="11"/>
        <v>0</v>
      </c>
      <c r="CL66" s="1901">
        <f t="shared" si="12"/>
        <v>0</v>
      </c>
      <c r="CM66" s="1901">
        <f t="shared" si="13"/>
        <v>0</v>
      </c>
      <c r="CN66" s="1901">
        <f t="shared" si="13"/>
        <v>0</v>
      </c>
      <c r="CO66" s="3989">
        <f t="shared" si="35"/>
        <v>0</v>
      </c>
      <c r="CP66" s="1901">
        <f t="shared" si="14"/>
        <v>0</v>
      </c>
      <c r="CQ66" s="1901">
        <f t="shared" si="14"/>
        <v>0</v>
      </c>
    </row>
    <row r="67" spans="1:95" x14ac:dyDescent="0.3">
      <c r="A67" s="6896" t="s">
        <v>2072</v>
      </c>
      <c r="B67" s="3448" t="s">
        <v>64</v>
      </c>
      <c r="C67" s="3308">
        <f t="shared" si="0"/>
        <v>0</v>
      </c>
      <c r="D67" s="4055">
        <f>SUM(J67+L67+N67+P67+R67+T67+V67+X67+Z67+AB67+AD67+AF67+AH67+AJ67+AL67)</f>
        <v>0</v>
      </c>
      <c r="E67" s="4168">
        <f>SUM(K67+M67+O67+Q67+S67+U67+W67+Y67+AA67+AC67+AE67+AG67+AI67+AK67+AM67)</f>
        <v>0</v>
      </c>
      <c r="F67" s="4033"/>
      <c r="G67" s="4185"/>
      <c r="H67" s="4033"/>
      <c r="I67" s="4185"/>
      <c r="J67" s="4010"/>
      <c r="K67" s="4012"/>
      <c r="L67" s="4010"/>
      <c r="M67" s="4012"/>
      <c r="N67" s="4010"/>
      <c r="O67" s="4012"/>
      <c r="P67" s="4010"/>
      <c r="Q67" s="4012"/>
      <c r="R67" s="4010"/>
      <c r="S67" s="4012"/>
      <c r="T67" s="4010"/>
      <c r="U67" s="4012"/>
      <c r="V67" s="4010"/>
      <c r="W67" s="4012"/>
      <c r="X67" s="4010"/>
      <c r="Y67" s="4012"/>
      <c r="Z67" s="4010"/>
      <c r="AA67" s="4012"/>
      <c r="AB67" s="4010"/>
      <c r="AC67" s="4012"/>
      <c r="AD67" s="4010"/>
      <c r="AE67" s="4012"/>
      <c r="AF67" s="4010"/>
      <c r="AG67" s="4012"/>
      <c r="AH67" s="4010"/>
      <c r="AI67" s="4012"/>
      <c r="AJ67" s="4010"/>
      <c r="AK67" s="4012"/>
      <c r="AL67" s="4170"/>
      <c r="AM67" s="4171"/>
      <c r="AN67" s="2069"/>
      <c r="AO67" s="4036"/>
      <c r="AP67" s="4013"/>
      <c r="AQ67" s="4174"/>
      <c r="AR67" s="4174"/>
      <c r="AS67" s="4174"/>
      <c r="AT67" s="4174"/>
      <c r="AU67" s="4174"/>
      <c r="AV67" s="1898" t="str">
        <f t="shared" si="33"/>
        <v/>
      </c>
      <c r="CA67" s="1899" t="str">
        <f t="shared" si="3"/>
        <v/>
      </c>
      <c r="CB67" s="1899" t="str">
        <f t="shared" si="4"/>
        <v/>
      </c>
      <c r="CC67" s="1899" t="str">
        <f t="shared" si="5"/>
        <v/>
      </c>
      <c r="CD67" s="1899" t="str">
        <f t="shared" si="6"/>
        <v/>
      </c>
      <c r="CE67" s="1899" t="str">
        <f t="shared" si="7"/>
        <v/>
      </c>
      <c r="CF67" s="4191" t="str">
        <f t="shared" si="34"/>
        <v/>
      </c>
      <c r="CG67" s="1899" t="str">
        <f t="shared" si="8"/>
        <v/>
      </c>
      <c r="CH67" s="1899" t="str">
        <f t="shared" si="9"/>
        <v/>
      </c>
      <c r="CI67" s="1970"/>
      <c r="CJ67" s="1901">
        <f t="shared" si="10"/>
        <v>0</v>
      </c>
      <c r="CK67" s="1901">
        <f t="shared" si="11"/>
        <v>0</v>
      </c>
      <c r="CL67" s="1901">
        <f t="shared" si="12"/>
        <v>0</v>
      </c>
      <c r="CM67" s="1901">
        <f t="shared" si="13"/>
        <v>0</v>
      </c>
      <c r="CN67" s="1901">
        <f t="shared" si="13"/>
        <v>0</v>
      </c>
      <c r="CO67" s="3989">
        <f t="shared" si="35"/>
        <v>0</v>
      </c>
      <c r="CP67" s="1901">
        <f t="shared" si="14"/>
        <v>0</v>
      </c>
      <c r="CQ67" s="1901">
        <f t="shared" si="14"/>
        <v>0</v>
      </c>
    </row>
    <row r="68" spans="1:95" x14ac:dyDescent="0.3">
      <c r="A68" s="5790"/>
      <c r="B68" s="4176" t="s">
        <v>1404</v>
      </c>
      <c r="C68" s="3991">
        <f t="shared" si="0"/>
        <v>0</v>
      </c>
      <c r="D68" s="4061">
        <f t="shared" ref="D68:E73" si="37">SUM(J68+L68+N68+P68+R68+T68+V68+X68+Z68+AB68+AD68+AF68+AH68+AJ68+AL68)</f>
        <v>0</v>
      </c>
      <c r="E68" s="4177">
        <f t="shared" si="37"/>
        <v>0</v>
      </c>
      <c r="F68" s="1924"/>
      <c r="G68" s="4186"/>
      <c r="H68" s="1924"/>
      <c r="I68" s="4186"/>
      <c r="J68" s="3996"/>
      <c r="K68" s="2003"/>
      <c r="L68" s="3996"/>
      <c r="M68" s="2003"/>
      <c r="N68" s="3996"/>
      <c r="O68" s="2003"/>
      <c r="P68" s="3996"/>
      <c r="Q68" s="2003"/>
      <c r="R68" s="3996"/>
      <c r="S68" s="2003"/>
      <c r="T68" s="3996"/>
      <c r="U68" s="2003"/>
      <c r="V68" s="3996"/>
      <c r="W68" s="2003"/>
      <c r="X68" s="3996"/>
      <c r="Y68" s="2003"/>
      <c r="Z68" s="3996"/>
      <c r="AA68" s="2003"/>
      <c r="AB68" s="3996"/>
      <c r="AC68" s="2003"/>
      <c r="AD68" s="3996"/>
      <c r="AE68" s="2003"/>
      <c r="AF68" s="3996"/>
      <c r="AG68" s="2003"/>
      <c r="AH68" s="3996"/>
      <c r="AI68" s="2003"/>
      <c r="AJ68" s="3996"/>
      <c r="AK68" s="2003"/>
      <c r="AL68" s="4178"/>
      <c r="AM68" s="332"/>
      <c r="AN68" s="4179"/>
      <c r="AO68" s="214"/>
      <c r="AP68" s="29"/>
      <c r="AQ68" s="1952"/>
      <c r="AR68" s="1952"/>
      <c r="AS68" s="1952"/>
      <c r="AT68" s="1952"/>
      <c r="AU68" s="1952"/>
      <c r="AV68" s="1898" t="str">
        <f t="shared" si="33"/>
        <v/>
      </c>
      <c r="CA68" s="1899" t="str">
        <f t="shared" si="3"/>
        <v/>
      </c>
      <c r="CB68" s="1899" t="str">
        <f t="shared" si="4"/>
        <v/>
      </c>
      <c r="CC68" s="1899" t="str">
        <f t="shared" si="5"/>
        <v/>
      </c>
      <c r="CD68" s="1899" t="str">
        <f t="shared" si="6"/>
        <v/>
      </c>
      <c r="CE68" s="1899" t="str">
        <f t="shared" si="7"/>
        <v/>
      </c>
      <c r="CF68" s="4191" t="str">
        <f t="shared" si="34"/>
        <v/>
      </c>
      <c r="CG68" s="1899" t="str">
        <f t="shared" si="8"/>
        <v/>
      </c>
      <c r="CH68" s="1899" t="str">
        <f t="shared" si="9"/>
        <v/>
      </c>
      <c r="CI68" s="1970"/>
      <c r="CJ68" s="1901">
        <f t="shared" si="10"/>
        <v>0</v>
      </c>
      <c r="CK68" s="1901">
        <f t="shared" si="11"/>
        <v>0</v>
      </c>
      <c r="CL68" s="1901">
        <f t="shared" si="12"/>
        <v>0</v>
      </c>
      <c r="CM68" s="1901">
        <f t="shared" si="13"/>
        <v>0</v>
      </c>
      <c r="CN68" s="1901">
        <f t="shared" si="13"/>
        <v>0</v>
      </c>
      <c r="CO68" s="3989">
        <f t="shared" si="35"/>
        <v>0</v>
      </c>
      <c r="CP68" s="1901">
        <f t="shared" si="14"/>
        <v>0</v>
      </c>
      <c r="CQ68" s="1901">
        <f t="shared" si="14"/>
        <v>0</v>
      </c>
    </row>
    <row r="69" spans="1:95" x14ac:dyDescent="0.3">
      <c r="A69" s="5790"/>
      <c r="B69" s="4176" t="s">
        <v>65</v>
      </c>
      <c r="C69" s="3991">
        <f t="shared" si="0"/>
        <v>0</v>
      </c>
      <c r="D69" s="4061">
        <f t="shared" si="37"/>
        <v>0</v>
      </c>
      <c r="E69" s="4177">
        <f t="shared" si="37"/>
        <v>0</v>
      </c>
      <c r="F69" s="1924"/>
      <c r="G69" s="4186"/>
      <c r="H69" s="1924"/>
      <c r="I69" s="4186"/>
      <c r="J69" s="3996"/>
      <c r="K69" s="2003"/>
      <c r="L69" s="3996"/>
      <c r="M69" s="2003"/>
      <c r="N69" s="3996"/>
      <c r="O69" s="2003"/>
      <c r="P69" s="3996"/>
      <c r="Q69" s="2003"/>
      <c r="R69" s="3996"/>
      <c r="S69" s="2003"/>
      <c r="T69" s="3996"/>
      <c r="U69" s="2003"/>
      <c r="V69" s="3996"/>
      <c r="W69" s="2003"/>
      <c r="X69" s="3996"/>
      <c r="Y69" s="2003"/>
      <c r="Z69" s="3996"/>
      <c r="AA69" s="2003"/>
      <c r="AB69" s="3996"/>
      <c r="AC69" s="2003"/>
      <c r="AD69" s="3996"/>
      <c r="AE69" s="2003"/>
      <c r="AF69" s="3996"/>
      <c r="AG69" s="2003"/>
      <c r="AH69" s="3996"/>
      <c r="AI69" s="2003"/>
      <c r="AJ69" s="3996"/>
      <c r="AK69" s="2003"/>
      <c r="AL69" s="4178"/>
      <c r="AM69" s="332"/>
      <c r="AN69" s="4179"/>
      <c r="AO69" s="3987"/>
      <c r="AP69" s="330"/>
      <c r="AQ69" s="4051"/>
      <c r="AR69" s="4051"/>
      <c r="AS69" s="4051"/>
      <c r="AT69" s="4051"/>
      <c r="AU69" s="4051"/>
      <c r="AV69" s="1898" t="str">
        <f t="shared" si="33"/>
        <v/>
      </c>
      <c r="CA69" s="1899" t="str">
        <f t="shared" si="3"/>
        <v/>
      </c>
      <c r="CB69" s="1899" t="str">
        <f t="shared" si="4"/>
        <v/>
      </c>
      <c r="CC69" s="1899" t="str">
        <f t="shared" si="5"/>
        <v/>
      </c>
      <c r="CD69" s="1899" t="str">
        <f t="shared" si="6"/>
        <v/>
      </c>
      <c r="CE69" s="1899" t="str">
        <f t="shared" si="7"/>
        <v/>
      </c>
      <c r="CF69" s="4191" t="str">
        <f t="shared" si="34"/>
        <v/>
      </c>
      <c r="CG69" s="1899" t="str">
        <f t="shared" si="8"/>
        <v/>
      </c>
      <c r="CH69" s="1899" t="str">
        <f t="shared" si="9"/>
        <v/>
      </c>
      <c r="CI69" s="1970"/>
      <c r="CJ69" s="1901">
        <f t="shared" si="10"/>
        <v>0</v>
      </c>
      <c r="CK69" s="1901">
        <f t="shared" si="11"/>
        <v>0</v>
      </c>
      <c r="CL69" s="1901">
        <f t="shared" si="12"/>
        <v>0</v>
      </c>
      <c r="CM69" s="1901">
        <f t="shared" si="13"/>
        <v>0</v>
      </c>
      <c r="CN69" s="1901">
        <f t="shared" si="13"/>
        <v>0</v>
      </c>
      <c r="CO69" s="3989">
        <f t="shared" si="35"/>
        <v>0</v>
      </c>
      <c r="CP69" s="1901">
        <f t="shared" si="14"/>
        <v>0</v>
      </c>
      <c r="CQ69" s="1901">
        <f t="shared" si="14"/>
        <v>0</v>
      </c>
    </row>
    <row r="70" spans="1:95" x14ac:dyDescent="0.3">
      <c r="A70" s="5790"/>
      <c r="B70" s="4176" t="s">
        <v>2067</v>
      </c>
      <c r="C70" s="3991">
        <f t="shared" si="0"/>
        <v>0</v>
      </c>
      <c r="D70" s="4061">
        <f t="shared" si="37"/>
        <v>0</v>
      </c>
      <c r="E70" s="4177">
        <f t="shared" si="37"/>
        <v>0</v>
      </c>
      <c r="F70" s="1924"/>
      <c r="G70" s="4186"/>
      <c r="H70" s="1924"/>
      <c r="I70" s="4186"/>
      <c r="J70" s="3996"/>
      <c r="K70" s="2003"/>
      <c r="L70" s="3996"/>
      <c r="M70" s="2003"/>
      <c r="N70" s="3996"/>
      <c r="O70" s="2003"/>
      <c r="P70" s="3996"/>
      <c r="Q70" s="2003"/>
      <c r="R70" s="3996"/>
      <c r="S70" s="2003"/>
      <c r="T70" s="3996"/>
      <c r="U70" s="2003"/>
      <c r="V70" s="3996"/>
      <c r="W70" s="2003"/>
      <c r="X70" s="3996"/>
      <c r="Y70" s="2003"/>
      <c r="Z70" s="3996"/>
      <c r="AA70" s="2003"/>
      <c r="AB70" s="3996"/>
      <c r="AC70" s="2003"/>
      <c r="AD70" s="3996"/>
      <c r="AE70" s="2003"/>
      <c r="AF70" s="3996"/>
      <c r="AG70" s="2003"/>
      <c r="AH70" s="3996"/>
      <c r="AI70" s="2003"/>
      <c r="AJ70" s="3996"/>
      <c r="AK70" s="2003"/>
      <c r="AL70" s="4178"/>
      <c r="AM70" s="332"/>
      <c r="AN70" s="4179"/>
      <c r="AO70" s="3987"/>
      <c r="AP70" s="330"/>
      <c r="AQ70" s="4051"/>
      <c r="AR70" s="4051"/>
      <c r="AS70" s="4051"/>
      <c r="AT70" s="4051"/>
      <c r="AU70" s="4051"/>
      <c r="AV70" s="1898" t="str">
        <f t="shared" si="33"/>
        <v/>
      </c>
      <c r="CA70" s="1899" t="str">
        <f t="shared" si="3"/>
        <v/>
      </c>
      <c r="CB70" s="1899" t="str">
        <f t="shared" si="4"/>
        <v/>
      </c>
      <c r="CC70" s="1899" t="str">
        <f t="shared" si="5"/>
        <v/>
      </c>
      <c r="CD70" s="1899" t="str">
        <f t="shared" si="6"/>
        <v/>
      </c>
      <c r="CE70" s="1899" t="str">
        <f t="shared" si="7"/>
        <v/>
      </c>
      <c r="CF70" s="4191" t="str">
        <f t="shared" si="34"/>
        <v/>
      </c>
      <c r="CG70" s="1899" t="str">
        <f t="shared" si="8"/>
        <v/>
      </c>
      <c r="CH70" s="1899" t="str">
        <f t="shared" si="9"/>
        <v/>
      </c>
      <c r="CI70" s="1970"/>
      <c r="CJ70" s="1901">
        <f t="shared" si="10"/>
        <v>0</v>
      </c>
      <c r="CK70" s="1901">
        <f t="shared" si="11"/>
        <v>0</v>
      </c>
      <c r="CL70" s="1901">
        <f t="shared" si="12"/>
        <v>0</v>
      </c>
      <c r="CM70" s="1901">
        <f t="shared" si="13"/>
        <v>0</v>
      </c>
      <c r="CN70" s="1901">
        <f t="shared" si="13"/>
        <v>0</v>
      </c>
      <c r="CO70" s="3989">
        <f t="shared" si="35"/>
        <v>0</v>
      </c>
      <c r="CP70" s="1901">
        <f t="shared" si="14"/>
        <v>0</v>
      </c>
      <c r="CQ70" s="1901">
        <f t="shared" si="14"/>
        <v>0</v>
      </c>
    </row>
    <row r="71" spans="1:95" x14ac:dyDescent="0.3">
      <c r="A71" s="5790"/>
      <c r="B71" s="4176" t="s">
        <v>2073</v>
      </c>
      <c r="C71" s="3991">
        <f t="shared" si="0"/>
        <v>0</v>
      </c>
      <c r="D71" s="4061">
        <f t="shared" si="37"/>
        <v>0</v>
      </c>
      <c r="E71" s="4177">
        <f t="shared" si="37"/>
        <v>0</v>
      </c>
      <c r="F71" s="1924"/>
      <c r="G71" s="4186"/>
      <c r="H71" s="1924"/>
      <c r="I71" s="4186"/>
      <c r="J71" s="3996"/>
      <c r="K71" s="2003"/>
      <c r="L71" s="3996"/>
      <c r="M71" s="2003"/>
      <c r="N71" s="3996"/>
      <c r="O71" s="2003"/>
      <c r="P71" s="3996"/>
      <c r="Q71" s="2003"/>
      <c r="R71" s="3996"/>
      <c r="S71" s="2003"/>
      <c r="T71" s="3996"/>
      <c r="U71" s="2003"/>
      <c r="V71" s="3996"/>
      <c r="W71" s="2003"/>
      <c r="X71" s="3996"/>
      <c r="Y71" s="2003"/>
      <c r="Z71" s="3996"/>
      <c r="AA71" s="2003"/>
      <c r="AB71" s="3996"/>
      <c r="AC71" s="2003"/>
      <c r="AD71" s="3996"/>
      <c r="AE71" s="2003"/>
      <c r="AF71" s="3996"/>
      <c r="AG71" s="2003"/>
      <c r="AH71" s="3996"/>
      <c r="AI71" s="2003"/>
      <c r="AJ71" s="3996"/>
      <c r="AK71" s="2003"/>
      <c r="AL71" s="4178"/>
      <c r="AM71" s="332"/>
      <c r="AN71" s="4179"/>
      <c r="AO71" s="3987"/>
      <c r="AP71" s="330"/>
      <c r="AQ71" s="4051"/>
      <c r="AR71" s="4051"/>
      <c r="AS71" s="4051"/>
      <c r="AT71" s="4051"/>
      <c r="AU71" s="4051"/>
      <c r="AV71" s="1898" t="str">
        <f t="shared" si="33"/>
        <v/>
      </c>
      <c r="CA71" s="1899" t="str">
        <f t="shared" si="3"/>
        <v/>
      </c>
      <c r="CB71" s="1899" t="str">
        <f t="shared" si="4"/>
        <v/>
      </c>
      <c r="CC71" s="1899" t="str">
        <f t="shared" si="5"/>
        <v/>
      </c>
      <c r="CD71" s="1899" t="str">
        <f t="shared" si="6"/>
        <v/>
      </c>
      <c r="CE71" s="1899" t="str">
        <f t="shared" si="7"/>
        <v/>
      </c>
      <c r="CF71" s="4191" t="str">
        <f t="shared" si="34"/>
        <v/>
      </c>
      <c r="CG71" s="1899" t="str">
        <f t="shared" si="8"/>
        <v/>
      </c>
      <c r="CH71" s="1899" t="str">
        <f t="shared" si="9"/>
        <v/>
      </c>
      <c r="CI71" s="1970"/>
      <c r="CJ71" s="1901">
        <f t="shared" si="10"/>
        <v>0</v>
      </c>
      <c r="CK71" s="1901">
        <f t="shared" si="11"/>
        <v>0</v>
      </c>
      <c r="CL71" s="1901">
        <f t="shared" si="12"/>
        <v>0</v>
      </c>
      <c r="CM71" s="1901">
        <f t="shared" si="13"/>
        <v>0</v>
      </c>
      <c r="CN71" s="1901">
        <f t="shared" si="13"/>
        <v>0</v>
      </c>
      <c r="CO71" s="3989">
        <f t="shared" si="35"/>
        <v>0</v>
      </c>
      <c r="CP71" s="1901">
        <f t="shared" si="14"/>
        <v>0</v>
      </c>
      <c r="CQ71" s="1901">
        <f t="shared" si="14"/>
        <v>0</v>
      </c>
    </row>
    <row r="72" spans="1:95" x14ac:dyDescent="0.3">
      <c r="A72" s="5790"/>
      <c r="B72" s="4060" t="s">
        <v>2065</v>
      </c>
      <c r="C72" s="231">
        <f t="shared" si="0"/>
        <v>0</v>
      </c>
      <c r="D72" s="4061">
        <f t="shared" si="37"/>
        <v>0</v>
      </c>
      <c r="E72" s="4182">
        <f t="shared" si="37"/>
        <v>0</v>
      </c>
      <c r="F72" s="1924"/>
      <c r="G72" s="4186"/>
      <c r="H72" s="1924"/>
      <c r="I72" s="4186"/>
      <c r="J72" s="212"/>
      <c r="K72" s="1161"/>
      <c r="L72" s="212"/>
      <c r="M72" s="1161"/>
      <c r="N72" s="212"/>
      <c r="O72" s="1161"/>
      <c r="P72" s="212"/>
      <c r="Q72" s="1161"/>
      <c r="R72" s="212"/>
      <c r="S72" s="1161"/>
      <c r="T72" s="212"/>
      <c r="U72" s="1161"/>
      <c r="V72" s="212"/>
      <c r="W72" s="1161"/>
      <c r="X72" s="212"/>
      <c r="Y72" s="1161"/>
      <c r="Z72" s="212"/>
      <c r="AA72" s="1161"/>
      <c r="AB72" s="212"/>
      <c r="AC72" s="1161"/>
      <c r="AD72" s="212"/>
      <c r="AE72" s="1161"/>
      <c r="AF72" s="212"/>
      <c r="AG72" s="1161"/>
      <c r="AH72" s="212"/>
      <c r="AI72" s="1161"/>
      <c r="AJ72" s="212"/>
      <c r="AK72" s="1161"/>
      <c r="AL72" s="2244"/>
      <c r="AM72" s="2444"/>
      <c r="AN72" s="4179"/>
      <c r="AO72" s="1162"/>
      <c r="AP72" s="34"/>
      <c r="AQ72" s="4192"/>
      <c r="AR72" s="4192"/>
      <c r="AS72" s="4192"/>
      <c r="AT72" s="4192"/>
      <c r="AU72" s="4192"/>
      <c r="AV72" s="1898" t="str">
        <f t="shared" si="33"/>
        <v/>
      </c>
      <c r="CA72" s="1899" t="str">
        <f t="shared" si="3"/>
        <v/>
      </c>
      <c r="CB72" s="1899" t="str">
        <f t="shared" si="4"/>
        <v/>
      </c>
      <c r="CC72" s="1899" t="str">
        <f t="shared" si="5"/>
        <v/>
      </c>
      <c r="CD72" s="1899" t="str">
        <f t="shared" si="6"/>
        <v/>
      </c>
      <c r="CE72" s="1899" t="str">
        <f t="shared" si="7"/>
        <v/>
      </c>
      <c r="CF72" s="4191" t="str">
        <f t="shared" si="34"/>
        <v/>
      </c>
      <c r="CG72" s="1899" t="str">
        <f t="shared" si="8"/>
        <v/>
      </c>
      <c r="CH72" s="1899" t="str">
        <f t="shared" si="9"/>
        <v/>
      </c>
      <c r="CI72" s="1970"/>
      <c r="CJ72" s="1901">
        <f t="shared" si="10"/>
        <v>0</v>
      </c>
      <c r="CK72" s="1901">
        <f t="shared" si="11"/>
        <v>0</v>
      </c>
      <c r="CL72" s="1901">
        <f t="shared" si="12"/>
        <v>0</v>
      </c>
      <c r="CM72" s="1901">
        <f t="shared" si="13"/>
        <v>0</v>
      </c>
      <c r="CN72" s="1901">
        <f t="shared" si="13"/>
        <v>0</v>
      </c>
      <c r="CO72" s="3989">
        <f t="shared" si="35"/>
        <v>0</v>
      </c>
      <c r="CP72" s="1901">
        <f t="shared" si="14"/>
        <v>0</v>
      </c>
      <c r="CQ72" s="1901">
        <f t="shared" si="14"/>
        <v>0</v>
      </c>
    </row>
    <row r="73" spans="1:95" x14ac:dyDescent="0.3">
      <c r="A73" s="6574"/>
      <c r="B73" s="518" t="s">
        <v>2064</v>
      </c>
      <c r="C73" s="638">
        <f t="shared" si="0"/>
        <v>0</v>
      </c>
      <c r="D73" s="4077">
        <f t="shared" si="37"/>
        <v>0</v>
      </c>
      <c r="E73" s="4184">
        <f t="shared" si="37"/>
        <v>0</v>
      </c>
      <c r="F73" s="1905"/>
      <c r="G73" s="2020"/>
      <c r="H73" s="1905"/>
      <c r="I73" s="2020"/>
      <c r="J73" s="876"/>
      <c r="K73" s="2009"/>
      <c r="L73" s="876"/>
      <c r="M73" s="2009"/>
      <c r="N73" s="876"/>
      <c r="O73" s="2009"/>
      <c r="P73" s="876"/>
      <c r="Q73" s="2009"/>
      <c r="R73" s="876"/>
      <c r="S73" s="2009"/>
      <c r="T73" s="876"/>
      <c r="U73" s="2009"/>
      <c r="V73" s="876"/>
      <c r="W73" s="2009"/>
      <c r="X73" s="876"/>
      <c r="Y73" s="2009"/>
      <c r="Z73" s="876"/>
      <c r="AA73" s="2009"/>
      <c r="AB73" s="876"/>
      <c r="AC73" s="2009"/>
      <c r="AD73" s="876"/>
      <c r="AE73" s="2009"/>
      <c r="AF73" s="876"/>
      <c r="AG73" s="2009"/>
      <c r="AH73" s="876"/>
      <c r="AI73" s="2009"/>
      <c r="AJ73" s="876"/>
      <c r="AK73" s="2009"/>
      <c r="AL73" s="2049"/>
      <c r="AM73" s="1953"/>
      <c r="AN73" s="2320"/>
      <c r="AO73" s="1911"/>
      <c r="AP73" s="877"/>
      <c r="AQ73" s="1954"/>
      <c r="AR73" s="1954"/>
      <c r="AS73" s="1954"/>
      <c r="AT73" s="1954"/>
      <c r="AU73" s="1954"/>
      <c r="AV73" s="1898" t="str">
        <f t="shared" si="33"/>
        <v/>
      </c>
      <c r="CA73" s="1899" t="str">
        <f t="shared" si="3"/>
        <v/>
      </c>
      <c r="CB73" s="1899" t="str">
        <f t="shared" si="4"/>
        <v/>
      </c>
      <c r="CC73" s="1899" t="str">
        <f t="shared" si="5"/>
        <v/>
      </c>
      <c r="CD73" s="1899" t="str">
        <f t="shared" si="6"/>
        <v/>
      </c>
      <c r="CE73" s="1899" t="str">
        <f t="shared" si="7"/>
        <v/>
      </c>
      <c r="CF73" s="4191" t="str">
        <f t="shared" si="34"/>
        <v/>
      </c>
      <c r="CG73" s="1899" t="str">
        <f t="shared" si="8"/>
        <v/>
      </c>
      <c r="CH73" s="1899" t="str">
        <f t="shared" si="9"/>
        <v/>
      </c>
      <c r="CI73" s="1970"/>
      <c r="CJ73" s="1901">
        <f t="shared" si="10"/>
        <v>0</v>
      </c>
      <c r="CK73" s="1901">
        <f t="shared" si="11"/>
        <v>0</v>
      </c>
      <c r="CL73" s="1901">
        <f t="shared" si="12"/>
        <v>0</v>
      </c>
      <c r="CM73" s="1901">
        <f t="shared" si="13"/>
        <v>0</v>
      </c>
      <c r="CN73" s="1901">
        <f t="shared" si="13"/>
        <v>0</v>
      </c>
      <c r="CO73" s="3989">
        <f t="shared" si="35"/>
        <v>0</v>
      </c>
      <c r="CP73" s="1901">
        <f t="shared" si="14"/>
        <v>0</v>
      </c>
      <c r="CQ73" s="1901">
        <f t="shared" si="14"/>
        <v>0</v>
      </c>
    </row>
    <row r="74" spans="1:95" x14ac:dyDescent="0.3">
      <c r="A74" s="6896" t="s">
        <v>4353</v>
      </c>
      <c r="B74" s="3448" t="s">
        <v>2074</v>
      </c>
      <c r="C74" s="3308">
        <f>SUM(D74+E74)</f>
        <v>0</v>
      </c>
      <c r="D74" s="4197"/>
      <c r="E74" s="4168">
        <f>SUM(K74+M74+O74+Q74+S74+U74+W74+Y74+AA74+AC74)</f>
        <v>0</v>
      </c>
      <c r="F74" s="4033"/>
      <c r="G74" s="4185"/>
      <c r="H74" s="4033"/>
      <c r="I74" s="4185"/>
      <c r="J74" s="4033"/>
      <c r="K74" s="4012"/>
      <c r="L74" s="4033"/>
      <c r="M74" s="4012"/>
      <c r="N74" s="4033"/>
      <c r="O74" s="4012"/>
      <c r="P74" s="4033"/>
      <c r="Q74" s="4012"/>
      <c r="R74" s="4033"/>
      <c r="S74" s="4012"/>
      <c r="T74" s="4033"/>
      <c r="U74" s="4012"/>
      <c r="V74" s="4033"/>
      <c r="W74" s="4012"/>
      <c r="X74" s="4033"/>
      <c r="Y74" s="4012"/>
      <c r="Z74" s="4033"/>
      <c r="AA74" s="4012"/>
      <c r="AB74" s="4033"/>
      <c r="AC74" s="1161"/>
      <c r="AD74" s="2345"/>
      <c r="AE74" s="2347"/>
      <c r="AF74" s="4023"/>
      <c r="AG74" s="1033"/>
      <c r="AH74" s="4023"/>
      <c r="AI74" s="1033"/>
      <c r="AJ74" s="4023"/>
      <c r="AK74" s="1033"/>
      <c r="AL74" s="4193"/>
      <c r="AM74" s="1014"/>
      <c r="AN74" s="2069"/>
      <c r="AO74" s="4036"/>
      <c r="AP74" s="4013"/>
      <c r="AQ74" s="4174"/>
      <c r="AR74" s="4174"/>
      <c r="AS74" s="4174"/>
      <c r="AT74" s="4174"/>
      <c r="AU74" s="4174"/>
      <c r="AV74" s="1898" t="str">
        <f t="shared" si="33"/>
        <v/>
      </c>
      <c r="CA74" s="1899" t="str">
        <f t="shared" si="3"/>
        <v/>
      </c>
      <c r="CB74" s="1899" t="str">
        <f t="shared" si="4"/>
        <v/>
      </c>
      <c r="CC74" s="1979"/>
      <c r="CD74" s="1899" t="str">
        <f t="shared" si="6"/>
        <v/>
      </c>
      <c r="CE74" s="1899" t="str">
        <f t="shared" si="7"/>
        <v/>
      </c>
      <c r="CF74" s="4191" t="str">
        <f t="shared" si="34"/>
        <v/>
      </c>
      <c r="CG74" s="1899" t="str">
        <f t="shared" si="8"/>
        <v/>
      </c>
      <c r="CH74" s="1899" t="str">
        <f t="shared" si="9"/>
        <v/>
      </c>
      <c r="CI74" s="1970"/>
      <c r="CJ74" s="1901">
        <f t="shared" si="10"/>
        <v>0</v>
      </c>
      <c r="CK74" s="1901">
        <f t="shared" si="11"/>
        <v>0</v>
      </c>
      <c r="CL74" s="3027"/>
      <c r="CM74" s="1901">
        <f t="shared" si="13"/>
        <v>0</v>
      </c>
      <c r="CN74" s="1901">
        <f t="shared" si="13"/>
        <v>0</v>
      </c>
      <c r="CO74" s="3989">
        <f t="shared" si="35"/>
        <v>0</v>
      </c>
      <c r="CP74" s="1901">
        <f t="shared" si="14"/>
        <v>0</v>
      </c>
      <c r="CQ74" s="1901">
        <f t="shared" si="14"/>
        <v>0</v>
      </c>
    </row>
    <row r="75" spans="1:95" x14ac:dyDescent="0.3">
      <c r="A75" s="5790"/>
      <c r="B75" s="4176" t="s">
        <v>2075</v>
      </c>
      <c r="C75" s="199">
        <f t="shared" si="0"/>
        <v>0</v>
      </c>
      <c r="D75" s="1925"/>
      <c r="E75" s="4182">
        <f>SUM(K75+M75+O75+Q75+S75+U75+W75+Y75+AA75+AC75)</f>
        <v>0</v>
      </c>
      <c r="F75" s="1924"/>
      <c r="G75" s="4186"/>
      <c r="H75" s="1924"/>
      <c r="I75" s="4186"/>
      <c r="J75" s="1924"/>
      <c r="K75" s="2003"/>
      <c r="L75" s="1924"/>
      <c r="M75" s="2003"/>
      <c r="N75" s="1924"/>
      <c r="O75" s="2003"/>
      <c r="P75" s="1924"/>
      <c r="Q75" s="2003"/>
      <c r="R75" s="1924"/>
      <c r="S75" s="2003"/>
      <c r="T75" s="1924"/>
      <c r="U75" s="2003"/>
      <c r="V75" s="1924"/>
      <c r="W75" s="2003"/>
      <c r="X75" s="1924"/>
      <c r="Y75" s="2003"/>
      <c r="Z75" s="1924"/>
      <c r="AA75" s="2003"/>
      <c r="AB75" s="1924"/>
      <c r="AC75" s="1161"/>
      <c r="AD75" s="2345"/>
      <c r="AE75" s="2347"/>
      <c r="AF75" s="3992"/>
      <c r="AG75" s="2002"/>
      <c r="AH75" s="3992"/>
      <c r="AI75" s="2002"/>
      <c r="AJ75" s="3992"/>
      <c r="AK75" s="2002"/>
      <c r="AL75" s="4194"/>
      <c r="AM75" s="2055"/>
      <c r="AN75" s="4179"/>
      <c r="AO75" s="3987"/>
      <c r="AP75" s="330"/>
      <c r="AQ75" s="4051"/>
      <c r="AR75" s="4051"/>
      <c r="AS75" s="4051"/>
      <c r="AT75" s="4051"/>
      <c r="AU75" s="4051"/>
      <c r="AV75" s="1898" t="str">
        <f t="shared" si="33"/>
        <v/>
      </c>
      <c r="CA75" s="1899" t="str">
        <f t="shared" si="3"/>
        <v/>
      </c>
      <c r="CB75" s="1899" t="str">
        <f t="shared" si="4"/>
        <v/>
      </c>
      <c r="CC75" s="1979"/>
      <c r="CD75" s="1899" t="str">
        <f t="shared" si="6"/>
        <v/>
      </c>
      <c r="CE75" s="1899" t="str">
        <f t="shared" si="7"/>
        <v/>
      </c>
      <c r="CF75" s="4191" t="str">
        <f t="shared" si="34"/>
        <v/>
      </c>
      <c r="CG75" s="1899" t="str">
        <f t="shared" si="8"/>
        <v/>
      </c>
      <c r="CH75" s="1899" t="str">
        <f t="shared" si="9"/>
        <v/>
      </c>
      <c r="CI75" s="1970"/>
      <c r="CJ75" s="1901">
        <f t="shared" si="10"/>
        <v>0</v>
      </c>
      <c r="CK75" s="1901">
        <f t="shared" si="11"/>
        <v>0</v>
      </c>
      <c r="CL75" s="3027"/>
      <c r="CM75" s="1901">
        <f t="shared" si="13"/>
        <v>0</v>
      </c>
      <c r="CN75" s="1901">
        <f t="shared" si="13"/>
        <v>0</v>
      </c>
      <c r="CO75" s="3989">
        <f t="shared" si="35"/>
        <v>0</v>
      </c>
      <c r="CP75" s="1901">
        <f t="shared" si="14"/>
        <v>0</v>
      </c>
      <c r="CQ75" s="1901">
        <f t="shared" si="14"/>
        <v>0</v>
      </c>
    </row>
    <row r="76" spans="1:95" x14ac:dyDescent="0.3">
      <c r="A76" s="5790"/>
      <c r="B76" s="4198" t="s">
        <v>2076</v>
      </c>
      <c r="C76" s="199">
        <f>SUM(D76+E76)</f>
        <v>0</v>
      </c>
      <c r="D76" s="4001"/>
      <c r="E76" s="4182">
        <f>SUM(K76+M76+O76+Q76+S76+U76+W76+Y76+AA76+AC76)</f>
        <v>0</v>
      </c>
      <c r="F76" s="3992"/>
      <c r="G76" s="1978"/>
      <c r="H76" s="3992"/>
      <c r="I76" s="1978"/>
      <c r="J76" s="3992"/>
      <c r="K76" s="2003"/>
      <c r="L76" s="3992"/>
      <c r="M76" s="2003"/>
      <c r="N76" s="3992"/>
      <c r="O76" s="2003"/>
      <c r="P76" s="3992"/>
      <c r="Q76" s="2003"/>
      <c r="R76" s="3992"/>
      <c r="S76" s="2003"/>
      <c r="T76" s="3992"/>
      <c r="U76" s="2003"/>
      <c r="V76" s="3992"/>
      <c r="W76" s="2003"/>
      <c r="X76" s="3992"/>
      <c r="Y76" s="2003"/>
      <c r="Z76" s="3992"/>
      <c r="AA76" s="2003"/>
      <c r="AB76" s="3992"/>
      <c r="AC76" s="1161"/>
      <c r="AD76" s="2345"/>
      <c r="AE76" s="2347"/>
      <c r="AF76" s="3992"/>
      <c r="AG76" s="2002"/>
      <c r="AH76" s="3992"/>
      <c r="AI76" s="2002"/>
      <c r="AJ76" s="3992"/>
      <c r="AK76" s="2002"/>
      <c r="AL76" s="4194"/>
      <c r="AM76" s="2055"/>
      <c r="AN76" s="4179"/>
      <c r="AO76" s="1162"/>
      <c r="AP76" s="34"/>
      <c r="AQ76" s="4192"/>
      <c r="AR76" s="4192"/>
      <c r="AS76" s="4192"/>
      <c r="AT76" s="4192"/>
      <c r="AU76" s="4192"/>
      <c r="AV76" s="1898" t="str">
        <f t="shared" si="33"/>
        <v/>
      </c>
      <c r="CA76" s="1899" t="str">
        <f t="shared" si="3"/>
        <v/>
      </c>
      <c r="CB76" s="1899" t="str">
        <f t="shared" si="4"/>
        <v/>
      </c>
      <c r="CC76" s="1979"/>
      <c r="CD76" s="1899" t="str">
        <f t="shared" si="6"/>
        <v/>
      </c>
      <c r="CE76" s="1899" t="str">
        <f t="shared" si="7"/>
        <v/>
      </c>
      <c r="CF76" s="4191" t="str">
        <f t="shared" si="34"/>
        <v/>
      </c>
      <c r="CG76" s="1899" t="str">
        <f t="shared" si="8"/>
        <v/>
      </c>
      <c r="CH76" s="1899" t="str">
        <f t="shared" si="9"/>
        <v/>
      </c>
      <c r="CI76" s="1970"/>
      <c r="CJ76" s="1901">
        <f t="shared" si="10"/>
        <v>0</v>
      </c>
      <c r="CK76" s="1901">
        <f t="shared" si="11"/>
        <v>0</v>
      </c>
      <c r="CL76" s="3027"/>
      <c r="CM76" s="1901">
        <f t="shared" si="13"/>
        <v>0</v>
      </c>
      <c r="CN76" s="1901">
        <f t="shared" si="13"/>
        <v>0</v>
      </c>
      <c r="CO76" s="3989">
        <f t="shared" si="35"/>
        <v>0</v>
      </c>
      <c r="CP76" s="1901">
        <f t="shared" si="14"/>
        <v>0</v>
      </c>
      <c r="CQ76" s="1901">
        <f t="shared" si="14"/>
        <v>0</v>
      </c>
    </row>
    <row r="77" spans="1:95" x14ac:dyDescent="0.3">
      <c r="A77" s="5790"/>
      <c r="B77" s="4060" t="s">
        <v>2077</v>
      </c>
      <c r="C77" s="3991">
        <f>SUM(D77+E77)</f>
        <v>0</v>
      </c>
      <c r="D77" s="1925"/>
      <c r="E77" s="4182">
        <f>SUM(K77+M77+O77+Q77+S77+U77+W77+Y77+AA77+AC77)</f>
        <v>0</v>
      </c>
      <c r="F77" s="1924"/>
      <c r="G77" s="4186"/>
      <c r="H77" s="1924"/>
      <c r="I77" s="4186"/>
      <c r="J77" s="1924"/>
      <c r="K77" s="1161"/>
      <c r="L77" s="1924"/>
      <c r="M77" s="1161"/>
      <c r="N77" s="1924"/>
      <c r="O77" s="1161"/>
      <c r="P77" s="1924"/>
      <c r="Q77" s="1161"/>
      <c r="R77" s="1924"/>
      <c r="S77" s="1161"/>
      <c r="T77" s="1924"/>
      <c r="U77" s="1161"/>
      <c r="V77" s="1924"/>
      <c r="W77" s="1161"/>
      <c r="X77" s="1924"/>
      <c r="Y77" s="1161"/>
      <c r="Z77" s="1924"/>
      <c r="AA77" s="1161"/>
      <c r="AB77" s="1924"/>
      <c r="AC77" s="1161"/>
      <c r="AD77" s="2345"/>
      <c r="AE77" s="2347"/>
      <c r="AF77" s="3992"/>
      <c r="AG77" s="2002"/>
      <c r="AH77" s="3992"/>
      <c r="AI77" s="2002"/>
      <c r="AJ77" s="3992"/>
      <c r="AK77" s="2002"/>
      <c r="AL77" s="4194"/>
      <c r="AM77" s="2055"/>
      <c r="AN77" s="4179"/>
      <c r="AO77" s="1162"/>
      <c r="AP77" s="34"/>
      <c r="AQ77" s="4192"/>
      <c r="AR77" s="4192"/>
      <c r="AS77" s="4192"/>
      <c r="AT77" s="4192"/>
      <c r="AU77" s="4192"/>
      <c r="AV77" s="1898" t="str">
        <f t="shared" si="33"/>
        <v/>
      </c>
      <c r="CA77" s="1899" t="str">
        <f t="shared" si="3"/>
        <v/>
      </c>
      <c r="CB77" s="1899" t="str">
        <f t="shared" si="4"/>
        <v/>
      </c>
      <c r="CC77" s="1979"/>
      <c r="CD77" s="1899" t="str">
        <f t="shared" si="6"/>
        <v/>
      </c>
      <c r="CE77" s="1899" t="str">
        <f t="shared" si="7"/>
        <v/>
      </c>
      <c r="CF77" s="4191" t="str">
        <f t="shared" si="34"/>
        <v/>
      </c>
      <c r="CG77" s="1899" t="str">
        <f t="shared" si="8"/>
        <v/>
      </c>
      <c r="CH77" s="1899" t="str">
        <f t="shared" si="9"/>
        <v/>
      </c>
      <c r="CI77" s="1970"/>
      <c r="CJ77" s="1901">
        <f t="shared" si="10"/>
        <v>0</v>
      </c>
      <c r="CK77" s="1901">
        <f t="shared" si="11"/>
        <v>0</v>
      </c>
      <c r="CL77" s="3027"/>
      <c r="CM77" s="1901">
        <f t="shared" si="13"/>
        <v>0</v>
      </c>
      <c r="CN77" s="1901">
        <f t="shared" si="13"/>
        <v>0</v>
      </c>
      <c r="CO77" s="3989">
        <f t="shared" si="35"/>
        <v>0</v>
      </c>
      <c r="CP77" s="1901">
        <f t="shared" si="14"/>
        <v>0</v>
      </c>
      <c r="CQ77" s="1901">
        <f t="shared" si="14"/>
        <v>0</v>
      </c>
    </row>
    <row r="78" spans="1:95" x14ac:dyDescent="0.3">
      <c r="A78" s="6574"/>
      <c r="B78" s="3190" t="s">
        <v>2065</v>
      </c>
      <c r="C78" s="1083">
        <f>SUM(D78+E78)</f>
        <v>0</v>
      </c>
      <c r="D78" s="1906"/>
      <c r="E78" s="4184">
        <f>SUM(K78+M78+O78+Q78+S78+U78+W78+Y78+AA78+AC78)</f>
        <v>0</v>
      </c>
      <c r="F78" s="1905"/>
      <c r="G78" s="2020"/>
      <c r="H78" s="1905"/>
      <c r="I78" s="2020"/>
      <c r="J78" s="1905"/>
      <c r="K78" s="2009"/>
      <c r="L78" s="1905"/>
      <c r="M78" s="2009"/>
      <c r="N78" s="1905"/>
      <c r="O78" s="2009"/>
      <c r="P78" s="1905"/>
      <c r="Q78" s="2009"/>
      <c r="R78" s="1905"/>
      <c r="S78" s="2009"/>
      <c r="T78" s="1905"/>
      <c r="U78" s="2009"/>
      <c r="V78" s="1905"/>
      <c r="W78" s="2009"/>
      <c r="X78" s="1905"/>
      <c r="Y78" s="2009"/>
      <c r="Z78" s="1905"/>
      <c r="AA78" s="2009"/>
      <c r="AB78" s="1905"/>
      <c r="AC78" s="2009"/>
      <c r="AD78" s="1942"/>
      <c r="AE78" s="4199"/>
      <c r="AF78" s="1905"/>
      <c r="AG78" s="2021"/>
      <c r="AH78" s="1905"/>
      <c r="AI78" s="2021"/>
      <c r="AJ78" s="1905"/>
      <c r="AK78" s="2021"/>
      <c r="AL78" s="2059"/>
      <c r="AM78" s="1910"/>
      <c r="AN78" s="2320"/>
      <c r="AO78" s="1911"/>
      <c r="AP78" s="877"/>
      <c r="AQ78" s="1954"/>
      <c r="AR78" s="1954"/>
      <c r="AS78" s="1954"/>
      <c r="AT78" s="1954"/>
      <c r="AU78" s="1954"/>
      <c r="AV78" s="1898" t="str">
        <f t="shared" si="33"/>
        <v/>
      </c>
      <c r="CA78" s="1899" t="str">
        <f t="shared" si="3"/>
        <v/>
      </c>
      <c r="CB78" s="1899" t="str">
        <f t="shared" si="4"/>
        <v/>
      </c>
      <c r="CC78" s="1979"/>
      <c r="CD78" s="1899" t="str">
        <f t="shared" si="6"/>
        <v/>
      </c>
      <c r="CE78" s="1899" t="str">
        <f t="shared" si="7"/>
        <v/>
      </c>
      <c r="CF78" s="4191" t="str">
        <f t="shared" si="34"/>
        <v/>
      </c>
      <c r="CG78" s="1899" t="str">
        <f t="shared" si="8"/>
        <v/>
      </c>
      <c r="CH78" s="1899" t="str">
        <f t="shared" si="9"/>
        <v/>
      </c>
      <c r="CI78" s="1970"/>
      <c r="CJ78" s="1901">
        <f t="shared" si="10"/>
        <v>0</v>
      </c>
      <c r="CK78" s="1901">
        <f t="shared" si="11"/>
        <v>0</v>
      </c>
      <c r="CL78" s="3027"/>
      <c r="CM78" s="1901">
        <f t="shared" si="13"/>
        <v>0</v>
      </c>
      <c r="CN78" s="1901">
        <f t="shared" si="13"/>
        <v>0</v>
      </c>
      <c r="CO78" s="3989">
        <f t="shared" si="35"/>
        <v>0</v>
      </c>
      <c r="CP78" s="1901">
        <f t="shared" si="14"/>
        <v>0</v>
      </c>
      <c r="CQ78" s="1901">
        <f t="shared" si="14"/>
        <v>0</v>
      </c>
    </row>
    <row r="79" spans="1:95" x14ac:dyDescent="0.3">
      <c r="A79" s="5790" t="s">
        <v>2078</v>
      </c>
      <c r="B79" s="3448" t="s">
        <v>64</v>
      </c>
      <c r="C79" s="3542">
        <f t="shared" ref="C79:C89" si="38">SUM(D79+E79)</f>
        <v>0</v>
      </c>
      <c r="D79" s="2326">
        <f>+F79+H79+J79+L79+N79+P79+R79+T79+V79+X79+Z79+AB79+AD79+AF79+AH79+AJ79+AL79</f>
        <v>0</v>
      </c>
      <c r="E79" s="3539">
        <f>+G79+I79+K79+M79+O79+Q79+S79+U79+W79+Y79+AA79+AC79+AE79+AG79+AI79+AK79+AM79</f>
        <v>0</v>
      </c>
      <c r="F79" s="290"/>
      <c r="G79" s="107"/>
      <c r="H79" s="290"/>
      <c r="I79" s="107"/>
      <c r="J79" s="290"/>
      <c r="K79" s="107"/>
      <c r="L79" s="290"/>
      <c r="M79" s="107"/>
      <c r="N79" s="290"/>
      <c r="O79" s="107"/>
      <c r="P79" s="290"/>
      <c r="Q79" s="107"/>
      <c r="R79" s="290"/>
      <c r="S79" s="107"/>
      <c r="T79" s="290"/>
      <c r="U79" s="107"/>
      <c r="V79" s="290"/>
      <c r="W79" s="107"/>
      <c r="X79" s="290"/>
      <c r="Y79" s="107"/>
      <c r="Z79" s="290"/>
      <c r="AA79" s="107"/>
      <c r="AB79" s="290"/>
      <c r="AC79" s="107"/>
      <c r="AD79" s="290"/>
      <c r="AE79" s="107"/>
      <c r="AF79" s="290"/>
      <c r="AG79" s="107"/>
      <c r="AH79" s="290"/>
      <c r="AI79" s="107"/>
      <c r="AJ79" s="290"/>
      <c r="AK79" s="107"/>
      <c r="AL79" s="290"/>
      <c r="AM79" s="107"/>
      <c r="AN79" s="4179"/>
      <c r="AO79" s="1162"/>
      <c r="AP79" s="34"/>
      <c r="AQ79" s="4192"/>
      <c r="AR79" s="4192"/>
      <c r="AS79" s="4192"/>
      <c r="AT79" s="4192"/>
      <c r="AU79" s="4192"/>
      <c r="AV79" s="1898" t="str">
        <f t="shared" si="33"/>
        <v/>
      </c>
      <c r="CA79" s="1899" t="str">
        <f>IF(AND($C79&lt;&gt;0,AN79=""),"* No olvide ingresar la columna Espacios Amigables /adolescentes (Digite CERO si no tiene). ",IF(AN79&gt;$C79,"* El Número de Espacios Amigables no puede superar el Total. ",""))</f>
        <v/>
      </c>
      <c r="CB79" s="1899" t="str">
        <f t="shared" si="4"/>
        <v/>
      </c>
      <c r="CC79" s="1899" t="str">
        <f t="shared" si="5"/>
        <v/>
      </c>
      <c r="CD79" s="1899" t="str">
        <f t="shared" si="6"/>
        <v/>
      </c>
      <c r="CE79" s="1899" t="str">
        <f t="shared" si="7"/>
        <v/>
      </c>
      <c r="CF79" s="4191" t="str">
        <f t="shared" si="34"/>
        <v/>
      </c>
      <c r="CG79" s="1899" t="str">
        <f t="shared" si="8"/>
        <v/>
      </c>
      <c r="CH79" s="1899" t="str">
        <f t="shared" si="9"/>
        <v/>
      </c>
      <c r="CI79" s="1970"/>
      <c r="CJ79" s="1901">
        <f t="shared" si="10"/>
        <v>0</v>
      </c>
      <c r="CK79" s="1901">
        <f t="shared" si="11"/>
        <v>0</v>
      </c>
      <c r="CL79" s="1901">
        <f t="shared" si="12"/>
        <v>0</v>
      </c>
      <c r="CM79" s="1901">
        <f t="shared" si="13"/>
        <v>0</v>
      </c>
      <c r="CN79" s="1901">
        <f t="shared" si="13"/>
        <v>0</v>
      </c>
      <c r="CO79" s="3989">
        <f t="shared" si="35"/>
        <v>0</v>
      </c>
      <c r="CP79" s="1901">
        <f t="shared" si="14"/>
        <v>0</v>
      </c>
      <c r="CQ79" s="1901">
        <f t="shared" si="14"/>
        <v>0</v>
      </c>
    </row>
    <row r="80" spans="1:95" x14ac:dyDescent="0.3">
      <c r="A80" s="5790"/>
      <c r="B80" s="4176" t="s">
        <v>98</v>
      </c>
      <c r="C80" s="4200">
        <f t="shared" si="38"/>
        <v>0</v>
      </c>
      <c r="D80" s="4201">
        <f t="shared" ref="D80:E89" si="39">+F80+H80+J80+L80+N80+P80+R80+T80+V80+X80+Z80+AB80+AD80+AF80+AH80+AJ80+AL80</f>
        <v>0</v>
      </c>
      <c r="E80" s="3538">
        <f t="shared" si="39"/>
        <v>0</v>
      </c>
      <c r="F80" s="4089"/>
      <c r="G80" s="347"/>
      <c r="H80" s="4089"/>
      <c r="I80" s="347"/>
      <c r="J80" s="4089"/>
      <c r="K80" s="347"/>
      <c r="L80" s="4089"/>
      <c r="M80" s="347"/>
      <c r="N80" s="4089"/>
      <c r="O80" s="347"/>
      <c r="P80" s="4089"/>
      <c r="Q80" s="347"/>
      <c r="R80" s="4089"/>
      <c r="S80" s="347"/>
      <c r="T80" s="4089"/>
      <c r="U80" s="347"/>
      <c r="V80" s="4089"/>
      <c r="W80" s="347"/>
      <c r="X80" s="4089"/>
      <c r="Y80" s="347"/>
      <c r="Z80" s="4089"/>
      <c r="AA80" s="347"/>
      <c r="AB80" s="4089"/>
      <c r="AC80" s="347"/>
      <c r="AD80" s="4089"/>
      <c r="AE80" s="347"/>
      <c r="AF80" s="4089"/>
      <c r="AG80" s="347"/>
      <c r="AH80" s="4089"/>
      <c r="AI80" s="347"/>
      <c r="AJ80" s="4089"/>
      <c r="AK80" s="347"/>
      <c r="AL80" s="4089"/>
      <c r="AM80" s="347"/>
      <c r="AN80" s="4179"/>
      <c r="AO80" s="1162"/>
      <c r="AP80" s="34"/>
      <c r="AQ80" s="4192"/>
      <c r="AR80" s="4192"/>
      <c r="AS80" s="4192"/>
      <c r="AT80" s="4192"/>
      <c r="AU80" s="4192"/>
      <c r="AV80" s="1898" t="str">
        <f t="shared" si="33"/>
        <v/>
      </c>
      <c r="CA80" s="1899" t="str">
        <f t="shared" si="3"/>
        <v/>
      </c>
      <c r="CB80" s="1899" t="str">
        <f t="shared" si="4"/>
        <v/>
      </c>
      <c r="CC80" s="1899" t="str">
        <f t="shared" si="5"/>
        <v/>
      </c>
      <c r="CD80" s="1899" t="str">
        <f t="shared" si="6"/>
        <v/>
      </c>
      <c r="CE80" s="1899" t="str">
        <f t="shared" si="7"/>
        <v/>
      </c>
      <c r="CF80" s="4191" t="str">
        <f t="shared" si="34"/>
        <v/>
      </c>
      <c r="CG80" s="1899" t="str">
        <f t="shared" si="8"/>
        <v/>
      </c>
      <c r="CH80" s="1899" t="str">
        <f t="shared" si="9"/>
        <v/>
      </c>
      <c r="CI80" s="1970"/>
      <c r="CJ80" s="1901">
        <f t="shared" si="10"/>
        <v>0</v>
      </c>
      <c r="CK80" s="1901">
        <f t="shared" si="11"/>
        <v>0</v>
      </c>
      <c r="CL80" s="1901">
        <f t="shared" si="12"/>
        <v>0</v>
      </c>
      <c r="CM80" s="1901">
        <f t="shared" si="13"/>
        <v>0</v>
      </c>
      <c r="CN80" s="1901">
        <f t="shared" si="13"/>
        <v>0</v>
      </c>
      <c r="CO80" s="3989">
        <f t="shared" si="35"/>
        <v>0</v>
      </c>
      <c r="CP80" s="1901">
        <f t="shared" si="14"/>
        <v>0</v>
      </c>
      <c r="CQ80" s="1901">
        <f t="shared" si="14"/>
        <v>0</v>
      </c>
    </row>
    <row r="81" spans="1:95" x14ac:dyDescent="0.3">
      <c r="A81" s="5790"/>
      <c r="B81" s="4176" t="s">
        <v>65</v>
      </c>
      <c r="C81" s="4200">
        <f t="shared" si="38"/>
        <v>0</v>
      </c>
      <c r="D81" s="4201">
        <f t="shared" si="39"/>
        <v>0</v>
      </c>
      <c r="E81" s="3538">
        <f t="shared" si="39"/>
        <v>0</v>
      </c>
      <c r="F81" s="4089"/>
      <c r="G81" s="347"/>
      <c r="H81" s="4089"/>
      <c r="I81" s="347"/>
      <c r="J81" s="4089"/>
      <c r="K81" s="347"/>
      <c r="L81" s="4089"/>
      <c r="M81" s="347"/>
      <c r="N81" s="4089"/>
      <c r="O81" s="347"/>
      <c r="P81" s="4089"/>
      <c r="Q81" s="347"/>
      <c r="R81" s="4089"/>
      <c r="S81" s="347"/>
      <c r="T81" s="4089"/>
      <c r="U81" s="347"/>
      <c r="V81" s="4089"/>
      <c r="W81" s="347"/>
      <c r="X81" s="4089"/>
      <c r="Y81" s="347"/>
      <c r="Z81" s="4089"/>
      <c r="AA81" s="347"/>
      <c r="AB81" s="4089"/>
      <c r="AC81" s="347"/>
      <c r="AD81" s="4089"/>
      <c r="AE81" s="347"/>
      <c r="AF81" s="4089"/>
      <c r="AG81" s="347"/>
      <c r="AH81" s="4089"/>
      <c r="AI81" s="347"/>
      <c r="AJ81" s="4089"/>
      <c r="AK81" s="347"/>
      <c r="AL81" s="4089"/>
      <c r="AM81" s="347"/>
      <c r="AN81" s="4179"/>
      <c r="AO81" s="1162"/>
      <c r="AP81" s="34"/>
      <c r="AQ81" s="4192"/>
      <c r="AR81" s="4192"/>
      <c r="AS81" s="4192"/>
      <c r="AT81" s="4192"/>
      <c r="AU81" s="4192"/>
      <c r="AV81" s="1898" t="str">
        <f t="shared" si="33"/>
        <v/>
      </c>
      <c r="CA81" s="1899" t="str">
        <f t="shared" si="3"/>
        <v/>
      </c>
      <c r="CB81" s="1899" t="str">
        <f t="shared" si="4"/>
        <v/>
      </c>
      <c r="CC81" s="1899" t="str">
        <f t="shared" si="5"/>
        <v/>
      </c>
      <c r="CD81" s="1899" t="str">
        <f t="shared" si="6"/>
        <v/>
      </c>
      <c r="CE81" s="1899" t="str">
        <f t="shared" si="7"/>
        <v/>
      </c>
      <c r="CF81" s="4191" t="str">
        <f t="shared" si="34"/>
        <v/>
      </c>
      <c r="CG81" s="1899" t="str">
        <f t="shared" si="8"/>
        <v/>
      </c>
      <c r="CH81" s="1899" t="str">
        <f t="shared" si="9"/>
        <v/>
      </c>
      <c r="CI81" s="1970"/>
      <c r="CJ81" s="1901">
        <f t="shared" si="10"/>
        <v>0</v>
      </c>
      <c r="CK81" s="1901">
        <f t="shared" si="11"/>
        <v>0</v>
      </c>
      <c r="CL81" s="1901">
        <f t="shared" si="12"/>
        <v>0</v>
      </c>
      <c r="CM81" s="1901">
        <f t="shared" si="13"/>
        <v>0</v>
      </c>
      <c r="CN81" s="1901">
        <f t="shared" si="13"/>
        <v>0</v>
      </c>
      <c r="CO81" s="3989">
        <f t="shared" si="35"/>
        <v>0</v>
      </c>
      <c r="CP81" s="1901">
        <f t="shared" si="14"/>
        <v>0</v>
      </c>
      <c r="CQ81" s="1901">
        <f t="shared" si="14"/>
        <v>0</v>
      </c>
    </row>
    <row r="82" spans="1:95" x14ac:dyDescent="0.3">
      <c r="A82" s="5790"/>
      <c r="B82" s="4176" t="s">
        <v>105</v>
      </c>
      <c r="C82" s="4200">
        <f t="shared" si="38"/>
        <v>0</v>
      </c>
      <c r="D82" s="4201">
        <f t="shared" si="39"/>
        <v>0</v>
      </c>
      <c r="E82" s="3538">
        <f t="shared" si="39"/>
        <v>0</v>
      </c>
      <c r="F82" s="4089"/>
      <c r="G82" s="347"/>
      <c r="H82" s="4089"/>
      <c r="I82" s="347"/>
      <c r="J82" s="4089"/>
      <c r="K82" s="347"/>
      <c r="L82" s="4089"/>
      <c r="M82" s="347"/>
      <c r="N82" s="4089"/>
      <c r="O82" s="347"/>
      <c r="P82" s="4089"/>
      <c r="Q82" s="347"/>
      <c r="R82" s="4089"/>
      <c r="S82" s="347"/>
      <c r="T82" s="4089"/>
      <c r="U82" s="347"/>
      <c r="V82" s="4089"/>
      <c r="W82" s="347"/>
      <c r="X82" s="4089"/>
      <c r="Y82" s="347"/>
      <c r="Z82" s="4089"/>
      <c r="AA82" s="347"/>
      <c r="AB82" s="4089"/>
      <c r="AC82" s="347"/>
      <c r="AD82" s="4089"/>
      <c r="AE82" s="347"/>
      <c r="AF82" s="4089"/>
      <c r="AG82" s="347"/>
      <c r="AH82" s="4089"/>
      <c r="AI82" s="347"/>
      <c r="AJ82" s="4089"/>
      <c r="AK82" s="347"/>
      <c r="AL82" s="4089"/>
      <c r="AM82" s="347"/>
      <c r="AN82" s="4179"/>
      <c r="AO82" s="1162"/>
      <c r="AP82" s="34"/>
      <c r="AQ82" s="4192"/>
      <c r="AR82" s="4192"/>
      <c r="AS82" s="4192"/>
      <c r="AT82" s="4192"/>
      <c r="AU82" s="4192"/>
      <c r="AV82" s="1898" t="str">
        <f t="shared" si="33"/>
        <v/>
      </c>
      <c r="CA82" s="1899" t="str">
        <f t="shared" si="3"/>
        <v/>
      </c>
      <c r="CB82" s="1899" t="str">
        <f t="shared" si="4"/>
        <v/>
      </c>
      <c r="CC82" s="1899" t="str">
        <f t="shared" si="5"/>
        <v/>
      </c>
      <c r="CD82" s="1899" t="str">
        <f t="shared" si="6"/>
        <v/>
      </c>
      <c r="CE82" s="1899" t="str">
        <f t="shared" si="7"/>
        <v/>
      </c>
      <c r="CF82" s="4191" t="str">
        <f t="shared" si="34"/>
        <v/>
      </c>
      <c r="CG82" s="1899" t="str">
        <f t="shared" si="8"/>
        <v/>
      </c>
      <c r="CH82" s="1899" t="str">
        <f t="shared" si="9"/>
        <v/>
      </c>
      <c r="CI82" s="1970"/>
      <c r="CJ82" s="1901">
        <f t="shared" ref="CJ82:CJ84" si="40">IF(AND($C82&lt;&gt;0,AN82=""),1,IF(AN82&gt;$C82,1,0))</f>
        <v>0</v>
      </c>
      <c r="CK82" s="1901">
        <f t="shared" ref="CK82:CK84" si="41">IF(AND(E82&gt;0,OR(AO82="")),1,IF(AO82&gt;E82,1,0))</f>
        <v>0</v>
      </c>
      <c r="CL82" s="1901">
        <f t="shared" ref="CL82:CL84" si="42">IF(AND(D82&gt;0,OR(AP82="")),1,IF(AP82&gt;D82,1,0))</f>
        <v>0</v>
      </c>
      <c r="CM82" s="1901">
        <f t="shared" ref="CM82:CM84" si="43">IF(AND($C82&lt;&gt;0,AQ82=""),1,IF(AQ82&gt;$C82,1,0))</f>
        <v>0</v>
      </c>
      <c r="CN82" s="1901">
        <f t="shared" ref="CN82:CN84" si="44">IF(AND($C82&lt;&gt;0,AR82=""),1,IF(AR82&gt;$C82,1,0))</f>
        <v>0</v>
      </c>
      <c r="CO82" s="3989">
        <f t="shared" ref="CO82:CO84" si="45">IF(AND(SUM(J82:M82)&gt;0,AS82=""),1,IF(AS82&gt;SUM(J82:M82),1,0))</f>
        <v>0</v>
      </c>
      <c r="CP82" s="1901">
        <f t="shared" ref="CP82:CP84" si="46">IF(AND($C82&lt;&gt;0,AT82=""),1,IF(AT82&gt;$C82,1,0))</f>
        <v>0</v>
      </c>
      <c r="CQ82" s="1901">
        <f t="shared" ref="CQ82:CQ84" si="47">IF(AND($C82&lt;&gt;0,AU82=""),1,IF(AU82&gt;$C82,1,0))</f>
        <v>0</v>
      </c>
    </row>
    <row r="83" spans="1:95" x14ac:dyDescent="0.3">
      <c r="A83" s="5790"/>
      <c r="B83" s="4176" t="s">
        <v>1035</v>
      </c>
      <c r="C83" s="4200">
        <f t="shared" si="38"/>
        <v>0</v>
      </c>
      <c r="D83" s="4201">
        <f t="shared" si="39"/>
        <v>0</v>
      </c>
      <c r="E83" s="3538">
        <f t="shared" si="39"/>
        <v>0</v>
      </c>
      <c r="F83" s="4089"/>
      <c r="G83" s="347"/>
      <c r="H83" s="4089"/>
      <c r="I83" s="347"/>
      <c r="J83" s="4089"/>
      <c r="K83" s="347"/>
      <c r="L83" s="4089"/>
      <c r="M83" s="347"/>
      <c r="N83" s="4089"/>
      <c r="O83" s="347"/>
      <c r="P83" s="4089"/>
      <c r="Q83" s="347"/>
      <c r="R83" s="4089"/>
      <c r="S83" s="347"/>
      <c r="T83" s="4089"/>
      <c r="U83" s="347"/>
      <c r="V83" s="4089"/>
      <c r="W83" s="347"/>
      <c r="X83" s="4089"/>
      <c r="Y83" s="347"/>
      <c r="Z83" s="4089"/>
      <c r="AA83" s="347"/>
      <c r="AB83" s="4089"/>
      <c r="AC83" s="347"/>
      <c r="AD83" s="4089"/>
      <c r="AE83" s="347"/>
      <c r="AF83" s="4089"/>
      <c r="AG83" s="347"/>
      <c r="AH83" s="4089"/>
      <c r="AI83" s="347"/>
      <c r="AJ83" s="4089"/>
      <c r="AK83" s="347"/>
      <c r="AL83" s="4089"/>
      <c r="AM83" s="347"/>
      <c r="AN83" s="4179"/>
      <c r="AO83" s="1162"/>
      <c r="AP83" s="34"/>
      <c r="AQ83" s="4192"/>
      <c r="AR83" s="4192"/>
      <c r="AS83" s="4192"/>
      <c r="AT83" s="4192"/>
      <c r="AU83" s="4192"/>
      <c r="AV83" s="1898" t="str">
        <f t="shared" si="33"/>
        <v/>
      </c>
      <c r="CA83" s="1899" t="str">
        <f t="shared" si="3"/>
        <v/>
      </c>
      <c r="CB83" s="1899" t="str">
        <f t="shared" si="4"/>
        <v/>
      </c>
      <c r="CC83" s="1899" t="str">
        <f t="shared" si="5"/>
        <v/>
      </c>
      <c r="CD83" s="1899" t="str">
        <f t="shared" si="6"/>
        <v/>
      </c>
      <c r="CE83" s="1899" t="str">
        <f t="shared" si="7"/>
        <v/>
      </c>
      <c r="CF83" s="4191" t="str">
        <f t="shared" si="34"/>
        <v/>
      </c>
      <c r="CG83" s="1899" t="str">
        <f t="shared" si="8"/>
        <v/>
      </c>
      <c r="CH83" s="1899" t="str">
        <f t="shared" si="9"/>
        <v/>
      </c>
      <c r="CI83" s="1970"/>
      <c r="CJ83" s="1901">
        <f t="shared" si="40"/>
        <v>0</v>
      </c>
      <c r="CK83" s="1901">
        <f t="shared" si="41"/>
        <v>0</v>
      </c>
      <c r="CL83" s="1901">
        <f t="shared" si="42"/>
        <v>0</v>
      </c>
      <c r="CM83" s="1901">
        <f t="shared" si="43"/>
        <v>0</v>
      </c>
      <c r="CN83" s="1901">
        <f t="shared" si="44"/>
        <v>0</v>
      </c>
      <c r="CO83" s="3989">
        <f t="shared" si="45"/>
        <v>0</v>
      </c>
      <c r="CP83" s="1901">
        <f t="shared" si="46"/>
        <v>0</v>
      </c>
      <c r="CQ83" s="1901">
        <f t="shared" si="47"/>
        <v>0</v>
      </c>
    </row>
    <row r="84" spans="1:95" ht="14.25" customHeight="1" x14ac:dyDescent="0.3">
      <c r="A84" s="5790"/>
      <c r="B84" s="4176" t="s">
        <v>1034</v>
      </c>
      <c r="C84" s="4200">
        <f t="shared" si="38"/>
        <v>0</v>
      </c>
      <c r="D84" s="4201">
        <f t="shared" si="39"/>
        <v>0</v>
      </c>
      <c r="E84" s="3538">
        <f t="shared" si="39"/>
        <v>0</v>
      </c>
      <c r="F84" s="4089"/>
      <c r="G84" s="347"/>
      <c r="H84" s="4089"/>
      <c r="I84" s="347"/>
      <c r="J84" s="4089"/>
      <c r="K84" s="347"/>
      <c r="L84" s="4089"/>
      <c r="M84" s="347"/>
      <c r="N84" s="4089"/>
      <c r="O84" s="347"/>
      <c r="P84" s="4089"/>
      <c r="Q84" s="347"/>
      <c r="R84" s="4089"/>
      <c r="S84" s="347"/>
      <c r="T84" s="4089"/>
      <c r="U84" s="347"/>
      <c r="V84" s="4089"/>
      <c r="W84" s="347"/>
      <c r="X84" s="4089"/>
      <c r="Y84" s="347"/>
      <c r="Z84" s="4089"/>
      <c r="AA84" s="347"/>
      <c r="AB84" s="4089"/>
      <c r="AC84" s="347"/>
      <c r="AD84" s="4089"/>
      <c r="AE84" s="347"/>
      <c r="AF84" s="4089"/>
      <c r="AG84" s="347"/>
      <c r="AH84" s="4089"/>
      <c r="AI84" s="347"/>
      <c r="AJ84" s="4089"/>
      <c r="AK84" s="347"/>
      <c r="AL84" s="4089"/>
      <c r="AM84" s="347"/>
      <c r="AN84" s="4179"/>
      <c r="AO84" s="1162"/>
      <c r="AP84" s="34"/>
      <c r="AQ84" s="4192"/>
      <c r="AR84" s="4192"/>
      <c r="AS84" s="4192"/>
      <c r="AT84" s="4192"/>
      <c r="AU84" s="4192"/>
      <c r="AV84" s="1898" t="str">
        <f t="shared" si="33"/>
        <v/>
      </c>
      <c r="CA84" s="1899" t="str">
        <f t="shared" si="3"/>
        <v/>
      </c>
      <c r="CB84" s="1899" t="str">
        <f t="shared" si="4"/>
        <v/>
      </c>
      <c r="CC84" s="1899" t="str">
        <f t="shared" si="5"/>
        <v/>
      </c>
      <c r="CD84" s="1899" t="str">
        <f t="shared" si="6"/>
        <v/>
      </c>
      <c r="CE84" s="1899" t="str">
        <f t="shared" si="7"/>
        <v/>
      </c>
      <c r="CF84" s="4191" t="str">
        <f t="shared" si="34"/>
        <v/>
      </c>
      <c r="CG84" s="1899" t="str">
        <f t="shared" si="8"/>
        <v/>
      </c>
      <c r="CH84" s="1899" t="str">
        <f t="shared" si="9"/>
        <v/>
      </c>
      <c r="CI84" s="1970"/>
      <c r="CJ84" s="1901">
        <f t="shared" si="40"/>
        <v>0</v>
      </c>
      <c r="CK84" s="1901">
        <f t="shared" si="41"/>
        <v>0</v>
      </c>
      <c r="CL84" s="1901">
        <f t="shared" si="42"/>
        <v>0</v>
      </c>
      <c r="CM84" s="1901">
        <f t="shared" si="43"/>
        <v>0</v>
      </c>
      <c r="CN84" s="1901">
        <f t="shared" si="44"/>
        <v>0</v>
      </c>
      <c r="CO84" s="3989">
        <f t="shared" si="45"/>
        <v>0</v>
      </c>
      <c r="CP84" s="1901">
        <f t="shared" si="46"/>
        <v>0</v>
      </c>
      <c r="CQ84" s="1901">
        <f t="shared" si="47"/>
        <v>0</v>
      </c>
    </row>
    <row r="85" spans="1:95" x14ac:dyDescent="0.3">
      <c r="A85" s="5790"/>
      <c r="B85" s="4176" t="s">
        <v>1406</v>
      </c>
      <c r="C85" s="4200">
        <f t="shared" si="38"/>
        <v>0</v>
      </c>
      <c r="D85" s="4201">
        <f t="shared" si="39"/>
        <v>0</v>
      </c>
      <c r="E85" s="3538">
        <f t="shared" si="39"/>
        <v>0</v>
      </c>
      <c r="F85" s="4089"/>
      <c r="G85" s="347"/>
      <c r="H85" s="4089"/>
      <c r="I85" s="347"/>
      <c r="J85" s="4089"/>
      <c r="K85" s="347"/>
      <c r="L85" s="4089"/>
      <c r="M85" s="347"/>
      <c r="N85" s="4089"/>
      <c r="O85" s="347"/>
      <c r="P85" s="4089"/>
      <c r="Q85" s="347"/>
      <c r="R85" s="4089"/>
      <c r="S85" s="347"/>
      <c r="T85" s="4089"/>
      <c r="U85" s="347"/>
      <c r="V85" s="4089"/>
      <c r="W85" s="347"/>
      <c r="X85" s="4089"/>
      <c r="Y85" s="347"/>
      <c r="Z85" s="4089"/>
      <c r="AA85" s="347"/>
      <c r="AB85" s="4089"/>
      <c r="AC85" s="347"/>
      <c r="AD85" s="4089"/>
      <c r="AE85" s="347"/>
      <c r="AF85" s="4089"/>
      <c r="AG85" s="347"/>
      <c r="AH85" s="4089"/>
      <c r="AI85" s="347"/>
      <c r="AJ85" s="4089"/>
      <c r="AK85" s="347"/>
      <c r="AL85" s="4089"/>
      <c r="AM85" s="347"/>
      <c r="AN85" s="4179"/>
      <c r="AO85" s="1162"/>
      <c r="AP85" s="34"/>
      <c r="AQ85" s="4192"/>
      <c r="AR85" s="4192"/>
      <c r="AS85" s="4192"/>
      <c r="AT85" s="4192"/>
      <c r="AU85" s="4192"/>
      <c r="AV85" s="1898" t="str">
        <f t="shared" si="33"/>
        <v/>
      </c>
      <c r="CA85" s="1899" t="str">
        <f t="shared" si="3"/>
        <v/>
      </c>
      <c r="CB85" s="1899" t="str">
        <f t="shared" si="4"/>
        <v/>
      </c>
      <c r="CC85" s="1899" t="str">
        <f t="shared" si="5"/>
        <v/>
      </c>
      <c r="CD85" s="1899" t="str">
        <f t="shared" si="6"/>
        <v/>
      </c>
      <c r="CE85" s="1899" t="str">
        <f t="shared" si="7"/>
        <v/>
      </c>
      <c r="CF85" s="4191" t="str">
        <f t="shared" si="34"/>
        <v/>
      </c>
      <c r="CG85" s="1899" t="str">
        <f t="shared" si="8"/>
        <v/>
      </c>
      <c r="CH85" s="1899" t="str">
        <f t="shared" si="9"/>
        <v/>
      </c>
      <c r="CI85" s="1970"/>
      <c r="CJ85" s="1901">
        <f t="shared" si="10"/>
        <v>0</v>
      </c>
      <c r="CK85" s="1901">
        <f t="shared" si="11"/>
        <v>0</v>
      </c>
      <c r="CL85" s="1901">
        <f t="shared" si="12"/>
        <v>0</v>
      </c>
      <c r="CM85" s="1901">
        <f t="shared" si="13"/>
        <v>0</v>
      </c>
      <c r="CN85" s="1901">
        <f t="shared" si="13"/>
        <v>0</v>
      </c>
      <c r="CO85" s="3989">
        <f t="shared" si="35"/>
        <v>0</v>
      </c>
      <c r="CP85" s="1901">
        <f t="shared" si="14"/>
        <v>0</v>
      </c>
      <c r="CQ85" s="1901">
        <f t="shared" si="14"/>
        <v>0</v>
      </c>
    </row>
    <row r="86" spans="1:95" x14ac:dyDescent="0.3">
      <c r="A86" s="5790"/>
      <c r="B86" s="4181" t="s">
        <v>2063</v>
      </c>
      <c r="C86" s="4200">
        <f t="shared" si="38"/>
        <v>0</v>
      </c>
      <c r="D86" s="4201">
        <f t="shared" si="39"/>
        <v>0</v>
      </c>
      <c r="E86" s="3538">
        <f t="shared" si="39"/>
        <v>0</v>
      </c>
      <c r="F86" s="4089"/>
      <c r="G86" s="347"/>
      <c r="H86" s="4089"/>
      <c r="I86" s="347"/>
      <c r="J86" s="4089"/>
      <c r="K86" s="347"/>
      <c r="L86" s="4089"/>
      <c r="M86" s="347"/>
      <c r="N86" s="4089"/>
      <c r="O86" s="347"/>
      <c r="P86" s="4089"/>
      <c r="Q86" s="347"/>
      <c r="R86" s="4089"/>
      <c r="S86" s="347"/>
      <c r="T86" s="4089"/>
      <c r="U86" s="347"/>
      <c r="V86" s="4089"/>
      <c r="W86" s="347"/>
      <c r="X86" s="4089"/>
      <c r="Y86" s="347"/>
      <c r="Z86" s="4089"/>
      <c r="AA86" s="347"/>
      <c r="AB86" s="4089"/>
      <c r="AC86" s="347"/>
      <c r="AD86" s="4089"/>
      <c r="AE86" s="347"/>
      <c r="AF86" s="4089"/>
      <c r="AG86" s="347"/>
      <c r="AH86" s="4089"/>
      <c r="AI86" s="347"/>
      <c r="AJ86" s="4089"/>
      <c r="AK86" s="347"/>
      <c r="AL86" s="4089"/>
      <c r="AM86" s="347"/>
      <c r="AN86" s="4179"/>
      <c r="AO86" s="1162"/>
      <c r="AP86" s="34"/>
      <c r="AQ86" s="4192"/>
      <c r="AR86" s="4192"/>
      <c r="AS86" s="4192"/>
      <c r="AT86" s="4192"/>
      <c r="AU86" s="4192"/>
      <c r="AV86" s="1898" t="str">
        <f t="shared" si="33"/>
        <v/>
      </c>
      <c r="CA86" s="1899" t="str">
        <f t="shared" si="3"/>
        <v/>
      </c>
      <c r="CB86" s="1899" t="str">
        <f t="shared" si="4"/>
        <v/>
      </c>
      <c r="CC86" s="1899" t="str">
        <f t="shared" si="5"/>
        <v/>
      </c>
      <c r="CD86" s="1899" t="str">
        <f t="shared" si="6"/>
        <v/>
      </c>
      <c r="CE86" s="1899" t="str">
        <f t="shared" si="7"/>
        <v/>
      </c>
      <c r="CF86" s="4191" t="str">
        <f t="shared" si="34"/>
        <v/>
      </c>
      <c r="CG86" s="1899" t="str">
        <f t="shared" si="8"/>
        <v/>
      </c>
      <c r="CH86" s="1899" t="str">
        <f t="shared" si="9"/>
        <v/>
      </c>
      <c r="CI86" s="1970"/>
      <c r="CJ86" s="1901">
        <f t="shared" si="10"/>
        <v>0</v>
      </c>
      <c r="CK86" s="1901">
        <f t="shared" si="11"/>
        <v>0</v>
      </c>
      <c r="CL86" s="1901">
        <f t="shared" si="12"/>
        <v>0</v>
      </c>
      <c r="CM86" s="1901">
        <f t="shared" si="13"/>
        <v>0</v>
      </c>
      <c r="CN86" s="1901">
        <f t="shared" si="13"/>
        <v>0</v>
      </c>
      <c r="CO86" s="3989">
        <f t="shared" si="35"/>
        <v>0</v>
      </c>
      <c r="CP86" s="1901">
        <f t="shared" si="14"/>
        <v>0</v>
      </c>
      <c r="CQ86" s="1901">
        <f t="shared" si="14"/>
        <v>0</v>
      </c>
    </row>
    <row r="87" spans="1:95" x14ac:dyDescent="0.3">
      <c r="A87" s="5790"/>
      <c r="B87" s="4176" t="s">
        <v>2064</v>
      </c>
      <c r="C87" s="4200">
        <f t="shared" si="38"/>
        <v>0</v>
      </c>
      <c r="D87" s="4201">
        <f t="shared" si="39"/>
        <v>0</v>
      </c>
      <c r="E87" s="3538">
        <f t="shared" si="39"/>
        <v>0</v>
      </c>
      <c r="F87" s="4089"/>
      <c r="G87" s="347"/>
      <c r="H87" s="4089"/>
      <c r="I87" s="347"/>
      <c r="J87" s="4089"/>
      <c r="K87" s="347"/>
      <c r="L87" s="4089"/>
      <c r="M87" s="347"/>
      <c r="N87" s="4089"/>
      <c r="O87" s="347"/>
      <c r="P87" s="4089"/>
      <c r="Q87" s="347"/>
      <c r="R87" s="4089"/>
      <c r="S87" s="347"/>
      <c r="T87" s="4089"/>
      <c r="U87" s="347"/>
      <c r="V87" s="4089"/>
      <c r="W87" s="347"/>
      <c r="X87" s="4089"/>
      <c r="Y87" s="347"/>
      <c r="Z87" s="4089"/>
      <c r="AA87" s="347"/>
      <c r="AB87" s="4089"/>
      <c r="AC87" s="347"/>
      <c r="AD87" s="4089"/>
      <c r="AE87" s="347"/>
      <c r="AF87" s="4089"/>
      <c r="AG87" s="347"/>
      <c r="AH87" s="4089"/>
      <c r="AI87" s="347"/>
      <c r="AJ87" s="4089"/>
      <c r="AK87" s="347"/>
      <c r="AL87" s="4089"/>
      <c r="AM87" s="347"/>
      <c r="AN87" s="4179"/>
      <c r="AO87" s="1162"/>
      <c r="AP87" s="34"/>
      <c r="AQ87" s="4192"/>
      <c r="AR87" s="4192"/>
      <c r="AS87" s="4192"/>
      <c r="AT87" s="4192"/>
      <c r="AU87" s="4192"/>
      <c r="AV87" s="1898" t="str">
        <f t="shared" si="33"/>
        <v/>
      </c>
      <c r="CA87" s="1899" t="str">
        <f t="shared" si="3"/>
        <v/>
      </c>
      <c r="CB87" s="1899" t="str">
        <f t="shared" si="4"/>
        <v/>
      </c>
      <c r="CC87" s="1899" t="str">
        <f t="shared" si="5"/>
        <v/>
      </c>
      <c r="CD87" s="1899" t="str">
        <f t="shared" si="6"/>
        <v/>
      </c>
      <c r="CE87" s="1899" t="str">
        <f t="shared" si="7"/>
        <v/>
      </c>
      <c r="CF87" s="4191" t="str">
        <f t="shared" si="34"/>
        <v/>
      </c>
      <c r="CG87" s="1899" t="str">
        <f t="shared" si="8"/>
        <v/>
      </c>
      <c r="CH87" s="1899" t="str">
        <f t="shared" si="9"/>
        <v/>
      </c>
      <c r="CI87" s="1970"/>
      <c r="CJ87" s="1901">
        <f t="shared" si="10"/>
        <v>0</v>
      </c>
      <c r="CK87" s="1901">
        <f t="shared" si="11"/>
        <v>0</v>
      </c>
      <c r="CL87" s="1901">
        <f t="shared" si="12"/>
        <v>0</v>
      </c>
      <c r="CM87" s="1901">
        <f t="shared" si="13"/>
        <v>0</v>
      </c>
      <c r="CN87" s="1901">
        <f t="shared" si="13"/>
        <v>0</v>
      </c>
      <c r="CO87" s="3989">
        <f t="shared" si="35"/>
        <v>0</v>
      </c>
      <c r="CP87" s="1901">
        <f t="shared" si="14"/>
        <v>0</v>
      </c>
      <c r="CQ87" s="1901">
        <f t="shared" si="14"/>
        <v>0</v>
      </c>
    </row>
    <row r="88" spans="1:95" x14ac:dyDescent="0.3">
      <c r="A88" s="5790"/>
      <c r="B88" s="24" t="s">
        <v>2065</v>
      </c>
      <c r="C88" s="4200">
        <f t="shared" si="38"/>
        <v>0</v>
      </c>
      <c r="D88" s="4201">
        <f t="shared" si="39"/>
        <v>0</v>
      </c>
      <c r="E88" s="4202">
        <f t="shared" si="39"/>
        <v>0</v>
      </c>
      <c r="F88" s="4089"/>
      <c r="G88" s="347"/>
      <c r="H88" s="4089"/>
      <c r="I88" s="347"/>
      <c r="J88" s="4089"/>
      <c r="K88" s="347"/>
      <c r="L88" s="4089"/>
      <c r="M88" s="347"/>
      <c r="N88" s="4089"/>
      <c r="O88" s="347"/>
      <c r="P88" s="4089"/>
      <c r="Q88" s="347"/>
      <c r="R88" s="4089"/>
      <c r="S88" s="347"/>
      <c r="T88" s="4089"/>
      <c r="U88" s="347"/>
      <c r="V88" s="4089"/>
      <c r="W88" s="347"/>
      <c r="X88" s="4089"/>
      <c r="Y88" s="347"/>
      <c r="Z88" s="4089"/>
      <c r="AA88" s="347"/>
      <c r="AB88" s="4089"/>
      <c r="AC88" s="347"/>
      <c r="AD88" s="4089"/>
      <c r="AE88" s="347"/>
      <c r="AF88" s="4089"/>
      <c r="AG88" s="347"/>
      <c r="AH88" s="4089"/>
      <c r="AI88" s="347"/>
      <c r="AJ88" s="4089"/>
      <c r="AK88" s="347"/>
      <c r="AL88" s="4089"/>
      <c r="AM88" s="347"/>
      <c r="AN88" s="4179"/>
      <c r="AO88" s="1162"/>
      <c r="AP88" s="34"/>
      <c r="AQ88" s="4192"/>
      <c r="AR88" s="4192"/>
      <c r="AS88" s="4192"/>
      <c r="AT88" s="4192"/>
      <c r="AU88" s="4192"/>
      <c r="AV88" s="1898" t="str">
        <f t="shared" si="33"/>
        <v/>
      </c>
      <c r="CA88" s="1899" t="str">
        <f t="shared" si="3"/>
        <v/>
      </c>
      <c r="CB88" s="1899" t="str">
        <f t="shared" si="4"/>
        <v/>
      </c>
      <c r="CC88" s="1899" t="str">
        <f t="shared" si="5"/>
        <v/>
      </c>
      <c r="CD88" s="1899" t="str">
        <f t="shared" si="6"/>
        <v/>
      </c>
      <c r="CE88" s="1899" t="str">
        <f t="shared" si="7"/>
        <v/>
      </c>
      <c r="CF88" s="4191" t="str">
        <f t="shared" si="34"/>
        <v/>
      </c>
      <c r="CG88" s="1899" t="str">
        <f t="shared" si="8"/>
        <v/>
      </c>
      <c r="CH88" s="1899" t="str">
        <f t="shared" si="9"/>
        <v/>
      </c>
      <c r="CI88" s="1970"/>
      <c r="CJ88" s="1901">
        <f t="shared" si="10"/>
        <v>0</v>
      </c>
      <c r="CK88" s="1901">
        <f t="shared" si="11"/>
        <v>0</v>
      </c>
      <c r="CL88" s="1901">
        <f t="shared" si="12"/>
        <v>0</v>
      </c>
      <c r="CM88" s="1901">
        <f t="shared" si="13"/>
        <v>0</v>
      </c>
      <c r="CN88" s="1901">
        <f t="shared" si="13"/>
        <v>0</v>
      </c>
      <c r="CO88" s="3989">
        <f t="shared" si="35"/>
        <v>0</v>
      </c>
      <c r="CP88" s="1901">
        <f t="shared" si="14"/>
        <v>0</v>
      </c>
      <c r="CQ88" s="1901">
        <f t="shared" si="14"/>
        <v>0</v>
      </c>
    </row>
    <row r="89" spans="1:95" x14ac:dyDescent="0.3">
      <c r="A89" s="6574"/>
      <c r="B89" s="518" t="s">
        <v>99</v>
      </c>
      <c r="C89" s="483">
        <f t="shared" si="38"/>
        <v>0</v>
      </c>
      <c r="D89" s="484">
        <f t="shared" si="39"/>
        <v>0</v>
      </c>
      <c r="E89" s="4203">
        <f t="shared" si="39"/>
        <v>0</v>
      </c>
      <c r="F89" s="380"/>
      <c r="G89" s="388"/>
      <c r="H89" s="380"/>
      <c r="I89" s="388"/>
      <c r="J89" s="380"/>
      <c r="K89" s="388"/>
      <c r="L89" s="380"/>
      <c r="M89" s="388"/>
      <c r="N89" s="380"/>
      <c r="O89" s="388"/>
      <c r="P89" s="380"/>
      <c r="Q89" s="388"/>
      <c r="R89" s="380"/>
      <c r="S89" s="388"/>
      <c r="T89" s="380"/>
      <c r="U89" s="388"/>
      <c r="V89" s="380"/>
      <c r="W89" s="388"/>
      <c r="X89" s="380"/>
      <c r="Y89" s="388"/>
      <c r="Z89" s="380"/>
      <c r="AA89" s="388"/>
      <c r="AB89" s="380"/>
      <c r="AC89" s="388"/>
      <c r="AD89" s="380"/>
      <c r="AE89" s="388"/>
      <c r="AF89" s="380"/>
      <c r="AG89" s="388"/>
      <c r="AH89" s="380"/>
      <c r="AI89" s="388"/>
      <c r="AJ89" s="380"/>
      <c r="AK89" s="388"/>
      <c r="AL89" s="380"/>
      <c r="AM89" s="388"/>
      <c r="AN89" s="2320"/>
      <c r="AO89" s="1911"/>
      <c r="AP89" s="877"/>
      <c r="AQ89" s="1954"/>
      <c r="AR89" s="1954"/>
      <c r="AS89" s="1954"/>
      <c r="AT89" s="1954"/>
      <c r="AU89" s="1954"/>
      <c r="AV89" s="1898" t="str">
        <f t="shared" si="33"/>
        <v/>
      </c>
      <c r="CA89" s="1899" t="str">
        <f t="shared" si="3"/>
        <v/>
      </c>
      <c r="CB89" s="1899" t="str">
        <f t="shared" si="4"/>
        <v/>
      </c>
      <c r="CC89" s="1899" t="str">
        <f t="shared" si="5"/>
        <v/>
      </c>
      <c r="CD89" s="1899" t="str">
        <f t="shared" si="6"/>
        <v/>
      </c>
      <c r="CE89" s="1899" t="str">
        <f t="shared" si="7"/>
        <v/>
      </c>
      <c r="CF89" s="4191" t="str">
        <f t="shared" si="34"/>
        <v/>
      </c>
      <c r="CG89" s="1899" t="str">
        <f t="shared" si="8"/>
        <v/>
      </c>
      <c r="CH89" s="1899" t="str">
        <f t="shared" si="9"/>
        <v/>
      </c>
      <c r="CI89" s="1970"/>
      <c r="CJ89" s="1901">
        <f t="shared" si="10"/>
        <v>0</v>
      </c>
      <c r="CK89" s="1901">
        <f t="shared" si="11"/>
        <v>0</v>
      </c>
      <c r="CL89" s="1901">
        <f t="shared" si="12"/>
        <v>0</v>
      </c>
      <c r="CM89" s="1901">
        <f t="shared" si="13"/>
        <v>0</v>
      </c>
      <c r="CN89" s="1901">
        <f t="shared" si="13"/>
        <v>0</v>
      </c>
      <c r="CO89" s="3989">
        <f t="shared" si="35"/>
        <v>0</v>
      </c>
      <c r="CP89" s="1901">
        <f t="shared" si="14"/>
        <v>0</v>
      </c>
      <c r="CQ89" s="1901">
        <f t="shared" si="14"/>
        <v>0</v>
      </c>
    </row>
    <row r="90" spans="1:95" ht="18" customHeight="1" x14ac:dyDescent="0.3">
      <c r="A90" s="6911" t="s">
        <v>2079</v>
      </c>
      <c r="B90" s="6911"/>
      <c r="C90" s="6911"/>
      <c r="D90" s="6911"/>
      <c r="E90" s="6911"/>
      <c r="F90" s="6911"/>
      <c r="G90" s="6911"/>
      <c r="H90" s="6911"/>
      <c r="I90" s="6911"/>
      <c r="J90" s="6911"/>
      <c r="K90" s="6911"/>
      <c r="L90" s="6911"/>
      <c r="M90" s="6911"/>
      <c r="N90" s="6911"/>
      <c r="O90" s="6911"/>
      <c r="P90" s="6911"/>
      <c r="Q90" s="6911"/>
      <c r="R90" s="6911"/>
      <c r="S90" s="6911"/>
      <c r="T90" s="6911"/>
      <c r="U90" s="6911"/>
      <c r="V90" s="6911"/>
      <c r="W90" s="6911"/>
      <c r="X90" s="6911"/>
      <c r="Y90" s="6911"/>
      <c r="Z90" s="6911"/>
      <c r="AA90" s="6911"/>
      <c r="AB90" s="6911"/>
      <c r="AC90" s="6911"/>
      <c r="AD90" s="6911"/>
      <c r="AE90" s="6911"/>
      <c r="AF90" s="6911"/>
      <c r="AG90" s="6911"/>
      <c r="AH90" s="6911"/>
      <c r="AI90" s="6911"/>
      <c r="AJ90" s="6911"/>
      <c r="AK90" s="6911"/>
      <c r="AL90" s="6911"/>
      <c r="AM90" s="6911"/>
    </row>
    <row r="91" spans="1:95" ht="18" customHeight="1" x14ac:dyDescent="0.3">
      <c r="A91" s="6837" t="s">
        <v>2080</v>
      </c>
      <c r="B91" s="6930" t="s">
        <v>2081</v>
      </c>
      <c r="C91" s="6853" t="s">
        <v>302</v>
      </c>
      <c r="D91" s="6242"/>
      <c r="E91" s="6243"/>
      <c r="F91" s="6839" t="s">
        <v>101</v>
      </c>
      <c r="G91" s="6840"/>
      <c r="H91" s="6840"/>
      <c r="I91" s="6840"/>
      <c r="J91" s="6840"/>
      <c r="K91" s="6840"/>
      <c r="L91" s="6840"/>
      <c r="M91" s="6840"/>
      <c r="N91" s="6840"/>
      <c r="O91" s="6840"/>
      <c r="P91" s="6840"/>
      <c r="Q91" s="6840"/>
      <c r="R91" s="6840"/>
      <c r="S91" s="6840"/>
      <c r="T91" s="6840"/>
      <c r="U91" s="6840"/>
      <c r="V91" s="6840"/>
      <c r="W91" s="6840"/>
      <c r="X91" s="6840"/>
      <c r="Y91" s="6840"/>
      <c r="Z91" s="6840"/>
      <c r="AA91" s="6840"/>
      <c r="AB91" s="6840"/>
      <c r="AC91" s="6840"/>
      <c r="AD91" s="6840"/>
      <c r="AE91" s="6840"/>
      <c r="AF91" s="6840"/>
      <c r="AG91" s="6840"/>
      <c r="AH91" s="6840"/>
      <c r="AI91" s="6840"/>
      <c r="AJ91" s="6840"/>
      <c r="AK91" s="6840"/>
      <c r="AL91" s="6840"/>
      <c r="AM91" s="6841"/>
      <c r="AN91" s="6242" t="s">
        <v>457</v>
      </c>
      <c r="AO91" s="6243"/>
      <c r="AP91" s="6929" t="s">
        <v>36</v>
      </c>
      <c r="AQ91" s="6940" t="s">
        <v>37</v>
      </c>
      <c r="AR91" s="6940" t="s">
        <v>34</v>
      </c>
      <c r="AS91" s="6243" t="s">
        <v>2055</v>
      </c>
    </row>
    <row r="92" spans="1:95" ht="18" customHeight="1" x14ac:dyDescent="0.3">
      <c r="A92" s="5755"/>
      <c r="B92" s="5771"/>
      <c r="C92" s="6466"/>
      <c r="D92" s="6467"/>
      <c r="E92" s="6687"/>
      <c r="F92" s="6848" t="s">
        <v>343</v>
      </c>
      <c r="G92" s="6849"/>
      <c r="H92" s="6848" t="s">
        <v>326</v>
      </c>
      <c r="I92" s="6849"/>
      <c r="J92" s="6848" t="s">
        <v>94</v>
      </c>
      <c r="K92" s="6849"/>
      <c r="L92" s="6848" t="s">
        <v>2056</v>
      </c>
      <c r="M92" s="6849"/>
      <c r="N92" s="6848" t="s">
        <v>305</v>
      </c>
      <c r="O92" s="6849"/>
      <c r="P92" s="6848" t="s">
        <v>974</v>
      </c>
      <c r="Q92" s="6849"/>
      <c r="R92" s="6848" t="s">
        <v>629</v>
      </c>
      <c r="S92" s="6849"/>
      <c r="T92" s="6848" t="s">
        <v>2057</v>
      </c>
      <c r="U92" s="6849"/>
      <c r="V92" s="6848" t="s">
        <v>630</v>
      </c>
      <c r="W92" s="6849"/>
      <c r="X92" s="6848" t="s">
        <v>2058</v>
      </c>
      <c r="Y92" s="6849"/>
      <c r="Z92" s="6848" t="s">
        <v>2059</v>
      </c>
      <c r="AA92" s="6849"/>
      <c r="AB92" s="6848" t="s">
        <v>1949</v>
      </c>
      <c r="AC92" s="6849"/>
      <c r="AD92" s="6848" t="s">
        <v>1583</v>
      </c>
      <c r="AE92" s="6849"/>
      <c r="AF92" s="6848" t="s">
        <v>308</v>
      </c>
      <c r="AG92" s="6849"/>
      <c r="AH92" s="6848" t="s">
        <v>2060</v>
      </c>
      <c r="AI92" s="6849"/>
      <c r="AJ92" s="6848" t="s">
        <v>2061</v>
      </c>
      <c r="AK92" s="6849"/>
      <c r="AL92" s="6839" t="s">
        <v>57</v>
      </c>
      <c r="AM92" s="6841"/>
      <c r="AN92" s="6467"/>
      <c r="AO92" s="6687"/>
      <c r="AP92" s="5834"/>
      <c r="AQ92" s="6118"/>
      <c r="AR92" s="6118"/>
      <c r="AS92" s="5759"/>
    </row>
    <row r="93" spans="1:95" ht="18" customHeight="1" x14ac:dyDescent="0.3">
      <c r="A93" s="6471"/>
      <c r="B93" s="6465"/>
      <c r="C93" s="3977" t="s">
        <v>79</v>
      </c>
      <c r="D93" s="3980" t="s">
        <v>58</v>
      </c>
      <c r="E93" s="3976" t="s">
        <v>59</v>
      </c>
      <c r="F93" s="3977" t="s">
        <v>58</v>
      </c>
      <c r="G93" s="3976" t="s">
        <v>59</v>
      </c>
      <c r="H93" s="3977" t="s">
        <v>58</v>
      </c>
      <c r="I93" s="3976" t="s">
        <v>59</v>
      </c>
      <c r="J93" s="3977" t="s">
        <v>58</v>
      </c>
      <c r="K93" s="3976" t="s">
        <v>59</v>
      </c>
      <c r="L93" s="3977" t="s">
        <v>58</v>
      </c>
      <c r="M93" s="3976" t="s">
        <v>59</v>
      </c>
      <c r="N93" s="3977" t="s">
        <v>58</v>
      </c>
      <c r="O93" s="3976" t="s">
        <v>59</v>
      </c>
      <c r="P93" s="3977" t="s">
        <v>58</v>
      </c>
      <c r="Q93" s="3976" t="s">
        <v>59</v>
      </c>
      <c r="R93" s="3977" t="s">
        <v>58</v>
      </c>
      <c r="S93" s="3976" t="s">
        <v>59</v>
      </c>
      <c r="T93" s="3977" t="s">
        <v>58</v>
      </c>
      <c r="U93" s="3976" t="s">
        <v>59</v>
      </c>
      <c r="V93" s="3977" t="s">
        <v>58</v>
      </c>
      <c r="W93" s="3976" t="s">
        <v>59</v>
      </c>
      <c r="X93" s="3977" t="s">
        <v>58</v>
      </c>
      <c r="Y93" s="3976" t="s">
        <v>59</v>
      </c>
      <c r="Z93" s="3977" t="s">
        <v>58</v>
      </c>
      <c r="AA93" s="3976" t="s">
        <v>59</v>
      </c>
      <c r="AB93" s="3977" t="s">
        <v>58</v>
      </c>
      <c r="AC93" s="3976" t="s">
        <v>59</v>
      </c>
      <c r="AD93" s="3977" t="s">
        <v>58</v>
      </c>
      <c r="AE93" s="3976" t="s">
        <v>59</v>
      </c>
      <c r="AF93" s="3977" t="s">
        <v>58</v>
      </c>
      <c r="AG93" s="3976" t="s">
        <v>59</v>
      </c>
      <c r="AH93" s="3977" t="s">
        <v>58</v>
      </c>
      <c r="AI93" s="3976" t="s">
        <v>59</v>
      </c>
      <c r="AJ93" s="3977" t="s">
        <v>58</v>
      </c>
      <c r="AK93" s="3976" t="s">
        <v>59</v>
      </c>
      <c r="AL93" s="3977" t="s">
        <v>58</v>
      </c>
      <c r="AM93" s="3974" t="s">
        <v>59</v>
      </c>
      <c r="AN93" s="886" t="s">
        <v>462</v>
      </c>
      <c r="AO93" s="3979" t="s">
        <v>463</v>
      </c>
      <c r="AP93" s="6483"/>
      <c r="AQ93" s="5818"/>
      <c r="AR93" s="5818"/>
      <c r="AS93" s="6687"/>
    </row>
    <row r="94" spans="1:95" ht="20.399999999999999" x14ac:dyDescent="0.3">
      <c r="A94" s="6896" t="s">
        <v>2082</v>
      </c>
      <c r="B94" s="4205" t="s">
        <v>2083</v>
      </c>
      <c r="C94" s="3308">
        <f t="shared" ref="C94:C105" si="48">SUM(D94+E94)</f>
        <v>0</v>
      </c>
      <c r="D94" s="4055">
        <f>+L94+N94+P94+R94+T94+V94+X94+Z94+AB94+AD94+AF94+AH94</f>
        <v>0</v>
      </c>
      <c r="E94" s="3983">
        <f>+M94+O94+Q94+S94+U94+W94+Y94+AA94+AC94+AE94+AG94+AI94</f>
        <v>0</v>
      </c>
      <c r="F94" s="4206"/>
      <c r="G94" s="4207"/>
      <c r="H94" s="4206"/>
      <c r="I94" s="4038"/>
      <c r="J94" s="4206"/>
      <c r="K94" s="4038"/>
      <c r="L94" s="3361"/>
      <c r="M94" s="890"/>
      <c r="N94" s="4036"/>
      <c r="O94" s="4208"/>
      <c r="P94" s="3363"/>
      <c r="Q94" s="890"/>
      <c r="R94" s="4209"/>
      <c r="S94" s="4208"/>
      <c r="T94" s="3361"/>
      <c r="U94" s="4013"/>
      <c r="V94" s="4036"/>
      <c r="W94" s="4209"/>
      <c r="X94" s="3361"/>
      <c r="Y94" s="4013"/>
      <c r="Z94" s="4036"/>
      <c r="AA94" s="4209"/>
      <c r="AB94" s="3361"/>
      <c r="AC94" s="4013"/>
      <c r="AD94" s="3361"/>
      <c r="AE94" s="890"/>
      <c r="AF94" s="3361"/>
      <c r="AG94" s="890"/>
      <c r="AH94" s="3361"/>
      <c r="AI94" s="890"/>
      <c r="AJ94" s="4206"/>
      <c r="AK94" s="4038"/>
      <c r="AL94" s="4207"/>
      <c r="AM94" s="4210"/>
      <c r="AN94" s="3987"/>
      <c r="AO94" s="890"/>
      <c r="AP94" s="3361"/>
      <c r="AQ94" s="960"/>
      <c r="AR94" s="960"/>
      <c r="AS94" s="4013"/>
      <c r="AT94" s="1898" t="str">
        <f>$CA94&amp;CB94&amp;$CC94&amp;CD94&amp;CE94&amp;CF94</f>
        <v/>
      </c>
      <c r="CA94" s="1899" t="str">
        <f>IF(AND(E94&gt;0,OR(AN94="")),"No olvide digitar los campos *TRANS Masculino (Digite CERO si no tiene).",IF(AN94&gt;$E94,"* El Número de TRANS Masculino no puede superar el Total Mujeres. ",""))</f>
        <v/>
      </c>
      <c r="CB94" s="1899" t="str">
        <f>IF(AND(D94&gt;0,OR(AO94="")),"No olvide digitar los campos *TRANS Femenino (Digite CERO si no tiene).",IF(AO94&gt;D94,"* El Número de TRANS Femenino no puede superar el Total Hombres. ",""))</f>
        <v/>
      </c>
      <c r="CC94" s="1899" t="str">
        <f>IF(AND($C94&lt;&gt;0,AP94=""),"* No olvide ingresar la columna Pueblos Originarios (Digite CERO si no tiene).  ",IF(AP94&gt;$C94,"* El Número de Pueblos Originarios no puede superar el Total. ",""))</f>
        <v/>
      </c>
      <c r="CD94" s="1899" t="str">
        <f>IF(AND($C94&lt;&gt;0,AQ94=""),"* No olvide ingresar la columna Migrantes (Digite CERO si no tiene).  ",IF(AQ94&gt;$C94,"* El Número de Migrantes no puede superar el Total. ",""))</f>
        <v/>
      </c>
      <c r="CE94" s="1899" t="str">
        <f>IF(AND($C94&lt;&gt;0,AR94=""),"* No olvide ingresar la columna Niños, Niñas, Adolescentes y Jóvenes SENAME (Digite CERO si no tiene).  ",IF(AR94&gt;$C94,"* El Número de Niños, Niñas, Adolescentes y Jóvenes SENAME no puede superar el Total. ",""))</f>
        <v/>
      </c>
      <c r="CF94" s="1899" t="str">
        <f>IF(AND($C94&lt;&gt;0,AS94=""),"* No olvide ingresar la columna Niños, Niñas, Adolescentes y Jóvenes Mejor Niñez (Digite CERO si no tiene). ",IF(AS94&gt;$C94,"* El Número de Niños, Niñas, Adolescentes y Jóvenes Mejor Niñez no puede superar el Total. ",""))</f>
        <v/>
      </c>
      <c r="CJ94" s="1901">
        <f>IF(AND($E94&lt;&gt;0,AN94=""),1,IF(AN94&gt;$E94,1,0))</f>
        <v>0</v>
      </c>
      <c r="CK94" s="1901">
        <f>IF(AND($D94&lt;&gt;0,AO94=""),1,IF(AO94&gt;$D94,1,0))</f>
        <v>0</v>
      </c>
      <c r="CL94" s="1901">
        <f>IF(AND($C94&lt;&gt;0,AP94=""),1,IF(AP94&gt;$C94,1,0))</f>
        <v>0</v>
      </c>
      <c r="CM94" s="1901">
        <f>IF(AND($C94&lt;&gt;0,AQ94=""),1,IF(AQ94&gt;$C94,1,0))</f>
        <v>0</v>
      </c>
      <c r="CN94" s="1901">
        <f>IF(AND($C94&lt;&gt;0,AR94=""),1,IF(AR94&gt;$C94,1,0))</f>
        <v>0</v>
      </c>
      <c r="CO94" s="1901">
        <f>IF(AND($C94&lt;&gt;0,AS94=""),1,IF(AS94&gt;$C94,1,0))</f>
        <v>0</v>
      </c>
    </row>
    <row r="95" spans="1:95" x14ac:dyDescent="0.3">
      <c r="A95" s="5790"/>
      <c r="B95" s="4176" t="s">
        <v>2084</v>
      </c>
      <c r="C95" s="3991">
        <f t="shared" si="48"/>
        <v>0</v>
      </c>
      <c r="D95" s="4061">
        <f t="shared" ref="D95:E97" si="49">SUM(F95+H95+J95+L95+N95+P95+R95+T95+V95+X95+Z95+AB95+AD95+AF95+AH95+AJ95+AL95)</f>
        <v>0</v>
      </c>
      <c r="E95" s="345">
        <f t="shared" si="49"/>
        <v>0</v>
      </c>
      <c r="F95" s="3996"/>
      <c r="G95" s="331"/>
      <c r="H95" s="3996"/>
      <c r="I95" s="330"/>
      <c r="J95" s="3987"/>
      <c r="K95" s="2235"/>
      <c r="L95" s="3996"/>
      <c r="M95" s="2003"/>
      <c r="N95" s="3987"/>
      <c r="O95" s="2235"/>
      <c r="P95" s="4178"/>
      <c r="Q95" s="2003"/>
      <c r="R95" s="331"/>
      <c r="S95" s="2235"/>
      <c r="T95" s="3996"/>
      <c r="U95" s="330"/>
      <c r="V95" s="3987"/>
      <c r="W95" s="331"/>
      <c r="X95" s="3996"/>
      <c r="Y95" s="330"/>
      <c r="Z95" s="3987"/>
      <c r="AA95" s="331"/>
      <c r="AB95" s="3996"/>
      <c r="AC95" s="330"/>
      <c r="AD95" s="3996"/>
      <c r="AE95" s="2003"/>
      <c r="AF95" s="3996"/>
      <c r="AG95" s="330"/>
      <c r="AH95" s="3996"/>
      <c r="AI95" s="330"/>
      <c r="AJ95" s="3996"/>
      <c r="AK95" s="330"/>
      <c r="AL95" s="3987"/>
      <c r="AM95" s="4026"/>
      <c r="AN95" s="3987"/>
      <c r="AO95" s="2003"/>
      <c r="AP95" s="3996"/>
      <c r="AQ95" s="1973"/>
      <c r="AR95" s="1973"/>
      <c r="AS95" s="330"/>
      <c r="AT95" s="1898" t="str">
        <f t="shared" ref="AT95:AT105" si="50">$CA95&amp;CB95&amp;$CC95&amp;CD95&amp;CE95&amp;CF95</f>
        <v/>
      </c>
      <c r="CA95" s="1899" t="str">
        <f t="shared" ref="CA95:CA105" si="51">IF(AND(E95&gt;0,OR(AN95="")),"No olvide digitar los campos *TRANS Masculino (Digite CERO si no tiene).",IF(AN95&gt;$E95,"* El Número de TRANS Masculino no puede superar el Total Mujeres. ",""))</f>
        <v/>
      </c>
      <c r="CB95" s="1899" t="str">
        <f t="shared" ref="CB95:CB105" si="52">IF(AND(D95&gt;0,OR(AO95="")),"No olvide digitar los campos *TRANS Femenino (Digite CERO si no tiene).",IF(AO95&gt;D95,"* El Número de TRANS Femenino no puede superar el Total Hombres. ",""))</f>
        <v/>
      </c>
      <c r="CC95" s="1899" t="str">
        <f t="shared" ref="CC95:CC105" si="53">IF(AND($C95&lt;&gt;0,AP95=""),"* No olvide ingresar la columna Pueblos Originarios (Digite CERO si no tiene).  ",IF(AP95&gt;$C95,"* El Número de Pueblos Originarios no puede superar el Total. ",""))</f>
        <v/>
      </c>
      <c r="CD95" s="1899" t="str">
        <f t="shared" ref="CD95:CD105" si="54">IF(AND($C95&lt;&gt;0,AQ95=""),"* No olvide ingresar la columna Migrantes (Digite CERO si no tiene).  ",IF(AQ95&gt;$C95,"* El Número de Migrantes no puede superar el Total. ",""))</f>
        <v/>
      </c>
      <c r="CE95" s="1899" t="str">
        <f t="shared" ref="CE95:CE105" si="55">IF(AND($C95&lt;&gt;0,AR95=""),"* No olvide ingresar la columna Niños, Niñas, Adolescentes y Jóvenes SENAME (Digite CERO si no tiene).  ",IF(AR95&gt;$C95,"* El Número de Niños, Niñas, Adolescentes y Jóvenes SENAME no puede superar el Total. ",""))</f>
        <v/>
      </c>
      <c r="CF95" s="1899" t="str">
        <f t="shared" ref="CF95:CF105" si="56">IF(AND($C95&lt;&gt;0,AS95=""),"* No olvide ingresar la columna Niños, Niñas, Adolescentes y Jóvenes Mejor Niñez (Digite CERO si no tiene). ",IF(AS95&gt;$C95,"* El Número de Niños, Niñas, Adolescentes y Jóvenes Mejor Niñez no puede superar el Total. ",""))</f>
        <v/>
      </c>
      <c r="CJ95" s="1901">
        <f t="shared" ref="CJ95:CJ105" si="57">IF(AND($E95&lt;&gt;0,AN95=""),1,IF(AN95&gt;$E95,1,0))</f>
        <v>0</v>
      </c>
      <c r="CK95" s="1901">
        <f t="shared" ref="CK95:CK105" si="58">IF(AND($D95&lt;&gt;0,AO95=""),1,IF(AO95&gt;$D95,1,0))</f>
        <v>0</v>
      </c>
      <c r="CL95" s="1901">
        <f t="shared" ref="CL95:CO105" si="59">IF(AND($C95&lt;&gt;0,AP95=""),1,IF(AP95&gt;$C95,1,0))</f>
        <v>0</v>
      </c>
      <c r="CM95" s="1901">
        <f t="shared" si="59"/>
        <v>0</v>
      </c>
      <c r="CN95" s="1901">
        <f t="shared" si="59"/>
        <v>0</v>
      </c>
      <c r="CO95" s="1901">
        <f t="shared" si="59"/>
        <v>0</v>
      </c>
    </row>
    <row r="96" spans="1:95" x14ac:dyDescent="0.3">
      <c r="A96" s="5790"/>
      <c r="B96" s="4176" t="s">
        <v>2085</v>
      </c>
      <c r="C96" s="3991">
        <f t="shared" si="48"/>
        <v>0</v>
      </c>
      <c r="D96" s="4061">
        <f t="shared" si="49"/>
        <v>0</v>
      </c>
      <c r="E96" s="345">
        <f t="shared" si="49"/>
        <v>0</v>
      </c>
      <c r="F96" s="3996"/>
      <c r="G96" s="331"/>
      <c r="H96" s="3996"/>
      <c r="I96" s="330"/>
      <c r="J96" s="3987"/>
      <c r="K96" s="2235"/>
      <c r="L96" s="3996"/>
      <c r="M96" s="2003"/>
      <c r="N96" s="3987"/>
      <c r="O96" s="2235"/>
      <c r="P96" s="4178"/>
      <c r="Q96" s="2003"/>
      <c r="R96" s="331"/>
      <c r="S96" s="2235"/>
      <c r="T96" s="3996"/>
      <c r="U96" s="330"/>
      <c r="V96" s="3987"/>
      <c r="W96" s="331"/>
      <c r="X96" s="3996"/>
      <c r="Y96" s="330"/>
      <c r="Z96" s="3987"/>
      <c r="AA96" s="331"/>
      <c r="AB96" s="3996"/>
      <c r="AC96" s="330"/>
      <c r="AD96" s="3996"/>
      <c r="AE96" s="2003"/>
      <c r="AF96" s="3996"/>
      <c r="AG96" s="330"/>
      <c r="AH96" s="3996"/>
      <c r="AI96" s="330"/>
      <c r="AJ96" s="3996"/>
      <c r="AK96" s="330"/>
      <c r="AL96" s="3987"/>
      <c r="AM96" s="4026"/>
      <c r="AN96" s="3987"/>
      <c r="AO96" s="2003"/>
      <c r="AP96" s="3996"/>
      <c r="AQ96" s="1973"/>
      <c r="AR96" s="1973"/>
      <c r="AS96" s="330"/>
      <c r="AT96" s="1898" t="str">
        <f t="shared" si="50"/>
        <v/>
      </c>
      <c r="CA96" s="1899" t="str">
        <f t="shared" si="51"/>
        <v/>
      </c>
      <c r="CB96" s="1899" t="str">
        <f t="shared" si="52"/>
        <v/>
      </c>
      <c r="CC96" s="1899" t="str">
        <f t="shared" si="53"/>
        <v/>
      </c>
      <c r="CD96" s="1899" t="str">
        <f t="shared" si="54"/>
        <v/>
      </c>
      <c r="CE96" s="1899" t="str">
        <f t="shared" si="55"/>
        <v/>
      </c>
      <c r="CF96" s="1899" t="str">
        <f t="shared" si="56"/>
        <v/>
      </c>
      <c r="CJ96" s="1901">
        <f t="shared" si="57"/>
        <v>0</v>
      </c>
      <c r="CK96" s="1901">
        <f t="shared" si="58"/>
        <v>0</v>
      </c>
      <c r="CL96" s="1901">
        <f t="shared" si="59"/>
        <v>0</v>
      </c>
      <c r="CM96" s="1901">
        <f t="shared" si="59"/>
        <v>0</v>
      </c>
      <c r="CN96" s="1901">
        <f t="shared" si="59"/>
        <v>0</v>
      </c>
      <c r="CO96" s="1901">
        <f t="shared" si="59"/>
        <v>0</v>
      </c>
    </row>
    <row r="97" spans="1:93" x14ac:dyDescent="0.3">
      <c r="A97" s="5790"/>
      <c r="B97" s="4176" t="s">
        <v>2086</v>
      </c>
      <c r="C97" s="3991">
        <f t="shared" si="48"/>
        <v>0</v>
      </c>
      <c r="D97" s="4061">
        <f t="shared" si="49"/>
        <v>0</v>
      </c>
      <c r="E97" s="345">
        <f t="shared" si="49"/>
        <v>0</v>
      </c>
      <c r="F97" s="3996"/>
      <c r="G97" s="331"/>
      <c r="H97" s="3996"/>
      <c r="I97" s="330"/>
      <c r="J97" s="3987"/>
      <c r="K97" s="2235"/>
      <c r="L97" s="3996"/>
      <c r="M97" s="2003"/>
      <c r="N97" s="3987"/>
      <c r="O97" s="2235"/>
      <c r="P97" s="4178"/>
      <c r="Q97" s="2003"/>
      <c r="R97" s="331"/>
      <c r="S97" s="2235"/>
      <c r="T97" s="3996"/>
      <c r="U97" s="330"/>
      <c r="V97" s="3987"/>
      <c r="W97" s="331"/>
      <c r="X97" s="3996"/>
      <c r="Y97" s="330"/>
      <c r="Z97" s="3987"/>
      <c r="AA97" s="331"/>
      <c r="AB97" s="3996"/>
      <c r="AC97" s="330"/>
      <c r="AD97" s="3996"/>
      <c r="AE97" s="2003"/>
      <c r="AF97" s="3996"/>
      <c r="AG97" s="330"/>
      <c r="AH97" s="3996"/>
      <c r="AI97" s="330"/>
      <c r="AJ97" s="3996"/>
      <c r="AK97" s="330"/>
      <c r="AL97" s="3987"/>
      <c r="AM97" s="4026"/>
      <c r="AN97" s="3987"/>
      <c r="AO97" s="2003"/>
      <c r="AP97" s="3996"/>
      <c r="AQ97" s="1973"/>
      <c r="AR97" s="1973"/>
      <c r="AS97" s="330"/>
      <c r="AT97" s="1898" t="str">
        <f t="shared" si="50"/>
        <v/>
      </c>
      <c r="CA97" s="1899" t="str">
        <f t="shared" si="51"/>
        <v/>
      </c>
      <c r="CB97" s="1899" t="str">
        <f t="shared" si="52"/>
        <v/>
      </c>
      <c r="CC97" s="1899" t="str">
        <f t="shared" si="53"/>
        <v/>
      </c>
      <c r="CD97" s="1899" t="str">
        <f t="shared" si="54"/>
        <v/>
      </c>
      <c r="CE97" s="1899" t="str">
        <f t="shared" si="55"/>
        <v/>
      </c>
      <c r="CF97" s="1899" t="str">
        <f t="shared" si="56"/>
        <v/>
      </c>
      <c r="CJ97" s="1901">
        <f t="shared" si="57"/>
        <v>0</v>
      </c>
      <c r="CK97" s="1901">
        <f t="shared" si="58"/>
        <v>0</v>
      </c>
      <c r="CL97" s="1901">
        <f t="shared" si="59"/>
        <v>0</v>
      </c>
      <c r="CM97" s="1901">
        <f t="shared" si="59"/>
        <v>0</v>
      </c>
      <c r="CN97" s="1901">
        <f t="shared" si="59"/>
        <v>0</v>
      </c>
      <c r="CO97" s="1901">
        <f t="shared" si="59"/>
        <v>0</v>
      </c>
    </row>
    <row r="98" spans="1:93" x14ac:dyDescent="0.3">
      <c r="A98" s="5790"/>
      <c r="B98" s="4198" t="s">
        <v>2087</v>
      </c>
      <c r="C98" s="199">
        <f t="shared" si="48"/>
        <v>0</v>
      </c>
      <c r="D98" s="1151">
        <f>+J98+L98+N98</f>
        <v>0</v>
      </c>
      <c r="E98" s="10">
        <f>+K98+M98+O98</f>
        <v>0</v>
      </c>
      <c r="F98" s="1924"/>
      <c r="G98" s="4211"/>
      <c r="H98" s="1924"/>
      <c r="I98" s="4186"/>
      <c r="J98" s="3987"/>
      <c r="K98" s="2235"/>
      <c r="L98" s="212"/>
      <c r="M98" s="1161"/>
      <c r="N98" s="1162"/>
      <c r="O98" s="1163"/>
      <c r="P98" s="4196"/>
      <c r="Q98" s="4195"/>
      <c r="R98" s="4211"/>
      <c r="S98" s="4212"/>
      <c r="T98" s="1924"/>
      <c r="U98" s="4186"/>
      <c r="V98" s="1925"/>
      <c r="W98" s="4211"/>
      <c r="X98" s="1924"/>
      <c r="Y98" s="4186"/>
      <c r="Z98" s="1925"/>
      <c r="AA98" s="4211"/>
      <c r="AB98" s="1924"/>
      <c r="AC98" s="4186"/>
      <c r="AD98" s="1924"/>
      <c r="AE98" s="4195"/>
      <c r="AF98" s="1924"/>
      <c r="AG98" s="4186"/>
      <c r="AH98" s="1924"/>
      <c r="AI98" s="4186"/>
      <c r="AJ98" s="1924"/>
      <c r="AK98" s="4186"/>
      <c r="AL98" s="4211"/>
      <c r="AM98" s="1927"/>
      <c r="AN98" s="3987"/>
      <c r="AO98" s="2003"/>
      <c r="AP98" s="3996"/>
      <c r="AQ98" s="1018"/>
      <c r="AR98" s="1018"/>
      <c r="AS98" s="34"/>
      <c r="AT98" s="1898" t="str">
        <f t="shared" si="50"/>
        <v/>
      </c>
      <c r="CA98" s="1899" t="str">
        <f t="shared" si="51"/>
        <v/>
      </c>
      <c r="CB98" s="1899" t="str">
        <f t="shared" si="52"/>
        <v/>
      </c>
      <c r="CC98" s="1899" t="str">
        <f t="shared" si="53"/>
        <v/>
      </c>
      <c r="CD98" s="1899" t="str">
        <f t="shared" si="54"/>
        <v/>
      </c>
      <c r="CE98" s="1899" t="str">
        <f t="shared" si="55"/>
        <v/>
      </c>
      <c r="CF98" s="1899" t="str">
        <f t="shared" si="56"/>
        <v/>
      </c>
      <c r="CJ98" s="1901">
        <f t="shared" si="57"/>
        <v>0</v>
      </c>
      <c r="CK98" s="1901">
        <f t="shared" si="58"/>
        <v>0</v>
      </c>
      <c r="CL98" s="1901">
        <f t="shared" si="59"/>
        <v>0</v>
      </c>
      <c r="CM98" s="1901">
        <f t="shared" si="59"/>
        <v>0</v>
      </c>
      <c r="CN98" s="1901">
        <f t="shared" si="59"/>
        <v>0</v>
      </c>
      <c r="CO98" s="1901">
        <f t="shared" si="59"/>
        <v>0</v>
      </c>
    </row>
    <row r="99" spans="1:93" x14ac:dyDescent="0.3">
      <c r="A99" s="6574"/>
      <c r="B99" s="518" t="s">
        <v>2088</v>
      </c>
      <c r="C99" s="638">
        <f t="shared" si="48"/>
        <v>0</v>
      </c>
      <c r="D99" s="4077">
        <f>SUM(F99+H99+J99+L99+N99+P99+R99+T99+V99+X99+Z99+AB99+AD99+AF99+AH99+AJ99+AL99)</f>
        <v>0</v>
      </c>
      <c r="E99" s="640">
        <f>SUM(G99+I99+K99+M99+O99+Q99+S99+U99+W99+Y99+AA99+AC99+AE99+AG99+AI99+AK99+AM99)</f>
        <v>0</v>
      </c>
      <c r="F99" s="876"/>
      <c r="G99" s="993"/>
      <c r="H99" s="876"/>
      <c r="I99" s="877"/>
      <c r="J99" s="1911"/>
      <c r="K99" s="2237"/>
      <c r="L99" s="876"/>
      <c r="M99" s="2009"/>
      <c r="N99" s="1911"/>
      <c r="O99" s="2237"/>
      <c r="P99" s="2049"/>
      <c r="Q99" s="2009"/>
      <c r="R99" s="993"/>
      <c r="S99" s="2237"/>
      <c r="T99" s="876"/>
      <c r="U99" s="877"/>
      <c r="V99" s="1911"/>
      <c r="W99" s="993"/>
      <c r="X99" s="876"/>
      <c r="Y99" s="877"/>
      <c r="Z99" s="1911"/>
      <c r="AA99" s="993"/>
      <c r="AB99" s="876"/>
      <c r="AC99" s="877"/>
      <c r="AD99" s="876"/>
      <c r="AE99" s="2009"/>
      <c r="AF99" s="876"/>
      <c r="AG99" s="877"/>
      <c r="AH99" s="876"/>
      <c r="AI99" s="877"/>
      <c r="AJ99" s="876"/>
      <c r="AK99" s="877"/>
      <c r="AL99" s="876"/>
      <c r="AM99" s="1953"/>
      <c r="AN99" s="3987"/>
      <c r="AO99" s="2003"/>
      <c r="AP99" s="3996"/>
      <c r="AQ99" s="1973"/>
      <c r="AR99" s="1973"/>
      <c r="AS99" s="330"/>
      <c r="AT99" s="1898" t="str">
        <f t="shared" si="50"/>
        <v/>
      </c>
      <c r="CA99" s="1899" t="str">
        <f t="shared" si="51"/>
        <v/>
      </c>
      <c r="CB99" s="1899" t="str">
        <f t="shared" si="52"/>
        <v/>
      </c>
      <c r="CC99" s="1899" t="str">
        <f t="shared" si="53"/>
        <v/>
      </c>
      <c r="CD99" s="1899" t="str">
        <f t="shared" si="54"/>
        <v/>
      </c>
      <c r="CE99" s="1899" t="str">
        <f t="shared" si="55"/>
        <v/>
      </c>
      <c r="CF99" s="1899" t="str">
        <f t="shared" si="56"/>
        <v/>
      </c>
      <c r="CJ99" s="1901">
        <f t="shared" si="57"/>
        <v>0</v>
      </c>
      <c r="CK99" s="1901">
        <f t="shared" si="58"/>
        <v>0</v>
      </c>
      <c r="CL99" s="1901">
        <f t="shared" si="59"/>
        <v>0</v>
      </c>
      <c r="CM99" s="1901">
        <f t="shared" si="59"/>
        <v>0</v>
      </c>
      <c r="CN99" s="1901">
        <f t="shared" si="59"/>
        <v>0</v>
      </c>
      <c r="CO99" s="1901">
        <f t="shared" si="59"/>
        <v>0</v>
      </c>
    </row>
    <row r="100" spans="1:93" ht="20.399999999999999" x14ac:dyDescent="0.3">
      <c r="A100" s="6896" t="s">
        <v>2089</v>
      </c>
      <c r="B100" s="4205" t="s">
        <v>2083</v>
      </c>
      <c r="C100" s="3308">
        <f t="shared" si="48"/>
        <v>0</v>
      </c>
      <c r="D100" s="4055">
        <f>+L100+N100+P100+R100+T100+V100+X100+Z100+AB100+AD100+AF100+AH100</f>
        <v>0</v>
      </c>
      <c r="E100" s="3983">
        <f>+M100+O100+Q100+S100+U100+W100+Y100+AA100+AC100+AE100+AG100+AI100</f>
        <v>0</v>
      </c>
      <c r="F100" s="4206"/>
      <c r="G100" s="4207"/>
      <c r="H100" s="4206"/>
      <c r="I100" s="4038"/>
      <c r="J100" s="4206"/>
      <c r="K100" s="4038"/>
      <c r="L100" s="3361"/>
      <c r="M100" s="890"/>
      <c r="N100" s="4036"/>
      <c r="O100" s="4208"/>
      <c r="P100" s="3363"/>
      <c r="Q100" s="890"/>
      <c r="R100" s="4209"/>
      <c r="S100" s="4208"/>
      <c r="T100" s="3361"/>
      <c r="U100" s="4013"/>
      <c r="V100" s="4036"/>
      <c r="W100" s="4209"/>
      <c r="X100" s="3361"/>
      <c r="Y100" s="4013"/>
      <c r="Z100" s="4036"/>
      <c r="AA100" s="4209"/>
      <c r="AB100" s="3361"/>
      <c r="AC100" s="4013"/>
      <c r="AD100" s="3361"/>
      <c r="AE100" s="890"/>
      <c r="AF100" s="3361"/>
      <c r="AG100" s="890"/>
      <c r="AH100" s="3361"/>
      <c r="AI100" s="890"/>
      <c r="AJ100" s="3997"/>
      <c r="AK100" s="2352"/>
      <c r="AL100" s="3984"/>
      <c r="AM100" s="4059"/>
      <c r="AN100" s="3987"/>
      <c r="AO100" s="2003"/>
      <c r="AP100" s="3996"/>
      <c r="AQ100" s="1039"/>
      <c r="AR100" s="1039"/>
      <c r="AS100" s="142"/>
      <c r="AT100" s="1898" t="str">
        <f t="shared" si="50"/>
        <v/>
      </c>
      <c r="CA100" s="1899" t="str">
        <f t="shared" si="51"/>
        <v/>
      </c>
      <c r="CB100" s="1899" t="str">
        <f t="shared" si="52"/>
        <v/>
      </c>
      <c r="CC100" s="1899" t="str">
        <f t="shared" si="53"/>
        <v/>
      </c>
      <c r="CD100" s="1899" t="str">
        <f t="shared" si="54"/>
        <v/>
      </c>
      <c r="CE100" s="1899" t="str">
        <f t="shared" si="55"/>
        <v/>
      </c>
      <c r="CF100" s="1899" t="str">
        <f t="shared" si="56"/>
        <v/>
      </c>
      <c r="CJ100" s="1901">
        <f t="shared" si="57"/>
        <v>0</v>
      </c>
      <c r="CK100" s="1901">
        <f t="shared" si="58"/>
        <v>0</v>
      </c>
      <c r="CL100" s="1901">
        <f t="shared" si="59"/>
        <v>0</v>
      </c>
      <c r="CM100" s="1901">
        <f t="shared" si="59"/>
        <v>0</v>
      </c>
      <c r="CN100" s="1901">
        <f t="shared" si="59"/>
        <v>0</v>
      </c>
      <c r="CO100" s="1901">
        <f t="shared" si="59"/>
        <v>0</v>
      </c>
    </row>
    <row r="101" spans="1:93" x14ac:dyDescent="0.3">
      <c r="A101" s="5790"/>
      <c r="B101" s="4176" t="s">
        <v>2084</v>
      </c>
      <c r="C101" s="3991">
        <f t="shared" si="48"/>
        <v>0</v>
      </c>
      <c r="D101" s="4061">
        <f t="shared" ref="D101:E103" si="60">SUM(F101+H101+J101+L101+N101+P101+R101+T101+V101+X101+Z101+AB101+AD101+AF101+AH101+AJ101+AL101)</f>
        <v>0</v>
      </c>
      <c r="E101" s="345">
        <f t="shared" si="60"/>
        <v>0</v>
      </c>
      <c r="F101" s="327"/>
      <c r="G101" s="45"/>
      <c r="H101" s="327"/>
      <c r="I101" s="142"/>
      <c r="J101" s="327"/>
      <c r="K101" s="45"/>
      <c r="L101" s="3996"/>
      <c r="M101" s="142"/>
      <c r="N101" s="3987"/>
      <c r="O101" s="45"/>
      <c r="P101" s="3996"/>
      <c r="Q101" s="142"/>
      <c r="R101" s="3987"/>
      <c r="S101" s="45"/>
      <c r="T101" s="3996"/>
      <c r="U101" s="142"/>
      <c r="V101" s="3987"/>
      <c r="W101" s="45"/>
      <c r="X101" s="3996"/>
      <c r="Y101" s="142"/>
      <c r="Z101" s="3987"/>
      <c r="AA101" s="45"/>
      <c r="AB101" s="3996"/>
      <c r="AC101" s="142"/>
      <c r="AD101" s="3996"/>
      <c r="AE101" s="905"/>
      <c r="AF101" s="3996"/>
      <c r="AG101" s="330"/>
      <c r="AH101" s="3996"/>
      <c r="AI101" s="330"/>
      <c r="AJ101" s="3996"/>
      <c r="AK101" s="330"/>
      <c r="AL101" s="3987"/>
      <c r="AM101" s="4026"/>
      <c r="AN101" s="3987"/>
      <c r="AO101" s="2003"/>
      <c r="AP101" s="3996"/>
      <c r="AQ101" s="1039"/>
      <c r="AR101" s="1039"/>
      <c r="AS101" s="142"/>
      <c r="AT101" s="1898" t="str">
        <f t="shared" si="50"/>
        <v/>
      </c>
      <c r="CA101" s="1899" t="str">
        <f t="shared" si="51"/>
        <v/>
      </c>
      <c r="CB101" s="1899" t="str">
        <f t="shared" si="52"/>
        <v/>
      </c>
      <c r="CC101" s="1899" t="str">
        <f t="shared" si="53"/>
        <v/>
      </c>
      <c r="CD101" s="1899" t="str">
        <f t="shared" si="54"/>
        <v/>
      </c>
      <c r="CE101" s="1899" t="str">
        <f t="shared" si="55"/>
        <v/>
      </c>
      <c r="CF101" s="1899" t="str">
        <f t="shared" si="56"/>
        <v/>
      </c>
      <c r="CJ101" s="1901">
        <f t="shared" si="57"/>
        <v>0</v>
      </c>
      <c r="CK101" s="1901">
        <f t="shared" si="58"/>
        <v>0</v>
      </c>
      <c r="CL101" s="1901">
        <f t="shared" si="59"/>
        <v>0</v>
      </c>
      <c r="CM101" s="1901">
        <f t="shared" si="59"/>
        <v>0</v>
      </c>
      <c r="CN101" s="1901">
        <f t="shared" si="59"/>
        <v>0</v>
      </c>
      <c r="CO101" s="1901">
        <f t="shared" si="59"/>
        <v>0</v>
      </c>
    </row>
    <row r="102" spans="1:93" x14ac:dyDescent="0.3">
      <c r="A102" s="5790"/>
      <c r="B102" s="4176" t="s">
        <v>2085</v>
      </c>
      <c r="C102" s="3991">
        <f t="shared" si="48"/>
        <v>0</v>
      </c>
      <c r="D102" s="4061">
        <f t="shared" si="60"/>
        <v>0</v>
      </c>
      <c r="E102" s="345">
        <f t="shared" si="60"/>
        <v>0</v>
      </c>
      <c r="F102" s="3996"/>
      <c r="G102" s="331"/>
      <c r="H102" s="3996"/>
      <c r="I102" s="330"/>
      <c r="J102" s="3996"/>
      <c r="K102" s="331"/>
      <c r="L102" s="3996"/>
      <c r="M102" s="330"/>
      <c r="N102" s="3987"/>
      <c r="O102" s="331"/>
      <c r="P102" s="3996"/>
      <c r="Q102" s="330"/>
      <c r="R102" s="3987"/>
      <c r="S102" s="331"/>
      <c r="T102" s="3996"/>
      <c r="U102" s="330"/>
      <c r="V102" s="3987"/>
      <c r="W102" s="331"/>
      <c r="X102" s="3996"/>
      <c r="Y102" s="330"/>
      <c r="Z102" s="3987"/>
      <c r="AA102" s="331"/>
      <c r="AB102" s="3996"/>
      <c r="AC102" s="330"/>
      <c r="AD102" s="3996"/>
      <c r="AE102" s="2003"/>
      <c r="AF102" s="3996"/>
      <c r="AG102" s="330"/>
      <c r="AH102" s="3996"/>
      <c r="AI102" s="330"/>
      <c r="AJ102" s="3996"/>
      <c r="AK102" s="330"/>
      <c r="AL102" s="3987"/>
      <c r="AM102" s="4026"/>
      <c r="AN102" s="3987"/>
      <c r="AO102" s="2003"/>
      <c r="AP102" s="3996"/>
      <c r="AQ102" s="1973"/>
      <c r="AR102" s="1973"/>
      <c r="AS102" s="330"/>
      <c r="AT102" s="1898" t="str">
        <f t="shared" si="50"/>
        <v/>
      </c>
      <c r="CA102" s="1899" t="str">
        <f t="shared" si="51"/>
        <v/>
      </c>
      <c r="CB102" s="1899" t="str">
        <f t="shared" si="52"/>
        <v/>
      </c>
      <c r="CC102" s="1899" t="str">
        <f t="shared" si="53"/>
        <v/>
      </c>
      <c r="CD102" s="1899" t="str">
        <f t="shared" si="54"/>
        <v/>
      </c>
      <c r="CE102" s="1899" t="str">
        <f t="shared" si="55"/>
        <v/>
      </c>
      <c r="CF102" s="1899" t="str">
        <f t="shared" si="56"/>
        <v/>
      </c>
      <c r="CJ102" s="1901">
        <f t="shared" si="57"/>
        <v>0</v>
      </c>
      <c r="CK102" s="1901">
        <f t="shared" si="58"/>
        <v>0</v>
      </c>
      <c r="CL102" s="1901">
        <f t="shared" si="59"/>
        <v>0</v>
      </c>
      <c r="CM102" s="1901">
        <f t="shared" si="59"/>
        <v>0</v>
      </c>
      <c r="CN102" s="1901">
        <f t="shared" si="59"/>
        <v>0</v>
      </c>
      <c r="CO102" s="1901">
        <f t="shared" si="59"/>
        <v>0</v>
      </c>
    </row>
    <row r="103" spans="1:93" x14ac:dyDescent="0.3">
      <c r="A103" s="5790"/>
      <c r="B103" s="4176" t="s">
        <v>2086</v>
      </c>
      <c r="C103" s="3991">
        <f t="shared" si="48"/>
        <v>0</v>
      </c>
      <c r="D103" s="4061">
        <f t="shared" si="60"/>
        <v>0</v>
      </c>
      <c r="E103" s="345">
        <f t="shared" si="60"/>
        <v>0</v>
      </c>
      <c r="F103" s="3996"/>
      <c r="G103" s="331"/>
      <c r="H103" s="3996"/>
      <c r="I103" s="330"/>
      <c r="J103" s="3996"/>
      <c r="K103" s="331"/>
      <c r="L103" s="3996"/>
      <c r="M103" s="330"/>
      <c r="N103" s="3987"/>
      <c r="O103" s="331"/>
      <c r="P103" s="3996"/>
      <c r="Q103" s="330"/>
      <c r="R103" s="3987"/>
      <c r="S103" s="331"/>
      <c r="T103" s="3996"/>
      <c r="U103" s="330"/>
      <c r="V103" s="3987"/>
      <c r="W103" s="331"/>
      <c r="X103" s="3996"/>
      <c r="Y103" s="330"/>
      <c r="Z103" s="3987"/>
      <c r="AA103" s="331"/>
      <c r="AB103" s="3996"/>
      <c r="AC103" s="330"/>
      <c r="AD103" s="3996"/>
      <c r="AE103" s="2003"/>
      <c r="AF103" s="3996"/>
      <c r="AG103" s="330"/>
      <c r="AH103" s="3996"/>
      <c r="AI103" s="330"/>
      <c r="AJ103" s="3996"/>
      <c r="AK103" s="330"/>
      <c r="AL103" s="3987"/>
      <c r="AM103" s="4026"/>
      <c r="AN103" s="3987"/>
      <c r="AO103" s="2003"/>
      <c r="AP103" s="3996"/>
      <c r="AQ103" s="1973"/>
      <c r="AR103" s="1973"/>
      <c r="AS103" s="330"/>
      <c r="AT103" s="1898" t="str">
        <f t="shared" si="50"/>
        <v/>
      </c>
      <c r="CA103" s="1899" t="str">
        <f t="shared" si="51"/>
        <v/>
      </c>
      <c r="CB103" s="1899" t="str">
        <f t="shared" si="52"/>
        <v/>
      </c>
      <c r="CC103" s="1899" t="str">
        <f t="shared" si="53"/>
        <v/>
      </c>
      <c r="CD103" s="1899" t="str">
        <f t="shared" si="54"/>
        <v/>
      </c>
      <c r="CE103" s="1899" t="str">
        <f t="shared" si="55"/>
        <v/>
      </c>
      <c r="CF103" s="1899" t="str">
        <f t="shared" si="56"/>
        <v/>
      </c>
      <c r="CJ103" s="1901">
        <f t="shared" si="57"/>
        <v>0</v>
      </c>
      <c r="CK103" s="1901">
        <f t="shared" si="58"/>
        <v>0</v>
      </c>
      <c r="CL103" s="1901">
        <f t="shared" si="59"/>
        <v>0</v>
      </c>
      <c r="CM103" s="1901">
        <f t="shared" si="59"/>
        <v>0</v>
      </c>
      <c r="CN103" s="1901">
        <f t="shared" si="59"/>
        <v>0</v>
      </c>
      <c r="CO103" s="1901">
        <f t="shared" si="59"/>
        <v>0</v>
      </c>
    </row>
    <row r="104" spans="1:93" x14ac:dyDescent="0.3">
      <c r="A104" s="5790"/>
      <c r="B104" s="4198" t="s">
        <v>2087</v>
      </c>
      <c r="C104" s="199">
        <f t="shared" si="48"/>
        <v>0</v>
      </c>
      <c r="D104" s="1151">
        <f>+J104+L104+N104</f>
        <v>0</v>
      </c>
      <c r="E104" s="10">
        <f>+K104+M104+O104</f>
        <v>0</v>
      </c>
      <c r="F104" s="1924"/>
      <c r="G104" s="4211"/>
      <c r="H104" s="2345"/>
      <c r="I104" s="3815"/>
      <c r="J104" s="3996"/>
      <c r="K104" s="331"/>
      <c r="L104" s="3996"/>
      <c r="M104" s="330"/>
      <c r="N104" s="3987"/>
      <c r="O104" s="331"/>
      <c r="P104" s="4213"/>
      <c r="Q104" s="2347"/>
      <c r="R104" s="2346"/>
      <c r="S104" s="4214"/>
      <c r="T104" s="2345"/>
      <c r="U104" s="3815"/>
      <c r="V104" s="3814"/>
      <c r="W104" s="2346"/>
      <c r="X104" s="2345"/>
      <c r="Y104" s="3815"/>
      <c r="Z104" s="3814"/>
      <c r="AA104" s="2346"/>
      <c r="AB104" s="2345"/>
      <c r="AC104" s="3815"/>
      <c r="AD104" s="2345"/>
      <c r="AE104" s="2347"/>
      <c r="AF104" s="2345"/>
      <c r="AG104" s="3815"/>
      <c r="AH104" s="2345"/>
      <c r="AI104" s="3815"/>
      <c r="AJ104" s="2345"/>
      <c r="AK104" s="3815"/>
      <c r="AL104" s="2346"/>
      <c r="AM104" s="4215"/>
      <c r="AN104" s="3987"/>
      <c r="AO104" s="2003"/>
      <c r="AP104" s="3996"/>
      <c r="AQ104" s="1973"/>
      <c r="AR104" s="1973"/>
      <c r="AS104" s="330"/>
      <c r="AT104" s="1898" t="str">
        <f t="shared" si="50"/>
        <v/>
      </c>
      <c r="CA104" s="1899" t="str">
        <f t="shared" si="51"/>
        <v/>
      </c>
      <c r="CB104" s="1899" t="str">
        <f t="shared" si="52"/>
        <v/>
      </c>
      <c r="CC104" s="1899" t="str">
        <f t="shared" si="53"/>
        <v/>
      </c>
      <c r="CD104" s="1899" t="str">
        <f t="shared" si="54"/>
        <v/>
      </c>
      <c r="CE104" s="1899" t="str">
        <f t="shared" si="55"/>
        <v/>
      </c>
      <c r="CF104" s="1899" t="str">
        <f t="shared" si="56"/>
        <v/>
      </c>
      <c r="CJ104" s="1901">
        <f t="shared" si="57"/>
        <v>0</v>
      </c>
      <c r="CK104" s="1901">
        <f t="shared" si="58"/>
        <v>0</v>
      </c>
      <c r="CL104" s="1901">
        <f t="shared" si="59"/>
        <v>0</v>
      </c>
      <c r="CM104" s="1901">
        <f t="shared" si="59"/>
        <v>0</v>
      </c>
      <c r="CN104" s="1901">
        <f t="shared" si="59"/>
        <v>0</v>
      </c>
      <c r="CO104" s="1901">
        <f t="shared" si="59"/>
        <v>0</v>
      </c>
    </row>
    <row r="105" spans="1:93" x14ac:dyDescent="0.3">
      <c r="A105" s="6574"/>
      <c r="B105" s="518" t="s">
        <v>2088</v>
      </c>
      <c r="C105" s="638">
        <f t="shared" si="48"/>
        <v>0</v>
      </c>
      <c r="D105" s="4077">
        <f>SUM(F105+H105+J105+L105+N105+P105+R105+T105+V105+X105+Z105+AB105+AD105+AF105+AH105+AJ105+AL105)</f>
        <v>0</v>
      </c>
      <c r="E105" s="640">
        <f>SUM(G105+I105+K105+M105+O105+Q105+S105+U105+W105+Y105+AA105+AC105+AE105+AG105+AI105+AK105+AM105)</f>
        <v>0</v>
      </c>
      <c r="F105" s="876"/>
      <c r="G105" s="993"/>
      <c r="H105" s="876"/>
      <c r="I105" s="877"/>
      <c r="J105" s="1911"/>
      <c r="K105" s="2237"/>
      <c r="L105" s="876"/>
      <c r="M105" s="2009"/>
      <c r="N105" s="1911"/>
      <c r="O105" s="2237"/>
      <c r="P105" s="2049"/>
      <c r="Q105" s="2009"/>
      <c r="R105" s="993"/>
      <c r="S105" s="2237"/>
      <c r="T105" s="876"/>
      <c r="U105" s="877"/>
      <c r="V105" s="1911"/>
      <c r="W105" s="993"/>
      <c r="X105" s="876"/>
      <c r="Y105" s="877"/>
      <c r="Z105" s="1911"/>
      <c r="AA105" s="993"/>
      <c r="AB105" s="876"/>
      <c r="AC105" s="877"/>
      <c r="AD105" s="876"/>
      <c r="AE105" s="2009"/>
      <c r="AF105" s="876"/>
      <c r="AG105" s="877"/>
      <c r="AH105" s="876"/>
      <c r="AI105" s="877"/>
      <c r="AJ105" s="876"/>
      <c r="AK105" s="877"/>
      <c r="AL105" s="993"/>
      <c r="AM105" s="1953"/>
      <c r="AN105" s="1911"/>
      <c r="AO105" s="2009"/>
      <c r="AP105" s="876"/>
      <c r="AQ105" s="1907"/>
      <c r="AR105" s="1907"/>
      <c r="AS105" s="877"/>
      <c r="AT105" s="1898" t="str">
        <f t="shared" si="50"/>
        <v/>
      </c>
      <c r="CA105" s="1899" t="str">
        <f t="shared" si="51"/>
        <v/>
      </c>
      <c r="CB105" s="1899" t="str">
        <f t="shared" si="52"/>
        <v/>
      </c>
      <c r="CC105" s="1899" t="str">
        <f t="shared" si="53"/>
        <v/>
      </c>
      <c r="CD105" s="1899" t="str">
        <f t="shared" si="54"/>
        <v/>
      </c>
      <c r="CE105" s="1899" t="str">
        <f t="shared" si="55"/>
        <v/>
      </c>
      <c r="CF105" s="1899" t="str">
        <f t="shared" si="56"/>
        <v/>
      </c>
      <c r="CJ105" s="1901">
        <f t="shared" si="57"/>
        <v>0</v>
      </c>
      <c r="CK105" s="1901">
        <f t="shared" si="58"/>
        <v>0</v>
      </c>
      <c r="CL105" s="1901">
        <f t="shared" si="59"/>
        <v>0</v>
      </c>
      <c r="CM105" s="1901">
        <f t="shared" si="59"/>
        <v>0</v>
      </c>
      <c r="CN105" s="1901">
        <f t="shared" si="59"/>
        <v>0</v>
      </c>
      <c r="CO105" s="1901">
        <f t="shared" si="59"/>
        <v>0</v>
      </c>
    </row>
    <row r="106" spans="1:93" ht="18" customHeight="1" x14ac:dyDescent="0.3">
      <c r="A106" s="6905" t="s">
        <v>2090</v>
      </c>
      <c r="B106" s="6905"/>
      <c r="C106" s="6905"/>
      <c r="D106" s="6905"/>
    </row>
    <row r="107" spans="1:93" x14ac:dyDescent="0.3">
      <c r="A107" s="6896" t="s">
        <v>2091</v>
      </c>
      <c r="B107" s="4009" t="s">
        <v>2092</v>
      </c>
      <c r="C107" s="3976" t="s">
        <v>2093</v>
      </c>
      <c r="D107" s="3976" t="s">
        <v>492</v>
      </c>
    </row>
    <row r="108" spans="1:93" x14ac:dyDescent="0.3">
      <c r="A108" s="5790"/>
      <c r="B108" s="3423" t="s">
        <v>279</v>
      </c>
      <c r="C108" s="4174"/>
      <c r="D108" s="4174"/>
      <c r="E108" s="1898" t="str">
        <f>$CA108</f>
        <v/>
      </c>
      <c r="F108" s="3312"/>
      <c r="G108" s="3312"/>
      <c r="H108" s="3312"/>
      <c r="I108" s="3312"/>
      <c r="J108" s="3312"/>
      <c r="K108" s="3312"/>
      <c r="L108" s="3312"/>
      <c r="M108" s="3312"/>
      <c r="N108" s="3312"/>
      <c r="O108" s="3312"/>
      <c r="P108" s="3312"/>
      <c r="Q108" s="2183"/>
      <c r="R108" s="2183"/>
      <c r="S108" s="2183"/>
      <c r="T108" s="2184"/>
      <c r="U108" s="2184"/>
      <c r="V108" s="2184"/>
      <c r="W108" s="2184"/>
      <c r="X108" s="2184"/>
      <c r="Y108" s="2184"/>
      <c r="Z108" s="2184"/>
      <c r="AA108" s="2184"/>
      <c r="AB108" s="2184"/>
      <c r="AC108" s="2184"/>
      <c r="AD108" s="2184"/>
      <c r="AE108" s="2184"/>
      <c r="AF108" s="2184"/>
      <c r="AG108" s="2184"/>
      <c r="AH108" s="2184"/>
      <c r="AI108" s="2184"/>
      <c r="AJ108" s="2184"/>
      <c r="AK108" s="2184"/>
      <c r="AL108" s="2184"/>
      <c r="AM108" s="2184"/>
      <c r="AN108" s="2184"/>
      <c r="AO108" s="2184"/>
      <c r="AP108" s="2184"/>
      <c r="AQ108" s="2184"/>
      <c r="AR108" s="2184"/>
      <c r="AS108" s="2184"/>
      <c r="AT108" s="2184"/>
      <c r="AU108" s="2184"/>
      <c r="AV108" s="2184"/>
      <c r="AW108" s="2184"/>
      <c r="AX108" s="2184"/>
      <c r="AY108" s="2184"/>
      <c r="AZ108" s="2184"/>
      <c r="BA108" s="2184"/>
      <c r="BB108" s="2184"/>
      <c r="BC108" s="2184"/>
      <c r="BD108" s="2184"/>
      <c r="BE108" s="2184"/>
      <c r="BF108" s="2184"/>
      <c r="BG108" s="2184"/>
      <c r="BH108" s="2184"/>
      <c r="BI108" s="2184"/>
      <c r="BJ108" s="2184"/>
      <c r="BK108" s="2184"/>
      <c r="BL108" s="2184"/>
      <c r="BM108" s="2184"/>
      <c r="BN108" s="2184"/>
      <c r="BO108" s="2184"/>
      <c r="BP108" s="2184"/>
      <c r="BQ108" s="2184"/>
      <c r="BR108" s="2184"/>
      <c r="BS108" s="2184"/>
      <c r="BT108" s="2184"/>
      <c r="BU108" s="2184"/>
      <c r="BV108" s="2184"/>
      <c r="BW108" s="2184"/>
      <c r="BX108" s="4166"/>
      <c r="BY108" s="4166"/>
      <c r="BZ108" s="4166"/>
      <c r="CA108" s="4216" t="str">
        <f>IF(D108&lt;=C108,"","* Las consejerías realizadas en Espacios Amigables NO DEBEN ser mayor al Total de Actividades. ")</f>
        <v/>
      </c>
      <c r="CB108" s="3969"/>
      <c r="CC108" s="3969"/>
      <c r="CD108" s="3969"/>
      <c r="CE108" s="3969"/>
      <c r="CF108" s="3969"/>
      <c r="CJ108" s="4217">
        <f>IF(D108&lt;=C108,0,1)</f>
        <v>0</v>
      </c>
    </row>
    <row r="109" spans="1:93" x14ac:dyDescent="0.3">
      <c r="A109" s="5790"/>
      <c r="B109" s="3957" t="s">
        <v>2094</v>
      </c>
      <c r="C109" s="4051"/>
      <c r="D109" s="4051"/>
      <c r="E109" s="1898" t="str">
        <f t="shared" ref="E109:E110" si="61">$CA109</f>
        <v/>
      </c>
      <c r="F109" s="3312"/>
      <c r="G109" s="3312"/>
      <c r="H109" s="3312"/>
      <c r="I109" s="3312"/>
      <c r="J109" s="3312"/>
      <c r="K109" s="3312"/>
      <c r="L109" s="3312"/>
      <c r="M109" s="3312"/>
      <c r="N109" s="3312"/>
      <c r="O109" s="3312"/>
      <c r="P109" s="3312"/>
      <c r="Q109" s="2183"/>
      <c r="R109" s="2183"/>
      <c r="S109" s="2183"/>
      <c r="T109" s="2184"/>
      <c r="U109" s="2184"/>
      <c r="V109" s="2184"/>
      <c r="W109" s="2184"/>
      <c r="X109" s="2184"/>
      <c r="Y109" s="2184"/>
      <c r="Z109" s="2184"/>
      <c r="AA109" s="2184"/>
      <c r="AB109" s="2184"/>
      <c r="AC109" s="2184"/>
      <c r="AD109" s="2184"/>
      <c r="AE109" s="2184"/>
      <c r="AF109" s="2184"/>
      <c r="AG109" s="2184"/>
      <c r="AH109" s="2184"/>
      <c r="AI109" s="2184"/>
      <c r="AJ109" s="2184"/>
      <c r="AK109" s="2184"/>
      <c r="AL109" s="2184"/>
      <c r="AM109" s="2184"/>
      <c r="AN109" s="2184"/>
      <c r="AO109" s="2184"/>
      <c r="AP109" s="2184"/>
      <c r="AQ109" s="2184"/>
      <c r="AR109" s="2184"/>
      <c r="AS109" s="2184"/>
      <c r="AT109" s="2184"/>
      <c r="AU109" s="2184"/>
      <c r="AV109" s="2184"/>
      <c r="AW109" s="2184"/>
      <c r="AX109" s="2184"/>
      <c r="AY109" s="2184"/>
      <c r="AZ109" s="2184"/>
      <c r="BA109" s="2184"/>
      <c r="BB109" s="2184"/>
      <c r="BC109" s="2184"/>
      <c r="BD109" s="2184"/>
      <c r="BE109" s="2184"/>
      <c r="BF109" s="2184"/>
      <c r="BG109" s="2184"/>
      <c r="BH109" s="2184"/>
      <c r="BI109" s="2184"/>
      <c r="BJ109" s="2184"/>
      <c r="BK109" s="2184"/>
      <c r="BL109" s="2184"/>
      <c r="BM109" s="2184"/>
      <c r="BN109" s="2184"/>
      <c r="BO109" s="2184"/>
      <c r="BP109" s="2184"/>
      <c r="BQ109" s="2184"/>
      <c r="BR109" s="2184"/>
      <c r="BS109" s="2184"/>
      <c r="BT109" s="2184"/>
      <c r="BU109" s="2184"/>
      <c r="BV109" s="2184"/>
      <c r="BW109" s="2184"/>
      <c r="BX109" s="4166"/>
      <c r="BY109" s="4166"/>
      <c r="BZ109" s="4166"/>
      <c r="CA109" s="4216" t="str">
        <f t="shared" ref="CA109:CA110" si="62">IF(D109&lt;=C109,"","* Las consejerías realizadas en Espacios Amigables NO DEBEN ser mayor al Total de Actividades. ")</f>
        <v/>
      </c>
      <c r="CB109" s="3969"/>
      <c r="CC109" s="3969"/>
      <c r="CD109" s="3969"/>
      <c r="CE109" s="3969"/>
      <c r="CF109" s="3969"/>
      <c r="CJ109" s="4217">
        <f>IF(D109&lt;=C109,0,1)</f>
        <v>0</v>
      </c>
    </row>
    <row r="110" spans="1:93" ht="20.399999999999999" x14ac:dyDescent="0.3">
      <c r="A110" s="5790"/>
      <c r="B110" s="3957" t="s">
        <v>2095</v>
      </c>
      <c r="C110" s="4051"/>
      <c r="D110" s="4051"/>
      <c r="E110" s="1898" t="str">
        <f t="shared" si="61"/>
        <v/>
      </c>
      <c r="F110" s="3312"/>
      <c r="G110" s="3312"/>
      <c r="H110" s="3312"/>
      <c r="I110" s="3312"/>
      <c r="J110" s="3312"/>
      <c r="K110" s="3312"/>
      <c r="L110" s="3312"/>
      <c r="M110" s="3312"/>
      <c r="N110" s="3312"/>
      <c r="O110" s="3312"/>
      <c r="P110" s="3312"/>
      <c r="Q110" s="2183"/>
      <c r="R110" s="2183"/>
      <c r="S110" s="2183"/>
      <c r="T110" s="2184"/>
      <c r="U110" s="2184"/>
      <c r="V110" s="2184"/>
      <c r="W110" s="2184"/>
      <c r="X110" s="2184"/>
      <c r="Y110" s="2184"/>
      <c r="Z110" s="2184"/>
      <c r="AA110" s="2184"/>
      <c r="AB110" s="2184"/>
      <c r="AC110" s="2184"/>
      <c r="AD110" s="2184"/>
      <c r="AE110" s="2184"/>
      <c r="AF110" s="2184"/>
      <c r="AG110" s="2184"/>
      <c r="AH110" s="2184"/>
      <c r="AI110" s="2184"/>
      <c r="AJ110" s="2184"/>
      <c r="AK110" s="2184"/>
      <c r="AL110" s="2184"/>
      <c r="AM110" s="2184"/>
      <c r="AN110" s="2184"/>
      <c r="AO110" s="2184"/>
      <c r="AP110" s="2184"/>
      <c r="AQ110" s="2184"/>
      <c r="AR110" s="2184"/>
      <c r="AS110" s="2184"/>
      <c r="AT110" s="2184"/>
      <c r="AU110" s="2184"/>
      <c r="AV110" s="2184"/>
      <c r="AW110" s="2184"/>
      <c r="AX110" s="2184"/>
      <c r="AY110" s="2184"/>
      <c r="AZ110" s="2184"/>
      <c r="BA110" s="2184"/>
      <c r="BB110" s="2184"/>
      <c r="BC110" s="2184"/>
      <c r="BD110" s="2184"/>
      <c r="BE110" s="2184"/>
      <c r="BF110" s="2184"/>
      <c r="BG110" s="2184"/>
      <c r="BH110" s="2184"/>
      <c r="BI110" s="2184"/>
      <c r="BJ110" s="2184"/>
      <c r="BK110" s="2184"/>
      <c r="BL110" s="2184"/>
      <c r="BM110" s="2184"/>
      <c r="BN110" s="2184"/>
      <c r="BO110" s="2184"/>
      <c r="BP110" s="2184"/>
      <c r="BQ110" s="2184"/>
      <c r="BR110" s="2184"/>
      <c r="BS110" s="2184"/>
      <c r="BT110" s="2184"/>
      <c r="BU110" s="2184"/>
      <c r="BV110" s="2184"/>
      <c r="BW110" s="2184"/>
      <c r="BX110" s="4166"/>
      <c r="BY110" s="4166"/>
      <c r="BZ110" s="4166"/>
      <c r="CA110" s="4216" t="str">
        <f t="shared" si="62"/>
        <v/>
      </c>
      <c r="CB110" s="3969"/>
      <c r="CC110" s="3969"/>
      <c r="CD110" s="3969"/>
      <c r="CE110" s="3969"/>
      <c r="CF110" s="3969"/>
      <c r="CJ110" s="4217">
        <f>IF(D110&lt;=C110,0,1)</f>
        <v>0</v>
      </c>
    </row>
    <row r="111" spans="1:93" x14ac:dyDescent="0.3">
      <c r="A111" s="5790"/>
      <c r="B111" s="3957" t="s">
        <v>4354</v>
      </c>
      <c r="C111" s="4051"/>
      <c r="D111" s="4218"/>
    </row>
    <row r="112" spans="1:93" x14ac:dyDescent="0.3">
      <c r="A112" s="5790"/>
      <c r="B112" s="4007" t="s">
        <v>2096</v>
      </c>
      <c r="C112" s="330"/>
      <c r="D112" s="4218"/>
    </row>
    <row r="113" spans="1:111" x14ac:dyDescent="0.3">
      <c r="A113" s="5790"/>
      <c r="B113" s="4007" t="s">
        <v>2097</v>
      </c>
      <c r="C113" s="330"/>
      <c r="D113" s="4051"/>
      <c r="E113" s="1898" t="str">
        <f t="shared" ref="E113:E117" si="63">$CA113</f>
        <v/>
      </c>
      <c r="F113" s="3312"/>
      <c r="G113" s="3312"/>
      <c r="H113" s="3312"/>
      <c r="I113" s="3312"/>
      <c r="J113" s="3312"/>
      <c r="K113" s="3312"/>
      <c r="L113" s="3312"/>
      <c r="M113" s="3312"/>
      <c r="N113" s="3312"/>
      <c r="O113" s="3312"/>
      <c r="P113" s="3312"/>
      <c r="Q113" s="2183"/>
      <c r="R113" s="2183"/>
      <c r="S113" s="2183"/>
      <c r="T113" s="2184"/>
      <c r="U113" s="2184"/>
      <c r="V113" s="2184"/>
      <c r="W113" s="2184"/>
      <c r="X113" s="2184"/>
      <c r="Y113" s="2184"/>
      <c r="Z113" s="2184"/>
      <c r="AA113" s="2184"/>
      <c r="AB113" s="2184"/>
      <c r="AC113" s="2184"/>
      <c r="AD113" s="2184"/>
      <c r="AE113" s="2184"/>
      <c r="AF113" s="2184"/>
      <c r="AG113" s="2184"/>
      <c r="AH113" s="2184"/>
      <c r="AI113" s="2184"/>
      <c r="AJ113" s="2184"/>
      <c r="AK113" s="2184"/>
      <c r="AL113" s="2184"/>
      <c r="AM113" s="2184"/>
      <c r="AN113" s="2184"/>
      <c r="AO113" s="2184"/>
      <c r="AP113" s="2184"/>
      <c r="AQ113" s="2184"/>
      <c r="AR113" s="2184"/>
      <c r="AS113" s="2184"/>
      <c r="AT113" s="2184"/>
      <c r="AU113" s="2184"/>
      <c r="AV113" s="2184"/>
      <c r="AW113" s="2184"/>
      <c r="AX113" s="2184"/>
      <c r="AY113" s="2184"/>
      <c r="AZ113" s="2184"/>
      <c r="BA113" s="2184"/>
      <c r="BB113" s="2184"/>
      <c r="BC113" s="2184"/>
      <c r="BD113" s="2184"/>
      <c r="BE113" s="2184"/>
      <c r="BF113" s="2184"/>
      <c r="BG113" s="2184"/>
      <c r="BH113" s="2184"/>
      <c r="BI113" s="2184"/>
      <c r="BJ113" s="2184"/>
      <c r="BK113" s="2184"/>
      <c r="BL113" s="2184"/>
      <c r="BM113" s="2184"/>
      <c r="BN113" s="2184"/>
      <c r="BO113" s="2184"/>
      <c r="BP113" s="2184"/>
      <c r="BQ113" s="2184"/>
      <c r="BR113" s="2184"/>
      <c r="BS113" s="2184"/>
      <c r="BT113" s="2184"/>
      <c r="BU113" s="2184"/>
      <c r="BV113" s="2184"/>
      <c r="BW113" s="2184"/>
      <c r="BX113" s="4166"/>
      <c r="BY113" s="4166"/>
      <c r="BZ113" s="4166"/>
      <c r="CA113" s="4216" t="str">
        <f>IF(D113&lt;=C113,"","* Las consejerías realizadas en Espacios Amigables NO DEBEN ser mayor al Total de Actividades. ")</f>
        <v/>
      </c>
      <c r="CB113" s="3969"/>
      <c r="CC113" s="3969"/>
      <c r="CD113" s="3969"/>
      <c r="CE113" s="3969"/>
      <c r="CF113" s="3969"/>
      <c r="CJ113" s="4217">
        <f>IF(D113&lt;=C113,0,1)</f>
        <v>0</v>
      </c>
    </row>
    <row r="114" spans="1:111" x14ac:dyDescent="0.3">
      <c r="A114" s="5790"/>
      <c r="B114" s="4007" t="s">
        <v>2098</v>
      </c>
      <c r="C114" s="330"/>
      <c r="D114" s="4051"/>
      <c r="E114" s="1898" t="str">
        <f t="shared" si="63"/>
        <v/>
      </c>
      <c r="F114" s="3312"/>
      <c r="G114" s="3312"/>
      <c r="H114" s="3312"/>
      <c r="I114" s="3312"/>
      <c r="J114" s="3312"/>
      <c r="K114" s="3312"/>
      <c r="L114" s="3312"/>
      <c r="M114" s="3312"/>
      <c r="N114" s="3312"/>
      <c r="O114" s="3312"/>
      <c r="P114" s="3312"/>
      <c r="Q114" s="2183"/>
      <c r="R114" s="2183"/>
      <c r="S114" s="2183"/>
      <c r="T114" s="2184"/>
      <c r="U114" s="2184"/>
      <c r="V114" s="2184"/>
      <c r="W114" s="2184"/>
      <c r="X114" s="2184"/>
      <c r="Y114" s="2184"/>
      <c r="Z114" s="2184"/>
      <c r="AA114" s="2184"/>
      <c r="AB114" s="2184"/>
      <c r="AC114" s="2184"/>
      <c r="AD114" s="2184"/>
      <c r="AE114" s="2184"/>
      <c r="AF114" s="2184"/>
      <c r="AG114" s="2184"/>
      <c r="AH114" s="2184"/>
      <c r="AI114" s="2184"/>
      <c r="AJ114" s="2184"/>
      <c r="AK114" s="2184"/>
      <c r="AL114" s="2184"/>
      <c r="AM114" s="2184"/>
      <c r="AN114" s="2184"/>
      <c r="AO114" s="2184"/>
      <c r="AP114" s="2184"/>
      <c r="AQ114" s="2184"/>
      <c r="AR114" s="2184"/>
      <c r="AS114" s="2184"/>
      <c r="AT114" s="2184"/>
      <c r="AU114" s="2184"/>
      <c r="AV114" s="2184"/>
      <c r="AW114" s="2184"/>
      <c r="AX114" s="2184"/>
      <c r="AY114" s="2184"/>
      <c r="AZ114" s="2184"/>
      <c r="BA114" s="2184"/>
      <c r="BB114" s="2184"/>
      <c r="BC114" s="2184"/>
      <c r="BD114" s="2184"/>
      <c r="BE114" s="2184"/>
      <c r="BF114" s="2184"/>
      <c r="BG114" s="2184"/>
      <c r="BH114" s="2184"/>
      <c r="BI114" s="2184"/>
      <c r="BJ114" s="2184"/>
      <c r="BK114" s="2184"/>
      <c r="BL114" s="2184"/>
      <c r="BM114" s="2184"/>
      <c r="BN114" s="2184"/>
      <c r="BO114" s="2184"/>
      <c r="BP114" s="2184"/>
      <c r="BQ114" s="2184"/>
      <c r="BR114" s="2184"/>
      <c r="BS114" s="2184"/>
      <c r="BT114" s="2184"/>
      <c r="BU114" s="2184"/>
      <c r="BV114" s="2184"/>
      <c r="BW114" s="2184"/>
      <c r="BX114" s="4166"/>
      <c r="BY114" s="4166"/>
      <c r="BZ114" s="4166"/>
      <c r="CA114" s="4216" t="str">
        <f t="shared" ref="CA114:CA117" si="64">IF(D114&lt;=C114,"","* Las consejerías realizadas en Espacios Amigables NO DEBEN ser mayor al Total de Actividades. ")</f>
        <v/>
      </c>
      <c r="CB114" s="3969"/>
      <c r="CC114" s="3969"/>
      <c r="CD114" s="3969"/>
      <c r="CE114" s="3969"/>
      <c r="CF114" s="3969"/>
      <c r="CJ114" s="4217">
        <f>IF(D114&lt;=C114,0,1)</f>
        <v>0</v>
      </c>
    </row>
    <row r="115" spans="1:111" x14ac:dyDescent="0.3">
      <c r="A115" s="5790"/>
      <c r="B115" s="4007" t="s">
        <v>2099</v>
      </c>
      <c r="C115" s="4051"/>
      <c r="D115" s="4051"/>
      <c r="E115" s="1898" t="str">
        <f t="shared" si="63"/>
        <v/>
      </c>
      <c r="F115" s="3312"/>
      <c r="G115" s="3312"/>
      <c r="H115" s="3312"/>
      <c r="I115" s="3312"/>
      <c r="J115" s="3312"/>
      <c r="K115" s="3312"/>
      <c r="L115" s="3312"/>
      <c r="M115" s="3312"/>
      <c r="N115" s="3312"/>
      <c r="O115" s="3312"/>
      <c r="P115" s="3312"/>
      <c r="Q115" s="2183"/>
      <c r="R115" s="2183"/>
      <c r="S115" s="2183"/>
      <c r="T115" s="2184"/>
      <c r="U115" s="2184"/>
      <c r="V115" s="2184"/>
      <c r="W115" s="2184"/>
      <c r="X115" s="2184"/>
      <c r="Y115" s="2184"/>
      <c r="Z115" s="2184"/>
      <c r="AA115" s="2184"/>
      <c r="AB115" s="2184"/>
      <c r="AC115" s="2184"/>
      <c r="AD115" s="2184"/>
      <c r="AE115" s="2184"/>
      <c r="AF115" s="2184"/>
      <c r="AG115" s="2184"/>
      <c r="AH115" s="2184"/>
      <c r="AI115" s="2184"/>
      <c r="AJ115" s="2184"/>
      <c r="AK115" s="2184"/>
      <c r="AL115" s="2184"/>
      <c r="AM115" s="2184"/>
      <c r="AN115" s="2184"/>
      <c r="AO115" s="2184"/>
      <c r="AP115" s="2184"/>
      <c r="AQ115" s="2184"/>
      <c r="AR115" s="2184"/>
      <c r="AS115" s="2184"/>
      <c r="AT115" s="2184"/>
      <c r="AU115" s="2184"/>
      <c r="AV115" s="2184"/>
      <c r="AW115" s="2184"/>
      <c r="AX115" s="2184"/>
      <c r="AY115" s="2184"/>
      <c r="AZ115" s="2184"/>
      <c r="BA115" s="2184"/>
      <c r="BB115" s="2184"/>
      <c r="BC115" s="2184"/>
      <c r="BD115" s="2184"/>
      <c r="BE115" s="2184"/>
      <c r="BF115" s="2184"/>
      <c r="BG115" s="2184"/>
      <c r="BH115" s="2184"/>
      <c r="BI115" s="2184"/>
      <c r="BJ115" s="2184"/>
      <c r="BK115" s="2184"/>
      <c r="BL115" s="2184"/>
      <c r="BM115" s="2184"/>
      <c r="BN115" s="2184"/>
      <c r="BO115" s="2184"/>
      <c r="BP115" s="2184"/>
      <c r="BQ115" s="2184"/>
      <c r="BR115" s="2184"/>
      <c r="BS115" s="2184"/>
      <c r="BT115" s="2184"/>
      <c r="BU115" s="2184"/>
      <c r="BV115" s="2184"/>
      <c r="BW115" s="2184"/>
      <c r="BX115" s="4166"/>
      <c r="BY115" s="4166"/>
      <c r="BZ115" s="4166"/>
      <c r="CA115" s="4216" t="str">
        <f t="shared" si="64"/>
        <v/>
      </c>
      <c r="CB115" s="3969"/>
      <c r="CC115" s="3969"/>
      <c r="CD115" s="3969"/>
      <c r="CE115" s="3969"/>
      <c r="CF115" s="3969"/>
      <c r="CJ115" s="4217">
        <f>IF(D115&lt;=C115,0,1)</f>
        <v>0</v>
      </c>
    </row>
    <row r="116" spans="1:111" x14ac:dyDescent="0.3">
      <c r="A116" s="5790"/>
      <c r="B116" s="1800" t="s">
        <v>2100</v>
      </c>
      <c r="C116" s="4051"/>
      <c r="D116" s="4051"/>
      <c r="E116" s="1898"/>
      <c r="F116" s="3312"/>
      <c r="G116" s="3312"/>
      <c r="H116" s="3312"/>
      <c r="I116" s="3312"/>
      <c r="J116" s="3312"/>
      <c r="K116" s="3312"/>
      <c r="L116" s="3312"/>
      <c r="M116" s="3312"/>
      <c r="N116" s="3312"/>
      <c r="O116" s="3312"/>
      <c r="P116" s="3312"/>
      <c r="Q116" s="2183"/>
      <c r="R116" s="2183"/>
      <c r="S116" s="2183"/>
      <c r="T116" s="2184"/>
      <c r="U116" s="2184"/>
      <c r="V116" s="2184"/>
      <c r="W116" s="2184"/>
      <c r="X116" s="2184"/>
      <c r="Y116" s="2184"/>
      <c r="Z116" s="2184"/>
      <c r="AA116" s="2184"/>
      <c r="AB116" s="2184"/>
      <c r="AC116" s="2184"/>
      <c r="AD116" s="2184"/>
      <c r="AE116" s="2184"/>
      <c r="AF116" s="2184"/>
      <c r="AG116" s="2184"/>
      <c r="AH116" s="2184"/>
      <c r="AI116" s="2184"/>
      <c r="AJ116" s="2184"/>
      <c r="AK116" s="2184"/>
      <c r="AL116" s="2184"/>
      <c r="AM116" s="2184"/>
      <c r="AN116" s="2184"/>
      <c r="AO116" s="2184"/>
      <c r="AP116" s="2184"/>
      <c r="AQ116" s="2184"/>
      <c r="AR116" s="2184"/>
      <c r="AS116" s="2184"/>
      <c r="AT116" s="2184"/>
      <c r="AU116" s="2184"/>
      <c r="AV116" s="2184"/>
      <c r="AW116" s="2184"/>
      <c r="AX116" s="2184"/>
      <c r="AY116" s="2184"/>
      <c r="AZ116" s="2184"/>
      <c r="BA116" s="2184"/>
      <c r="BB116" s="2184"/>
      <c r="BC116" s="2184"/>
      <c r="BD116" s="2184"/>
      <c r="BE116" s="2184"/>
      <c r="BF116" s="2184"/>
      <c r="BG116" s="2184"/>
      <c r="BH116" s="2184"/>
      <c r="BI116" s="2184"/>
      <c r="BJ116" s="2184"/>
      <c r="BK116" s="2184"/>
      <c r="BL116" s="2184"/>
      <c r="BM116" s="2184"/>
      <c r="BN116" s="2184"/>
      <c r="BO116" s="2184"/>
      <c r="BP116" s="2184"/>
      <c r="BQ116" s="2184"/>
      <c r="BR116" s="2184"/>
      <c r="BS116" s="2184"/>
      <c r="BT116" s="2184"/>
      <c r="BU116" s="2184"/>
      <c r="BV116" s="2184"/>
      <c r="BW116" s="2184"/>
      <c r="BX116" s="4166"/>
      <c r="BY116" s="4166"/>
      <c r="BZ116" s="4166"/>
      <c r="CA116" s="4216"/>
      <c r="CB116" s="3969"/>
      <c r="CC116" s="3969"/>
      <c r="CD116" s="3969"/>
      <c r="CE116" s="3969"/>
      <c r="CF116" s="3969"/>
      <c r="CJ116" s="4217"/>
    </row>
    <row r="117" spans="1:111" x14ac:dyDescent="0.3">
      <c r="A117" s="6574"/>
      <c r="B117" s="526" t="s">
        <v>2101</v>
      </c>
      <c r="C117" s="4219"/>
      <c r="D117" s="4219"/>
      <c r="E117" s="1898" t="str">
        <f t="shared" si="63"/>
        <v/>
      </c>
      <c r="F117" s="3312"/>
      <c r="G117" s="3312"/>
      <c r="H117" s="3312"/>
      <c r="I117" s="3312"/>
      <c r="J117" s="3312"/>
      <c r="K117" s="3312"/>
      <c r="L117" s="3312"/>
      <c r="M117" s="3312"/>
      <c r="N117" s="3312"/>
      <c r="O117" s="3312"/>
      <c r="P117" s="3312"/>
      <c r="Q117" s="2183"/>
      <c r="R117" s="2183"/>
      <c r="S117" s="2183"/>
      <c r="T117" s="2184"/>
      <c r="U117" s="2184"/>
      <c r="V117" s="2184"/>
      <c r="W117" s="2184"/>
      <c r="X117" s="2184"/>
      <c r="Y117" s="2184"/>
      <c r="Z117" s="2184"/>
      <c r="AA117" s="2184"/>
      <c r="AB117" s="2184"/>
      <c r="AC117" s="2184"/>
      <c r="AD117" s="2184"/>
      <c r="AE117" s="2184"/>
      <c r="AF117" s="2184"/>
      <c r="AG117" s="2184"/>
      <c r="AH117" s="2184"/>
      <c r="AI117" s="2184"/>
      <c r="AJ117" s="2184"/>
      <c r="AK117" s="2184"/>
      <c r="AL117" s="2184"/>
      <c r="AM117" s="2184"/>
      <c r="AN117" s="2184"/>
      <c r="AO117" s="2184"/>
      <c r="AP117" s="2184"/>
      <c r="AQ117" s="2184"/>
      <c r="AR117" s="2184"/>
      <c r="AS117" s="2184"/>
      <c r="AT117" s="2184"/>
      <c r="AU117" s="2184"/>
      <c r="AV117" s="2184"/>
      <c r="AW117" s="2184"/>
      <c r="AX117" s="2184"/>
      <c r="AY117" s="2184"/>
      <c r="AZ117" s="2184"/>
      <c r="BA117" s="2184"/>
      <c r="BB117" s="2184"/>
      <c r="BC117" s="2184"/>
      <c r="BD117" s="2184"/>
      <c r="BE117" s="2184"/>
      <c r="BF117" s="2184"/>
      <c r="BG117" s="2184"/>
      <c r="BH117" s="2184"/>
      <c r="BI117" s="2184"/>
      <c r="BJ117" s="2184"/>
      <c r="BK117" s="2184"/>
      <c r="BL117" s="2184"/>
      <c r="BM117" s="2184"/>
      <c r="BN117" s="2184"/>
      <c r="BO117" s="2184"/>
      <c r="BP117" s="2184"/>
      <c r="BQ117" s="2184"/>
      <c r="BR117" s="2184"/>
      <c r="BS117" s="2184"/>
      <c r="BT117" s="2184"/>
      <c r="BU117" s="2184"/>
      <c r="BV117" s="2184"/>
      <c r="BW117" s="2184"/>
      <c r="BX117" s="4166"/>
      <c r="BY117" s="4166"/>
      <c r="BZ117" s="4166"/>
      <c r="CA117" s="4216" t="str">
        <f t="shared" si="64"/>
        <v/>
      </c>
      <c r="CB117" s="3969"/>
      <c r="CC117" s="3969"/>
      <c r="CD117" s="3969"/>
      <c r="CE117" s="3969"/>
      <c r="CF117" s="3969"/>
      <c r="CJ117" s="4217">
        <f>IF(D117&lt;=C117,0,1)</f>
        <v>0</v>
      </c>
    </row>
    <row r="118" spans="1:111" ht="18" customHeight="1" x14ac:dyDescent="0.3">
      <c r="A118" s="6931" t="s">
        <v>2102</v>
      </c>
      <c r="B118" s="6931"/>
      <c r="C118" s="6931"/>
      <c r="D118" s="6931"/>
      <c r="E118" s="6931"/>
      <c r="F118" s="6931"/>
      <c r="G118" s="6931"/>
      <c r="H118" s="6931"/>
      <c r="I118" s="6931"/>
      <c r="J118" s="6931"/>
      <c r="K118" s="6931"/>
      <c r="L118" s="6931"/>
      <c r="M118" s="6931"/>
      <c r="N118" s="6931"/>
      <c r="O118" s="6931"/>
      <c r="P118" s="6931"/>
      <c r="Q118" s="6931"/>
      <c r="R118" s="6931"/>
      <c r="S118" s="6931"/>
      <c r="T118" s="6931"/>
      <c r="U118" s="6931"/>
      <c r="V118" s="6931"/>
      <c r="W118" s="6931"/>
      <c r="X118" s="6931"/>
      <c r="Y118" s="6931"/>
      <c r="Z118" s="6931"/>
      <c r="AA118" s="6931"/>
      <c r="AB118" s="6931"/>
      <c r="AC118" s="6931"/>
      <c r="AD118" s="6931"/>
      <c r="AE118" s="6931"/>
      <c r="AF118" s="6931"/>
      <c r="AG118" s="6931"/>
      <c r="AH118" s="6931"/>
      <c r="AI118" s="6931"/>
      <c r="AJ118" s="6931"/>
      <c r="AK118" s="6931"/>
    </row>
    <row r="119" spans="1:111" ht="15" customHeight="1" x14ac:dyDescent="0.3">
      <c r="A119" s="6853" t="s">
        <v>219</v>
      </c>
      <c r="B119" s="6243"/>
      <c r="C119" s="6853" t="s">
        <v>77</v>
      </c>
      <c r="D119" s="6242"/>
      <c r="E119" s="6243"/>
      <c r="F119" s="6932" t="s">
        <v>101</v>
      </c>
      <c r="G119" s="6865"/>
      <c r="H119" s="6865"/>
      <c r="I119" s="6865"/>
      <c r="J119" s="6865"/>
      <c r="K119" s="6865"/>
      <c r="L119" s="6865"/>
      <c r="M119" s="6865"/>
      <c r="N119" s="6865"/>
      <c r="O119" s="6865"/>
      <c r="P119" s="6865"/>
      <c r="Q119" s="6865"/>
      <c r="R119" s="6865"/>
      <c r="S119" s="6865"/>
      <c r="T119" s="6865"/>
      <c r="U119" s="6865"/>
      <c r="V119" s="6865"/>
      <c r="W119" s="6865"/>
      <c r="X119" s="6865"/>
      <c r="Y119" s="6865"/>
      <c r="Z119" s="6865"/>
      <c r="AA119" s="6865"/>
      <c r="AB119" s="6865"/>
      <c r="AC119" s="6865"/>
      <c r="AD119" s="6865"/>
      <c r="AE119" s="6865"/>
      <c r="AF119" s="6865"/>
      <c r="AG119" s="6865"/>
      <c r="AH119" s="6865"/>
      <c r="AI119" s="6865"/>
      <c r="AJ119" s="6933" t="s">
        <v>2103</v>
      </c>
      <c r="AK119" s="6934"/>
      <c r="AL119" s="6937" t="s">
        <v>33</v>
      </c>
    </row>
    <row r="120" spans="1:111" x14ac:dyDescent="0.3">
      <c r="A120" s="5776"/>
      <c r="B120" s="5759"/>
      <c r="C120" s="6466"/>
      <c r="D120" s="6467"/>
      <c r="E120" s="6687"/>
      <c r="F120" s="6848" t="s">
        <v>94</v>
      </c>
      <c r="G120" s="6849"/>
      <c r="H120" s="6848" t="s">
        <v>304</v>
      </c>
      <c r="I120" s="6849"/>
      <c r="J120" s="6848" t="s">
        <v>305</v>
      </c>
      <c r="K120" s="6849"/>
      <c r="L120" s="6848" t="s">
        <v>974</v>
      </c>
      <c r="M120" s="6849"/>
      <c r="N120" s="6848" t="s">
        <v>629</v>
      </c>
      <c r="O120" s="6849"/>
      <c r="P120" s="6848" t="s">
        <v>2057</v>
      </c>
      <c r="Q120" s="6849"/>
      <c r="R120" s="6848" t="s">
        <v>630</v>
      </c>
      <c r="S120" s="6849"/>
      <c r="T120" s="6848" t="s">
        <v>2058</v>
      </c>
      <c r="U120" s="6849"/>
      <c r="V120" s="6848" t="s">
        <v>2059</v>
      </c>
      <c r="W120" s="6849"/>
      <c r="X120" s="6848" t="s">
        <v>1949</v>
      </c>
      <c r="Y120" s="6849"/>
      <c r="Z120" s="6848" t="s">
        <v>1583</v>
      </c>
      <c r="AA120" s="6849"/>
      <c r="AB120" s="6848" t="s">
        <v>308</v>
      </c>
      <c r="AC120" s="6849"/>
      <c r="AD120" s="6848" t="s">
        <v>2060</v>
      </c>
      <c r="AE120" s="6849"/>
      <c r="AF120" s="6848" t="s">
        <v>2061</v>
      </c>
      <c r="AG120" s="6849"/>
      <c r="AH120" s="6839" t="s">
        <v>57</v>
      </c>
      <c r="AI120" s="6840"/>
      <c r="AJ120" s="6935"/>
      <c r="AK120" s="6936"/>
      <c r="AL120" s="6938"/>
    </row>
    <row r="121" spans="1:111" x14ac:dyDescent="0.3">
      <c r="A121" s="6466"/>
      <c r="B121" s="6687"/>
      <c r="C121" s="3977" t="s">
        <v>79</v>
      </c>
      <c r="D121" s="3980" t="s">
        <v>58</v>
      </c>
      <c r="E121" s="3976" t="s">
        <v>59</v>
      </c>
      <c r="F121" s="3977" t="s">
        <v>58</v>
      </c>
      <c r="G121" s="3976" t="s">
        <v>59</v>
      </c>
      <c r="H121" s="3977" t="s">
        <v>58</v>
      </c>
      <c r="I121" s="3976" t="s">
        <v>59</v>
      </c>
      <c r="J121" s="3977" t="s">
        <v>58</v>
      </c>
      <c r="K121" s="3976" t="s">
        <v>59</v>
      </c>
      <c r="L121" s="3977" t="s">
        <v>58</v>
      </c>
      <c r="M121" s="3976" t="s">
        <v>59</v>
      </c>
      <c r="N121" s="3977" t="s">
        <v>58</v>
      </c>
      <c r="O121" s="3976" t="s">
        <v>59</v>
      </c>
      <c r="P121" s="3977" t="s">
        <v>58</v>
      </c>
      <c r="Q121" s="3976" t="s">
        <v>59</v>
      </c>
      <c r="R121" s="3977" t="s">
        <v>58</v>
      </c>
      <c r="S121" s="3976" t="s">
        <v>59</v>
      </c>
      <c r="T121" s="3977" t="s">
        <v>58</v>
      </c>
      <c r="U121" s="3976" t="s">
        <v>59</v>
      </c>
      <c r="V121" s="3977" t="s">
        <v>58</v>
      </c>
      <c r="W121" s="3976" t="s">
        <v>59</v>
      </c>
      <c r="X121" s="3977" t="s">
        <v>58</v>
      </c>
      <c r="Y121" s="3976" t="s">
        <v>59</v>
      </c>
      <c r="Z121" s="3977" t="s">
        <v>58</v>
      </c>
      <c r="AA121" s="3976" t="s">
        <v>59</v>
      </c>
      <c r="AB121" s="3977" t="s">
        <v>58</v>
      </c>
      <c r="AC121" s="3976" t="s">
        <v>59</v>
      </c>
      <c r="AD121" s="3977" t="s">
        <v>58</v>
      </c>
      <c r="AE121" s="3976" t="s">
        <v>59</v>
      </c>
      <c r="AF121" s="3977" t="s">
        <v>58</v>
      </c>
      <c r="AG121" s="3976" t="s">
        <v>59</v>
      </c>
      <c r="AH121" s="3977" t="s">
        <v>58</v>
      </c>
      <c r="AI121" s="3974" t="s">
        <v>59</v>
      </c>
      <c r="AJ121" s="3980" t="s">
        <v>58</v>
      </c>
      <c r="AK121" s="3973" t="s">
        <v>59</v>
      </c>
      <c r="AL121" s="6669"/>
    </row>
    <row r="122" spans="1:111" x14ac:dyDescent="0.3">
      <c r="A122" s="6896" t="s">
        <v>2104</v>
      </c>
      <c r="B122" s="3448" t="s">
        <v>2105</v>
      </c>
      <c r="C122" s="3308">
        <f>SUM(D122:E122)</f>
        <v>0</v>
      </c>
      <c r="D122" s="4055">
        <f>+F122+H122+J122+L122+N122+P122+R122+T122+V122+X122+Z122+AB122+AD122+AF122+AH122</f>
        <v>0</v>
      </c>
      <c r="E122" s="4168">
        <f>+G122+I122+K122+M122+O122+Q122+S122+U122+W122+Y122+AA122+AC122+AE122+AG122+AI122</f>
        <v>0</v>
      </c>
      <c r="F122" s="4010"/>
      <c r="G122" s="4012"/>
      <c r="H122" s="4010"/>
      <c r="I122" s="4012"/>
      <c r="J122" s="4010"/>
      <c r="K122" s="4012"/>
      <c r="L122" s="4010"/>
      <c r="M122" s="4012"/>
      <c r="N122" s="4010"/>
      <c r="O122" s="4012"/>
      <c r="P122" s="4010"/>
      <c r="Q122" s="4012"/>
      <c r="R122" s="4010"/>
      <c r="S122" s="4012"/>
      <c r="T122" s="4010"/>
      <c r="U122" s="4012"/>
      <c r="V122" s="4010"/>
      <c r="W122" s="4012"/>
      <c r="X122" s="4010"/>
      <c r="Y122" s="4012"/>
      <c r="Z122" s="4010"/>
      <c r="AA122" s="4012"/>
      <c r="AB122" s="4010"/>
      <c r="AC122" s="4012"/>
      <c r="AD122" s="4010"/>
      <c r="AE122" s="4012"/>
      <c r="AF122" s="4010"/>
      <c r="AG122" s="4012"/>
      <c r="AH122" s="4170"/>
      <c r="AI122" s="4171"/>
      <c r="AJ122" s="4220"/>
      <c r="AK122" s="4221"/>
      <c r="AL122" s="4172"/>
      <c r="AM122" s="1898" t="str">
        <f>CA122&amp;CB122&amp;CC122</f>
        <v/>
      </c>
      <c r="AN122" s="3312"/>
      <c r="AO122" s="3312"/>
      <c r="AP122" s="3312"/>
      <c r="AQ122" s="3312"/>
      <c r="AR122" s="3312"/>
      <c r="AS122" s="3312"/>
      <c r="AT122" s="3312"/>
      <c r="AU122" s="3312"/>
      <c r="AV122" s="3312"/>
      <c r="AW122" s="3312"/>
      <c r="AX122" s="3312"/>
      <c r="AY122" s="2183"/>
      <c r="AZ122" s="2183"/>
      <c r="BA122" s="2183"/>
      <c r="BB122" s="2184"/>
      <c r="BC122" s="2184"/>
      <c r="BD122" s="2184"/>
      <c r="BE122" s="2184"/>
      <c r="BF122" s="2184"/>
      <c r="BG122" s="2184"/>
      <c r="BH122" s="2184"/>
      <c r="BI122" s="2184"/>
      <c r="BJ122" s="2184"/>
      <c r="BK122" s="2184"/>
      <c r="BL122" s="2184"/>
      <c r="BM122" s="2184"/>
      <c r="BN122" s="2184"/>
      <c r="BO122" s="2184"/>
      <c r="BP122" s="2184"/>
      <c r="BQ122" s="2184"/>
      <c r="BR122" s="2184"/>
      <c r="BS122" s="2184"/>
      <c r="BT122" s="2184"/>
      <c r="BU122" s="2184"/>
      <c r="BV122" s="2184"/>
      <c r="BW122" s="2184"/>
      <c r="BX122" s="2184"/>
      <c r="BY122" s="2184"/>
      <c r="CA122" s="1899" t="str">
        <f>IF(AND(SUM(F122+H122)&gt;0,(AJ122=""))," * No olvide digitar la variable 14-18 años Hombres. Si no tiene Digite CERO .",IF(AJ122&gt;F122+H122,"* La suma del grupo de 14 a 18 años Hombres no puede superar el Total Hombres Grupo Etario de 10 a 19 años. ",""))</f>
        <v/>
      </c>
      <c r="CB122" s="1899" t="str">
        <f>IF(AND(SUM(G122+I122)&gt;0,(AK122="")),"* No olvide digitar la variable 14-18 años Mujeres. Si no tiene Digite CERO.",IF(AK122&gt;(G122+I122),"* La suma del grupo de 14 a 18 años Mujeres no puede superar el Total Mujeres Grupo Etario de 10 a 19 años. ",""))</f>
        <v/>
      </c>
      <c r="CC122" s="1899" t="str">
        <f>IF(AND($C122&lt;&gt;0,AL122=""),"* No olvide ingresar la columna Espacios Amigables/Adolescentes (Digite CERO si no tiene).  ",IF(AL122&gt;$C122,"* El Número de Espacios Amigables/Adolescentes no puede superar el Total. ",""))</f>
        <v/>
      </c>
      <c r="CD122" s="3969"/>
      <c r="CE122" s="3969"/>
      <c r="CF122" s="3969"/>
      <c r="CJ122" s="1901">
        <f>IF(AND(SUM(F122+H122)&gt;0,(AJ122="")),1,IF(AJ122&gt;F122+H122,1,0))</f>
        <v>0</v>
      </c>
      <c r="CK122" s="1901">
        <f>IF(AND(SUM(G122+I122)&gt;0,(AK122="")),1,IF(AK122&gt;(G122+I122),1,0))</f>
        <v>0</v>
      </c>
      <c r="CL122" s="1901">
        <f>IF(AND($C122&lt;&gt;0,AL122=""),1,IF(AL122&gt;$C122,1,0))</f>
        <v>0</v>
      </c>
      <c r="CM122" s="2184"/>
      <c r="CN122" s="2184"/>
      <c r="CO122" s="2184"/>
      <c r="CP122" s="2184"/>
      <c r="CQ122" s="2184"/>
      <c r="CR122" s="2184"/>
      <c r="CS122" s="2184"/>
      <c r="CT122" s="2184"/>
      <c r="CU122" s="2184"/>
      <c r="CV122" s="2184"/>
      <c r="CW122" s="2184"/>
      <c r="CX122" s="2184"/>
      <c r="CY122" s="2184"/>
      <c r="CZ122" s="2184"/>
      <c r="DA122" s="2184"/>
      <c r="DB122" s="2184"/>
      <c r="DC122" s="2184"/>
      <c r="DD122" s="2184"/>
      <c r="DE122" s="4166"/>
      <c r="DF122" s="4166"/>
      <c r="DG122" s="4166"/>
    </row>
    <row r="123" spans="1:111" x14ac:dyDescent="0.3">
      <c r="A123" s="5790"/>
      <c r="B123" s="4176" t="s">
        <v>2106</v>
      </c>
      <c r="C123" s="3991">
        <f>SUM(D123:E123)</f>
        <v>0</v>
      </c>
      <c r="D123" s="4061">
        <f t="shared" ref="D123:E124" si="65">+F123+H123+J123+L123+N123+P123+R123+T123+V123+X123+Z123+AB123+AD123+AF123+AH123</f>
        <v>0</v>
      </c>
      <c r="E123" s="4177">
        <f t="shared" si="65"/>
        <v>0</v>
      </c>
      <c r="F123" s="3996"/>
      <c r="G123" s="2003"/>
      <c r="H123" s="3996"/>
      <c r="I123" s="2003"/>
      <c r="J123" s="3996"/>
      <c r="K123" s="2003"/>
      <c r="L123" s="3996"/>
      <c r="M123" s="2003"/>
      <c r="N123" s="3996"/>
      <c r="O123" s="2003"/>
      <c r="P123" s="3996"/>
      <c r="Q123" s="2003"/>
      <c r="R123" s="3996"/>
      <c r="S123" s="2003"/>
      <c r="T123" s="3996"/>
      <c r="U123" s="2003"/>
      <c r="V123" s="3996"/>
      <c r="W123" s="2003"/>
      <c r="X123" s="3996"/>
      <c r="Y123" s="2003"/>
      <c r="Z123" s="3996"/>
      <c r="AA123" s="2003"/>
      <c r="AB123" s="3996"/>
      <c r="AC123" s="2003"/>
      <c r="AD123" s="3996"/>
      <c r="AE123" s="2003"/>
      <c r="AF123" s="3996"/>
      <c r="AG123" s="2003"/>
      <c r="AH123" s="4178"/>
      <c r="AI123" s="332"/>
      <c r="AJ123" s="331"/>
      <c r="AK123" s="2235"/>
      <c r="AL123" s="4179"/>
      <c r="AM123" s="1898" t="str">
        <f>CA123&amp;CB123&amp;CC123</f>
        <v/>
      </c>
      <c r="AN123" s="3312"/>
      <c r="AO123" s="3312"/>
      <c r="AP123" s="3312"/>
      <c r="AQ123" s="3312"/>
      <c r="AR123" s="3312"/>
      <c r="AS123" s="3312"/>
      <c r="AT123" s="3312"/>
      <c r="AU123" s="3312"/>
      <c r="AV123" s="3312"/>
      <c r="AW123" s="3312"/>
      <c r="AX123" s="3312"/>
      <c r="AY123" s="2183"/>
      <c r="AZ123" s="2183"/>
      <c r="BA123" s="2183"/>
      <c r="BB123" s="2184"/>
      <c r="BC123" s="2184"/>
      <c r="BD123" s="2184"/>
      <c r="BE123" s="2184"/>
      <c r="BF123" s="2184"/>
      <c r="BG123" s="2184"/>
      <c r="BH123" s="2184"/>
      <c r="BI123" s="2184"/>
      <c r="BJ123" s="2184"/>
      <c r="BK123" s="2184"/>
      <c r="BL123" s="2184"/>
      <c r="BM123" s="2184"/>
      <c r="BN123" s="2184"/>
      <c r="BO123" s="2184"/>
      <c r="BP123" s="2184"/>
      <c r="BQ123" s="2184"/>
      <c r="BR123" s="2184"/>
      <c r="BS123" s="2184"/>
      <c r="BT123" s="2184"/>
      <c r="BU123" s="2184"/>
      <c r="BV123" s="2184"/>
      <c r="BW123" s="2184"/>
      <c r="BX123" s="2184"/>
      <c r="BY123" s="2184"/>
      <c r="CA123" s="1899" t="str">
        <f>IF(AND(SUM(F123+H123)&gt;0,(AJ123=""))," * No olvide digitar la variable 14-18 años Hombres. Si no tiene Digite CERO .",IF(AJ123&gt;F123+H123,"* La suma del grupo de 14 a 18 años Hombres no puede superar el Total Hombres Grupo Etario de 10 a 19 años. ",""))</f>
        <v/>
      </c>
      <c r="CB123" s="1899" t="str">
        <f>IF(AND(SUM(G123+I123)&gt;0,(AK123="")),"* No olvide digitar la variable 14-18 años Mujeres. Si no tiene Digite CERO.",IF(AK123&gt;(G123+I123),"* La suma del grupo de 14 a 18 años Mujeres no puede superar el Total Mujeres Grupo Etario de 10 a 19 años. ",""))</f>
        <v/>
      </c>
      <c r="CC123" s="1899" t="str">
        <f>IF(AND($C123&lt;&gt;0,AL123=""),"* No olvide ingresar la columna Espacios Amigables/Adolescentes (Digite CERO si no tiene).  ",IF(AL123&gt;$C123,"* El Número de Espacios Amigables/Adolescentes no puede superar el Total. ",""))</f>
        <v/>
      </c>
      <c r="CD123" s="3969"/>
      <c r="CE123" s="3969"/>
      <c r="CF123" s="3969"/>
      <c r="CJ123" s="1901">
        <f>IF(AND(SUM(F123+H123)&gt;0,(AJ123="")),1,IF(AJ123&gt;F123+H123,1,0))</f>
        <v>0</v>
      </c>
      <c r="CK123" s="1901">
        <f>IF(AND(SUM(G123+I123)&gt;0,(AK123="")),1,IF(AK123&gt;(G123+I123),1,0))</f>
        <v>0</v>
      </c>
      <c r="CL123" s="1901">
        <f>IF(AND($C123&lt;&gt;0,AL123=""),1,IF(AL123&gt;$C123,1,0))</f>
        <v>0</v>
      </c>
    </row>
    <row r="124" spans="1:111" x14ac:dyDescent="0.3">
      <c r="A124" s="6574"/>
      <c r="B124" s="518" t="s">
        <v>2107</v>
      </c>
      <c r="C124" s="638">
        <f>SUM(D124:E124)</f>
        <v>0</v>
      </c>
      <c r="D124" s="4077">
        <f t="shared" si="65"/>
        <v>0</v>
      </c>
      <c r="E124" s="4184">
        <f t="shared" si="65"/>
        <v>0</v>
      </c>
      <c r="F124" s="876"/>
      <c r="G124" s="2009"/>
      <c r="H124" s="876"/>
      <c r="I124" s="2009"/>
      <c r="J124" s="876"/>
      <c r="K124" s="2009"/>
      <c r="L124" s="876"/>
      <c r="M124" s="2009"/>
      <c r="N124" s="876"/>
      <c r="O124" s="2009"/>
      <c r="P124" s="876"/>
      <c r="Q124" s="2009"/>
      <c r="R124" s="876"/>
      <c r="S124" s="2009"/>
      <c r="T124" s="876"/>
      <c r="U124" s="2009"/>
      <c r="V124" s="876"/>
      <c r="W124" s="2009"/>
      <c r="X124" s="876"/>
      <c r="Y124" s="2009"/>
      <c r="Z124" s="876"/>
      <c r="AA124" s="2009"/>
      <c r="AB124" s="876"/>
      <c r="AC124" s="2009"/>
      <c r="AD124" s="876"/>
      <c r="AE124" s="2009"/>
      <c r="AF124" s="876"/>
      <c r="AG124" s="2009"/>
      <c r="AH124" s="2049"/>
      <c r="AI124" s="1953"/>
      <c r="AJ124" s="993"/>
      <c r="AK124" s="2237"/>
      <c r="AL124" s="2320"/>
      <c r="AM124" s="1898" t="str">
        <f>CA124&amp;CB124&amp;CC124</f>
        <v/>
      </c>
      <c r="AN124" s="3312"/>
      <c r="AO124" s="3312"/>
      <c r="AP124" s="3312"/>
      <c r="AQ124" s="3312"/>
      <c r="AR124" s="3312"/>
      <c r="AS124" s="3312"/>
      <c r="AT124" s="3312"/>
      <c r="AU124" s="3312"/>
      <c r="AV124" s="3312"/>
      <c r="AW124" s="3312"/>
      <c r="AX124" s="3312"/>
      <c r="AY124" s="2183"/>
      <c r="AZ124" s="2183"/>
      <c r="BA124" s="2183"/>
      <c r="BB124" s="2184"/>
      <c r="BC124" s="2184"/>
      <c r="BD124" s="2184"/>
      <c r="BE124" s="2184"/>
      <c r="BF124" s="2184"/>
      <c r="BG124" s="2184"/>
      <c r="BH124" s="2184"/>
      <c r="BI124" s="2184"/>
      <c r="BJ124" s="2184"/>
      <c r="BK124" s="2184"/>
      <c r="BL124" s="2184"/>
      <c r="BM124" s="2184"/>
      <c r="BN124" s="2184"/>
      <c r="BO124" s="2184"/>
      <c r="BP124" s="2184"/>
      <c r="BQ124" s="2184"/>
      <c r="BR124" s="2184"/>
      <c r="BS124" s="2184"/>
      <c r="BT124" s="2184"/>
      <c r="BU124" s="2184"/>
      <c r="BV124" s="2184"/>
      <c r="BW124" s="2184"/>
      <c r="BX124" s="2184"/>
      <c r="BY124" s="2184"/>
      <c r="CA124" s="1899" t="str">
        <f>IF(AND(SUM(F124+H124)&gt;0,(AJ124=""))," * No olvide digitar la variable 14-18 años Hombres. Si no tiene Digite CERO .",IF(AJ124&gt;F124+H124,"* La suma del grupo de 14 a 18 años Hombres no puede superar el Total Hombres Grupo Etario de 10 a 19 años. ",""))</f>
        <v/>
      </c>
      <c r="CB124" s="1899" t="str">
        <f>IF(AND(SUM(G124+I124)&gt;0,(AK124="")),"* No olvide digitar la variable 14-18 años Mujeres. Si no tiene Digite CERO.",IF(AK124&gt;(G124+I124),"* La suma del grupo de 14 a 18 años Mujeres no puede superar el Total Mujeres Grupo Etario de 10 a 19 años. ",""))</f>
        <v/>
      </c>
      <c r="CC124" s="1899" t="str">
        <f>IF(AND($C124&lt;&gt;0,AL124=""),"* No olvide ingresar la columna Espacios Amigables/Adolescentes (Digite CERO si no tiene).  ",IF(AL124&gt;$C124,"* El Número de Espacios Amigables/Adolescentes no puede superar el Total. ",""))</f>
        <v/>
      </c>
      <c r="CD124" s="3969"/>
      <c r="CE124" s="3969"/>
      <c r="CF124" s="3969"/>
      <c r="CJ124" s="1901">
        <f>IF(AND(SUM(F124+H124)&gt;0,(AJ124="")),1,IF(AJ124&gt;F124+H124,1,0))</f>
        <v>0</v>
      </c>
      <c r="CK124" s="1901">
        <f>IF(AND(SUM(G124+I124)&gt;0,(AK124="")),1,IF(AK124&gt;(G124+I124),1,0))</f>
        <v>0</v>
      </c>
      <c r="CL124" s="1901">
        <f>IF(AND($C124&lt;&gt;0,AL124=""),1,IF(AL124&gt;$C124,1,0))</f>
        <v>0</v>
      </c>
    </row>
    <row r="125" spans="1:111" ht="18" customHeight="1" x14ac:dyDescent="0.3">
      <c r="A125" s="6941" t="s">
        <v>2108</v>
      </c>
      <c r="B125" s="6941"/>
      <c r="C125" s="6941"/>
      <c r="D125" s="6941"/>
      <c r="E125" s="6941"/>
      <c r="F125" s="6941"/>
      <c r="G125" s="6941"/>
      <c r="H125" s="6941"/>
      <c r="I125" s="6941"/>
      <c r="J125" s="6941"/>
    </row>
    <row r="126" spans="1:111" ht="18" customHeight="1" x14ac:dyDescent="0.3">
      <c r="A126" s="6911" t="s">
        <v>2109</v>
      </c>
      <c r="B126" s="6911"/>
      <c r="C126" s="6911"/>
      <c r="D126" s="6931"/>
      <c r="E126" s="6931"/>
      <c r="F126" s="6931"/>
      <c r="G126" s="6931"/>
      <c r="H126" s="6931"/>
      <c r="I126" s="6931"/>
      <c r="J126" s="6931"/>
    </row>
    <row r="127" spans="1:111" ht="15" customHeight="1" x14ac:dyDescent="0.3">
      <c r="A127" s="6939" t="s">
        <v>1093</v>
      </c>
      <c r="B127" s="6939" t="s">
        <v>2110</v>
      </c>
      <c r="C127" s="6848" t="s">
        <v>1613</v>
      </c>
      <c r="D127" s="6848" t="s">
        <v>2111</v>
      </c>
      <c r="E127" s="6842"/>
      <c r="F127" s="6842"/>
      <c r="G127" s="6842"/>
      <c r="H127" s="6842"/>
      <c r="I127" s="6842"/>
      <c r="J127" s="6842"/>
      <c r="K127" s="6842"/>
      <c r="L127" s="6842"/>
      <c r="M127" s="6843"/>
      <c r="N127" s="6942" t="s">
        <v>2112</v>
      </c>
      <c r="O127" s="6243" t="s">
        <v>2113</v>
      </c>
    </row>
    <row r="128" spans="1:111" ht="50.1" customHeight="1" x14ac:dyDescent="0.3">
      <c r="A128" s="6939"/>
      <c r="B128" s="6939"/>
      <c r="C128" s="6939"/>
      <c r="D128" s="1779" t="s">
        <v>2062</v>
      </c>
      <c r="E128" s="1790" t="s">
        <v>2114</v>
      </c>
      <c r="F128" s="1790" t="s">
        <v>2115</v>
      </c>
      <c r="G128" s="1790" t="s">
        <v>2116</v>
      </c>
      <c r="H128" s="1790" t="s">
        <v>2117</v>
      </c>
      <c r="I128" s="3022" t="s">
        <v>2118</v>
      </c>
      <c r="J128" s="3022" t="s">
        <v>2119</v>
      </c>
      <c r="K128" s="4167" t="s">
        <v>2120</v>
      </c>
      <c r="L128" s="1802" t="s">
        <v>2121</v>
      </c>
      <c r="M128" s="4222" t="s">
        <v>2122</v>
      </c>
      <c r="N128" s="6943"/>
      <c r="O128" s="6687"/>
    </row>
    <row r="129" spans="1:88" x14ac:dyDescent="0.3">
      <c r="A129" s="6896" t="s">
        <v>2123</v>
      </c>
      <c r="B129" s="3318" t="s">
        <v>2124</v>
      </c>
      <c r="C129" s="4223">
        <f>SUM(D129:M129)</f>
        <v>0</v>
      </c>
      <c r="D129" s="4010"/>
      <c r="E129" s="4011"/>
      <c r="F129" s="4011"/>
      <c r="G129" s="4011"/>
      <c r="H129" s="4011"/>
      <c r="I129" s="4221"/>
      <c r="J129" s="4012"/>
      <c r="K129" s="4169"/>
      <c r="L129" s="4190"/>
      <c r="M129" s="4224"/>
      <c r="N129" s="4173"/>
      <c r="O129" s="4190"/>
      <c r="P129" s="1970" t="str">
        <f>CA129</f>
        <v/>
      </c>
      <c r="CA129" s="1899" t="str">
        <f>IF(AND(C129&gt;0,O129="")," * No olvide digitar la variable Total Participantes. Digite CERO si no tiene. ","")</f>
        <v/>
      </c>
      <c r="CJ129" s="4005">
        <f t="shared" ref="CJ129:CJ148" si="66">IF(AND(C129&gt;0,O129=""),1,0)</f>
        <v>0</v>
      </c>
    </row>
    <row r="130" spans="1:88" x14ac:dyDescent="0.3">
      <c r="A130" s="5790"/>
      <c r="B130" s="4007" t="s">
        <v>2125</v>
      </c>
      <c r="C130" s="4225">
        <f t="shared" ref="C130:C148" si="67">SUM(D130:M130)</f>
        <v>0</v>
      </c>
      <c r="D130" s="3996"/>
      <c r="E130" s="1973"/>
      <c r="F130" s="1973"/>
      <c r="G130" s="1973"/>
      <c r="H130" s="1973"/>
      <c r="I130" s="2235"/>
      <c r="J130" s="2003"/>
      <c r="K130" s="330"/>
      <c r="L130" s="4051"/>
      <c r="M130" s="4226"/>
      <c r="N130" s="3987"/>
      <c r="O130" s="4051"/>
      <c r="P130" s="1970" t="str">
        <f t="shared" ref="P130:P148" si="68">CA130</f>
        <v/>
      </c>
      <c r="CA130" s="1899" t="str">
        <f t="shared" ref="CA130:CA148" si="69">IF(AND(C130&gt;0,O130="")," * No olvide digitar la variable Total Participantes. Digite CERO si no tiene. ","")</f>
        <v/>
      </c>
      <c r="CJ130" s="4005">
        <f t="shared" si="66"/>
        <v>0</v>
      </c>
    </row>
    <row r="131" spans="1:88" x14ac:dyDescent="0.3">
      <c r="A131" s="5790"/>
      <c r="B131" s="4007" t="s">
        <v>2126</v>
      </c>
      <c r="C131" s="4225">
        <f t="shared" si="67"/>
        <v>0</v>
      </c>
      <c r="D131" s="3996"/>
      <c r="E131" s="1973"/>
      <c r="F131" s="1973"/>
      <c r="G131" s="1973"/>
      <c r="H131" s="1973"/>
      <c r="I131" s="2235"/>
      <c r="J131" s="2003"/>
      <c r="K131" s="330"/>
      <c r="L131" s="4051"/>
      <c r="M131" s="4226"/>
      <c r="N131" s="3987"/>
      <c r="O131" s="4051"/>
      <c r="P131" s="1970" t="str">
        <f t="shared" si="68"/>
        <v/>
      </c>
      <c r="CA131" s="1899" t="str">
        <f t="shared" si="69"/>
        <v/>
      </c>
      <c r="CJ131" s="4005">
        <f t="shared" si="66"/>
        <v>0</v>
      </c>
    </row>
    <row r="132" spans="1:88" x14ac:dyDescent="0.3">
      <c r="A132" s="5790"/>
      <c r="B132" s="4007" t="s">
        <v>2127</v>
      </c>
      <c r="C132" s="4121">
        <f t="shared" si="67"/>
        <v>0</v>
      </c>
      <c r="D132" s="20"/>
      <c r="E132" s="1973"/>
      <c r="F132" s="1973"/>
      <c r="G132" s="1973"/>
      <c r="H132" s="232"/>
      <c r="I132" s="1973"/>
      <c r="J132" s="2003"/>
      <c r="K132" s="330"/>
      <c r="L132" s="1952"/>
      <c r="M132" s="4226"/>
      <c r="N132" s="330"/>
      <c r="O132" s="1952"/>
      <c r="P132" s="1970" t="str">
        <f t="shared" si="68"/>
        <v/>
      </c>
      <c r="CA132" s="1899" t="str">
        <f t="shared" si="69"/>
        <v/>
      </c>
      <c r="CJ132" s="4005">
        <f t="shared" si="66"/>
        <v>0</v>
      </c>
    </row>
    <row r="133" spans="1:88" x14ac:dyDescent="0.3">
      <c r="A133" s="6574"/>
      <c r="B133" s="893" t="s">
        <v>2128</v>
      </c>
      <c r="C133" s="4227">
        <f t="shared" si="67"/>
        <v>0</v>
      </c>
      <c r="D133" s="876"/>
      <c r="E133" s="1914"/>
      <c r="F133" s="1914"/>
      <c r="G133" s="1914"/>
      <c r="H133" s="1907"/>
      <c r="I133" s="2265"/>
      <c r="J133" s="325"/>
      <c r="K133" s="3499"/>
      <c r="L133" s="1954"/>
      <c r="M133" s="3431"/>
      <c r="N133" s="4122"/>
      <c r="O133" s="1954"/>
      <c r="P133" s="1970" t="str">
        <f t="shared" si="68"/>
        <v/>
      </c>
      <c r="CA133" s="1899" t="str">
        <f t="shared" si="69"/>
        <v/>
      </c>
      <c r="CJ133" s="4005">
        <f t="shared" si="66"/>
        <v>0</v>
      </c>
    </row>
    <row r="134" spans="1:88" x14ac:dyDescent="0.3">
      <c r="A134" s="6896" t="s">
        <v>2129</v>
      </c>
      <c r="B134" s="3318" t="s">
        <v>2124</v>
      </c>
      <c r="C134" s="4223">
        <f t="shared" si="67"/>
        <v>0</v>
      </c>
      <c r="D134" s="3361"/>
      <c r="E134" s="960"/>
      <c r="F134" s="960"/>
      <c r="G134" s="960"/>
      <c r="H134" s="960"/>
      <c r="I134" s="4208"/>
      <c r="J134" s="890"/>
      <c r="K134" s="4013"/>
      <c r="L134" s="4174"/>
      <c r="M134" s="3426"/>
      <c r="N134" s="4036"/>
      <c r="O134" s="4174"/>
      <c r="P134" s="1970" t="str">
        <f t="shared" si="68"/>
        <v/>
      </c>
      <c r="CA134" s="1899" t="str">
        <f t="shared" si="69"/>
        <v/>
      </c>
      <c r="CJ134" s="4005">
        <f t="shared" si="66"/>
        <v>0</v>
      </c>
    </row>
    <row r="135" spans="1:88" x14ac:dyDescent="0.3">
      <c r="A135" s="5790"/>
      <c r="B135" s="4007" t="s">
        <v>2125</v>
      </c>
      <c r="C135" s="4121">
        <f t="shared" si="67"/>
        <v>0</v>
      </c>
      <c r="D135" s="20"/>
      <c r="E135" s="232"/>
      <c r="F135" s="232"/>
      <c r="G135" s="232"/>
      <c r="H135" s="232"/>
      <c r="I135" s="2431"/>
      <c r="J135" s="30"/>
      <c r="K135" s="29"/>
      <c r="L135" s="1952"/>
      <c r="M135" s="4228"/>
      <c r="N135" s="214"/>
      <c r="O135" s="1952"/>
      <c r="P135" s="1970" t="str">
        <f t="shared" si="68"/>
        <v/>
      </c>
      <c r="CA135" s="1899" t="str">
        <f t="shared" si="69"/>
        <v/>
      </c>
      <c r="CJ135" s="4005">
        <f t="shared" si="66"/>
        <v>0</v>
      </c>
    </row>
    <row r="136" spans="1:88" x14ac:dyDescent="0.3">
      <c r="A136" s="5790"/>
      <c r="B136" s="4007" t="s">
        <v>2126</v>
      </c>
      <c r="C136" s="4227">
        <f t="shared" si="67"/>
        <v>0</v>
      </c>
      <c r="D136" s="3996"/>
      <c r="E136" s="1973"/>
      <c r="F136" s="1973"/>
      <c r="G136" s="1973"/>
      <c r="H136" s="1973"/>
      <c r="I136" s="2235"/>
      <c r="J136" s="2003"/>
      <c r="K136" s="330"/>
      <c r="L136" s="4051"/>
      <c r="M136" s="4226"/>
      <c r="N136" s="3987"/>
      <c r="O136" s="4051"/>
      <c r="P136" s="1970" t="str">
        <f t="shared" si="68"/>
        <v/>
      </c>
      <c r="CA136" s="1899" t="str">
        <f t="shared" si="69"/>
        <v/>
      </c>
      <c r="CJ136" s="4005">
        <f t="shared" si="66"/>
        <v>0</v>
      </c>
    </row>
    <row r="137" spans="1:88" x14ac:dyDescent="0.3">
      <c r="A137" s="5790"/>
      <c r="B137" s="4007" t="s">
        <v>2127</v>
      </c>
      <c r="C137" s="4121">
        <f t="shared" si="67"/>
        <v>0</v>
      </c>
      <c r="D137" s="20"/>
      <c r="E137" s="1973"/>
      <c r="F137" s="1973"/>
      <c r="G137" s="1973"/>
      <c r="H137" s="232"/>
      <c r="I137" s="1973"/>
      <c r="J137" s="2003"/>
      <c r="K137" s="330"/>
      <c r="L137" s="1952"/>
      <c r="M137" s="4226"/>
      <c r="N137" s="330"/>
      <c r="O137" s="1952"/>
      <c r="P137" s="1970" t="str">
        <f t="shared" si="68"/>
        <v/>
      </c>
      <c r="CA137" s="1899" t="str">
        <f t="shared" si="69"/>
        <v/>
      </c>
      <c r="CJ137" s="4005">
        <f t="shared" si="66"/>
        <v>0</v>
      </c>
    </row>
    <row r="138" spans="1:88" x14ac:dyDescent="0.3">
      <c r="A138" s="6574"/>
      <c r="B138" s="893" t="s">
        <v>2128</v>
      </c>
      <c r="C138" s="4227">
        <f t="shared" si="67"/>
        <v>0</v>
      </c>
      <c r="D138" s="876"/>
      <c r="E138" s="1914"/>
      <c r="F138" s="1914"/>
      <c r="G138" s="1914"/>
      <c r="H138" s="1907"/>
      <c r="I138" s="2265"/>
      <c r="J138" s="325"/>
      <c r="K138" s="3499"/>
      <c r="L138" s="1954"/>
      <c r="M138" s="3431"/>
      <c r="N138" s="4122"/>
      <c r="O138" s="1954"/>
      <c r="P138" s="1970" t="str">
        <f t="shared" si="68"/>
        <v/>
      </c>
      <c r="CA138" s="1899" t="str">
        <f t="shared" si="69"/>
        <v/>
      </c>
      <c r="CJ138" s="4005">
        <f t="shared" si="66"/>
        <v>0</v>
      </c>
    </row>
    <row r="139" spans="1:88" x14ac:dyDescent="0.3">
      <c r="A139" s="6896" t="s">
        <v>2130</v>
      </c>
      <c r="B139" s="3318" t="s">
        <v>2124</v>
      </c>
      <c r="C139" s="4229">
        <f t="shared" si="67"/>
        <v>0</v>
      </c>
      <c r="D139" s="3361"/>
      <c r="E139" s="960"/>
      <c r="F139" s="960"/>
      <c r="G139" s="960"/>
      <c r="H139" s="960"/>
      <c r="I139" s="4208"/>
      <c r="J139" s="890"/>
      <c r="K139" s="4013"/>
      <c r="L139" s="4174"/>
      <c r="M139" s="3426"/>
      <c r="N139" s="4036"/>
      <c r="O139" s="4174"/>
      <c r="P139" s="1970" t="str">
        <f t="shared" si="68"/>
        <v/>
      </c>
      <c r="CA139" s="1899" t="str">
        <f t="shared" si="69"/>
        <v/>
      </c>
      <c r="CJ139" s="4005">
        <f t="shared" si="66"/>
        <v>0</v>
      </c>
    </row>
    <row r="140" spans="1:88" x14ac:dyDescent="0.3">
      <c r="A140" s="5790"/>
      <c r="B140" s="4007" t="s">
        <v>2125</v>
      </c>
      <c r="C140" s="4227">
        <f t="shared" si="67"/>
        <v>0</v>
      </c>
      <c r="D140" s="20"/>
      <c r="E140" s="232"/>
      <c r="F140" s="232"/>
      <c r="G140" s="232"/>
      <c r="H140" s="232"/>
      <c r="I140" s="2431"/>
      <c r="J140" s="30"/>
      <c r="K140" s="29"/>
      <c r="L140" s="1952"/>
      <c r="M140" s="4228"/>
      <c r="N140" s="214"/>
      <c r="O140" s="1952"/>
      <c r="P140" s="1970" t="str">
        <f t="shared" si="68"/>
        <v/>
      </c>
      <c r="CA140" s="1899" t="str">
        <f t="shared" si="69"/>
        <v/>
      </c>
      <c r="CJ140" s="4005">
        <f t="shared" si="66"/>
        <v>0</v>
      </c>
    </row>
    <row r="141" spans="1:88" x14ac:dyDescent="0.3">
      <c r="A141" s="5790"/>
      <c r="B141" s="4007" t="s">
        <v>2126</v>
      </c>
      <c r="C141" s="4225">
        <f t="shared" si="67"/>
        <v>0</v>
      </c>
      <c r="D141" s="3996"/>
      <c r="E141" s="1973"/>
      <c r="F141" s="1973"/>
      <c r="G141" s="1973"/>
      <c r="H141" s="1973"/>
      <c r="I141" s="2235"/>
      <c r="J141" s="2003"/>
      <c r="K141" s="330"/>
      <c r="L141" s="4051"/>
      <c r="M141" s="4226"/>
      <c r="N141" s="3987"/>
      <c r="O141" s="4051"/>
      <c r="P141" s="1970" t="str">
        <f t="shared" si="68"/>
        <v/>
      </c>
      <c r="CA141" s="1899" t="str">
        <f t="shared" si="69"/>
        <v/>
      </c>
      <c r="CJ141" s="4005">
        <f t="shared" si="66"/>
        <v>0</v>
      </c>
    </row>
    <row r="142" spans="1:88" x14ac:dyDescent="0.3">
      <c r="A142" s="5790"/>
      <c r="B142" s="4007" t="s">
        <v>2127</v>
      </c>
      <c r="C142" s="4121">
        <f t="shared" si="67"/>
        <v>0</v>
      </c>
      <c r="D142" s="212"/>
      <c r="E142" s="1018"/>
      <c r="F142" s="1018"/>
      <c r="G142" s="1018"/>
      <c r="H142" s="1018"/>
      <c r="I142" s="1163"/>
      <c r="J142" s="1161"/>
      <c r="K142" s="34"/>
      <c r="L142" s="4192"/>
      <c r="M142" s="4230"/>
      <c r="N142" s="1162"/>
      <c r="O142" s="4192"/>
      <c r="P142" s="1970" t="str">
        <f t="shared" si="68"/>
        <v/>
      </c>
      <c r="CA142" s="1899" t="str">
        <f t="shared" si="69"/>
        <v/>
      </c>
      <c r="CJ142" s="4005">
        <f t="shared" si="66"/>
        <v>0</v>
      </c>
    </row>
    <row r="143" spans="1:88" x14ac:dyDescent="0.3">
      <c r="A143" s="6574"/>
      <c r="B143" s="893" t="s">
        <v>2128</v>
      </c>
      <c r="C143" s="4227">
        <f t="shared" si="67"/>
        <v>0</v>
      </c>
      <c r="D143" s="876"/>
      <c r="E143" s="1907"/>
      <c r="F143" s="1907"/>
      <c r="G143" s="1907"/>
      <c r="H143" s="1907"/>
      <c r="I143" s="2237"/>
      <c r="J143" s="2009"/>
      <c r="K143" s="877"/>
      <c r="L143" s="1954"/>
      <c r="M143" s="4120"/>
      <c r="N143" s="1911"/>
      <c r="O143" s="1954"/>
      <c r="P143" s="1970" t="str">
        <f t="shared" si="68"/>
        <v/>
      </c>
      <c r="CA143" s="1899" t="str">
        <f t="shared" si="69"/>
        <v/>
      </c>
      <c r="CJ143" s="4005">
        <f t="shared" si="66"/>
        <v>0</v>
      </c>
    </row>
    <row r="144" spans="1:88" x14ac:dyDescent="0.3">
      <c r="A144" s="6896" t="s">
        <v>2131</v>
      </c>
      <c r="B144" s="3318" t="s">
        <v>2124</v>
      </c>
      <c r="C144" s="4223">
        <f t="shared" si="67"/>
        <v>0</v>
      </c>
      <c r="D144" s="3361"/>
      <c r="E144" s="960"/>
      <c r="F144" s="960"/>
      <c r="G144" s="960"/>
      <c r="H144" s="960"/>
      <c r="I144" s="4208"/>
      <c r="J144" s="890"/>
      <c r="K144" s="4013"/>
      <c r="L144" s="4174"/>
      <c r="M144" s="3426"/>
      <c r="N144" s="4036"/>
      <c r="O144" s="4174"/>
      <c r="P144" s="1970" t="str">
        <f t="shared" si="68"/>
        <v/>
      </c>
      <c r="CA144" s="1899" t="str">
        <f t="shared" si="69"/>
        <v/>
      </c>
      <c r="CJ144" s="4005">
        <f t="shared" si="66"/>
        <v>0</v>
      </c>
    </row>
    <row r="145" spans="1:88" x14ac:dyDescent="0.3">
      <c r="A145" s="5790"/>
      <c r="B145" s="4007" t="s">
        <v>2125</v>
      </c>
      <c r="C145" s="4225">
        <f t="shared" si="67"/>
        <v>0</v>
      </c>
      <c r="D145" s="20"/>
      <c r="E145" s="232"/>
      <c r="F145" s="232"/>
      <c r="G145" s="232"/>
      <c r="H145" s="232"/>
      <c r="I145" s="2431"/>
      <c r="J145" s="30"/>
      <c r="K145" s="29"/>
      <c r="L145" s="1952"/>
      <c r="M145" s="4228"/>
      <c r="N145" s="214"/>
      <c r="O145" s="1952"/>
      <c r="P145" s="1970" t="str">
        <f t="shared" si="68"/>
        <v/>
      </c>
      <c r="CA145" s="1899" t="str">
        <f t="shared" si="69"/>
        <v/>
      </c>
      <c r="CJ145" s="4005">
        <f t="shared" si="66"/>
        <v>0</v>
      </c>
    </row>
    <row r="146" spans="1:88" x14ac:dyDescent="0.3">
      <c r="A146" s="5790"/>
      <c r="B146" s="4007" t="s">
        <v>2126</v>
      </c>
      <c r="C146" s="4225">
        <f t="shared" si="67"/>
        <v>0</v>
      </c>
      <c r="D146" s="3996"/>
      <c r="E146" s="1973"/>
      <c r="F146" s="1973"/>
      <c r="G146" s="1973"/>
      <c r="H146" s="1973"/>
      <c r="I146" s="2235"/>
      <c r="J146" s="2003"/>
      <c r="K146" s="330"/>
      <c r="L146" s="4051"/>
      <c r="M146" s="4226"/>
      <c r="N146" s="3987"/>
      <c r="O146" s="4051"/>
      <c r="P146" s="1970" t="str">
        <f t="shared" si="68"/>
        <v/>
      </c>
      <c r="CA146" s="1899" t="str">
        <f t="shared" si="69"/>
        <v/>
      </c>
      <c r="CJ146" s="4005">
        <f t="shared" si="66"/>
        <v>0</v>
      </c>
    </row>
    <row r="147" spans="1:88" x14ac:dyDescent="0.3">
      <c r="A147" s="5790"/>
      <c r="B147" s="4007" t="s">
        <v>2127</v>
      </c>
      <c r="C147" s="4225">
        <f t="shared" si="67"/>
        <v>0</v>
      </c>
      <c r="D147" s="212"/>
      <c r="E147" s="1018"/>
      <c r="F147" s="1018"/>
      <c r="G147" s="1018"/>
      <c r="H147" s="1018"/>
      <c r="I147" s="1163"/>
      <c r="J147" s="1161"/>
      <c r="K147" s="34"/>
      <c r="L147" s="4192"/>
      <c r="M147" s="4230"/>
      <c r="N147" s="1162"/>
      <c r="O147" s="4192"/>
      <c r="P147" s="1970" t="str">
        <f t="shared" si="68"/>
        <v/>
      </c>
      <c r="CA147" s="1899" t="str">
        <f t="shared" si="69"/>
        <v/>
      </c>
      <c r="CJ147" s="4005">
        <f t="shared" si="66"/>
        <v>0</v>
      </c>
    </row>
    <row r="148" spans="1:88" x14ac:dyDescent="0.3">
      <c r="A148" s="6574"/>
      <c r="B148" s="893" t="s">
        <v>2128</v>
      </c>
      <c r="C148" s="2786">
        <f t="shared" si="67"/>
        <v>0</v>
      </c>
      <c r="D148" s="876"/>
      <c r="E148" s="1907"/>
      <c r="F148" s="1907"/>
      <c r="G148" s="1907"/>
      <c r="H148" s="1907"/>
      <c r="I148" s="2237"/>
      <c r="J148" s="2009"/>
      <c r="K148" s="877"/>
      <c r="L148" s="1954"/>
      <c r="M148" s="4120"/>
      <c r="N148" s="1911"/>
      <c r="O148" s="1954"/>
      <c r="P148" s="1970" t="str">
        <f t="shared" si="68"/>
        <v/>
      </c>
      <c r="CA148" s="1899" t="str">
        <f t="shared" si="69"/>
        <v/>
      </c>
      <c r="CJ148" s="4005">
        <f t="shared" si="66"/>
        <v>0</v>
      </c>
    </row>
    <row r="149" spans="1:88" ht="18" customHeight="1" x14ac:dyDescent="0.3">
      <c r="A149" s="6905" t="s">
        <v>2132</v>
      </c>
      <c r="B149" s="6905"/>
      <c r="C149" s="6905"/>
      <c r="D149" s="6905"/>
      <c r="E149" s="6905"/>
      <c r="F149" s="6905"/>
      <c r="G149" s="6905"/>
      <c r="H149" s="6905"/>
    </row>
    <row r="150" spans="1:88" ht="20.399999999999999" x14ac:dyDescent="0.3">
      <c r="A150" s="4009" t="s">
        <v>2133</v>
      </c>
      <c r="B150" s="4167" t="s">
        <v>2134</v>
      </c>
      <c r="C150" s="3977" t="s">
        <v>2135</v>
      </c>
      <c r="D150" s="3978" t="s">
        <v>2136</v>
      </c>
      <c r="E150" s="3978" t="s">
        <v>2137</v>
      </c>
      <c r="F150" s="3978" t="s">
        <v>2138</v>
      </c>
      <c r="G150" s="3978" t="s">
        <v>2139</v>
      </c>
      <c r="H150" s="3979" t="s">
        <v>2140</v>
      </c>
    </row>
    <row r="151" spans="1:88" x14ac:dyDescent="0.3">
      <c r="A151" s="3318" t="s">
        <v>2124</v>
      </c>
      <c r="B151" s="4229">
        <f>SUM(C151:H151)</f>
        <v>0</v>
      </c>
      <c r="C151" s="3361"/>
      <c r="D151" s="4231"/>
      <c r="E151" s="4232"/>
      <c r="F151" s="4232"/>
      <c r="G151" s="4232"/>
      <c r="H151" s="4233"/>
    </row>
    <row r="152" spans="1:88" x14ac:dyDescent="0.3">
      <c r="A152" s="4007" t="s">
        <v>2125</v>
      </c>
      <c r="B152" s="4121">
        <f t="shared" ref="B152:B155" si="70">SUM(C152:H152)</f>
        <v>0</v>
      </c>
      <c r="C152" s="20"/>
      <c r="D152" s="232"/>
      <c r="E152" s="232"/>
      <c r="F152" s="232"/>
      <c r="G152" s="232"/>
      <c r="H152" s="30"/>
    </row>
    <row r="153" spans="1:88" x14ac:dyDescent="0.3">
      <c r="A153" s="4007" t="s">
        <v>2126</v>
      </c>
      <c r="B153" s="4121">
        <f t="shared" si="70"/>
        <v>0</v>
      </c>
      <c r="C153" s="3996"/>
      <c r="D153" s="1973"/>
      <c r="E153" s="1973"/>
      <c r="F153" s="1973"/>
      <c r="G153" s="1973"/>
      <c r="H153" s="2003"/>
    </row>
    <row r="154" spans="1:88" x14ac:dyDescent="0.3">
      <c r="A154" s="4007" t="s">
        <v>2141</v>
      </c>
      <c r="B154" s="4121">
        <f t="shared" si="70"/>
        <v>0</v>
      </c>
      <c r="C154" s="3996"/>
      <c r="D154" s="1973"/>
      <c r="E154" s="1973"/>
      <c r="F154" s="1973"/>
      <c r="G154" s="1973"/>
      <c r="H154" s="2003"/>
    </row>
    <row r="155" spans="1:88" x14ac:dyDescent="0.3">
      <c r="A155" s="526" t="s">
        <v>2128</v>
      </c>
      <c r="B155" s="4225">
        <f t="shared" si="70"/>
        <v>0</v>
      </c>
      <c r="C155" s="876"/>
      <c r="D155" s="1907"/>
      <c r="E155" s="1907"/>
      <c r="F155" s="1907"/>
      <c r="G155" s="1907"/>
      <c r="H155" s="2009"/>
    </row>
    <row r="156" spans="1:88" ht="18" customHeight="1" x14ac:dyDescent="0.3">
      <c r="A156" s="6905" t="s">
        <v>2142</v>
      </c>
      <c r="B156" s="6905"/>
      <c r="C156" s="6905"/>
      <c r="D156" s="6905"/>
      <c r="E156" s="6905"/>
      <c r="F156" s="6905"/>
      <c r="G156" s="6905"/>
      <c r="H156" s="6905"/>
    </row>
    <row r="157" spans="1:88" ht="30.6" x14ac:dyDescent="0.3">
      <c r="A157" s="4009" t="s">
        <v>2133</v>
      </c>
      <c r="B157" s="4167" t="s">
        <v>1613</v>
      </c>
      <c r="C157" s="3977" t="s">
        <v>2143</v>
      </c>
      <c r="D157" s="3978" t="s">
        <v>2144</v>
      </c>
      <c r="E157" s="3978" t="s">
        <v>2145</v>
      </c>
      <c r="F157" s="3978" t="s">
        <v>2146</v>
      </c>
      <c r="G157" s="3978" t="s">
        <v>2147</v>
      </c>
      <c r="H157" s="3979" t="s">
        <v>2148</v>
      </c>
    </row>
    <row r="158" spans="1:88" x14ac:dyDescent="0.3">
      <c r="A158" s="3318" t="s">
        <v>2124</v>
      </c>
      <c r="B158" s="4229">
        <f>SUM(C158:H158)</f>
        <v>0</v>
      </c>
      <c r="C158" s="3361"/>
      <c r="D158" s="4232"/>
      <c r="E158" s="4232"/>
      <c r="F158" s="4232"/>
      <c r="G158" s="4232"/>
      <c r="H158" s="4233"/>
    </row>
    <row r="159" spans="1:88" x14ac:dyDescent="0.3">
      <c r="A159" s="4007" t="s">
        <v>2125</v>
      </c>
      <c r="B159" s="4121">
        <f t="shared" ref="B159:B164" si="71">SUM(C159:H159)</f>
        <v>0</v>
      </c>
      <c r="C159" s="3996"/>
      <c r="D159" s="1973"/>
      <c r="E159" s="1973"/>
      <c r="F159" s="1973"/>
      <c r="G159" s="1973"/>
      <c r="H159" s="2003"/>
    </row>
    <row r="160" spans="1:88" x14ac:dyDescent="0.3">
      <c r="A160" s="4007" t="s">
        <v>2126</v>
      </c>
      <c r="B160" s="4121">
        <f t="shared" si="71"/>
        <v>0</v>
      </c>
      <c r="C160" s="3996"/>
      <c r="D160" s="1973"/>
      <c r="E160" s="1973"/>
      <c r="F160" s="1973"/>
      <c r="G160" s="1973"/>
      <c r="H160" s="2003"/>
    </row>
    <row r="161" spans="1:38" x14ac:dyDescent="0.3">
      <c r="A161" s="4006" t="s">
        <v>2141</v>
      </c>
      <c r="B161" s="4121">
        <f t="shared" si="71"/>
        <v>0</v>
      </c>
      <c r="C161" s="3996"/>
      <c r="D161" s="1973"/>
      <c r="E161" s="1973"/>
      <c r="F161" s="1973"/>
      <c r="G161" s="1973"/>
      <c r="H161" s="2003"/>
    </row>
    <row r="162" spans="1:38" x14ac:dyDescent="0.3">
      <c r="A162" s="203" t="s">
        <v>2128</v>
      </c>
      <c r="B162" s="4225">
        <f t="shared" si="71"/>
        <v>0</v>
      </c>
      <c r="C162" s="212"/>
      <c r="D162" s="1018"/>
      <c r="E162" s="1018"/>
      <c r="F162" s="1018"/>
      <c r="G162" s="1018"/>
      <c r="H162" s="1161"/>
    </row>
    <row r="163" spans="1:38" x14ac:dyDescent="0.3">
      <c r="A163" s="203" t="s">
        <v>2149</v>
      </c>
      <c r="B163" s="4225">
        <f t="shared" si="71"/>
        <v>0</v>
      </c>
      <c r="C163" s="212"/>
      <c r="D163" s="1018"/>
      <c r="E163" s="1018"/>
      <c r="F163" s="1018"/>
      <c r="G163" s="1018"/>
      <c r="H163" s="1161"/>
    </row>
    <row r="164" spans="1:38" x14ac:dyDescent="0.3">
      <c r="A164" s="519" t="s">
        <v>591</v>
      </c>
      <c r="B164" s="2786">
        <f t="shared" si="71"/>
        <v>0</v>
      </c>
      <c r="C164" s="876"/>
      <c r="D164" s="1907"/>
      <c r="E164" s="1907"/>
      <c r="F164" s="1907"/>
      <c r="G164" s="1907"/>
      <c r="H164" s="2009"/>
    </row>
    <row r="165" spans="1:38" s="6" customFormat="1" ht="18" customHeight="1" x14ac:dyDescent="0.25">
      <c r="A165" s="15" t="s">
        <v>2150</v>
      </c>
      <c r="B165" s="8"/>
      <c r="C165" s="8"/>
      <c r="D165" s="8"/>
      <c r="E165" s="8"/>
      <c r="F165" s="8"/>
      <c r="G165" s="8"/>
      <c r="H165" s="8"/>
      <c r="I165" s="2185"/>
      <c r="J165" s="2185"/>
    </row>
    <row r="166" spans="1:38" ht="51" x14ac:dyDescent="0.3">
      <c r="A166" s="4009" t="s">
        <v>2133</v>
      </c>
      <c r="B166" s="4009" t="s">
        <v>2134</v>
      </c>
      <c r="C166" s="3973" t="s">
        <v>2113</v>
      </c>
      <c r="D166" s="3977" t="s">
        <v>2151</v>
      </c>
      <c r="E166" s="3978" t="s">
        <v>2152</v>
      </c>
      <c r="F166" s="3978" t="s">
        <v>2153</v>
      </c>
      <c r="G166" s="3978" t="s">
        <v>2154</v>
      </c>
      <c r="H166" s="3978" t="s">
        <v>2155</v>
      </c>
      <c r="I166" s="3978" t="s">
        <v>2156</v>
      </c>
      <c r="J166" s="3976" t="s">
        <v>2157</v>
      </c>
    </row>
    <row r="167" spans="1:38" x14ac:dyDescent="0.3">
      <c r="A167" s="3318" t="s">
        <v>2158</v>
      </c>
      <c r="B167" s="4229">
        <f>SUM(D167:J167)</f>
        <v>0</v>
      </c>
      <c r="C167" s="4234"/>
      <c r="D167" s="3310"/>
      <c r="E167" s="4235"/>
      <c r="F167" s="4235"/>
      <c r="G167" s="4235"/>
      <c r="H167" s="4235"/>
      <c r="I167" s="4235"/>
      <c r="J167" s="4236"/>
    </row>
    <row r="168" spans="1:38" x14ac:dyDescent="0.3">
      <c r="A168" s="4007" t="s">
        <v>1120</v>
      </c>
      <c r="B168" s="4121">
        <f>SUM(D168:J168)</f>
        <v>0</v>
      </c>
      <c r="C168" s="561"/>
      <c r="D168" s="4089"/>
      <c r="E168" s="369"/>
      <c r="F168" s="369"/>
      <c r="G168" s="369"/>
      <c r="H168" s="369"/>
      <c r="I168" s="369"/>
      <c r="J168" s="347"/>
    </row>
    <row r="169" spans="1:38" x14ac:dyDescent="0.3">
      <c r="A169" s="4007" t="s">
        <v>2159</v>
      </c>
      <c r="B169" s="4121">
        <f>SUM(D169:J169)</f>
        <v>0</v>
      </c>
      <c r="C169" s="561"/>
      <c r="D169" s="4089"/>
      <c r="E169" s="369"/>
      <c r="F169" s="369"/>
      <c r="G169" s="369"/>
      <c r="H169" s="369"/>
      <c r="I169" s="369"/>
      <c r="J169" s="347"/>
    </row>
    <row r="170" spans="1:38" x14ac:dyDescent="0.3">
      <c r="A170" s="2177" t="s">
        <v>2128</v>
      </c>
      <c r="B170" s="4121">
        <f>SUM(D170:J170)</f>
        <v>0</v>
      </c>
      <c r="C170" s="564"/>
      <c r="D170" s="380"/>
      <c r="E170" s="2911"/>
      <c r="F170" s="2911"/>
      <c r="G170" s="2911"/>
      <c r="H170" s="2911"/>
      <c r="I170" s="2911"/>
      <c r="J170" s="388"/>
    </row>
    <row r="171" spans="1:38" ht="18" customHeight="1" x14ac:dyDescent="0.3">
      <c r="A171" s="6941" t="s">
        <v>2160</v>
      </c>
      <c r="B171" s="6941"/>
      <c r="C171" s="6941"/>
      <c r="D171" s="6941"/>
      <c r="E171" s="6941"/>
      <c r="F171" s="6941"/>
      <c r="G171" s="6941"/>
      <c r="H171" s="6941"/>
      <c r="I171" s="6941"/>
      <c r="J171" s="6941"/>
    </row>
    <row r="172" spans="1:38" ht="15" customHeight="1" x14ac:dyDescent="0.3">
      <c r="A172" s="6243" t="s">
        <v>1093</v>
      </c>
      <c r="B172" s="6853" t="s">
        <v>77</v>
      </c>
      <c r="C172" s="6242"/>
      <c r="D172" s="6243"/>
      <c r="E172" s="6932" t="s">
        <v>101</v>
      </c>
      <c r="F172" s="6865"/>
      <c r="G172" s="6865"/>
      <c r="H172" s="6865"/>
      <c r="I172" s="6865"/>
      <c r="J172" s="6865"/>
      <c r="K172" s="6865"/>
      <c r="L172" s="6865"/>
      <c r="M172" s="6865"/>
      <c r="N172" s="6865"/>
      <c r="O172" s="6865"/>
      <c r="P172" s="6865"/>
      <c r="Q172" s="6865"/>
      <c r="R172" s="6865"/>
      <c r="S172" s="6865"/>
      <c r="T172" s="6865"/>
      <c r="U172" s="6865"/>
      <c r="V172" s="6865"/>
      <c r="W172" s="6865"/>
      <c r="X172" s="6865"/>
      <c r="Y172" s="6865"/>
      <c r="Z172" s="6865"/>
      <c r="AA172" s="6865"/>
      <c r="AB172" s="6865"/>
      <c r="AC172" s="6865"/>
      <c r="AD172" s="6865"/>
      <c r="AE172" s="6865"/>
      <c r="AF172" s="6865"/>
      <c r="AG172" s="6865"/>
      <c r="AH172" s="6865"/>
      <c r="AI172" s="6865"/>
      <c r="AJ172" s="6865"/>
      <c r="AK172" s="6865"/>
      <c r="AL172" s="6944"/>
    </row>
    <row r="173" spans="1:38" ht="15" customHeight="1" x14ac:dyDescent="0.3">
      <c r="A173" s="5759"/>
      <c r="B173" s="6466"/>
      <c r="C173" s="6467"/>
      <c r="D173" s="6687"/>
      <c r="E173" s="6939" t="s">
        <v>343</v>
      </c>
      <c r="F173" s="6939"/>
      <c r="G173" s="6848" t="s">
        <v>326</v>
      </c>
      <c r="H173" s="6849"/>
      <c r="I173" s="6848" t="s">
        <v>94</v>
      </c>
      <c r="J173" s="6849"/>
      <c r="K173" s="6848" t="s">
        <v>2056</v>
      </c>
      <c r="L173" s="6849"/>
      <c r="M173" s="6848" t="s">
        <v>305</v>
      </c>
      <c r="N173" s="6849"/>
      <c r="O173" s="6848" t="s">
        <v>974</v>
      </c>
      <c r="P173" s="6849"/>
      <c r="Q173" s="6848" t="s">
        <v>629</v>
      </c>
      <c r="R173" s="6849"/>
      <c r="S173" s="6848" t="s">
        <v>2057</v>
      </c>
      <c r="T173" s="6849"/>
      <c r="U173" s="6848" t="s">
        <v>630</v>
      </c>
      <c r="V173" s="6849"/>
      <c r="W173" s="6848" t="s">
        <v>2058</v>
      </c>
      <c r="X173" s="6849"/>
      <c r="Y173" s="6848" t="s">
        <v>2059</v>
      </c>
      <c r="Z173" s="6849"/>
      <c r="AA173" s="6848" t="s">
        <v>1949</v>
      </c>
      <c r="AB173" s="6849"/>
      <c r="AC173" s="6848" t="s">
        <v>1583</v>
      </c>
      <c r="AD173" s="6849"/>
      <c r="AE173" s="6848" t="s">
        <v>308</v>
      </c>
      <c r="AF173" s="6849"/>
      <c r="AG173" s="6848" t="s">
        <v>2060</v>
      </c>
      <c r="AH173" s="6849"/>
      <c r="AI173" s="6848" t="s">
        <v>2061</v>
      </c>
      <c r="AJ173" s="6849"/>
      <c r="AK173" s="6839" t="s">
        <v>57</v>
      </c>
      <c r="AL173" s="6854"/>
    </row>
    <row r="174" spans="1:38" ht="15" customHeight="1" x14ac:dyDescent="0.3">
      <c r="A174" s="6687"/>
      <c r="B174" s="3977" t="s">
        <v>79</v>
      </c>
      <c r="C174" s="3980" t="s">
        <v>58</v>
      </c>
      <c r="D174" s="3976" t="s">
        <v>59</v>
      </c>
      <c r="E174" s="3977" t="s">
        <v>58</v>
      </c>
      <c r="F174" s="3976" t="s">
        <v>59</v>
      </c>
      <c r="G174" s="3977" t="s">
        <v>58</v>
      </c>
      <c r="H174" s="3976" t="s">
        <v>59</v>
      </c>
      <c r="I174" s="3977" t="s">
        <v>58</v>
      </c>
      <c r="J174" s="3976" t="s">
        <v>59</v>
      </c>
      <c r="K174" s="3977" t="s">
        <v>58</v>
      </c>
      <c r="L174" s="3976" t="s">
        <v>59</v>
      </c>
      <c r="M174" s="3977" t="s">
        <v>58</v>
      </c>
      <c r="N174" s="3976" t="s">
        <v>59</v>
      </c>
      <c r="O174" s="3977" t="s">
        <v>58</v>
      </c>
      <c r="P174" s="3976" t="s">
        <v>59</v>
      </c>
      <c r="Q174" s="3977" t="s">
        <v>58</v>
      </c>
      <c r="R174" s="3976" t="s">
        <v>59</v>
      </c>
      <c r="S174" s="3977" t="s">
        <v>58</v>
      </c>
      <c r="T174" s="3976" t="s">
        <v>59</v>
      </c>
      <c r="U174" s="3977" t="s">
        <v>58</v>
      </c>
      <c r="V174" s="3976" t="s">
        <v>59</v>
      </c>
      <c r="W174" s="3977" t="s">
        <v>58</v>
      </c>
      <c r="X174" s="3976" t="s">
        <v>59</v>
      </c>
      <c r="Y174" s="3977" t="s">
        <v>58</v>
      </c>
      <c r="Z174" s="3976" t="s">
        <v>59</v>
      </c>
      <c r="AA174" s="3977" t="s">
        <v>58</v>
      </c>
      <c r="AB174" s="3976" t="s">
        <v>59</v>
      </c>
      <c r="AC174" s="3977" t="s">
        <v>58</v>
      </c>
      <c r="AD174" s="3976" t="s">
        <v>59</v>
      </c>
      <c r="AE174" s="3977" t="s">
        <v>58</v>
      </c>
      <c r="AF174" s="3976" t="s">
        <v>59</v>
      </c>
      <c r="AG174" s="3977" t="s">
        <v>58</v>
      </c>
      <c r="AH174" s="3976" t="s">
        <v>59</v>
      </c>
      <c r="AI174" s="3977" t="s">
        <v>58</v>
      </c>
      <c r="AJ174" s="3976" t="s">
        <v>59</v>
      </c>
      <c r="AK174" s="3977" t="s">
        <v>58</v>
      </c>
      <c r="AL174" s="3976" t="s">
        <v>59</v>
      </c>
    </row>
    <row r="175" spans="1:38" x14ac:dyDescent="0.3">
      <c r="A175" s="4237" t="s">
        <v>2161</v>
      </c>
      <c r="B175" s="3308">
        <f>SUM(C175:D175)</f>
        <v>0</v>
      </c>
      <c r="C175" s="4055">
        <f>+E175+G175+I175+K175+M175+O175+Q175+S175+U175+W175+Y175+AA175+AC175+AE175+AG175+AI175+AK175</f>
        <v>0</v>
      </c>
      <c r="D175" s="4238">
        <f>+F175+H175+J175+L175+N175+P175+R175+T175+V175+X175+Z175+AB175+AD175+AF175+AH175+AJ175+AL175</f>
        <v>0</v>
      </c>
      <c r="E175" s="4010"/>
      <c r="F175" s="4169"/>
      <c r="G175" s="4010"/>
      <c r="H175" s="4169"/>
      <c r="I175" s="4010"/>
      <c r="J175" s="4012"/>
      <c r="K175" s="4010"/>
      <c r="L175" s="4012"/>
      <c r="M175" s="4010"/>
      <c r="N175" s="4012"/>
      <c r="O175" s="4010"/>
      <c r="P175" s="4012"/>
      <c r="Q175" s="4010"/>
      <c r="R175" s="4012"/>
      <c r="S175" s="4010"/>
      <c r="T175" s="4012"/>
      <c r="U175" s="4010"/>
      <c r="V175" s="4012"/>
      <c r="W175" s="4010"/>
      <c r="X175" s="4012"/>
      <c r="Y175" s="4010"/>
      <c r="Z175" s="4012"/>
      <c r="AA175" s="4010"/>
      <c r="AB175" s="4012"/>
      <c r="AC175" s="4010"/>
      <c r="AD175" s="4012"/>
      <c r="AE175" s="4010"/>
      <c r="AF175" s="4012"/>
      <c r="AG175" s="4010"/>
      <c r="AH175" s="4012"/>
      <c r="AI175" s="4010"/>
      <c r="AJ175" s="4012"/>
      <c r="AK175" s="4170"/>
      <c r="AL175" s="4012"/>
    </row>
    <row r="176" spans="1:38" x14ac:dyDescent="0.3">
      <c r="A176" s="205" t="s">
        <v>2162</v>
      </c>
      <c r="B176" s="3991">
        <f>SUM(C176:D176)</f>
        <v>0</v>
      </c>
      <c r="C176" s="4061">
        <f t="shared" ref="C176:D179" si="72">+E176+G176+I176+K176+M176+O176+Q176+S176+U176+W176+Y176+AA176+AC176+AE176+AG176+AI176+AK176</f>
        <v>0</v>
      </c>
      <c r="D176" s="4041">
        <f t="shared" si="72"/>
        <v>0</v>
      </c>
      <c r="E176" s="3996"/>
      <c r="F176" s="330"/>
      <c r="G176" s="3996"/>
      <c r="H176" s="330"/>
      <c r="I176" s="3996"/>
      <c r="J176" s="2003"/>
      <c r="K176" s="3996"/>
      <c r="L176" s="2003"/>
      <c r="M176" s="3996"/>
      <c r="N176" s="2003"/>
      <c r="O176" s="3996"/>
      <c r="P176" s="2003"/>
      <c r="Q176" s="3996"/>
      <c r="R176" s="2003"/>
      <c r="S176" s="3996"/>
      <c r="T176" s="2003"/>
      <c r="U176" s="3996"/>
      <c r="V176" s="2003"/>
      <c r="W176" s="3996"/>
      <c r="X176" s="2003"/>
      <c r="Y176" s="3996"/>
      <c r="Z176" s="2003"/>
      <c r="AA176" s="3996"/>
      <c r="AB176" s="2003"/>
      <c r="AC176" s="3996"/>
      <c r="AD176" s="2003"/>
      <c r="AE176" s="3996"/>
      <c r="AF176" s="2003"/>
      <c r="AG176" s="3996"/>
      <c r="AH176" s="2003"/>
      <c r="AI176" s="3996"/>
      <c r="AJ176" s="2003"/>
      <c r="AK176" s="4178"/>
      <c r="AL176" s="2003"/>
    </row>
    <row r="177" spans="1:38" x14ac:dyDescent="0.3">
      <c r="A177" s="205" t="s">
        <v>2163</v>
      </c>
      <c r="B177" s="3991">
        <f>SUM(C177:D177)</f>
        <v>0</v>
      </c>
      <c r="C177" s="4061">
        <f t="shared" si="72"/>
        <v>0</v>
      </c>
      <c r="D177" s="3120">
        <f t="shared" si="72"/>
        <v>0</v>
      </c>
      <c r="E177" s="212"/>
      <c r="F177" s="34"/>
      <c r="G177" s="212"/>
      <c r="H177" s="34"/>
      <c r="I177" s="3996"/>
      <c r="J177" s="1161"/>
      <c r="K177" s="3996"/>
      <c r="L177" s="2003"/>
      <c r="M177" s="3996"/>
      <c r="N177" s="2003"/>
      <c r="O177" s="3996"/>
      <c r="P177" s="2003"/>
      <c r="Q177" s="3996"/>
      <c r="R177" s="2003"/>
      <c r="S177" s="3996"/>
      <c r="T177" s="2003"/>
      <c r="U177" s="3996"/>
      <c r="V177" s="2003"/>
      <c r="W177" s="3996"/>
      <c r="X177" s="2003"/>
      <c r="Y177" s="3996"/>
      <c r="Z177" s="2003"/>
      <c r="AA177" s="3996"/>
      <c r="AB177" s="2003"/>
      <c r="AC177" s="3996"/>
      <c r="AD177" s="2003"/>
      <c r="AE177" s="3996"/>
      <c r="AF177" s="2003"/>
      <c r="AG177" s="3996"/>
      <c r="AH177" s="2003"/>
      <c r="AI177" s="3996"/>
      <c r="AJ177" s="2003"/>
      <c r="AK177" s="4178"/>
      <c r="AL177" s="2003"/>
    </row>
    <row r="178" spans="1:38" ht="20.399999999999999" x14ac:dyDescent="0.3">
      <c r="A178" s="4018" t="s">
        <v>2164</v>
      </c>
      <c r="B178" s="231">
        <f>SUM(C178:D178)</f>
        <v>0</v>
      </c>
      <c r="C178" s="210">
        <f t="shared" si="72"/>
        <v>0</v>
      </c>
      <c r="D178" s="3120">
        <f t="shared" si="72"/>
        <v>0</v>
      </c>
      <c r="E178" s="3996"/>
      <c r="F178" s="2003"/>
      <c r="G178" s="212"/>
      <c r="H178" s="2003"/>
      <c r="I178" s="20"/>
      <c r="J178" s="2003"/>
      <c r="K178" s="327"/>
      <c r="L178" s="905"/>
      <c r="M178" s="327"/>
      <c r="N178" s="905"/>
      <c r="O178" s="327"/>
      <c r="P178" s="2003"/>
      <c r="Q178" s="3996"/>
      <c r="R178" s="2003"/>
      <c r="S178" s="3996"/>
      <c r="T178" s="2003"/>
      <c r="U178" s="3996"/>
      <c r="V178" s="2003"/>
      <c r="W178" s="3996"/>
      <c r="X178" s="2003"/>
      <c r="Y178" s="3996"/>
      <c r="Z178" s="2003"/>
      <c r="AA178" s="3996"/>
      <c r="AB178" s="2003"/>
      <c r="AC178" s="3996"/>
      <c r="AD178" s="2003"/>
      <c r="AE178" s="3996"/>
      <c r="AF178" s="2003"/>
      <c r="AG178" s="3996"/>
      <c r="AH178" s="2003"/>
      <c r="AI178" s="3996"/>
      <c r="AJ178" s="2003"/>
      <c r="AK178" s="4178"/>
      <c r="AL178" s="2003"/>
    </row>
    <row r="179" spans="1:38" ht="20.399999999999999" x14ac:dyDescent="0.3">
      <c r="A179" s="2318" t="s">
        <v>2165</v>
      </c>
      <c r="B179" s="638">
        <f>SUM(C179:D179)</f>
        <v>0</v>
      </c>
      <c r="C179" s="4077">
        <f t="shared" si="72"/>
        <v>0</v>
      </c>
      <c r="D179" s="640">
        <f t="shared" si="72"/>
        <v>0</v>
      </c>
      <c r="E179" s="876"/>
      <c r="F179" s="3499"/>
      <c r="G179" s="876"/>
      <c r="H179" s="3499"/>
      <c r="I179" s="876"/>
      <c r="J179" s="325"/>
      <c r="K179" s="897"/>
      <c r="L179" s="325"/>
      <c r="M179" s="897"/>
      <c r="N179" s="325"/>
      <c r="O179" s="897"/>
      <c r="P179" s="325"/>
      <c r="Q179" s="897"/>
      <c r="R179" s="325"/>
      <c r="S179" s="897"/>
      <c r="T179" s="325"/>
      <c r="U179" s="897"/>
      <c r="V179" s="325"/>
      <c r="W179" s="897"/>
      <c r="X179" s="325"/>
      <c r="Y179" s="897"/>
      <c r="Z179" s="325"/>
      <c r="AA179" s="897"/>
      <c r="AB179" s="325"/>
      <c r="AC179" s="897"/>
      <c r="AD179" s="325"/>
      <c r="AE179" s="897"/>
      <c r="AF179" s="325"/>
      <c r="AG179" s="897"/>
      <c r="AH179" s="325"/>
      <c r="AI179" s="897"/>
      <c r="AJ179" s="325"/>
      <c r="AK179" s="4188"/>
      <c r="AL179" s="325"/>
    </row>
    <row r="180" spans="1:38" x14ac:dyDescent="0.3">
      <c r="A180" s="1798" t="s">
        <v>77</v>
      </c>
      <c r="B180" s="638">
        <f>SUM(B175:B179)</f>
        <v>0</v>
      </c>
      <c r="C180" s="4239">
        <f t="shared" ref="C180:AL180" si="73">SUM(C175:C179)</f>
        <v>0</v>
      </c>
      <c r="D180" s="4240">
        <f t="shared" si="73"/>
        <v>0</v>
      </c>
      <c r="E180" s="4241">
        <f t="shared" si="73"/>
        <v>0</v>
      </c>
      <c r="F180" s="4242">
        <f t="shared" si="73"/>
        <v>0</v>
      </c>
      <c r="G180" s="4241">
        <f t="shared" si="73"/>
        <v>0</v>
      </c>
      <c r="H180" s="4242">
        <f t="shared" si="73"/>
        <v>0</v>
      </c>
      <c r="I180" s="4241">
        <f t="shared" si="73"/>
        <v>0</v>
      </c>
      <c r="J180" s="4242">
        <f t="shared" si="73"/>
        <v>0</v>
      </c>
      <c r="K180" s="4241">
        <f t="shared" si="73"/>
        <v>0</v>
      </c>
      <c r="L180" s="4242">
        <f t="shared" si="73"/>
        <v>0</v>
      </c>
      <c r="M180" s="4241">
        <f t="shared" si="73"/>
        <v>0</v>
      </c>
      <c r="N180" s="4242">
        <f t="shared" si="73"/>
        <v>0</v>
      </c>
      <c r="O180" s="4241">
        <f t="shared" si="73"/>
        <v>0</v>
      </c>
      <c r="P180" s="4242">
        <f t="shared" si="73"/>
        <v>0</v>
      </c>
      <c r="Q180" s="4241">
        <f t="shared" si="73"/>
        <v>0</v>
      </c>
      <c r="R180" s="4242">
        <f t="shared" si="73"/>
        <v>0</v>
      </c>
      <c r="S180" s="4241">
        <f t="shared" si="73"/>
        <v>0</v>
      </c>
      <c r="T180" s="4242">
        <f t="shared" si="73"/>
        <v>0</v>
      </c>
      <c r="U180" s="4241">
        <f t="shared" si="73"/>
        <v>0</v>
      </c>
      <c r="V180" s="4242">
        <f t="shared" si="73"/>
        <v>0</v>
      </c>
      <c r="W180" s="4241">
        <f t="shared" si="73"/>
        <v>0</v>
      </c>
      <c r="X180" s="4242">
        <f t="shared" si="73"/>
        <v>0</v>
      </c>
      <c r="Y180" s="4241">
        <f t="shared" si="73"/>
        <v>0</v>
      </c>
      <c r="Z180" s="4242">
        <f t="shared" si="73"/>
        <v>0</v>
      </c>
      <c r="AA180" s="4243">
        <f t="shared" si="73"/>
        <v>0</v>
      </c>
      <c r="AB180" s="640">
        <f t="shared" si="73"/>
        <v>0</v>
      </c>
      <c r="AC180" s="4241">
        <f t="shared" si="73"/>
        <v>0</v>
      </c>
      <c r="AD180" s="4242">
        <f t="shared" si="73"/>
        <v>0</v>
      </c>
      <c r="AE180" s="4241">
        <f t="shared" si="73"/>
        <v>0</v>
      </c>
      <c r="AF180" s="4242">
        <f t="shared" si="73"/>
        <v>0</v>
      </c>
      <c r="AG180" s="4243">
        <f t="shared" si="73"/>
        <v>0</v>
      </c>
      <c r="AH180" s="640">
        <f t="shared" si="73"/>
        <v>0</v>
      </c>
      <c r="AI180" s="4241">
        <f t="shared" si="73"/>
        <v>0</v>
      </c>
      <c r="AJ180" s="4242">
        <f t="shared" si="73"/>
        <v>0</v>
      </c>
      <c r="AK180" s="4241">
        <f t="shared" si="73"/>
        <v>0</v>
      </c>
      <c r="AL180" s="4242">
        <f t="shared" si="73"/>
        <v>0</v>
      </c>
    </row>
    <row r="181" spans="1:38" ht="23.4" customHeight="1" x14ac:dyDescent="0.3">
      <c r="A181" s="1270" t="s">
        <v>2166</v>
      </c>
      <c r="B181" s="25"/>
      <c r="C181" s="25"/>
      <c r="D181" s="25"/>
    </row>
    <row r="182" spans="1:38" x14ac:dyDescent="0.3">
      <c r="A182" s="3972" t="s">
        <v>651</v>
      </c>
      <c r="B182" s="4008" t="s">
        <v>77</v>
      </c>
      <c r="C182" s="3975" t="s">
        <v>2167</v>
      </c>
      <c r="D182" s="3979" t="s">
        <v>2168</v>
      </c>
    </row>
    <row r="183" spans="1:38" x14ac:dyDescent="0.3">
      <c r="A183" s="3354" t="s">
        <v>2169</v>
      </c>
      <c r="B183" s="4244">
        <f>SUM(C183:D183)</f>
        <v>0</v>
      </c>
      <c r="C183" s="290"/>
      <c r="D183" s="637"/>
    </row>
    <row r="184" spans="1:38" x14ac:dyDescent="0.3">
      <c r="A184" s="255" t="s">
        <v>655</v>
      </c>
      <c r="B184" s="4245">
        <f>SUM(C184:D184)</f>
        <v>0</v>
      </c>
      <c r="C184" s="290"/>
      <c r="D184" s="637"/>
    </row>
    <row r="185" spans="1:38" ht="20.399999999999999" x14ac:dyDescent="0.3">
      <c r="A185" s="4246" t="s">
        <v>2170</v>
      </c>
      <c r="B185" s="4159">
        <f>SUM(C185:D185)</f>
        <v>0</v>
      </c>
      <c r="C185" s="4089"/>
      <c r="D185" s="350"/>
    </row>
    <row r="186" spans="1:38" x14ac:dyDescent="0.3">
      <c r="A186" s="2277" t="s">
        <v>657</v>
      </c>
      <c r="B186" s="798">
        <f>SUM(C186:D186)</f>
        <v>0</v>
      </c>
      <c r="C186" s="380"/>
      <c r="D186" s="389"/>
    </row>
    <row r="201" spans="1:2" hidden="1" x14ac:dyDescent="0.3"/>
    <row r="202" spans="1:2" hidden="1" x14ac:dyDescent="0.3">
      <c r="A202" s="105">
        <f>SUM(C13:C89,C94:C105,C108:D117,C122:C124,C129:C148,B151:B155,B158:B164,B167:B170,C167:C170,B175:B179,B183:B186)</f>
        <v>0</v>
      </c>
      <c r="B202" s="105">
        <f>SUM(CJ13:CQ148)</f>
        <v>0</v>
      </c>
    </row>
    <row r="203" spans="1:2" hidden="1" x14ac:dyDescent="0.3"/>
  </sheetData>
  <sheetProtection algorithmName="SHA-512" hashValue="M5WotizRY/GrRXNaQ6djNnwjJsliND7PnFF+Ny8OOIES3DNlvaIfDuu5QUvyStb9mfi6AA/MGVtA9GCtX2Ie3w==" saltValue="qgru+TpuvIXKaJRd2agBHA==" spinCount="100000" sheet="1" objects="1" scenarios="1"/>
  <mergeCells count="128">
    <mergeCell ref="A171:J171"/>
    <mergeCell ref="A172:A174"/>
    <mergeCell ref="B172:D173"/>
    <mergeCell ref="E172:AL172"/>
    <mergeCell ref="E173:F173"/>
    <mergeCell ref="G173:H173"/>
    <mergeCell ref="I173:J173"/>
    <mergeCell ref="K173:L173"/>
    <mergeCell ref="M173:N173"/>
    <mergeCell ref="O173:P173"/>
    <mergeCell ref="Q173:R173"/>
    <mergeCell ref="S173:T173"/>
    <mergeCell ref="U173:V173"/>
    <mergeCell ref="W173:X173"/>
    <mergeCell ref="Y173:Z173"/>
    <mergeCell ref="AA173:AB173"/>
    <mergeCell ref="AC173:AD173"/>
    <mergeCell ref="AE173:AF173"/>
    <mergeCell ref="AG173:AH173"/>
    <mergeCell ref="AI173:AJ173"/>
    <mergeCell ref="AK173:AL173"/>
    <mergeCell ref="Z120:AA120"/>
    <mergeCell ref="AB120:AC120"/>
    <mergeCell ref="AD120:AE120"/>
    <mergeCell ref="AF120:AG120"/>
    <mergeCell ref="AH120:AI120"/>
    <mergeCell ref="A122:A124"/>
    <mergeCell ref="A125:J125"/>
    <mergeCell ref="A126:J126"/>
    <mergeCell ref="A127:A128"/>
    <mergeCell ref="B127:B128"/>
    <mergeCell ref="C127:C128"/>
    <mergeCell ref="D127:M127"/>
    <mergeCell ref="N127:N128"/>
    <mergeCell ref="O127:O128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X120:Y120"/>
    <mergeCell ref="AN91:AO92"/>
    <mergeCell ref="AP91:AP93"/>
    <mergeCell ref="AQ91:AQ93"/>
    <mergeCell ref="AR91:AR93"/>
    <mergeCell ref="AS91:AS93"/>
    <mergeCell ref="F92:G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L92:AM92"/>
    <mergeCell ref="A6:T6"/>
    <mergeCell ref="A8:AM8"/>
    <mergeCell ref="A9:AM9"/>
    <mergeCell ref="A10:A12"/>
    <mergeCell ref="B10:B12"/>
    <mergeCell ref="C10:E11"/>
    <mergeCell ref="F10:AM10"/>
    <mergeCell ref="X11:Y11"/>
    <mergeCell ref="Z11:AA11"/>
    <mergeCell ref="AB11:AC11"/>
    <mergeCell ref="AJ11:AK11"/>
    <mergeCell ref="AL11:AM11"/>
    <mergeCell ref="AF11:AG11"/>
    <mergeCell ref="AH11:AI11"/>
    <mergeCell ref="A24:A34"/>
    <mergeCell ref="A35:A45"/>
    <mergeCell ref="A13:A23"/>
    <mergeCell ref="A46:A56"/>
    <mergeCell ref="A57:A62"/>
    <mergeCell ref="A63:A66"/>
    <mergeCell ref="A67:A73"/>
    <mergeCell ref="AU10:AU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AN10:AN12"/>
    <mergeCell ref="AO10:AP11"/>
    <mergeCell ref="AQ10:AQ12"/>
    <mergeCell ref="AR10:AR12"/>
    <mergeCell ref="AS10:AS12"/>
    <mergeCell ref="AT10:AT12"/>
    <mergeCell ref="AD11:AE11"/>
    <mergeCell ref="A74:A78"/>
    <mergeCell ref="A79:A89"/>
    <mergeCell ref="A90:AM90"/>
    <mergeCell ref="A129:A133"/>
    <mergeCell ref="A134:A138"/>
    <mergeCell ref="A139:A143"/>
    <mergeCell ref="A144:A148"/>
    <mergeCell ref="A149:H149"/>
    <mergeCell ref="A156:H156"/>
    <mergeCell ref="A91:A93"/>
    <mergeCell ref="B91:B93"/>
    <mergeCell ref="C91:E92"/>
    <mergeCell ref="F91:AM91"/>
    <mergeCell ref="A94:A99"/>
    <mergeCell ref="A100:A105"/>
    <mergeCell ref="A106:D106"/>
    <mergeCell ref="A107:A117"/>
    <mergeCell ref="A118:AK118"/>
    <mergeCell ref="A119:B121"/>
    <mergeCell ref="C119:E120"/>
    <mergeCell ref="F119:AI119"/>
    <mergeCell ref="AJ119:AK120"/>
    <mergeCell ref="AL119:AL121"/>
    <mergeCell ref="F120:G120"/>
  </mergeCells>
  <dataValidations count="8">
    <dataValidation type="whole" operator="greaterThanOrEqual" allowBlank="1" showInputMessage="1" showErrorMessage="1" sqref="D129:O148 E175:AL179 C167:J170 C158:H164 F122:AL124 C151:H155" xr:uid="{085D0FAA-C666-4243-A55C-C92701E16422}">
      <formula1>0</formula1>
    </dataValidation>
    <dataValidation type="whole" allowBlank="1" showInputMessage="1" showErrorMessage="1" error="Valor no Permitido" sqref="B122:E124 A118:A119 A122 C119:E120 B175:D179 B172:D173 C79:E89" xr:uid="{6CF93087-5F8B-4FD2-A381-E0996E77D8BF}">
      <formula1>0</formula1>
      <formula2>1E+30</formula2>
    </dataValidation>
    <dataValidation allowBlank="1" showInputMessage="1" showErrorMessage="1" error="Valor no Permitido" sqref="A79:A89" xr:uid="{9148145F-E1B9-4561-8E36-A8B7C316C989}"/>
    <dataValidation type="whole" operator="equal" allowBlank="1" showInputMessage="1" showErrorMessage="1" sqref="D74:D78" xr:uid="{ED97BE5D-EBB5-4A90-A1F5-8D1AA3375209}">
      <formula1>0</formula1>
    </dataValidation>
    <dataValidation type="whole" allowBlank="1" showInputMessage="1" showErrorMessage="1" sqref="C108:D117" xr:uid="{E5589492-A47C-4D7E-B36F-D5983D1DB5D5}">
      <formula1>0</formula1>
      <formula2>9.99999999999999E+34</formula2>
    </dataValidation>
    <dataValidation type="whole" allowBlank="1" showInputMessage="1" showErrorMessage="1" sqref="F94:AS105" xr:uid="{7BCCA604-FF9D-49E6-BC29-7678615C930E}">
      <formula1>0</formula1>
      <formula2>9.99999999999999E+36</formula2>
    </dataValidation>
    <dataValidation type="whole" allowBlank="1" showInputMessage="1" showErrorMessage="1" sqref="F13:AU89" xr:uid="{50A39DE8-7DD9-4FA6-92B1-0546525D5C25}">
      <formula1>0</formula1>
      <formula2>9.99999999999999E+35</formula2>
    </dataValidation>
    <dataValidation type="whole" allowBlank="1" showInputMessage="1" showErrorMessage="1" sqref="C183:D186" xr:uid="{625E50FF-A775-4298-B86B-8C834C6A1BEA}">
      <formula1>0</formula1>
      <formula2>9.99999999999999E+40</formula2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CU201"/>
  <sheetViews>
    <sheetView showGridLines="0" zoomScaleNormal="100" workbookViewId="0"/>
  </sheetViews>
  <sheetFormatPr baseColWidth="10" defaultColWidth="11.44140625" defaultRowHeight="14.4" x14ac:dyDescent="0.3"/>
  <cols>
    <col min="1" max="1" width="55.5546875" customWidth="1"/>
    <col min="2" max="2" width="14.5546875" customWidth="1"/>
    <col min="3" max="4" width="15.6640625" customWidth="1"/>
    <col min="5" max="6" width="14.5546875" customWidth="1"/>
    <col min="7" max="7" width="16.109375" customWidth="1"/>
    <col min="8" max="8" width="16.6640625" customWidth="1"/>
    <col min="9" max="9" width="15.44140625" customWidth="1"/>
    <col min="10" max="10" width="15.88671875" customWidth="1"/>
    <col min="11" max="11" width="16" customWidth="1"/>
    <col min="14" max="14" width="15.6640625" customWidth="1"/>
    <col min="15" max="15" width="12.6640625" customWidth="1"/>
    <col min="17" max="18" width="13.44140625" customWidth="1"/>
    <col min="77" max="78" width="11.44140625" customWidth="1"/>
    <col min="79" max="80" width="10.6640625" style="25" hidden="1" customWidth="1"/>
    <col min="81" max="85" width="11.44140625" style="25" hidden="1" customWidth="1"/>
    <col min="86" max="97" width="0" style="25" hidden="1" customWidth="1"/>
    <col min="98" max="99" width="0" hidden="1" customWidth="1"/>
  </cols>
  <sheetData>
    <row r="1" spans="1:99" x14ac:dyDescent="0.3">
      <c r="A1" s="50" t="s">
        <v>23</v>
      </c>
    </row>
    <row r="2" spans="1:99" x14ac:dyDescent="0.3">
      <c r="A2" s="50" t="str">
        <f>CONCATENATE("COMUNA: ",NOMBRE!B2, " (",NOMBRE!C2,NOMBRE!D2,NOMBRE!E2,NOMBRE!F2,NOMBRE!G2,")")</f>
        <v>COMUNA:  ()</v>
      </c>
    </row>
    <row r="3" spans="1:99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99" x14ac:dyDescent="0.3">
      <c r="A4" s="50" t="str">
        <f>CONCATENATE("MES: ",NOMBRE!B6, " (",NOMBRE!C6,NOMBRE!D6,")")</f>
        <v>MES:  ()</v>
      </c>
    </row>
    <row r="5" spans="1:99" x14ac:dyDescent="0.3">
      <c r="A5" s="50" t="str">
        <f>CONCATENATE("AÑO: ",NOMBRE!B7)</f>
        <v>AÑO: 2025</v>
      </c>
    </row>
    <row r="6" spans="1:99" ht="18" customHeight="1" x14ac:dyDescent="0.3">
      <c r="A6" s="5819" t="s">
        <v>2171</v>
      </c>
      <c r="B6" s="5819"/>
      <c r="C6" s="5819"/>
      <c r="D6" s="5819"/>
      <c r="E6" s="5819"/>
      <c r="F6" s="5819"/>
      <c r="G6" s="5819"/>
      <c r="H6" s="5819"/>
      <c r="I6" s="5819"/>
      <c r="J6" s="5819"/>
      <c r="K6" s="5819"/>
      <c r="L6" s="5819"/>
      <c r="M6" s="5819"/>
      <c r="N6" s="5819"/>
    </row>
    <row r="8" spans="1:99" ht="18" customHeight="1" x14ac:dyDescent="0.3">
      <c r="A8" s="6911" t="s">
        <v>2172</v>
      </c>
      <c r="B8" s="6911"/>
      <c r="C8" s="6911"/>
      <c r="D8" s="6911"/>
      <c r="E8" s="6911"/>
      <c r="F8" s="6911"/>
      <c r="G8" s="6911"/>
      <c r="H8" s="6911"/>
      <c r="I8" s="6911"/>
      <c r="J8" s="6911"/>
      <c r="K8" s="6911"/>
    </row>
    <row r="9" spans="1:99" ht="24" customHeight="1" x14ac:dyDescent="0.3">
      <c r="A9" s="6930" t="s">
        <v>2173</v>
      </c>
      <c r="B9" s="6839" t="s">
        <v>2174</v>
      </c>
      <c r="C9" s="6840"/>
      <c r="D9" s="6840"/>
      <c r="E9" s="6848" t="s">
        <v>2175</v>
      </c>
      <c r="F9" s="6849"/>
      <c r="G9" s="6243" t="s">
        <v>2176</v>
      </c>
      <c r="H9" s="6839" t="s">
        <v>2177</v>
      </c>
      <c r="I9" s="6841"/>
      <c r="J9" s="6840" t="s">
        <v>457</v>
      </c>
      <c r="K9" s="6854"/>
      <c r="L9" s="6929" t="s">
        <v>1355</v>
      </c>
      <c r="M9" s="6940" t="s">
        <v>2178</v>
      </c>
      <c r="N9" s="6940" t="s">
        <v>36</v>
      </c>
      <c r="O9" s="6945" t="s">
        <v>37</v>
      </c>
      <c r="P9" s="6223" t="s">
        <v>2179</v>
      </c>
      <c r="Q9" s="6848" t="s">
        <v>2180</v>
      </c>
      <c r="R9" s="6849"/>
      <c r="S9" s="167"/>
    </row>
    <row r="10" spans="1:99" ht="35.1" customHeight="1" x14ac:dyDescent="0.3">
      <c r="A10" s="5771"/>
      <c r="B10" s="3971" t="s">
        <v>2181</v>
      </c>
      <c r="C10" s="4247" t="s">
        <v>58</v>
      </c>
      <c r="D10" s="4248" t="s">
        <v>59</v>
      </c>
      <c r="E10" s="3977" t="s">
        <v>2182</v>
      </c>
      <c r="F10" s="487" t="s">
        <v>2183</v>
      </c>
      <c r="G10" s="5759"/>
      <c r="H10" s="3977" t="s">
        <v>2184</v>
      </c>
      <c r="I10" s="593" t="s">
        <v>2185</v>
      </c>
      <c r="J10" s="4249" t="s">
        <v>2186</v>
      </c>
      <c r="K10" s="3976" t="s">
        <v>2187</v>
      </c>
      <c r="L10" s="6483"/>
      <c r="M10" s="5818"/>
      <c r="N10" s="5818"/>
      <c r="O10" s="6946"/>
      <c r="P10" s="6481"/>
      <c r="Q10" s="3977" t="s">
        <v>2188</v>
      </c>
      <c r="R10" s="3976" t="s">
        <v>453</v>
      </c>
    </row>
    <row r="11" spans="1:99" x14ac:dyDescent="0.3">
      <c r="A11" s="3975" t="s">
        <v>2189</v>
      </c>
      <c r="B11" s="4250">
        <f t="shared" ref="B11:B51" si="0">SUM(C11:D11)</f>
        <v>0</v>
      </c>
      <c r="C11" s="4251">
        <f>SUM(C12:C51)</f>
        <v>0</v>
      </c>
      <c r="D11" s="4252">
        <f t="shared" ref="D11:R11" si="1">SUM(D12:D51)</f>
        <v>0</v>
      </c>
      <c r="E11" s="4251">
        <f t="shared" si="1"/>
        <v>0</v>
      </c>
      <c r="F11" s="4252">
        <f t="shared" si="1"/>
        <v>0</v>
      </c>
      <c r="G11" s="4253">
        <f t="shared" si="1"/>
        <v>0</v>
      </c>
      <c r="H11" s="4254">
        <f t="shared" si="1"/>
        <v>0</v>
      </c>
      <c r="I11" s="4255">
        <f t="shared" si="1"/>
        <v>0</v>
      </c>
      <c r="J11" s="4256">
        <f t="shared" si="1"/>
        <v>0</v>
      </c>
      <c r="K11" s="4253">
        <f t="shared" si="1"/>
        <v>0</v>
      </c>
      <c r="L11" s="4251">
        <f t="shared" si="1"/>
        <v>0</v>
      </c>
      <c r="M11" s="4254">
        <f t="shared" si="1"/>
        <v>0</v>
      </c>
      <c r="N11" s="4254">
        <f t="shared" si="1"/>
        <v>0</v>
      </c>
      <c r="O11" s="4254">
        <f t="shared" si="1"/>
        <v>0</v>
      </c>
      <c r="P11" s="4253">
        <f t="shared" si="1"/>
        <v>0</v>
      </c>
      <c r="Q11" s="4251">
        <f t="shared" si="1"/>
        <v>0</v>
      </c>
      <c r="R11" s="4253">
        <f t="shared" si="1"/>
        <v>0</v>
      </c>
    </row>
    <row r="12" spans="1:99" x14ac:dyDescent="0.3">
      <c r="A12" s="2240" t="s">
        <v>2190</v>
      </c>
      <c r="B12" s="4257">
        <f>SUM(C12:D12)</f>
        <v>0</v>
      </c>
      <c r="C12" s="327"/>
      <c r="D12" s="905"/>
      <c r="E12" s="327"/>
      <c r="F12" s="905"/>
      <c r="G12" s="142"/>
      <c r="H12" s="1039"/>
      <c r="I12" s="1026"/>
      <c r="J12" s="337"/>
      <c r="K12" s="142"/>
      <c r="L12" s="327"/>
      <c r="M12" s="1039"/>
      <c r="N12" s="1039"/>
      <c r="O12" s="1039"/>
      <c r="P12" s="142"/>
      <c r="Q12" s="327"/>
      <c r="R12" s="142"/>
      <c r="S12" s="1970" t="str">
        <f>CA12&amp;CB12&amp;CC12&amp;CD12&amp;CE12&amp;CF12&amp;CG12&amp;CH12&amp;CI12</f>
        <v/>
      </c>
      <c r="CA12" s="4258" t="str">
        <f t="shared" ref="CA12:CA51" si="2">IF(AND(D12&gt;0,J12=""),"*No olvide digitar el campo TRANS Masculino (Digite CERO si no tiene).", IF(J12&gt;D12," * El Número de TRANS Masculino no puede superar el Total Mujeres. ",""))</f>
        <v/>
      </c>
      <c r="CB12" s="4258" t="str">
        <f t="shared" ref="CB12:CB51" si="3">IF(AND(C12&gt;0,OR(K12=""))," *No olvide digitar el campo TRANS Femenino (Digite CERO si no tiene).",IF(K12&gt;$C12," * El Número de TRANS Femenino no puede superar el Total Hombres. ",""))</f>
        <v/>
      </c>
      <c r="CC12" s="4258" t="str">
        <f>IF(AND($B12&gt;0,OR(L12=""))," *No olvide digitar el campo "&amp;L$9&amp;""&amp;". Digite CERO si no tiene.", IF(L12&gt;$B12," * La variable "&amp;L$9&amp;""&amp;" no puede superar el Total Ambos Sexos. ",""))</f>
        <v/>
      </c>
      <c r="CD12" s="4258" t="str">
        <f>IF(AND($B12&gt;0,OR(M12=""))," *No olvide digitar el campo "&amp;M$9&amp;""&amp;". Digite CERO si no tiene.", IF(M12&gt;$B12," * La variable "&amp;M$9&amp;""&amp;" no puede superar el Total Ambos Sexos. ",""))</f>
        <v/>
      </c>
      <c r="CE12" s="4258" t="str">
        <f>IF(AND($B12&gt;0,OR(N12=""))," *No olvide digitar el campo "&amp;N$9&amp;""&amp;". Digite CERO si no tiene.", IF(N12&gt;$B12," * La variable "&amp;N$9&amp;""&amp;" no puede superar el Total Ambos Sexos. ",""))</f>
        <v/>
      </c>
      <c r="CF12" s="4258" t="str">
        <f>IF(AND($B12&gt;0,OR(O12=""))," *No olvide digitar el campo "&amp;O$9&amp;""&amp;". Digite CERO si no tiene.", IF(O12&gt;$B12," * La variable "&amp;O$9&amp;""&amp;" no puede superar el Total Ambos Sexos. ",""))</f>
        <v/>
      </c>
      <c r="CG12" s="4258" t="str">
        <f>IF(AND($B12&gt;0,OR(P12=""))," *No olvide digitar el campo "&amp;P$9&amp;""&amp;". Digite CERO si no tiene.", IF(P12&gt;$B12," * La variable "&amp;P$9&amp;""&amp;" no puede superar el Total Ambos Sexos. ",""))</f>
        <v/>
      </c>
      <c r="CH12" s="4258" t="str">
        <f>IF(AND($B12&gt;0,OR(Q12=""))," *No olvide digitar el campo "&amp;Q$9&amp;""&amp;". Niños, niñas y adolescentes. Digite CERO si no tiene.", IF(Q12&gt;$B12," * La variable "&amp;Q$9&amp;""&amp;" no puede superar el Total Ambos Sexos. ",""))</f>
        <v/>
      </c>
      <c r="CI12" s="4258" t="str">
        <f>IF(AND($D12&gt;0,OR(R12=""))," *No olvide digitar el campo "&amp;Q$9&amp;""&amp;" Gestantes. Digite CERO si no tiene.", IF(R12&gt;$D12," * La variable "&amp;Q$9&amp;""&amp;" no puede superar el Total Mujeres. ",""))</f>
        <v/>
      </c>
      <c r="CM12" s="435">
        <f t="shared" ref="CM12:CM51" si="4">IF(AND(D12&gt;0,OR(J12="")),1,IF(J12&gt;D12,1,0))</f>
        <v>0</v>
      </c>
      <c r="CN12" s="435">
        <f t="shared" ref="CN12:CN51" si="5">IF(AND(C12&gt;0,OR(K12="")),1,IF(K12&gt;C12,1,0))</f>
        <v>0</v>
      </c>
      <c r="CO12" s="435">
        <f t="shared" ref="CO12:CT12" si="6">IF(AND($B12&gt;0,OR(L12="")),1,IF(L12&gt;$B12,1,0))</f>
        <v>0</v>
      </c>
      <c r="CP12" s="435">
        <f t="shared" si="6"/>
        <v>0</v>
      </c>
      <c r="CQ12" s="435">
        <f t="shared" si="6"/>
        <v>0</v>
      </c>
      <c r="CR12" s="435">
        <f t="shared" si="6"/>
        <v>0</v>
      </c>
      <c r="CS12" s="435">
        <f t="shared" si="6"/>
        <v>0</v>
      </c>
      <c r="CT12" s="1901">
        <f t="shared" si="6"/>
        <v>0</v>
      </c>
      <c r="CU12" s="1901">
        <f>IF(AND($D12&gt;0,OR(R12="")),1,IF(R12&gt;$D12,1,0))</f>
        <v>0</v>
      </c>
    </row>
    <row r="13" spans="1:99" x14ac:dyDescent="0.3">
      <c r="A13" s="319" t="s">
        <v>2191</v>
      </c>
      <c r="B13" s="4259">
        <f t="shared" ref="B13:B22" si="7">SUM(C13:D13)</f>
        <v>0</v>
      </c>
      <c r="C13" s="3996"/>
      <c r="D13" s="2003"/>
      <c r="E13" s="3996"/>
      <c r="F13" s="2003"/>
      <c r="G13" s="330"/>
      <c r="H13" s="1973"/>
      <c r="I13" s="332"/>
      <c r="J13" s="3986"/>
      <c r="K13" s="330"/>
      <c r="L13" s="3996"/>
      <c r="M13" s="1973"/>
      <c r="N13" s="1973"/>
      <c r="O13" s="1973"/>
      <c r="P13" s="330"/>
      <c r="Q13" s="3996"/>
      <c r="R13" s="330"/>
      <c r="S13" s="1970" t="str">
        <f t="shared" ref="S13:S56" si="8">CA13&amp;CB13&amp;CC13&amp;CD13&amp;CE13&amp;CF13&amp;CG13&amp;CH13&amp;CI13</f>
        <v/>
      </c>
      <c r="CA13" s="4258" t="str">
        <f t="shared" si="2"/>
        <v/>
      </c>
      <c r="CB13" s="4258" t="str">
        <f t="shared" si="3"/>
        <v/>
      </c>
      <c r="CC13" s="4258" t="str">
        <f t="shared" ref="CC13:CC57" si="9">IF(AND($B13&gt;0,OR(L13=""))," *No olvide digitar el campo "&amp;L$9&amp;""&amp;". Digite CERO si no tiene.", IF(L13&gt;$B13," * La variable "&amp;L$9&amp;""&amp;" no puede superar el Total Ambos Sexos. ",""))</f>
        <v/>
      </c>
      <c r="CD13" s="4258" t="str">
        <f t="shared" ref="CD13:CD57" si="10">IF(AND($B13&gt;0,OR(M13=""))," *No olvide digitar el campo "&amp;M$9&amp;""&amp;". Digite CERO si no tiene.", IF(M13&gt;$B13," * La variable "&amp;M$9&amp;""&amp;" no puede superar el Total Ambos Sexos. ",""))</f>
        <v/>
      </c>
      <c r="CE13" s="4258" t="str">
        <f t="shared" ref="CE13:CE57" si="11">IF(AND($B13&gt;0,OR(N13=""))," *No olvide digitar el campo "&amp;N$9&amp;""&amp;". Digite CERO si no tiene.", IF(N13&gt;$B13," * La variable "&amp;N$9&amp;""&amp;" no puede superar el Total Ambos Sexos. ",""))</f>
        <v/>
      </c>
      <c r="CF13" s="4258" t="str">
        <f t="shared" ref="CF13:CF57" si="12">IF(AND($B13&gt;0,OR(O13=""))," *No olvide digitar el campo "&amp;O$9&amp;""&amp;". Digite CERO si no tiene.", IF(O13&gt;$B13," * La variable "&amp;O$9&amp;""&amp;" no puede superar el Total Ambos Sexos. ",""))</f>
        <v/>
      </c>
      <c r="CG13" s="4258" t="str">
        <f t="shared" ref="CG13:CG57" si="13">IF(AND($B13&gt;0,OR(P13=""))," *No olvide digitar el campo "&amp;P$9&amp;""&amp;". Digite CERO si no tiene.", IF(P13&gt;$B13," * La variable "&amp;P$9&amp;""&amp;" no puede superar el Total Ambos Sexos. ",""))</f>
        <v/>
      </c>
      <c r="CH13" s="4258" t="str">
        <f t="shared" ref="CH13:CH57" si="14">IF(AND($B13&gt;0,OR(Q13=""))," *No olvide digitar el campo "&amp;Q$9&amp;""&amp;". Niños, niñas y adolescentes. Digite CERO si no tiene.", IF(Q13&gt;$B13," * La variable "&amp;Q$9&amp;""&amp;" no puede superar el Total Ambos Sexos. ",""))</f>
        <v/>
      </c>
      <c r="CI13" s="4258" t="str">
        <f t="shared" ref="CI13:CI57" si="15">IF(AND($D13&gt;0,OR(R13=""))," *No olvide digitar el campo "&amp;Q$9&amp;""&amp;" Gestantes. Digite CERO si no tiene.", IF(R13&gt;$D13," * La variable "&amp;Q$9&amp;""&amp;" no puede superar el Total Mujeres. ",""))</f>
        <v/>
      </c>
      <c r="CM13" s="435">
        <f t="shared" si="4"/>
        <v>0</v>
      </c>
      <c r="CN13" s="435">
        <f t="shared" si="5"/>
        <v>0</v>
      </c>
      <c r="CO13" s="435">
        <f t="shared" ref="CO13:CO57" si="16">IF(AND($B13&gt;0,OR(L13="")),1,IF(L13&gt;$B13,1,0))</f>
        <v>0</v>
      </c>
      <c r="CP13" s="435">
        <f t="shared" ref="CP13:CP57" si="17">IF(AND($B13&gt;0,OR(M13="")),1,IF(M13&gt;$B13,1,0))</f>
        <v>0</v>
      </c>
      <c r="CQ13" s="435">
        <f t="shared" ref="CQ13:CQ57" si="18">IF(AND($B13&gt;0,OR(N13="")),1,IF(N13&gt;$B13,1,0))</f>
        <v>0</v>
      </c>
      <c r="CR13" s="435">
        <f t="shared" ref="CR13:CR57" si="19">IF(AND($B13&gt;0,OR(O13="")),1,IF(O13&gt;$B13,1,0))</f>
        <v>0</v>
      </c>
      <c r="CS13" s="435">
        <f t="shared" ref="CS13:CS57" si="20">IF(AND($B13&gt;0,OR(P13="")),1,IF(P13&gt;$B13,1,0))</f>
        <v>0</v>
      </c>
      <c r="CT13" s="1901">
        <f t="shared" ref="CT13:CT57" si="21">IF(AND($B13&gt;0,OR(Q13="")),1,IF(Q13&gt;$B13,1,0))</f>
        <v>0</v>
      </c>
      <c r="CU13" s="1901">
        <f t="shared" ref="CU13:CU57" si="22">IF(AND($D13&gt;0,OR(R13="")),1,IF(R13&gt;$D13,1,0))</f>
        <v>0</v>
      </c>
    </row>
    <row r="14" spans="1:99" x14ac:dyDescent="0.3">
      <c r="A14" s="319" t="s">
        <v>2192</v>
      </c>
      <c r="B14" s="4259">
        <f t="shared" si="7"/>
        <v>0</v>
      </c>
      <c r="C14" s="3996"/>
      <c r="D14" s="2003"/>
      <c r="E14" s="3996"/>
      <c r="F14" s="330"/>
      <c r="G14" s="330"/>
      <c r="H14" s="3987"/>
      <c r="I14" s="4026"/>
      <c r="J14" s="3986"/>
      <c r="K14" s="330"/>
      <c r="L14" s="3996"/>
      <c r="M14" s="1973"/>
      <c r="N14" s="1973"/>
      <c r="O14" s="1973"/>
      <c r="P14" s="330"/>
      <c r="Q14" s="3996"/>
      <c r="R14" s="330"/>
      <c r="S14" s="1970" t="str">
        <f t="shared" si="8"/>
        <v/>
      </c>
      <c r="CA14" s="4258" t="str">
        <f t="shared" si="2"/>
        <v/>
      </c>
      <c r="CB14" s="4258" t="str">
        <f t="shared" si="3"/>
        <v/>
      </c>
      <c r="CC14" s="4258" t="str">
        <f t="shared" si="9"/>
        <v/>
      </c>
      <c r="CD14" s="4258" t="str">
        <f t="shared" si="10"/>
        <v/>
      </c>
      <c r="CE14" s="4258" t="str">
        <f t="shared" si="11"/>
        <v/>
      </c>
      <c r="CF14" s="4258" t="str">
        <f t="shared" si="12"/>
        <v/>
      </c>
      <c r="CG14" s="4258" t="str">
        <f t="shared" si="13"/>
        <v/>
      </c>
      <c r="CH14" s="4258" t="str">
        <f t="shared" si="14"/>
        <v/>
      </c>
      <c r="CI14" s="4258" t="str">
        <f t="shared" si="15"/>
        <v/>
      </c>
      <c r="CM14" s="435">
        <f t="shared" si="4"/>
        <v>0</v>
      </c>
      <c r="CN14" s="435">
        <f t="shared" si="5"/>
        <v>0</v>
      </c>
      <c r="CO14" s="435">
        <f t="shared" si="16"/>
        <v>0</v>
      </c>
      <c r="CP14" s="435">
        <f t="shared" si="17"/>
        <v>0</v>
      </c>
      <c r="CQ14" s="435">
        <f t="shared" si="18"/>
        <v>0</v>
      </c>
      <c r="CR14" s="435">
        <f t="shared" si="19"/>
        <v>0</v>
      </c>
      <c r="CS14" s="435">
        <f t="shared" si="20"/>
        <v>0</v>
      </c>
      <c r="CT14" s="1901">
        <f t="shared" si="21"/>
        <v>0</v>
      </c>
      <c r="CU14" s="1901">
        <f t="shared" si="22"/>
        <v>0</v>
      </c>
    </row>
    <row r="15" spans="1:99" x14ac:dyDescent="0.3">
      <c r="A15" s="319" t="s">
        <v>2193</v>
      </c>
      <c r="B15" s="4259">
        <f t="shared" si="7"/>
        <v>0</v>
      </c>
      <c r="C15" s="3996"/>
      <c r="D15" s="2003"/>
      <c r="E15" s="3996"/>
      <c r="F15" s="330"/>
      <c r="G15" s="330"/>
      <c r="H15" s="3987"/>
      <c r="I15" s="4026"/>
      <c r="J15" s="3986"/>
      <c r="K15" s="330"/>
      <c r="L15" s="3996"/>
      <c r="M15" s="1973"/>
      <c r="N15" s="1973"/>
      <c r="O15" s="1973"/>
      <c r="P15" s="330"/>
      <c r="Q15" s="3996"/>
      <c r="R15" s="330"/>
      <c r="S15" s="1970" t="str">
        <f t="shared" si="8"/>
        <v/>
      </c>
      <c r="CA15" s="4258" t="str">
        <f t="shared" si="2"/>
        <v/>
      </c>
      <c r="CB15" s="4258" t="str">
        <f t="shared" si="3"/>
        <v/>
      </c>
      <c r="CC15" s="4258" t="str">
        <f t="shared" si="9"/>
        <v/>
      </c>
      <c r="CD15" s="4258" t="str">
        <f t="shared" si="10"/>
        <v/>
      </c>
      <c r="CE15" s="4258" t="str">
        <f t="shared" si="11"/>
        <v/>
      </c>
      <c r="CF15" s="4258" t="str">
        <f t="shared" si="12"/>
        <v/>
      </c>
      <c r="CG15" s="4258" t="str">
        <f t="shared" si="13"/>
        <v/>
      </c>
      <c r="CH15" s="4258" t="str">
        <f t="shared" si="14"/>
        <v/>
      </c>
      <c r="CI15" s="4258" t="str">
        <f t="shared" si="15"/>
        <v/>
      </c>
      <c r="CM15" s="435">
        <f t="shared" si="4"/>
        <v>0</v>
      </c>
      <c r="CN15" s="435">
        <f t="shared" si="5"/>
        <v>0</v>
      </c>
      <c r="CO15" s="435">
        <f t="shared" si="16"/>
        <v>0</v>
      </c>
      <c r="CP15" s="435">
        <f t="shared" si="17"/>
        <v>0</v>
      </c>
      <c r="CQ15" s="435">
        <f t="shared" si="18"/>
        <v>0</v>
      </c>
      <c r="CR15" s="435">
        <f t="shared" si="19"/>
        <v>0</v>
      </c>
      <c r="CS15" s="435">
        <f t="shared" si="20"/>
        <v>0</v>
      </c>
      <c r="CT15" s="1901">
        <f t="shared" si="21"/>
        <v>0</v>
      </c>
      <c r="CU15" s="1901">
        <f t="shared" si="22"/>
        <v>0</v>
      </c>
    </row>
    <row r="16" spans="1:99" ht="15" customHeight="1" x14ac:dyDescent="0.3">
      <c r="A16" s="319" t="s">
        <v>2194</v>
      </c>
      <c r="B16" s="4259">
        <f t="shared" si="7"/>
        <v>0</v>
      </c>
      <c r="C16" s="3996"/>
      <c r="D16" s="2003"/>
      <c r="E16" s="3996"/>
      <c r="F16" s="330"/>
      <c r="G16" s="4051"/>
      <c r="H16" s="3987"/>
      <c r="I16" s="4026"/>
      <c r="J16" s="3986"/>
      <c r="K16" s="330"/>
      <c r="L16" s="3996"/>
      <c r="M16" s="1973"/>
      <c r="N16" s="1973"/>
      <c r="O16" s="1973"/>
      <c r="P16" s="330"/>
      <c r="Q16" s="3996"/>
      <c r="R16" s="330"/>
      <c r="S16" s="1970" t="str">
        <f t="shared" si="8"/>
        <v/>
      </c>
      <c r="CA16" s="4258" t="str">
        <f t="shared" si="2"/>
        <v/>
      </c>
      <c r="CB16" s="4258" t="str">
        <f t="shared" si="3"/>
        <v/>
      </c>
      <c r="CC16" s="4258" t="str">
        <f t="shared" si="9"/>
        <v/>
      </c>
      <c r="CD16" s="4258" t="str">
        <f t="shared" si="10"/>
        <v/>
      </c>
      <c r="CE16" s="4258" t="str">
        <f t="shared" si="11"/>
        <v/>
      </c>
      <c r="CF16" s="4258" t="str">
        <f t="shared" si="12"/>
        <v/>
      </c>
      <c r="CG16" s="4258" t="str">
        <f t="shared" si="13"/>
        <v/>
      </c>
      <c r="CH16" s="4258" t="str">
        <f t="shared" si="14"/>
        <v/>
      </c>
      <c r="CI16" s="4258" t="str">
        <f t="shared" si="15"/>
        <v/>
      </c>
      <c r="CM16" s="435">
        <f t="shared" si="4"/>
        <v>0</v>
      </c>
      <c r="CN16" s="435">
        <f t="shared" si="5"/>
        <v>0</v>
      </c>
      <c r="CO16" s="435">
        <f t="shared" si="16"/>
        <v>0</v>
      </c>
      <c r="CP16" s="435">
        <f t="shared" si="17"/>
        <v>0</v>
      </c>
      <c r="CQ16" s="435">
        <f t="shared" si="18"/>
        <v>0</v>
      </c>
      <c r="CR16" s="435">
        <f t="shared" si="19"/>
        <v>0</v>
      </c>
      <c r="CS16" s="435">
        <f t="shared" si="20"/>
        <v>0</v>
      </c>
      <c r="CT16" s="1901">
        <f t="shared" si="21"/>
        <v>0</v>
      </c>
      <c r="CU16" s="1901">
        <f t="shared" si="22"/>
        <v>0</v>
      </c>
    </row>
    <row r="17" spans="1:99" x14ac:dyDescent="0.3">
      <c r="A17" s="526" t="s">
        <v>2195</v>
      </c>
      <c r="B17" s="4241">
        <f t="shared" si="7"/>
        <v>0</v>
      </c>
      <c r="C17" s="876"/>
      <c r="D17" s="2009"/>
      <c r="E17" s="876"/>
      <c r="F17" s="877"/>
      <c r="G17" s="1954"/>
      <c r="H17" s="1911"/>
      <c r="I17" s="1912"/>
      <c r="J17" s="1913"/>
      <c r="K17" s="877"/>
      <c r="L17" s="876"/>
      <c r="M17" s="1907"/>
      <c r="N17" s="1907"/>
      <c r="O17" s="1907"/>
      <c r="P17" s="877"/>
      <c r="Q17" s="876"/>
      <c r="R17" s="877"/>
      <c r="S17" s="1970" t="str">
        <f t="shared" si="8"/>
        <v/>
      </c>
      <c r="CA17" s="4258" t="str">
        <f t="shared" si="2"/>
        <v/>
      </c>
      <c r="CB17" s="4258" t="str">
        <f t="shared" si="3"/>
        <v/>
      </c>
      <c r="CC17" s="4258" t="str">
        <f t="shared" si="9"/>
        <v/>
      </c>
      <c r="CD17" s="4258" t="str">
        <f t="shared" si="10"/>
        <v/>
      </c>
      <c r="CE17" s="4258" t="str">
        <f t="shared" si="11"/>
        <v/>
      </c>
      <c r="CF17" s="4258" t="str">
        <f t="shared" si="12"/>
        <v/>
      </c>
      <c r="CG17" s="4258" t="str">
        <f t="shared" si="13"/>
        <v/>
      </c>
      <c r="CH17" s="4258" t="str">
        <f t="shared" si="14"/>
        <v/>
      </c>
      <c r="CI17" s="4258" t="str">
        <f t="shared" si="15"/>
        <v/>
      </c>
      <c r="CM17" s="435">
        <f t="shared" si="4"/>
        <v>0</v>
      </c>
      <c r="CN17" s="435">
        <f t="shared" si="5"/>
        <v>0</v>
      </c>
      <c r="CO17" s="435">
        <f t="shared" si="16"/>
        <v>0</v>
      </c>
      <c r="CP17" s="435">
        <f t="shared" si="17"/>
        <v>0</v>
      </c>
      <c r="CQ17" s="435">
        <f t="shared" si="18"/>
        <v>0</v>
      </c>
      <c r="CR17" s="435">
        <f t="shared" si="19"/>
        <v>0</v>
      </c>
      <c r="CS17" s="435">
        <f t="shared" si="20"/>
        <v>0</v>
      </c>
      <c r="CT17" s="1901">
        <f t="shared" si="21"/>
        <v>0</v>
      </c>
      <c r="CU17" s="1901">
        <f t="shared" si="22"/>
        <v>0</v>
      </c>
    </row>
    <row r="18" spans="1:99" x14ac:dyDescent="0.3">
      <c r="A18" s="319" t="s">
        <v>2196</v>
      </c>
      <c r="B18" s="4257">
        <f t="shared" si="7"/>
        <v>0</v>
      </c>
      <c r="C18" s="327"/>
      <c r="D18" s="905"/>
      <c r="E18" s="327"/>
      <c r="F18" s="142"/>
      <c r="G18" s="2070"/>
      <c r="H18" s="44"/>
      <c r="I18" s="1918"/>
      <c r="J18" s="337"/>
      <c r="K18" s="142"/>
      <c r="L18" s="327"/>
      <c r="M18" s="1039"/>
      <c r="N18" s="1039"/>
      <c r="O18" s="1039"/>
      <c r="P18" s="142"/>
      <c r="Q18" s="327"/>
      <c r="R18" s="142"/>
      <c r="S18" s="1970" t="str">
        <f t="shared" si="8"/>
        <v/>
      </c>
      <c r="CA18" s="4258" t="str">
        <f t="shared" si="2"/>
        <v/>
      </c>
      <c r="CB18" s="4258" t="str">
        <f t="shared" si="3"/>
        <v/>
      </c>
      <c r="CC18" s="4258" t="str">
        <f t="shared" si="9"/>
        <v/>
      </c>
      <c r="CD18" s="4258" t="str">
        <f t="shared" si="10"/>
        <v/>
      </c>
      <c r="CE18" s="4258" t="str">
        <f t="shared" si="11"/>
        <v/>
      </c>
      <c r="CF18" s="4258" t="str">
        <f t="shared" si="12"/>
        <v/>
      </c>
      <c r="CG18" s="4258" t="str">
        <f t="shared" si="13"/>
        <v/>
      </c>
      <c r="CH18" s="4258" t="str">
        <f t="shared" si="14"/>
        <v/>
      </c>
      <c r="CI18" s="4258" t="str">
        <f t="shared" si="15"/>
        <v/>
      </c>
      <c r="CM18" s="435">
        <f t="shared" si="4"/>
        <v>0</v>
      </c>
      <c r="CN18" s="435">
        <f t="shared" si="5"/>
        <v>0</v>
      </c>
      <c r="CO18" s="435">
        <f t="shared" si="16"/>
        <v>0</v>
      </c>
      <c r="CP18" s="435">
        <f t="shared" si="17"/>
        <v>0</v>
      </c>
      <c r="CQ18" s="435">
        <f t="shared" si="18"/>
        <v>0</v>
      </c>
      <c r="CR18" s="435">
        <f t="shared" si="19"/>
        <v>0</v>
      </c>
      <c r="CS18" s="435">
        <f t="shared" si="20"/>
        <v>0</v>
      </c>
      <c r="CT18" s="1901">
        <f t="shared" si="21"/>
        <v>0</v>
      </c>
      <c r="CU18" s="1901">
        <f t="shared" si="22"/>
        <v>0</v>
      </c>
    </row>
    <row r="19" spans="1:99" x14ac:dyDescent="0.3">
      <c r="A19" s="319" t="s">
        <v>2197</v>
      </c>
      <c r="B19" s="4259">
        <f t="shared" si="7"/>
        <v>0</v>
      </c>
      <c r="C19" s="3996"/>
      <c r="D19" s="2003"/>
      <c r="E19" s="3996"/>
      <c r="F19" s="330"/>
      <c r="G19" s="330"/>
      <c r="H19" s="3987"/>
      <c r="I19" s="4026"/>
      <c r="J19" s="3986"/>
      <c r="K19" s="330"/>
      <c r="L19" s="3996"/>
      <c r="M19" s="1973"/>
      <c r="N19" s="1973"/>
      <c r="O19" s="1973"/>
      <c r="P19" s="330"/>
      <c r="Q19" s="3996"/>
      <c r="R19" s="330"/>
      <c r="S19" s="1970" t="str">
        <f t="shared" si="8"/>
        <v/>
      </c>
      <c r="CA19" s="4258" t="str">
        <f t="shared" si="2"/>
        <v/>
      </c>
      <c r="CB19" s="4258" t="str">
        <f t="shared" si="3"/>
        <v/>
      </c>
      <c r="CC19" s="4258" t="str">
        <f t="shared" si="9"/>
        <v/>
      </c>
      <c r="CD19" s="4258" t="str">
        <f t="shared" si="10"/>
        <v/>
      </c>
      <c r="CE19" s="4258" t="str">
        <f t="shared" si="11"/>
        <v/>
      </c>
      <c r="CF19" s="4258" t="str">
        <f t="shared" si="12"/>
        <v/>
      </c>
      <c r="CG19" s="4258" t="str">
        <f t="shared" si="13"/>
        <v/>
      </c>
      <c r="CH19" s="4258" t="str">
        <f t="shared" si="14"/>
        <v/>
      </c>
      <c r="CI19" s="4258" t="str">
        <f t="shared" si="15"/>
        <v/>
      </c>
      <c r="CM19" s="435">
        <f t="shared" si="4"/>
        <v>0</v>
      </c>
      <c r="CN19" s="435">
        <f t="shared" si="5"/>
        <v>0</v>
      </c>
      <c r="CO19" s="435">
        <f t="shared" si="16"/>
        <v>0</v>
      </c>
      <c r="CP19" s="435">
        <f t="shared" si="17"/>
        <v>0</v>
      </c>
      <c r="CQ19" s="435">
        <f t="shared" si="18"/>
        <v>0</v>
      </c>
      <c r="CR19" s="435">
        <f t="shared" si="19"/>
        <v>0</v>
      </c>
      <c r="CS19" s="435">
        <f t="shared" si="20"/>
        <v>0</v>
      </c>
      <c r="CT19" s="1901">
        <f t="shared" si="21"/>
        <v>0</v>
      </c>
      <c r="CU19" s="1901">
        <f t="shared" si="22"/>
        <v>0</v>
      </c>
    </row>
    <row r="20" spans="1:99" x14ac:dyDescent="0.3">
      <c r="A20" s="526" t="s">
        <v>2198</v>
      </c>
      <c r="B20" s="4241">
        <f t="shared" si="7"/>
        <v>0</v>
      </c>
      <c r="C20" s="876"/>
      <c r="D20" s="2009"/>
      <c r="E20" s="876"/>
      <c r="F20" s="877"/>
      <c r="G20" s="877"/>
      <c r="H20" s="1911"/>
      <c r="I20" s="1912"/>
      <c r="J20" s="1913"/>
      <c r="K20" s="877"/>
      <c r="L20" s="876"/>
      <c r="M20" s="1907"/>
      <c r="N20" s="1907"/>
      <c r="O20" s="1907"/>
      <c r="P20" s="877"/>
      <c r="Q20" s="876"/>
      <c r="R20" s="877"/>
      <c r="S20" s="1970" t="str">
        <f t="shared" si="8"/>
        <v/>
      </c>
      <c r="CA20" s="4258" t="str">
        <f t="shared" si="2"/>
        <v/>
      </c>
      <c r="CB20" s="4258" t="str">
        <f t="shared" si="3"/>
        <v/>
      </c>
      <c r="CC20" s="4258" t="str">
        <f t="shared" si="9"/>
        <v/>
      </c>
      <c r="CD20" s="4258" t="str">
        <f t="shared" si="10"/>
        <v/>
      </c>
      <c r="CE20" s="4258" t="str">
        <f t="shared" si="11"/>
        <v/>
      </c>
      <c r="CF20" s="4258" t="str">
        <f t="shared" si="12"/>
        <v/>
      </c>
      <c r="CG20" s="4258" t="str">
        <f t="shared" si="13"/>
        <v/>
      </c>
      <c r="CH20" s="4258" t="str">
        <f t="shared" si="14"/>
        <v/>
      </c>
      <c r="CI20" s="4258" t="str">
        <f t="shared" si="15"/>
        <v/>
      </c>
      <c r="CM20" s="435">
        <f t="shared" si="4"/>
        <v>0</v>
      </c>
      <c r="CN20" s="435">
        <f t="shared" si="5"/>
        <v>0</v>
      </c>
      <c r="CO20" s="435">
        <f t="shared" si="16"/>
        <v>0</v>
      </c>
      <c r="CP20" s="435">
        <f t="shared" si="17"/>
        <v>0</v>
      </c>
      <c r="CQ20" s="435">
        <f t="shared" si="18"/>
        <v>0</v>
      </c>
      <c r="CR20" s="435">
        <f t="shared" si="19"/>
        <v>0</v>
      </c>
      <c r="CS20" s="435">
        <f t="shared" si="20"/>
        <v>0</v>
      </c>
      <c r="CT20" s="1901">
        <f t="shared" si="21"/>
        <v>0</v>
      </c>
      <c r="CU20" s="1901">
        <f t="shared" si="22"/>
        <v>0</v>
      </c>
    </row>
    <row r="21" spans="1:99" x14ac:dyDescent="0.3">
      <c r="A21" s="319" t="s">
        <v>2199</v>
      </c>
      <c r="B21" s="4257">
        <f t="shared" si="7"/>
        <v>0</v>
      </c>
      <c r="C21" s="327"/>
      <c r="D21" s="905"/>
      <c r="E21" s="327"/>
      <c r="F21" s="142"/>
      <c r="G21" s="142"/>
      <c r="H21" s="44"/>
      <c r="I21" s="1026"/>
      <c r="J21" s="337"/>
      <c r="K21" s="142"/>
      <c r="L21" s="327"/>
      <c r="M21" s="1039"/>
      <c r="N21" s="1039"/>
      <c r="O21" s="1039"/>
      <c r="P21" s="142"/>
      <c r="Q21" s="327"/>
      <c r="R21" s="142"/>
      <c r="S21" s="1970" t="str">
        <f t="shared" si="8"/>
        <v/>
      </c>
      <c r="CA21" s="4258" t="str">
        <f t="shared" si="2"/>
        <v/>
      </c>
      <c r="CB21" s="4258" t="str">
        <f t="shared" si="3"/>
        <v/>
      </c>
      <c r="CC21" s="4258" t="str">
        <f t="shared" si="9"/>
        <v/>
      </c>
      <c r="CD21" s="4258" t="str">
        <f t="shared" si="10"/>
        <v/>
      </c>
      <c r="CE21" s="4258" t="str">
        <f t="shared" si="11"/>
        <v/>
      </c>
      <c r="CF21" s="4258" t="str">
        <f t="shared" si="12"/>
        <v/>
      </c>
      <c r="CG21" s="4258" t="str">
        <f t="shared" si="13"/>
        <v/>
      </c>
      <c r="CH21" s="4258" t="str">
        <f t="shared" si="14"/>
        <v/>
      </c>
      <c r="CI21" s="4258" t="str">
        <f t="shared" si="15"/>
        <v/>
      </c>
      <c r="CM21" s="435">
        <f t="shared" si="4"/>
        <v>0</v>
      </c>
      <c r="CN21" s="435">
        <f t="shared" si="5"/>
        <v>0</v>
      </c>
      <c r="CO21" s="435">
        <f t="shared" si="16"/>
        <v>0</v>
      </c>
      <c r="CP21" s="435">
        <f t="shared" si="17"/>
        <v>0</v>
      </c>
      <c r="CQ21" s="435">
        <f t="shared" si="18"/>
        <v>0</v>
      </c>
      <c r="CR21" s="435">
        <f t="shared" si="19"/>
        <v>0</v>
      </c>
      <c r="CS21" s="435">
        <f t="shared" si="20"/>
        <v>0</v>
      </c>
      <c r="CT21" s="1901">
        <f t="shared" si="21"/>
        <v>0</v>
      </c>
      <c r="CU21" s="1901">
        <f t="shared" si="22"/>
        <v>0</v>
      </c>
    </row>
    <row r="22" spans="1:99" ht="20.399999999999999" x14ac:dyDescent="0.3">
      <c r="A22" s="319" t="s">
        <v>2200</v>
      </c>
      <c r="B22" s="4259">
        <f t="shared" si="7"/>
        <v>0</v>
      </c>
      <c r="C22" s="3996"/>
      <c r="D22" s="2003"/>
      <c r="E22" s="3996"/>
      <c r="F22" s="330"/>
      <c r="G22" s="330"/>
      <c r="H22" s="3987"/>
      <c r="I22" s="332"/>
      <c r="J22" s="3986"/>
      <c r="K22" s="330"/>
      <c r="L22" s="3996"/>
      <c r="M22" s="1973"/>
      <c r="N22" s="1973"/>
      <c r="O22" s="1973"/>
      <c r="P22" s="330"/>
      <c r="Q22" s="3996"/>
      <c r="R22" s="330"/>
      <c r="S22" s="1970" t="str">
        <f t="shared" si="8"/>
        <v/>
      </c>
      <c r="CA22" s="4258" t="str">
        <f t="shared" si="2"/>
        <v/>
      </c>
      <c r="CB22" s="4258" t="str">
        <f t="shared" si="3"/>
        <v/>
      </c>
      <c r="CC22" s="4258" t="str">
        <f t="shared" si="9"/>
        <v/>
      </c>
      <c r="CD22" s="4258" t="str">
        <f t="shared" si="10"/>
        <v/>
      </c>
      <c r="CE22" s="4258" t="str">
        <f t="shared" si="11"/>
        <v/>
      </c>
      <c r="CF22" s="4258" t="str">
        <f t="shared" si="12"/>
        <v/>
      </c>
      <c r="CG22" s="4258" t="str">
        <f t="shared" si="13"/>
        <v/>
      </c>
      <c r="CH22" s="4258" t="str">
        <f t="shared" si="14"/>
        <v/>
      </c>
      <c r="CI22" s="4258" t="str">
        <f t="shared" si="15"/>
        <v/>
      </c>
      <c r="CM22" s="435">
        <f t="shared" si="4"/>
        <v>0</v>
      </c>
      <c r="CN22" s="435">
        <f t="shared" si="5"/>
        <v>0</v>
      </c>
      <c r="CO22" s="435">
        <f t="shared" si="16"/>
        <v>0</v>
      </c>
      <c r="CP22" s="435">
        <f t="shared" si="17"/>
        <v>0</v>
      </c>
      <c r="CQ22" s="435">
        <f t="shared" si="18"/>
        <v>0</v>
      </c>
      <c r="CR22" s="435">
        <f t="shared" si="19"/>
        <v>0</v>
      </c>
      <c r="CS22" s="435">
        <f t="shared" si="20"/>
        <v>0</v>
      </c>
      <c r="CT22" s="1901">
        <f t="shared" si="21"/>
        <v>0</v>
      </c>
      <c r="CU22" s="1901">
        <f t="shared" si="22"/>
        <v>0</v>
      </c>
    </row>
    <row r="23" spans="1:99" x14ac:dyDescent="0.3">
      <c r="A23" s="319" t="s">
        <v>2201</v>
      </c>
      <c r="B23" s="4259">
        <f t="shared" ref="B23:B33" si="23">SUM(C23:D23)</f>
        <v>0</v>
      </c>
      <c r="C23" s="3996"/>
      <c r="D23" s="2003"/>
      <c r="E23" s="3996"/>
      <c r="F23" s="2003"/>
      <c r="G23" s="330"/>
      <c r="H23" s="1973"/>
      <c r="I23" s="332"/>
      <c r="J23" s="3986"/>
      <c r="K23" s="330"/>
      <c r="L23" s="3996"/>
      <c r="M23" s="1973"/>
      <c r="N23" s="1973"/>
      <c r="O23" s="1973"/>
      <c r="P23" s="330"/>
      <c r="Q23" s="3996"/>
      <c r="R23" s="330"/>
      <c r="S23" s="1970" t="str">
        <f t="shared" si="8"/>
        <v/>
      </c>
      <c r="CA23" s="4258" t="str">
        <f t="shared" si="2"/>
        <v/>
      </c>
      <c r="CB23" s="4258" t="str">
        <f t="shared" si="3"/>
        <v/>
      </c>
      <c r="CC23" s="4258" t="str">
        <f t="shared" si="9"/>
        <v/>
      </c>
      <c r="CD23" s="4258" t="str">
        <f t="shared" si="10"/>
        <v/>
      </c>
      <c r="CE23" s="4258" t="str">
        <f t="shared" si="11"/>
        <v/>
      </c>
      <c r="CF23" s="4258" t="str">
        <f t="shared" si="12"/>
        <v/>
      </c>
      <c r="CG23" s="4258" t="str">
        <f t="shared" si="13"/>
        <v/>
      </c>
      <c r="CH23" s="4258" t="str">
        <f t="shared" si="14"/>
        <v/>
      </c>
      <c r="CI23" s="4258" t="str">
        <f t="shared" si="15"/>
        <v/>
      </c>
      <c r="CM23" s="435">
        <f t="shared" si="4"/>
        <v>0</v>
      </c>
      <c r="CN23" s="435">
        <f t="shared" si="5"/>
        <v>0</v>
      </c>
      <c r="CO23" s="435">
        <f t="shared" si="16"/>
        <v>0</v>
      </c>
      <c r="CP23" s="435">
        <f t="shared" si="17"/>
        <v>0</v>
      </c>
      <c r="CQ23" s="435">
        <f t="shared" si="18"/>
        <v>0</v>
      </c>
      <c r="CR23" s="435">
        <f t="shared" si="19"/>
        <v>0</v>
      </c>
      <c r="CS23" s="435">
        <f t="shared" si="20"/>
        <v>0</v>
      </c>
      <c r="CT23" s="1901">
        <f t="shared" si="21"/>
        <v>0</v>
      </c>
      <c r="CU23" s="1901">
        <f t="shared" si="22"/>
        <v>0</v>
      </c>
    </row>
    <row r="24" spans="1:99" ht="20.399999999999999" x14ac:dyDescent="0.3">
      <c r="A24" s="319" t="s">
        <v>2202</v>
      </c>
      <c r="B24" s="4259">
        <f t="shared" si="23"/>
        <v>0</v>
      </c>
      <c r="C24" s="3996"/>
      <c r="D24" s="2003"/>
      <c r="E24" s="3996"/>
      <c r="F24" s="330"/>
      <c r="G24" s="330"/>
      <c r="H24" s="3987"/>
      <c r="I24" s="4026"/>
      <c r="J24" s="3986"/>
      <c r="K24" s="330"/>
      <c r="L24" s="3996"/>
      <c r="M24" s="1973"/>
      <c r="N24" s="1973"/>
      <c r="O24" s="1973"/>
      <c r="P24" s="330"/>
      <c r="Q24" s="3996"/>
      <c r="R24" s="330"/>
      <c r="S24" s="1970" t="str">
        <f t="shared" si="8"/>
        <v/>
      </c>
      <c r="CA24" s="4258" t="str">
        <f t="shared" si="2"/>
        <v/>
      </c>
      <c r="CB24" s="4258" t="str">
        <f t="shared" si="3"/>
        <v/>
      </c>
      <c r="CC24" s="4258" t="str">
        <f t="shared" si="9"/>
        <v/>
      </c>
      <c r="CD24" s="4258" t="str">
        <f t="shared" si="10"/>
        <v/>
      </c>
      <c r="CE24" s="4258" t="str">
        <f t="shared" si="11"/>
        <v/>
      </c>
      <c r="CF24" s="4258" t="str">
        <f t="shared" si="12"/>
        <v/>
      </c>
      <c r="CG24" s="4258" t="str">
        <f t="shared" si="13"/>
        <v/>
      </c>
      <c r="CH24" s="4258" t="str">
        <f t="shared" si="14"/>
        <v/>
      </c>
      <c r="CI24" s="4258" t="str">
        <f t="shared" si="15"/>
        <v/>
      </c>
      <c r="CM24" s="435">
        <f t="shared" si="4"/>
        <v>0</v>
      </c>
      <c r="CN24" s="435">
        <f t="shared" si="5"/>
        <v>0</v>
      </c>
      <c r="CO24" s="435">
        <f t="shared" si="16"/>
        <v>0</v>
      </c>
      <c r="CP24" s="435">
        <f t="shared" si="17"/>
        <v>0</v>
      </c>
      <c r="CQ24" s="435">
        <f t="shared" si="18"/>
        <v>0</v>
      </c>
      <c r="CR24" s="435">
        <f t="shared" si="19"/>
        <v>0</v>
      </c>
      <c r="CS24" s="435">
        <f t="shared" si="20"/>
        <v>0</v>
      </c>
      <c r="CT24" s="1901">
        <f t="shared" si="21"/>
        <v>0</v>
      </c>
      <c r="CU24" s="1901">
        <f t="shared" si="22"/>
        <v>0</v>
      </c>
    </row>
    <row r="25" spans="1:99" x14ac:dyDescent="0.3">
      <c r="A25" s="526" t="s">
        <v>2203</v>
      </c>
      <c r="B25" s="4241">
        <f t="shared" si="23"/>
        <v>0</v>
      </c>
      <c r="C25" s="876"/>
      <c r="D25" s="2009"/>
      <c r="E25" s="876"/>
      <c r="F25" s="877"/>
      <c r="G25" s="877"/>
      <c r="H25" s="1911"/>
      <c r="I25" s="1912"/>
      <c r="J25" s="1913"/>
      <c r="K25" s="877"/>
      <c r="L25" s="876"/>
      <c r="M25" s="1907"/>
      <c r="N25" s="1907"/>
      <c r="O25" s="1907"/>
      <c r="P25" s="877"/>
      <c r="Q25" s="876"/>
      <c r="R25" s="877"/>
      <c r="S25" s="1970" t="str">
        <f t="shared" si="8"/>
        <v/>
      </c>
      <c r="CA25" s="4258" t="str">
        <f t="shared" si="2"/>
        <v/>
      </c>
      <c r="CB25" s="4258" t="str">
        <f t="shared" si="3"/>
        <v/>
      </c>
      <c r="CC25" s="4258" t="str">
        <f t="shared" si="9"/>
        <v/>
      </c>
      <c r="CD25" s="4258" t="str">
        <f t="shared" si="10"/>
        <v/>
      </c>
      <c r="CE25" s="4258" t="str">
        <f t="shared" si="11"/>
        <v/>
      </c>
      <c r="CF25" s="4258" t="str">
        <f t="shared" si="12"/>
        <v/>
      </c>
      <c r="CG25" s="4258" t="str">
        <f t="shared" si="13"/>
        <v/>
      </c>
      <c r="CH25" s="4258" t="str">
        <f t="shared" si="14"/>
        <v/>
      </c>
      <c r="CI25" s="4258" t="str">
        <f t="shared" si="15"/>
        <v/>
      </c>
      <c r="CM25" s="435">
        <f t="shared" si="4"/>
        <v>0</v>
      </c>
      <c r="CN25" s="435">
        <f t="shared" si="5"/>
        <v>0</v>
      </c>
      <c r="CO25" s="435">
        <f t="shared" si="16"/>
        <v>0</v>
      </c>
      <c r="CP25" s="435">
        <f t="shared" si="17"/>
        <v>0</v>
      </c>
      <c r="CQ25" s="435">
        <f t="shared" si="18"/>
        <v>0</v>
      </c>
      <c r="CR25" s="435">
        <f t="shared" si="19"/>
        <v>0</v>
      </c>
      <c r="CS25" s="435">
        <f t="shared" si="20"/>
        <v>0</v>
      </c>
      <c r="CT25" s="1901">
        <f t="shared" si="21"/>
        <v>0</v>
      </c>
      <c r="CU25" s="1901">
        <f t="shared" si="22"/>
        <v>0</v>
      </c>
    </row>
    <row r="26" spans="1:99" ht="15" customHeight="1" x14ac:dyDescent="0.3">
      <c r="A26" s="2240" t="s">
        <v>2204</v>
      </c>
      <c r="B26" s="4257">
        <f t="shared" si="23"/>
        <v>0</v>
      </c>
      <c r="C26" s="327"/>
      <c r="D26" s="142"/>
      <c r="E26" s="327"/>
      <c r="F26" s="142"/>
      <c r="G26" s="2070"/>
      <c r="H26" s="44"/>
      <c r="I26" s="1918"/>
      <c r="J26" s="337"/>
      <c r="K26" s="142"/>
      <c r="L26" s="327"/>
      <c r="M26" s="1039"/>
      <c r="N26" s="1039"/>
      <c r="O26" s="1039"/>
      <c r="P26" s="142"/>
      <c r="Q26" s="327"/>
      <c r="R26" s="142"/>
      <c r="S26" s="1970" t="str">
        <f t="shared" si="8"/>
        <v/>
      </c>
      <c r="CA26" s="4258" t="str">
        <f t="shared" si="2"/>
        <v/>
      </c>
      <c r="CB26" s="4258" t="str">
        <f t="shared" si="3"/>
        <v/>
      </c>
      <c r="CC26" s="4258" t="str">
        <f t="shared" si="9"/>
        <v/>
      </c>
      <c r="CD26" s="4258" t="str">
        <f t="shared" si="10"/>
        <v/>
      </c>
      <c r="CE26" s="4258" t="str">
        <f t="shared" si="11"/>
        <v/>
      </c>
      <c r="CF26" s="4258" t="str">
        <f t="shared" si="12"/>
        <v/>
      </c>
      <c r="CG26" s="4258" t="str">
        <f t="shared" si="13"/>
        <v/>
      </c>
      <c r="CH26" s="4258" t="str">
        <f t="shared" si="14"/>
        <v/>
      </c>
      <c r="CI26" s="4258" t="str">
        <f t="shared" si="15"/>
        <v/>
      </c>
      <c r="CM26" s="435">
        <f t="shared" si="4"/>
        <v>0</v>
      </c>
      <c r="CN26" s="435">
        <f t="shared" si="5"/>
        <v>0</v>
      </c>
      <c r="CO26" s="435">
        <f t="shared" si="16"/>
        <v>0</v>
      </c>
      <c r="CP26" s="435">
        <f t="shared" si="17"/>
        <v>0</v>
      </c>
      <c r="CQ26" s="435">
        <f t="shared" si="18"/>
        <v>0</v>
      </c>
      <c r="CR26" s="435">
        <f t="shared" si="19"/>
        <v>0</v>
      </c>
      <c r="CS26" s="435">
        <f t="shared" si="20"/>
        <v>0</v>
      </c>
      <c r="CT26" s="1901">
        <f t="shared" si="21"/>
        <v>0</v>
      </c>
      <c r="CU26" s="1901">
        <f t="shared" si="22"/>
        <v>0</v>
      </c>
    </row>
    <row r="27" spans="1:99" x14ac:dyDescent="0.3">
      <c r="A27" s="3957" t="s">
        <v>2205</v>
      </c>
      <c r="B27" s="4259">
        <f t="shared" si="23"/>
        <v>0</v>
      </c>
      <c r="C27" s="3996"/>
      <c r="D27" s="330"/>
      <c r="E27" s="3996"/>
      <c r="F27" s="330"/>
      <c r="G27" s="4051"/>
      <c r="H27" s="3987"/>
      <c r="I27" s="4026"/>
      <c r="J27" s="3986"/>
      <c r="K27" s="330"/>
      <c r="L27" s="3996"/>
      <c r="M27" s="1973"/>
      <c r="N27" s="1973"/>
      <c r="O27" s="1973"/>
      <c r="P27" s="330"/>
      <c r="Q27" s="3996"/>
      <c r="R27" s="330"/>
      <c r="S27" s="1970" t="str">
        <f t="shared" si="8"/>
        <v/>
      </c>
      <c r="CA27" s="4258" t="str">
        <f t="shared" si="2"/>
        <v/>
      </c>
      <c r="CB27" s="4258" t="str">
        <f t="shared" si="3"/>
        <v/>
      </c>
      <c r="CC27" s="4258" t="str">
        <f t="shared" si="9"/>
        <v/>
      </c>
      <c r="CD27" s="4258" t="str">
        <f t="shared" si="10"/>
        <v/>
      </c>
      <c r="CE27" s="4258" t="str">
        <f t="shared" si="11"/>
        <v/>
      </c>
      <c r="CF27" s="4258" t="str">
        <f t="shared" si="12"/>
        <v/>
      </c>
      <c r="CG27" s="4258" t="str">
        <f t="shared" si="13"/>
        <v/>
      </c>
      <c r="CH27" s="4258" t="str">
        <f t="shared" si="14"/>
        <v/>
      </c>
      <c r="CI27" s="4258" t="str">
        <f t="shared" si="15"/>
        <v/>
      </c>
      <c r="CM27" s="435">
        <f t="shared" si="4"/>
        <v>0</v>
      </c>
      <c r="CN27" s="435">
        <f t="shared" si="5"/>
        <v>0</v>
      </c>
      <c r="CO27" s="435">
        <f t="shared" si="16"/>
        <v>0</v>
      </c>
      <c r="CP27" s="435">
        <f t="shared" si="17"/>
        <v>0</v>
      </c>
      <c r="CQ27" s="435">
        <f t="shared" si="18"/>
        <v>0</v>
      </c>
      <c r="CR27" s="435">
        <f t="shared" si="19"/>
        <v>0</v>
      </c>
      <c r="CS27" s="435">
        <f t="shared" si="20"/>
        <v>0</v>
      </c>
      <c r="CT27" s="1901">
        <f t="shared" si="21"/>
        <v>0</v>
      </c>
      <c r="CU27" s="1901">
        <f t="shared" si="22"/>
        <v>0</v>
      </c>
    </row>
    <row r="28" spans="1:99" x14ac:dyDescent="0.3">
      <c r="A28" s="3957" t="s">
        <v>2206</v>
      </c>
      <c r="B28" s="4259">
        <f t="shared" si="23"/>
        <v>0</v>
      </c>
      <c r="C28" s="3996"/>
      <c r="D28" s="330"/>
      <c r="E28" s="3996"/>
      <c r="F28" s="330"/>
      <c r="G28" s="4051"/>
      <c r="H28" s="3987"/>
      <c r="I28" s="4026"/>
      <c r="J28" s="3986"/>
      <c r="K28" s="330"/>
      <c r="L28" s="3996"/>
      <c r="M28" s="1973"/>
      <c r="N28" s="1973"/>
      <c r="O28" s="1973"/>
      <c r="P28" s="330"/>
      <c r="Q28" s="3996"/>
      <c r="R28" s="330"/>
      <c r="S28" s="1970" t="str">
        <f t="shared" si="8"/>
        <v/>
      </c>
      <c r="CA28" s="4258" t="str">
        <f t="shared" si="2"/>
        <v/>
      </c>
      <c r="CB28" s="4258" t="str">
        <f t="shared" si="3"/>
        <v/>
      </c>
      <c r="CC28" s="4258" t="str">
        <f t="shared" si="9"/>
        <v/>
      </c>
      <c r="CD28" s="4258" t="str">
        <f t="shared" si="10"/>
        <v/>
      </c>
      <c r="CE28" s="4258" t="str">
        <f t="shared" si="11"/>
        <v/>
      </c>
      <c r="CF28" s="4258" t="str">
        <f t="shared" si="12"/>
        <v/>
      </c>
      <c r="CG28" s="4258" t="str">
        <f t="shared" si="13"/>
        <v/>
      </c>
      <c r="CH28" s="4258" t="str">
        <f t="shared" si="14"/>
        <v/>
      </c>
      <c r="CI28" s="4258" t="str">
        <f t="shared" si="15"/>
        <v/>
      </c>
      <c r="CM28" s="435">
        <f t="shared" si="4"/>
        <v>0</v>
      </c>
      <c r="CN28" s="435">
        <f t="shared" si="5"/>
        <v>0</v>
      </c>
      <c r="CO28" s="435">
        <f t="shared" si="16"/>
        <v>0</v>
      </c>
      <c r="CP28" s="435">
        <f t="shared" si="17"/>
        <v>0</v>
      </c>
      <c r="CQ28" s="435">
        <f t="shared" si="18"/>
        <v>0</v>
      </c>
      <c r="CR28" s="435">
        <f t="shared" si="19"/>
        <v>0</v>
      </c>
      <c r="CS28" s="435">
        <f t="shared" si="20"/>
        <v>0</v>
      </c>
      <c r="CT28" s="1901">
        <f t="shared" si="21"/>
        <v>0</v>
      </c>
      <c r="CU28" s="1901">
        <f t="shared" si="22"/>
        <v>0</v>
      </c>
    </row>
    <row r="29" spans="1:99" x14ac:dyDescent="0.3">
      <c r="A29" s="2927" t="s">
        <v>2207</v>
      </c>
      <c r="B29" s="4241">
        <f t="shared" si="23"/>
        <v>0</v>
      </c>
      <c r="C29" s="876"/>
      <c r="D29" s="877"/>
      <c r="E29" s="876"/>
      <c r="F29" s="877"/>
      <c r="G29" s="877"/>
      <c r="H29" s="1911"/>
      <c r="I29" s="1912"/>
      <c r="J29" s="1913"/>
      <c r="K29" s="877"/>
      <c r="L29" s="876"/>
      <c r="M29" s="1907"/>
      <c r="N29" s="1907"/>
      <c r="O29" s="1907"/>
      <c r="P29" s="877"/>
      <c r="Q29" s="876"/>
      <c r="R29" s="877"/>
      <c r="S29" s="1970" t="str">
        <f t="shared" si="8"/>
        <v/>
      </c>
      <c r="CA29" s="4258" t="str">
        <f t="shared" si="2"/>
        <v/>
      </c>
      <c r="CB29" s="4258" t="str">
        <f t="shared" si="3"/>
        <v/>
      </c>
      <c r="CC29" s="4258" t="str">
        <f t="shared" si="9"/>
        <v/>
      </c>
      <c r="CD29" s="4258" t="str">
        <f t="shared" si="10"/>
        <v/>
      </c>
      <c r="CE29" s="4258" t="str">
        <f t="shared" si="11"/>
        <v/>
      </c>
      <c r="CF29" s="4258" t="str">
        <f t="shared" si="12"/>
        <v/>
      </c>
      <c r="CG29" s="4258" t="str">
        <f t="shared" si="13"/>
        <v/>
      </c>
      <c r="CH29" s="4258" t="str">
        <f t="shared" si="14"/>
        <v/>
      </c>
      <c r="CI29" s="4258" t="str">
        <f t="shared" si="15"/>
        <v/>
      </c>
      <c r="CM29" s="435">
        <f t="shared" si="4"/>
        <v>0</v>
      </c>
      <c r="CN29" s="435">
        <f t="shared" si="5"/>
        <v>0</v>
      </c>
      <c r="CO29" s="435">
        <f t="shared" si="16"/>
        <v>0</v>
      </c>
      <c r="CP29" s="435">
        <f t="shared" si="17"/>
        <v>0</v>
      </c>
      <c r="CQ29" s="435">
        <f t="shared" si="18"/>
        <v>0</v>
      </c>
      <c r="CR29" s="435">
        <f t="shared" si="19"/>
        <v>0</v>
      </c>
      <c r="CS29" s="435">
        <f t="shared" si="20"/>
        <v>0</v>
      </c>
      <c r="CT29" s="1901">
        <f t="shared" si="21"/>
        <v>0</v>
      </c>
      <c r="CU29" s="1901">
        <f t="shared" si="22"/>
        <v>0</v>
      </c>
    </row>
    <row r="30" spans="1:99" x14ac:dyDescent="0.3">
      <c r="A30" s="319" t="s">
        <v>2208</v>
      </c>
      <c r="B30" s="4257">
        <f t="shared" si="23"/>
        <v>0</v>
      </c>
      <c r="C30" s="327"/>
      <c r="D30" s="142"/>
      <c r="E30" s="327"/>
      <c r="F30" s="142"/>
      <c r="G30" s="142"/>
      <c r="H30" s="44"/>
      <c r="I30" s="1918"/>
      <c r="J30" s="337"/>
      <c r="K30" s="142"/>
      <c r="L30" s="327"/>
      <c r="M30" s="1039"/>
      <c r="N30" s="1039"/>
      <c r="O30" s="1039"/>
      <c r="P30" s="142"/>
      <c r="Q30" s="327"/>
      <c r="R30" s="142"/>
      <c r="S30" s="1970" t="str">
        <f t="shared" si="8"/>
        <v/>
      </c>
      <c r="CA30" s="4258" t="str">
        <f t="shared" si="2"/>
        <v/>
      </c>
      <c r="CB30" s="4258" t="str">
        <f t="shared" si="3"/>
        <v/>
      </c>
      <c r="CC30" s="4258" t="str">
        <f t="shared" si="9"/>
        <v/>
      </c>
      <c r="CD30" s="4258" t="str">
        <f t="shared" si="10"/>
        <v/>
      </c>
      <c r="CE30" s="4258" t="str">
        <f t="shared" si="11"/>
        <v/>
      </c>
      <c r="CF30" s="4258" t="str">
        <f t="shared" si="12"/>
        <v/>
      </c>
      <c r="CG30" s="4258" t="str">
        <f t="shared" si="13"/>
        <v/>
      </c>
      <c r="CH30" s="4258" t="str">
        <f t="shared" si="14"/>
        <v/>
      </c>
      <c r="CI30" s="4258" t="str">
        <f t="shared" si="15"/>
        <v/>
      </c>
      <c r="CM30" s="435">
        <f t="shared" si="4"/>
        <v>0</v>
      </c>
      <c r="CN30" s="435">
        <f t="shared" si="5"/>
        <v>0</v>
      </c>
      <c r="CO30" s="435">
        <f t="shared" si="16"/>
        <v>0</v>
      </c>
      <c r="CP30" s="435">
        <f t="shared" si="17"/>
        <v>0</v>
      </c>
      <c r="CQ30" s="435">
        <f t="shared" si="18"/>
        <v>0</v>
      </c>
      <c r="CR30" s="435">
        <f t="shared" si="19"/>
        <v>0</v>
      </c>
      <c r="CS30" s="435">
        <f t="shared" si="20"/>
        <v>0</v>
      </c>
      <c r="CT30" s="1901">
        <f t="shared" si="21"/>
        <v>0</v>
      </c>
      <c r="CU30" s="1901">
        <f t="shared" si="22"/>
        <v>0</v>
      </c>
    </row>
    <row r="31" spans="1:99" x14ac:dyDescent="0.3">
      <c r="A31" s="319" t="s">
        <v>2209</v>
      </c>
      <c r="B31" s="4259">
        <f t="shared" si="23"/>
        <v>0</v>
      </c>
      <c r="C31" s="3996"/>
      <c r="D31" s="330"/>
      <c r="E31" s="3996"/>
      <c r="F31" s="330"/>
      <c r="G31" s="330"/>
      <c r="H31" s="3987"/>
      <c r="I31" s="4026"/>
      <c r="J31" s="3986"/>
      <c r="K31" s="330"/>
      <c r="L31" s="3996"/>
      <c r="M31" s="1973"/>
      <c r="N31" s="1973"/>
      <c r="O31" s="1973"/>
      <c r="P31" s="330"/>
      <c r="Q31" s="3996"/>
      <c r="R31" s="330"/>
      <c r="S31" s="1970" t="str">
        <f t="shared" si="8"/>
        <v/>
      </c>
      <c r="CA31" s="4258" t="str">
        <f t="shared" si="2"/>
        <v/>
      </c>
      <c r="CB31" s="4258" t="str">
        <f t="shared" si="3"/>
        <v/>
      </c>
      <c r="CC31" s="4258" t="str">
        <f t="shared" si="9"/>
        <v/>
      </c>
      <c r="CD31" s="4258" t="str">
        <f t="shared" si="10"/>
        <v/>
      </c>
      <c r="CE31" s="4258" t="str">
        <f t="shared" si="11"/>
        <v/>
      </c>
      <c r="CF31" s="4258" t="str">
        <f t="shared" si="12"/>
        <v/>
      </c>
      <c r="CG31" s="4258" t="str">
        <f t="shared" si="13"/>
        <v/>
      </c>
      <c r="CH31" s="4258" t="str">
        <f t="shared" si="14"/>
        <v/>
      </c>
      <c r="CI31" s="4258" t="str">
        <f t="shared" si="15"/>
        <v/>
      </c>
      <c r="CM31" s="435">
        <f t="shared" si="4"/>
        <v>0</v>
      </c>
      <c r="CN31" s="435">
        <f t="shared" si="5"/>
        <v>0</v>
      </c>
      <c r="CO31" s="435">
        <f t="shared" si="16"/>
        <v>0</v>
      </c>
      <c r="CP31" s="435">
        <f t="shared" si="17"/>
        <v>0</v>
      </c>
      <c r="CQ31" s="435">
        <f t="shared" si="18"/>
        <v>0</v>
      </c>
      <c r="CR31" s="435">
        <f t="shared" si="19"/>
        <v>0</v>
      </c>
      <c r="CS31" s="435">
        <f t="shared" si="20"/>
        <v>0</v>
      </c>
      <c r="CT31" s="1901">
        <f t="shared" si="21"/>
        <v>0</v>
      </c>
      <c r="CU31" s="1901">
        <f t="shared" si="22"/>
        <v>0</v>
      </c>
    </row>
    <row r="32" spans="1:99" x14ac:dyDescent="0.3">
      <c r="A32" s="319" t="s">
        <v>2210</v>
      </c>
      <c r="B32" s="4259">
        <f t="shared" si="23"/>
        <v>0</v>
      </c>
      <c r="C32" s="3996"/>
      <c r="D32" s="330"/>
      <c r="E32" s="3996"/>
      <c r="F32" s="330"/>
      <c r="G32" s="330"/>
      <c r="H32" s="3987"/>
      <c r="I32" s="332"/>
      <c r="J32" s="3986"/>
      <c r="K32" s="330"/>
      <c r="L32" s="3996"/>
      <c r="M32" s="1973"/>
      <c r="N32" s="1973"/>
      <c r="O32" s="1973"/>
      <c r="P32" s="330"/>
      <c r="Q32" s="3996"/>
      <c r="R32" s="330"/>
      <c r="S32" s="1970" t="str">
        <f t="shared" si="8"/>
        <v/>
      </c>
      <c r="CA32" s="4258" t="str">
        <f t="shared" si="2"/>
        <v/>
      </c>
      <c r="CB32" s="4258" t="str">
        <f t="shared" si="3"/>
        <v/>
      </c>
      <c r="CC32" s="4258" t="str">
        <f t="shared" si="9"/>
        <v/>
      </c>
      <c r="CD32" s="4258" t="str">
        <f t="shared" si="10"/>
        <v/>
      </c>
      <c r="CE32" s="4258" t="str">
        <f t="shared" si="11"/>
        <v/>
      </c>
      <c r="CF32" s="4258" t="str">
        <f t="shared" si="12"/>
        <v/>
      </c>
      <c r="CG32" s="4258" t="str">
        <f t="shared" si="13"/>
        <v/>
      </c>
      <c r="CH32" s="4258" t="str">
        <f t="shared" si="14"/>
        <v/>
      </c>
      <c r="CI32" s="4258" t="str">
        <f t="shared" si="15"/>
        <v/>
      </c>
      <c r="CM32" s="435">
        <f t="shared" si="4"/>
        <v>0</v>
      </c>
      <c r="CN32" s="435">
        <f t="shared" si="5"/>
        <v>0</v>
      </c>
      <c r="CO32" s="435">
        <f t="shared" si="16"/>
        <v>0</v>
      </c>
      <c r="CP32" s="435">
        <f t="shared" si="17"/>
        <v>0</v>
      </c>
      <c r="CQ32" s="435">
        <f t="shared" si="18"/>
        <v>0</v>
      </c>
      <c r="CR32" s="435">
        <f t="shared" si="19"/>
        <v>0</v>
      </c>
      <c r="CS32" s="435">
        <f t="shared" si="20"/>
        <v>0</v>
      </c>
      <c r="CT32" s="1901">
        <f t="shared" si="21"/>
        <v>0</v>
      </c>
      <c r="CU32" s="1901">
        <f t="shared" si="22"/>
        <v>0</v>
      </c>
    </row>
    <row r="33" spans="1:99" x14ac:dyDescent="0.3">
      <c r="A33" s="319" t="s">
        <v>2211</v>
      </c>
      <c r="B33" s="4259">
        <f t="shared" si="23"/>
        <v>0</v>
      </c>
      <c r="C33" s="3996"/>
      <c r="D33" s="330"/>
      <c r="E33" s="3996"/>
      <c r="F33" s="330"/>
      <c r="G33" s="330"/>
      <c r="H33" s="3987"/>
      <c r="I33" s="332"/>
      <c r="J33" s="3986"/>
      <c r="K33" s="330"/>
      <c r="L33" s="3996"/>
      <c r="M33" s="1973"/>
      <c r="N33" s="1973"/>
      <c r="O33" s="1973"/>
      <c r="P33" s="330"/>
      <c r="Q33" s="3996"/>
      <c r="R33" s="330"/>
      <c r="S33" s="1970" t="str">
        <f t="shared" si="8"/>
        <v/>
      </c>
      <c r="CA33" s="4258" t="str">
        <f t="shared" si="2"/>
        <v/>
      </c>
      <c r="CB33" s="4258" t="str">
        <f t="shared" si="3"/>
        <v/>
      </c>
      <c r="CC33" s="4258" t="str">
        <f t="shared" si="9"/>
        <v/>
      </c>
      <c r="CD33" s="4258" t="str">
        <f t="shared" si="10"/>
        <v/>
      </c>
      <c r="CE33" s="4258" t="str">
        <f t="shared" si="11"/>
        <v/>
      </c>
      <c r="CF33" s="4258" t="str">
        <f t="shared" si="12"/>
        <v/>
      </c>
      <c r="CG33" s="4258" t="str">
        <f t="shared" si="13"/>
        <v/>
      </c>
      <c r="CH33" s="4258" t="str">
        <f t="shared" si="14"/>
        <v/>
      </c>
      <c r="CI33" s="4258" t="str">
        <f t="shared" si="15"/>
        <v/>
      </c>
      <c r="CM33" s="435">
        <f t="shared" si="4"/>
        <v>0</v>
      </c>
      <c r="CN33" s="435">
        <f t="shared" si="5"/>
        <v>0</v>
      </c>
      <c r="CO33" s="435">
        <f t="shared" si="16"/>
        <v>0</v>
      </c>
      <c r="CP33" s="435">
        <f t="shared" si="17"/>
        <v>0</v>
      </c>
      <c r="CQ33" s="435">
        <f t="shared" si="18"/>
        <v>0</v>
      </c>
      <c r="CR33" s="435">
        <f t="shared" si="19"/>
        <v>0</v>
      </c>
      <c r="CS33" s="435">
        <f t="shared" si="20"/>
        <v>0</v>
      </c>
      <c r="CT33" s="1901">
        <f t="shared" si="21"/>
        <v>0</v>
      </c>
      <c r="CU33" s="1901">
        <f t="shared" si="22"/>
        <v>0</v>
      </c>
    </row>
    <row r="34" spans="1:99" x14ac:dyDescent="0.3">
      <c r="A34" s="319" t="s">
        <v>2212</v>
      </c>
      <c r="B34" s="4259">
        <f t="shared" si="0"/>
        <v>0</v>
      </c>
      <c r="C34" s="3996"/>
      <c r="D34" s="2003"/>
      <c r="E34" s="3996"/>
      <c r="F34" s="2003"/>
      <c r="G34" s="330"/>
      <c r="H34" s="1973"/>
      <c r="I34" s="332"/>
      <c r="J34" s="3986"/>
      <c r="K34" s="330"/>
      <c r="L34" s="3996"/>
      <c r="M34" s="1973"/>
      <c r="N34" s="1973"/>
      <c r="O34" s="1973"/>
      <c r="P34" s="330"/>
      <c r="Q34" s="3996"/>
      <c r="R34" s="330"/>
      <c r="S34" s="1970" t="str">
        <f t="shared" si="8"/>
        <v/>
      </c>
      <c r="CA34" s="4258" t="str">
        <f t="shared" si="2"/>
        <v/>
      </c>
      <c r="CB34" s="4258" t="str">
        <f t="shared" si="3"/>
        <v/>
      </c>
      <c r="CC34" s="4258" t="str">
        <f t="shared" si="9"/>
        <v/>
      </c>
      <c r="CD34" s="4258" t="str">
        <f t="shared" si="10"/>
        <v/>
      </c>
      <c r="CE34" s="4258" t="str">
        <f t="shared" si="11"/>
        <v/>
      </c>
      <c r="CF34" s="4258" t="str">
        <f t="shared" si="12"/>
        <v/>
      </c>
      <c r="CG34" s="4258" t="str">
        <f t="shared" si="13"/>
        <v/>
      </c>
      <c r="CH34" s="4258" t="str">
        <f t="shared" si="14"/>
        <v/>
      </c>
      <c r="CI34" s="4258" t="str">
        <f t="shared" si="15"/>
        <v/>
      </c>
      <c r="CM34" s="435">
        <f t="shared" si="4"/>
        <v>0</v>
      </c>
      <c r="CN34" s="435">
        <f t="shared" si="5"/>
        <v>0</v>
      </c>
      <c r="CO34" s="435">
        <f t="shared" si="16"/>
        <v>0</v>
      </c>
      <c r="CP34" s="435">
        <f t="shared" si="17"/>
        <v>0</v>
      </c>
      <c r="CQ34" s="435">
        <f t="shared" si="18"/>
        <v>0</v>
      </c>
      <c r="CR34" s="435">
        <f t="shared" si="19"/>
        <v>0</v>
      </c>
      <c r="CS34" s="435">
        <f t="shared" si="20"/>
        <v>0</v>
      </c>
      <c r="CT34" s="1901">
        <f t="shared" si="21"/>
        <v>0</v>
      </c>
      <c r="CU34" s="1901">
        <f t="shared" si="22"/>
        <v>0</v>
      </c>
    </row>
    <row r="35" spans="1:99" x14ac:dyDescent="0.3">
      <c r="A35" s="526" t="s">
        <v>2213</v>
      </c>
      <c r="B35" s="4241">
        <f t="shared" si="0"/>
        <v>0</v>
      </c>
      <c r="C35" s="876"/>
      <c r="D35" s="877"/>
      <c r="E35" s="876"/>
      <c r="F35" s="877"/>
      <c r="G35" s="877"/>
      <c r="H35" s="1911"/>
      <c r="I35" s="1912"/>
      <c r="J35" s="1913"/>
      <c r="K35" s="877"/>
      <c r="L35" s="876"/>
      <c r="M35" s="1907"/>
      <c r="N35" s="1907"/>
      <c r="O35" s="1907"/>
      <c r="P35" s="877"/>
      <c r="Q35" s="876"/>
      <c r="R35" s="877"/>
      <c r="S35" s="1970" t="str">
        <f t="shared" si="8"/>
        <v/>
      </c>
      <c r="CA35" s="4258" t="str">
        <f t="shared" si="2"/>
        <v/>
      </c>
      <c r="CB35" s="4258" t="str">
        <f t="shared" si="3"/>
        <v/>
      </c>
      <c r="CC35" s="4258" t="str">
        <f t="shared" si="9"/>
        <v/>
      </c>
      <c r="CD35" s="4258" t="str">
        <f t="shared" si="10"/>
        <v/>
      </c>
      <c r="CE35" s="4258" t="str">
        <f t="shared" si="11"/>
        <v/>
      </c>
      <c r="CF35" s="4258" t="str">
        <f t="shared" si="12"/>
        <v/>
      </c>
      <c r="CG35" s="4258" t="str">
        <f t="shared" si="13"/>
        <v/>
      </c>
      <c r="CH35" s="4258" t="str">
        <f t="shared" si="14"/>
        <v/>
      </c>
      <c r="CI35" s="4258" t="str">
        <f t="shared" si="15"/>
        <v/>
      </c>
      <c r="CM35" s="435">
        <f t="shared" si="4"/>
        <v>0</v>
      </c>
      <c r="CN35" s="435">
        <f t="shared" si="5"/>
        <v>0</v>
      </c>
      <c r="CO35" s="435">
        <f t="shared" si="16"/>
        <v>0</v>
      </c>
      <c r="CP35" s="435">
        <f t="shared" si="17"/>
        <v>0</v>
      </c>
      <c r="CQ35" s="435">
        <f t="shared" si="18"/>
        <v>0</v>
      </c>
      <c r="CR35" s="435">
        <f t="shared" si="19"/>
        <v>0</v>
      </c>
      <c r="CS35" s="435">
        <f t="shared" si="20"/>
        <v>0</v>
      </c>
      <c r="CT35" s="1901">
        <f t="shared" si="21"/>
        <v>0</v>
      </c>
      <c r="CU35" s="1901">
        <f t="shared" si="22"/>
        <v>0</v>
      </c>
    </row>
    <row r="36" spans="1:99" x14ac:dyDescent="0.3">
      <c r="A36" s="319" t="s">
        <v>2214</v>
      </c>
      <c r="B36" s="4257">
        <f t="shared" si="0"/>
        <v>0</v>
      </c>
      <c r="C36" s="327"/>
      <c r="D36" s="142"/>
      <c r="E36" s="327"/>
      <c r="F36" s="142"/>
      <c r="G36" s="142"/>
      <c r="H36" s="44"/>
      <c r="I36" s="1918"/>
      <c r="J36" s="337"/>
      <c r="K36" s="142"/>
      <c r="L36" s="327"/>
      <c r="M36" s="1039"/>
      <c r="N36" s="1039"/>
      <c r="O36" s="1039"/>
      <c r="P36" s="142"/>
      <c r="Q36" s="327"/>
      <c r="R36" s="142"/>
      <c r="S36" s="1970" t="str">
        <f t="shared" si="8"/>
        <v/>
      </c>
      <c r="CA36" s="4258" t="str">
        <f t="shared" si="2"/>
        <v/>
      </c>
      <c r="CB36" s="4258" t="str">
        <f t="shared" si="3"/>
        <v/>
      </c>
      <c r="CC36" s="4258" t="str">
        <f t="shared" si="9"/>
        <v/>
      </c>
      <c r="CD36" s="4258" t="str">
        <f t="shared" si="10"/>
        <v/>
      </c>
      <c r="CE36" s="4258" t="str">
        <f t="shared" si="11"/>
        <v/>
      </c>
      <c r="CF36" s="4258" t="str">
        <f t="shared" si="12"/>
        <v/>
      </c>
      <c r="CG36" s="4258" t="str">
        <f t="shared" si="13"/>
        <v/>
      </c>
      <c r="CH36" s="4258" t="str">
        <f t="shared" si="14"/>
        <v/>
      </c>
      <c r="CI36" s="4258" t="str">
        <f t="shared" si="15"/>
        <v/>
      </c>
      <c r="CM36" s="435">
        <f t="shared" si="4"/>
        <v>0</v>
      </c>
      <c r="CN36" s="435">
        <f t="shared" si="5"/>
        <v>0</v>
      </c>
      <c r="CO36" s="435">
        <f t="shared" si="16"/>
        <v>0</v>
      </c>
      <c r="CP36" s="435">
        <f t="shared" si="17"/>
        <v>0</v>
      </c>
      <c r="CQ36" s="435">
        <f t="shared" si="18"/>
        <v>0</v>
      </c>
      <c r="CR36" s="435">
        <f t="shared" si="19"/>
        <v>0</v>
      </c>
      <c r="CS36" s="435">
        <f t="shared" si="20"/>
        <v>0</v>
      </c>
      <c r="CT36" s="1901">
        <f t="shared" si="21"/>
        <v>0</v>
      </c>
      <c r="CU36" s="1901">
        <f t="shared" si="22"/>
        <v>0</v>
      </c>
    </row>
    <row r="37" spans="1:99" ht="15" customHeight="1" x14ac:dyDescent="0.3">
      <c r="A37" s="319" t="s">
        <v>2215</v>
      </c>
      <c r="B37" s="4259">
        <f t="shared" si="0"/>
        <v>0</v>
      </c>
      <c r="C37" s="3996"/>
      <c r="D37" s="330"/>
      <c r="E37" s="3996"/>
      <c r="F37" s="330"/>
      <c r="G37" s="4051"/>
      <c r="H37" s="3987"/>
      <c r="I37" s="4026"/>
      <c r="J37" s="3986"/>
      <c r="K37" s="330"/>
      <c r="L37" s="3996"/>
      <c r="M37" s="1973"/>
      <c r="N37" s="1973"/>
      <c r="O37" s="1973"/>
      <c r="P37" s="330"/>
      <c r="Q37" s="3996"/>
      <c r="R37" s="330"/>
      <c r="S37" s="1970" t="str">
        <f t="shared" si="8"/>
        <v/>
      </c>
      <c r="CA37" s="4258" t="str">
        <f t="shared" si="2"/>
        <v/>
      </c>
      <c r="CB37" s="4258" t="str">
        <f t="shared" si="3"/>
        <v/>
      </c>
      <c r="CC37" s="4258" t="str">
        <f t="shared" si="9"/>
        <v/>
      </c>
      <c r="CD37" s="4258" t="str">
        <f t="shared" si="10"/>
        <v/>
      </c>
      <c r="CE37" s="4258" t="str">
        <f t="shared" si="11"/>
        <v/>
      </c>
      <c r="CF37" s="4258" t="str">
        <f t="shared" si="12"/>
        <v/>
      </c>
      <c r="CG37" s="4258" t="str">
        <f t="shared" si="13"/>
        <v/>
      </c>
      <c r="CH37" s="4258" t="str">
        <f t="shared" si="14"/>
        <v/>
      </c>
      <c r="CI37" s="4258" t="str">
        <f t="shared" si="15"/>
        <v/>
      </c>
      <c r="CM37" s="435">
        <f t="shared" si="4"/>
        <v>0</v>
      </c>
      <c r="CN37" s="435">
        <f t="shared" si="5"/>
        <v>0</v>
      </c>
      <c r="CO37" s="435">
        <f t="shared" si="16"/>
        <v>0</v>
      </c>
      <c r="CP37" s="435">
        <f t="shared" si="17"/>
        <v>0</v>
      </c>
      <c r="CQ37" s="435">
        <f t="shared" si="18"/>
        <v>0</v>
      </c>
      <c r="CR37" s="435">
        <f t="shared" si="19"/>
        <v>0</v>
      </c>
      <c r="CS37" s="435">
        <f t="shared" si="20"/>
        <v>0</v>
      </c>
      <c r="CT37" s="1901">
        <f t="shared" si="21"/>
        <v>0</v>
      </c>
      <c r="CU37" s="1901">
        <f t="shared" si="22"/>
        <v>0</v>
      </c>
    </row>
    <row r="38" spans="1:99" x14ac:dyDescent="0.3">
      <c r="A38" s="319" t="s">
        <v>2216</v>
      </c>
      <c r="B38" s="4259">
        <f t="shared" si="0"/>
        <v>0</v>
      </c>
      <c r="C38" s="3996"/>
      <c r="D38" s="330"/>
      <c r="E38" s="3996"/>
      <c r="F38" s="330"/>
      <c r="G38" s="4051"/>
      <c r="H38" s="3987"/>
      <c r="I38" s="4026"/>
      <c r="J38" s="3986"/>
      <c r="K38" s="330"/>
      <c r="L38" s="3996"/>
      <c r="M38" s="1973"/>
      <c r="N38" s="1973"/>
      <c r="O38" s="1973"/>
      <c r="P38" s="330"/>
      <c r="Q38" s="3996"/>
      <c r="R38" s="330"/>
      <c r="S38" s="1970" t="str">
        <f t="shared" si="8"/>
        <v/>
      </c>
      <c r="CA38" s="4258" t="str">
        <f t="shared" si="2"/>
        <v/>
      </c>
      <c r="CB38" s="4258" t="str">
        <f t="shared" si="3"/>
        <v/>
      </c>
      <c r="CC38" s="4258" t="str">
        <f t="shared" si="9"/>
        <v/>
      </c>
      <c r="CD38" s="4258" t="str">
        <f t="shared" si="10"/>
        <v/>
      </c>
      <c r="CE38" s="4258" t="str">
        <f t="shared" si="11"/>
        <v/>
      </c>
      <c r="CF38" s="4258" t="str">
        <f t="shared" si="12"/>
        <v/>
      </c>
      <c r="CG38" s="4258" t="str">
        <f t="shared" si="13"/>
        <v/>
      </c>
      <c r="CH38" s="4258" t="str">
        <f t="shared" si="14"/>
        <v/>
      </c>
      <c r="CI38" s="4258" t="str">
        <f t="shared" si="15"/>
        <v/>
      </c>
      <c r="CM38" s="435">
        <f t="shared" si="4"/>
        <v>0</v>
      </c>
      <c r="CN38" s="435">
        <f t="shared" si="5"/>
        <v>0</v>
      </c>
      <c r="CO38" s="435">
        <f t="shared" si="16"/>
        <v>0</v>
      </c>
      <c r="CP38" s="435">
        <f t="shared" si="17"/>
        <v>0</v>
      </c>
      <c r="CQ38" s="435">
        <f t="shared" si="18"/>
        <v>0</v>
      </c>
      <c r="CR38" s="435">
        <f t="shared" si="19"/>
        <v>0</v>
      </c>
      <c r="CS38" s="435">
        <f t="shared" si="20"/>
        <v>0</v>
      </c>
      <c r="CT38" s="1901">
        <f t="shared" si="21"/>
        <v>0</v>
      </c>
      <c r="CU38" s="1901">
        <f t="shared" si="22"/>
        <v>0</v>
      </c>
    </row>
    <row r="39" spans="1:99" x14ac:dyDescent="0.3">
      <c r="A39" s="319" t="s">
        <v>2217</v>
      </c>
      <c r="B39" s="4259">
        <f t="shared" si="0"/>
        <v>0</v>
      </c>
      <c r="C39" s="3996"/>
      <c r="D39" s="330"/>
      <c r="E39" s="3996"/>
      <c r="F39" s="330"/>
      <c r="G39" s="4051"/>
      <c r="H39" s="3987"/>
      <c r="I39" s="4026"/>
      <c r="J39" s="3986"/>
      <c r="K39" s="330"/>
      <c r="L39" s="3996"/>
      <c r="M39" s="1973"/>
      <c r="N39" s="1973"/>
      <c r="O39" s="1973"/>
      <c r="P39" s="330"/>
      <c r="Q39" s="3996"/>
      <c r="R39" s="330"/>
      <c r="S39" s="1970" t="str">
        <f t="shared" si="8"/>
        <v/>
      </c>
      <c r="CA39" s="4258" t="str">
        <f t="shared" si="2"/>
        <v/>
      </c>
      <c r="CB39" s="4258" t="str">
        <f t="shared" si="3"/>
        <v/>
      </c>
      <c r="CC39" s="4258" t="str">
        <f t="shared" si="9"/>
        <v/>
      </c>
      <c r="CD39" s="4258" t="str">
        <f t="shared" si="10"/>
        <v/>
      </c>
      <c r="CE39" s="4258" t="str">
        <f t="shared" si="11"/>
        <v/>
      </c>
      <c r="CF39" s="4258" t="str">
        <f t="shared" si="12"/>
        <v/>
      </c>
      <c r="CG39" s="4258" t="str">
        <f t="shared" si="13"/>
        <v/>
      </c>
      <c r="CH39" s="4258" t="str">
        <f t="shared" si="14"/>
        <v/>
      </c>
      <c r="CI39" s="4258" t="str">
        <f t="shared" si="15"/>
        <v/>
      </c>
      <c r="CM39" s="435">
        <f t="shared" si="4"/>
        <v>0</v>
      </c>
      <c r="CN39" s="435">
        <f t="shared" si="5"/>
        <v>0</v>
      </c>
      <c r="CO39" s="435">
        <f t="shared" si="16"/>
        <v>0</v>
      </c>
      <c r="CP39" s="435">
        <f t="shared" si="17"/>
        <v>0</v>
      </c>
      <c r="CQ39" s="435">
        <f t="shared" si="18"/>
        <v>0</v>
      </c>
      <c r="CR39" s="435">
        <f t="shared" si="19"/>
        <v>0</v>
      </c>
      <c r="CS39" s="435">
        <f t="shared" si="20"/>
        <v>0</v>
      </c>
      <c r="CT39" s="1901">
        <f t="shared" si="21"/>
        <v>0</v>
      </c>
      <c r="CU39" s="1901">
        <f t="shared" si="22"/>
        <v>0</v>
      </c>
    </row>
    <row r="40" spans="1:99" ht="20.399999999999999" x14ac:dyDescent="0.3">
      <c r="A40" s="319" t="s">
        <v>2218</v>
      </c>
      <c r="B40" s="4259">
        <f t="shared" si="0"/>
        <v>0</v>
      </c>
      <c r="C40" s="3996"/>
      <c r="D40" s="330"/>
      <c r="E40" s="3996"/>
      <c r="F40" s="330"/>
      <c r="G40" s="330"/>
      <c r="H40" s="3987"/>
      <c r="I40" s="4026"/>
      <c r="J40" s="3986"/>
      <c r="K40" s="330"/>
      <c r="L40" s="3996"/>
      <c r="M40" s="1973"/>
      <c r="N40" s="1973"/>
      <c r="O40" s="1973"/>
      <c r="P40" s="330"/>
      <c r="Q40" s="3996"/>
      <c r="R40" s="330"/>
      <c r="S40" s="1970" t="str">
        <f t="shared" si="8"/>
        <v/>
      </c>
      <c r="CA40" s="4258" t="str">
        <f t="shared" si="2"/>
        <v/>
      </c>
      <c r="CB40" s="4258" t="str">
        <f t="shared" si="3"/>
        <v/>
      </c>
      <c r="CC40" s="4258" t="str">
        <f t="shared" si="9"/>
        <v/>
      </c>
      <c r="CD40" s="4258" t="str">
        <f t="shared" si="10"/>
        <v/>
      </c>
      <c r="CE40" s="4258" t="str">
        <f t="shared" si="11"/>
        <v/>
      </c>
      <c r="CF40" s="4258" t="str">
        <f t="shared" si="12"/>
        <v/>
      </c>
      <c r="CG40" s="4258" t="str">
        <f t="shared" si="13"/>
        <v/>
      </c>
      <c r="CH40" s="4258" t="str">
        <f t="shared" si="14"/>
        <v/>
      </c>
      <c r="CI40" s="4258" t="str">
        <f t="shared" si="15"/>
        <v/>
      </c>
      <c r="CM40" s="435">
        <f t="shared" si="4"/>
        <v>0</v>
      </c>
      <c r="CN40" s="435">
        <f t="shared" si="5"/>
        <v>0</v>
      </c>
      <c r="CO40" s="435">
        <f t="shared" si="16"/>
        <v>0</v>
      </c>
      <c r="CP40" s="435">
        <f t="shared" si="17"/>
        <v>0</v>
      </c>
      <c r="CQ40" s="435">
        <f t="shared" si="18"/>
        <v>0</v>
      </c>
      <c r="CR40" s="435">
        <f t="shared" si="19"/>
        <v>0</v>
      </c>
      <c r="CS40" s="435">
        <f t="shared" si="20"/>
        <v>0</v>
      </c>
      <c r="CT40" s="1901">
        <f t="shared" si="21"/>
        <v>0</v>
      </c>
      <c r="CU40" s="1901">
        <f t="shared" si="22"/>
        <v>0</v>
      </c>
    </row>
    <row r="41" spans="1:99" x14ac:dyDescent="0.3">
      <c r="A41" s="319" t="s">
        <v>2219</v>
      </c>
      <c r="B41" s="4259">
        <f t="shared" si="0"/>
        <v>0</v>
      </c>
      <c r="C41" s="3996"/>
      <c r="D41" s="330"/>
      <c r="E41" s="3996"/>
      <c r="F41" s="330"/>
      <c r="G41" s="330"/>
      <c r="H41" s="3987"/>
      <c r="I41" s="4026"/>
      <c r="J41" s="3986"/>
      <c r="K41" s="330"/>
      <c r="L41" s="3996"/>
      <c r="M41" s="1973"/>
      <c r="N41" s="1973"/>
      <c r="O41" s="1973"/>
      <c r="P41" s="330"/>
      <c r="Q41" s="3996"/>
      <c r="R41" s="330"/>
      <c r="S41" s="1970" t="str">
        <f t="shared" si="8"/>
        <v/>
      </c>
      <c r="CA41" s="4258" t="str">
        <f t="shared" si="2"/>
        <v/>
      </c>
      <c r="CB41" s="4258" t="str">
        <f t="shared" si="3"/>
        <v/>
      </c>
      <c r="CC41" s="4258" t="str">
        <f t="shared" si="9"/>
        <v/>
      </c>
      <c r="CD41" s="4258" t="str">
        <f t="shared" si="10"/>
        <v/>
      </c>
      <c r="CE41" s="4258" t="str">
        <f t="shared" si="11"/>
        <v/>
      </c>
      <c r="CF41" s="4258" t="str">
        <f t="shared" si="12"/>
        <v/>
      </c>
      <c r="CG41" s="4258" t="str">
        <f t="shared" si="13"/>
        <v/>
      </c>
      <c r="CH41" s="4258" t="str">
        <f t="shared" si="14"/>
        <v/>
      </c>
      <c r="CI41" s="4258" t="str">
        <f t="shared" si="15"/>
        <v/>
      </c>
      <c r="CM41" s="435">
        <f t="shared" si="4"/>
        <v>0</v>
      </c>
      <c r="CN41" s="435">
        <f t="shared" si="5"/>
        <v>0</v>
      </c>
      <c r="CO41" s="435">
        <f t="shared" si="16"/>
        <v>0</v>
      </c>
      <c r="CP41" s="435">
        <f t="shared" si="17"/>
        <v>0</v>
      </c>
      <c r="CQ41" s="435">
        <f t="shared" si="18"/>
        <v>0</v>
      </c>
      <c r="CR41" s="435">
        <f t="shared" si="19"/>
        <v>0</v>
      </c>
      <c r="CS41" s="435">
        <f t="shared" si="20"/>
        <v>0</v>
      </c>
      <c r="CT41" s="1901">
        <f t="shared" si="21"/>
        <v>0</v>
      </c>
      <c r="CU41" s="1901">
        <f t="shared" si="22"/>
        <v>0</v>
      </c>
    </row>
    <row r="42" spans="1:99" x14ac:dyDescent="0.3">
      <c r="A42" s="319" t="s">
        <v>2220</v>
      </c>
      <c r="B42" s="4259">
        <f t="shared" si="0"/>
        <v>0</v>
      </c>
      <c r="C42" s="3996"/>
      <c r="D42" s="330"/>
      <c r="E42" s="3996"/>
      <c r="F42" s="330"/>
      <c r="G42" s="330"/>
      <c r="H42" s="3987"/>
      <c r="I42" s="4026"/>
      <c r="J42" s="3986"/>
      <c r="K42" s="330"/>
      <c r="L42" s="3996"/>
      <c r="M42" s="1973"/>
      <c r="N42" s="1973"/>
      <c r="O42" s="1973"/>
      <c r="P42" s="330"/>
      <c r="Q42" s="3996"/>
      <c r="R42" s="330"/>
      <c r="S42" s="1970" t="str">
        <f t="shared" si="8"/>
        <v/>
      </c>
      <c r="CA42" s="4258" t="str">
        <f t="shared" si="2"/>
        <v/>
      </c>
      <c r="CB42" s="4258" t="str">
        <f t="shared" si="3"/>
        <v/>
      </c>
      <c r="CC42" s="4258" t="str">
        <f t="shared" si="9"/>
        <v/>
      </c>
      <c r="CD42" s="4258" t="str">
        <f t="shared" si="10"/>
        <v/>
      </c>
      <c r="CE42" s="4258" t="str">
        <f t="shared" si="11"/>
        <v/>
      </c>
      <c r="CF42" s="4258" t="str">
        <f t="shared" si="12"/>
        <v/>
      </c>
      <c r="CG42" s="4258" t="str">
        <f t="shared" si="13"/>
        <v/>
      </c>
      <c r="CH42" s="4258" t="str">
        <f t="shared" si="14"/>
        <v/>
      </c>
      <c r="CI42" s="4258" t="str">
        <f t="shared" si="15"/>
        <v/>
      </c>
      <c r="CM42" s="435">
        <f t="shared" si="4"/>
        <v>0</v>
      </c>
      <c r="CN42" s="435">
        <f t="shared" si="5"/>
        <v>0</v>
      </c>
      <c r="CO42" s="435">
        <f t="shared" si="16"/>
        <v>0</v>
      </c>
      <c r="CP42" s="435">
        <f t="shared" si="17"/>
        <v>0</v>
      </c>
      <c r="CQ42" s="435">
        <f t="shared" si="18"/>
        <v>0</v>
      </c>
      <c r="CR42" s="435">
        <f t="shared" si="19"/>
        <v>0</v>
      </c>
      <c r="CS42" s="435">
        <f t="shared" si="20"/>
        <v>0</v>
      </c>
      <c r="CT42" s="1901">
        <f t="shared" si="21"/>
        <v>0</v>
      </c>
      <c r="CU42" s="1901">
        <f t="shared" si="22"/>
        <v>0</v>
      </c>
    </row>
    <row r="43" spans="1:99" x14ac:dyDescent="0.3">
      <c r="A43" s="893" t="s">
        <v>2221</v>
      </c>
      <c r="B43" s="4241">
        <f t="shared" si="0"/>
        <v>0</v>
      </c>
      <c r="C43" s="876"/>
      <c r="D43" s="877"/>
      <c r="E43" s="876"/>
      <c r="F43" s="877"/>
      <c r="G43" s="877"/>
      <c r="H43" s="1911"/>
      <c r="I43" s="1953"/>
      <c r="J43" s="1913"/>
      <c r="K43" s="877"/>
      <c r="L43" s="876"/>
      <c r="M43" s="1907"/>
      <c r="N43" s="1907"/>
      <c r="O43" s="1907"/>
      <c r="P43" s="877"/>
      <c r="Q43" s="876"/>
      <c r="R43" s="877"/>
      <c r="S43" s="1970" t="str">
        <f t="shared" si="8"/>
        <v/>
      </c>
      <c r="CA43" s="4258" t="str">
        <f t="shared" si="2"/>
        <v/>
      </c>
      <c r="CB43" s="4258" t="str">
        <f t="shared" si="3"/>
        <v/>
      </c>
      <c r="CC43" s="4258" t="str">
        <f t="shared" si="9"/>
        <v/>
      </c>
      <c r="CD43" s="4258" t="str">
        <f t="shared" si="10"/>
        <v/>
      </c>
      <c r="CE43" s="4258" t="str">
        <f t="shared" si="11"/>
        <v/>
      </c>
      <c r="CF43" s="4258" t="str">
        <f t="shared" si="12"/>
        <v/>
      </c>
      <c r="CG43" s="4258" t="str">
        <f t="shared" si="13"/>
        <v/>
      </c>
      <c r="CH43" s="4258" t="str">
        <f t="shared" si="14"/>
        <v/>
      </c>
      <c r="CI43" s="4258" t="str">
        <f t="shared" si="15"/>
        <v/>
      </c>
      <c r="CM43" s="435">
        <f t="shared" si="4"/>
        <v>0</v>
      </c>
      <c r="CN43" s="435">
        <f t="shared" si="5"/>
        <v>0</v>
      </c>
      <c r="CO43" s="435">
        <f t="shared" si="16"/>
        <v>0</v>
      </c>
      <c r="CP43" s="435">
        <f t="shared" si="17"/>
        <v>0</v>
      </c>
      <c r="CQ43" s="435">
        <f t="shared" si="18"/>
        <v>0</v>
      </c>
      <c r="CR43" s="435">
        <f t="shared" si="19"/>
        <v>0</v>
      </c>
      <c r="CS43" s="435">
        <f t="shared" si="20"/>
        <v>0</v>
      </c>
      <c r="CT43" s="1901">
        <f t="shared" si="21"/>
        <v>0</v>
      </c>
      <c r="CU43" s="1901">
        <f t="shared" si="22"/>
        <v>0</v>
      </c>
    </row>
    <row r="44" spans="1:99" x14ac:dyDescent="0.3">
      <c r="A44" s="2240" t="s">
        <v>2222</v>
      </c>
      <c r="B44" s="4257">
        <f t="shared" si="0"/>
        <v>0</v>
      </c>
      <c r="C44" s="327"/>
      <c r="D44" s="142"/>
      <c r="E44" s="327"/>
      <c r="F44" s="142"/>
      <c r="G44" s="142"/>
      <c r="H44" s="44"/>
      <c r="I44" s="1026"/>
      <c r="J44" s="337"/>
      <c r="K44" s="142"/>
      <c r="L44" s="327"/>
      <c r="M44" s="1039"/>
      <c r="N44" s="1039"/>
      <c r="O44" s="1039"/>
      <c r="P44" s="142"/>
      <c r="Q44" s="327"/>
      <c r="R44" s="142"/>
      <c r="S44" s="1970" t="str">
        <f t="shared" si="8"/>
        <v/>
      </c>
      <c r="CA44" s="4258" t="str">
        <f t="shared" si="2"/>
        <v/>
      </c>
      <c r="CB44" s="4258" t="str">
        <f t="shared" si="3"/>
        <v/>
      </c>
      <c r="CC44" s="4258" t="str">
        <f t="shared" si="9"/>
        <v/>
      </c>
      <c r="CD44" s="4258" t="str">
        <f t="shared" si="10"/>
        <v/>
      </c>
      <c r="CE44" s="4258" t="str">
        <f t="shared" si="11"/>
        <v/>
      </c>
      <c r="CF44" s="4258" t="str">
        <f t="shared" si="12"/>
        <v/>
      </c>
      <c r="CG44" s="4258" t="str">
        <f t="shared" si="13"/>
        <v/>
      </c>
      <c r="CH44" s="4258" t="str">
        <f t="shared" si="14"/>
        <v/>
      </c>
      <c r="CI44" s="4258" t="str">
        <f t="shared" si="15"/>
        <v/>
      </c>
      <c r="CM44" s="435">
        <f t="shared" si="4"/>
        <v>0</v>
      </c>
      <c r="CN44" s="435">
        <f t="shared" si="5"/>
        <v>0</v>
      </c>
      <c r="CO44" s="435">
        <f t="shared" si="16"/>
        <v>0</v>
      </c>
      <c r="CP44" s="435">
        <f t="shared" si="17"/>
        <v>0</v>
      </c>
      <c r="CQ44" s="435">
        <f t="shared" si="18"/>
        <v>0</v>
      </c>
      <c r="CR44" s="435">
        <f t="shared" si="19"/>
        <v>0</v>
      </c>
      <c r="CS44" s="435">
        <f t="shared" si="20"/>
        <v>0</v>
      </c>
      <c r="CT44" s="1901">
        <f t="shared" si="21"/>
        <v>0</v>
      </c>
      <c r="CU44" s="1901">
        <f t="shared" si="22"/>
        <v>0</v>
      </c>
    </row>
    <row r="45" spans="1:99" x14ac:dyDescent="0.3">
      <c r="A45" s="3957" t="s">
        <v>2223</v>
      </c>
      <c r="B45" s="4259">
        <f t="shared" si="0"/>
        <v>0</v>
      </c>
      <c r="C45" s="3996"/>
      <c r="D45" s="330"/>
      <c r="E45" s="3996"/>
      <c r="F45" s="330"/>
      <c r="G45" s="330"/>
      <c r="H45" s="3987"/>
      <c r="I45" s="332"/>
      <c r="J45" s="3986"/>
      <c r="K45" s="330"/>
      <c r="L45" s="3996"/>
      <c r="M45" s="1973"/>
      <c r="N45" s="1973"/>
      <c r="O45" s="1973"/>
      <c r="P45" s="330"/>
      <c r="Q45" s="3996"/>
      <c r="R45" s="330"/>
      <c r="S45" s="1970" t="str">
        <f t="shared" si="8"/>
        <v/>
      </c>
      <c r="CA45" s="4258" t="str">
        <f t="shared" si="2"/>
        <v/>
      </c>
      <c r="CB45" s="4258" t="str">
        <f t="shared" si="3"/>
        <v/>
      </c>
      <c r="CC45" s="4258" t="str">
        <f t="shared" si="9"/>
        <v/>
      </c>
      <c r="CD45" s="4258" t="str">
        <f t="shared" si="10"/>
        <v/>
      </c>
      <c r="CE45" s="4258" t="str">
        <f t="shared" si="11"/>
        <v/>
      </c>
      <c r="CF45" s="4258" t="str">
        <f t="shared" si="12"/>
        <v/>
      </c>
      <c r="CG45" s="4258" t="str">
        <f t="shared" si="13"/>
        <v/>
      </c>
      <c r="CH45" s="4258" t="str">
        <f t="shared" si="14"/>
        <v/>
      </c>
      <c r="CI45" s="4258" t="str">
        <f t="shared" si="15"/>
        <v/>
      </c>
      <c r="CM45" s="435">
        <f t="shared" si="4"/>
        <v>0</v>
      </c>
      <c r="CN45" s="435">
        <f t="shared" si="5"/>
        <v>0</v>
      </c>
      <c r="CO45" s="435">
        <f t="shared" si="16"/>
        <v>0</v>
      </c>
      <c r="CP45" s="435">
        <f t="shared" si="17"/>
        <v>0</v>
      </c>
      <c r="CQ45" s="435">
        <f t="shared" si="18"/>
        <v>0</v>
      </c>
      <c r="CR45" s="435">
        <f t="shared" si="19"/>
        <v>0</v>
      </c>
      <c r="CS45" s="435">
        <f t="shared" si="20"/>
        <v>0</v>
      </c>
      <c r="CT45" s="1901">
        <f t="shared" si="21"/>
        <v>0</v>
      </c>
      <c r="CU45" s="1901">
        <f t="shared" si="22"/>
        <v>0</v>
      </c>
    </row>
    <row r="46" spans="1:99" x14ac:dyDescent="0.3">
      <c r="A46" s="3957" t="s">
        <v>2224</v>
      </c>
      <c r="B46" s="4259">
        <f>SUM(C46:D46)</f>
        <v>0</v>
      </c>
      <c r="C46" s="3996"/>
      <c r="D46" s="330"/>
      <c r="E46" s="3996"/>
      <c r="F46" s="330"/>
      <c r="G46" s="330"/>
      <c r="H46" s="3987"/>
      <c r="I46" s="332"/>
      <c r="J46" s="3986"/>
      <c r="K46" s="330"/>
      <c r="L46" s="3996"/>
      <c r="M46" s="1973"/>
      <c r="N46" s="1973"/>
      <c r="O46" s="1973"/>
      <c r="P46" s="330"/>
      <c r="Q46" s="3996"/>
      <c r="R46" s="330"/>
      <c r="S46" s="1970" t="str">
        <f t="shared" si="8"/>
        <v/>
      </c>
      <c r="CA46" s="4258" t="str">
        <f t="shared" si="2"/>
        <v/>
      </c>
      <c r="CB46" s="4258" t="str">
        <f t="shared" si="3"/>
        <v/>
      </c>
      <c r="CC46" s="4258" t="str">
        <f t="shared" si="9"/>
        <v/>
      </c>
      <c r="CD46" s="4258" t="str">
        <f t="shared" si="10"/>
        <v/>
      </c>
      <c r="CE46" s="4258" t="str">
        <f t="shared" si="11"/>
        <v/>
      </c>
      <c r="CF46" s="4258" t="str">
        <f t="shared" si="12"/>
        <v/>
      </c>
      <c r="CG46" s="4258" t="str">
        <f t="shared" si="13"/>
        <v/>
      </c>
      <c r="CH46" s="4258" t="str">
        <f t="shared" si="14"/>
        <v/>
      </c>
      <c r="CI46" s="4258" t="str">
        <f t="shared" si="15"/>
        <v/>
      </c>
      <c r="CM46" s="435">
        <f t="shared" si="4"/>
        <v>0</v>
      </c>
      <c r="CN46" s="435">
        <f t="shared" si="5"/>
        <v>0</v>
      </c>
      <c r="CO46" s="435">
        <f t="shared" si="16"/>
        <v>0</v>
      </c>
      <c r="CP46" s="435">
        <f t="shared" si="17"/>
        <v>0</v>
      </c>
      <c r="CQ46" s="435">
        <f t="shared" si="18"/>
        <v>0</v>
      </c>
      <c r="CR46" s="435">
        <f t="shared" si="19"/>
        <v>0</v>
      </c>
      <c r="CS46" s="435">
        <f t="shared" si="20"/>
        <v>0</v>
      </c>
      <c r="CT46" s="1901">
        <f t="shared" si="21"/>
        <v>0</v>
      </c>
      <c r="CU46" s="1901">
        <f t="shared" si="22"/>
        <v>0</v>
      </c>
    </row>
    <row r="47" spans="1:99" x14ac:dyDescent="0.3">
      <c r="A47" s="3957" t="s">
        <v>2225</v>
      </c>
      <c r="B47" s="4259">
        <f>SUM(C47:D47)</f>
        <v>0</v>
      </c>
      <c r="C47" s="3996"/>
      <c r="D47" s="330"/>
      <c r="E47" s="3996"/>
      <c r="F47" s="330"/>
      <c r="G47" s="330"/>
      <c r="H47" s="3987"/>
      <c r="I47" s="332"/>
      <c r="J47" s="3986"/>
      <c r="K47" s="330"/>
      <c r="L47" s="3996"/>
      <c r="M47" s="1973"/>
      <c r="N47" s="1973"/>
      <c r="O47" s="1973"/>
      <c r="P47" s="330"/>
      <c r="Q47" s="3996"/>
      <c r="R47" s="330"/>
      <c r="S47" s="1970" t="str">
        <f t="shared" si="8"/>
        <v/>
      </c>
      <c r="CA47" s="4258" t="str">
        <f t="shared" si="2"/>
        <v/>
      </c>
      <c r="CB47" s="4258" t="str">
        <f t="shared" si="3"/>
        <v/>
      </c>
      <c r="CC47" s="4258" t="str">
        <f t="shared" si="9"/>
        <v/>
      </c>
      <c r="CD47" s="4258" t="str">
        <f t="shared" si="10"/>
        <v/>
      </c>
      <c r="CE47" s="4258" t="str">
        <f t="shared" si="11"/>
        <v/>
      </c>
      <c r="CF47" s="4258" t="str">
        <f t="shared" si="12"/>
        <v/>
      </c>
      <c r="CG47" s="4258" t="str">
        <f t="shared" si="13"/>
        <v/>
      </c>
      <c r="CH47" s="4258" t="str">
        <f t="shared" si="14"/>
        <v/>
      </c>
      <c r="CI47" s="4258" t="str">
        <f t="shared" si="15"/>
        <v/>
      </c>
      <c r="CM47" s="435">
        <f t="shared" si="4"/>
        <v>0</v>
      </c>
      <c r="CN47" s="435">
        <f t="shared" si="5"/>
        <v>0</v>
      </c>
      <c r="CO47" s="435">
        <f t="shared" si="16"/>
        <v>0</v>
      </c>
      <c r="CP47" s="435">
        <f t="shared" si="17"/>
        <v>0</v>
      </c>
      <c r="CQ47" s="435">
        <f t="shared" si="18"/>
        <v>0</v>
      </c>
      <c r="CR47" s="435">
        <f t="shared" si="19"/>
        <v>0</v>
      </c>
      <c r="CS47" s="435">
        <f t="shared" si="20"/>
        <v>0</v>
      </c>
      <c r="CT47" s="1901">
        <f t="shared" si="21"/>
        <v>0</v>
      </c>
      <c r="CU47" s="1901">
        <f t="shared" si="22"/>
        <v>0</v>
      </c>
    </row>
    <row r="48" spans="1:99" x14ac:dyDescent="0.3">
      <c r="A48" s="4007" t="s">
        <v>2226</v>
      </c>
      <c r="B48" s="4121">
        <f t="shared" si="0"/>
        <v>0</v>
      </c>
      <c r="C48" s="3996"/>
      <c r="D48" s="330"/>
      <c r="E48" s="3996"/>
      <c r="F48" s="330"/>
      <c r="G48" s="330"/>
      <c r="H48" s="3987"/>
      <c r="I48" s="332"/>
      <c r="J48" s="3986"/>
      <c r="K48" s="330"/>
      <c r="L48" s="3996"/>
      <c r="M48" s="1973"/>
      <c r="N48" s="1973"/>
      <c r="O48" s="1973"/>
      <c r="P48" s="330"/>
      <c r="Q48" s="3996"/>
      <c r="R48" s="330"/>
      <c r="S48" s="1970" t="str">
        <f t="shared" si="8"/>
        <v/>
      </c>
      <c r="CA48" s="4258" t="str">
        <f t="shared" si="2"/>
        <v/>
      </c>
      <c r="CB48" s="4258" t="str">
        <f t="shared" si="3"/>
        <v/>
      </c>
      <c r="CC48" s="4258" t="str">
        <f t="shared" si="9"/>
        <v/>
      </c>
      <c r="CD48" s="4258" t="str">
        <f t="shared" si="10"/>
        <v/>
      </c>
      <c r="CE48" s="4258" t="str">
        <f t="shared" si="11"/>
        <v/>
      </c>
      <c r="CF48" s="4258" t="str">
        <f t="shared" si="12"/>
        <v/>
      </c>
      <c r="CG48" s="4258" t="str">
        <f t="shared" si="13"/>
        <v/>
      </c>
      <c r="CH48" s="4258" t="str">
        <f t="shared" si="14"/>
        <v/>
      </c>
      <c r="CI48" s="4258" t="str">
        <f t="shared" si="15"/>
        <v/>
      </c>
      <c r="CM48" s="435">
        <f t="shared" si="4"/>
        <v>0</v>
      </c>
      <c r="CN48" s="435">
        <f t="shared" si="5"/>
        <v>0</v>
      </c>
      <c r="CO48" s="435">
        <f t="shared" si="16"/>
        <v>0</v>
      </c>
      <c r="CP48" s="435">
        <f t="shared" si="17"/>
        <v>0</v>
      </c>
      <c r="CQ48" s="435">
        <f t="shared" si="18"/>
        <v>0</v>
      </c>
      <c r="CR48" s="435">
        <f t="shared" si="19"/>
        <v>0</v>
      </c>
      <c r="CS48" s="435">
        <f t="shared" si="20"/>
        <v>0</v>
      </c>
      <c r="CT48" s="1901">
        <f t="shared" si="21"/>
        <v>0</v>
      </c>
      <c r="CU48" s="1901">
        <f t="shared" si="22"/>
        <v>0</v>
      </c>
    </row>
    <row r="49" spans="1:99" x14ac:dyDescent="0.3">
      <c r="A49" s="4007" t="s">
        <v>2227</v>
      </c>
      <c r="B49" s="4259">
        <f>SUM(C49:D49)</f>
        <v>0</v>
      </c>
      <c r="C49" s="327"/>
      <c r="D49" s="142"/>
      <c r="E49" s="327"/>
      <c r="F49" s="142"/>
      <c r="G49" s="142"/>
      <c r="H49" s="44"/>
      <c r="I49" s="1026"/>
      <c r="J49" s="337"/>
      <c r="K49" s="142"/>
      <c r="L49" s="327"/>
      <c r="M49" s="1039"/>
      <c r="N49" s="1039"/>
      <c r="O49" s="1039"/>
      <c r="P49" s="142"/>
      <c r="Q49" s="327"/>
      <c r="R49" s="142"/>
      <c r="S49" s="1970" t="str">
        <f t="shared" si="8"/>
        <v/>
      </c>
      <c r="CA49" s="4258" t="str">
        <f t="shared" si="2"/>
        <v/>
      </c>
      <c r="CB49" s="4258" t="str">
        <f t="shared" si="3"/>
        <v/>
      </c>
      <c r="CC49" s="4258" t="str">
        <f t="shared" si="9"/>
        <v/>
      </c>
      <c r="CD49" s="4258" t="str">
        <f t="shared" si="10"/>
        <v/>
      </c>
      <c r="CE49" s="4258" t="str">
        <f t="shared" si="11"/>
        <v/>
      </c>
      <c r="CF49" s="4258" t="str">
        <f t="shared" si="12"/>
        <v/>
      </c>
      <c r="CG49" s="4258" t="str">
        <f t="shared" si="13"/>
        <v/>
      </c>
      <c r="CH49" s="4258" t="str">
        <f t="shared" si="14"/>
        <v/>
      </c>
      <c r="CI49" s="4258" t="str">
        <f t="shared" si="15"/>
        <v/>
      </c>
      <c r="CM49" s="435">
        <f t="shared" si="4"/>
        <v>0</v>
      </c>
      <c r="CN49" s="435">
        <f t="shared" si="5"/>
        <v>0</v>
      </c>
      <c r="CO49" s="435">
        <f t="shared" si="16"/>
        <v>0</v>
      </c>
      <c r="CP49" s="435">
        <f t="shared" si="17"/>
        <v>0</v>
      </c>
      <c r="CQ49" s="435">
        <f t="shared" si="18"/>
        <v>0</v>
      </c>
      <c r="CR49" s="435">
        <f t="shared" si="19"/>
        <v>0</v>
      </c>
      <c r="CS49" s="435">
        <f t="shared" si="20"/>
        <v>0</v>
      </c>
      <c r="CT49" s="1901">
        <f t="shared" si="21"/>
        <v>0</v>
      </c>
      <c r="CU49" s="1901">
        <f t="shared" si="22"/>
        <v>0</v>
      </c>
    </row>
    <row r="50" spans="1:99" x14ac:dyDescent="0.3">
      <c r="A50" s="3957" t="s">
        <v>2228</v>
      </c>
      <c r="B50" s="4257">
        <f t="shared" si="0"/>
        <v>0</v>
      </c>
      <c r="C50" s="327"/>
      <c r="D50" s="142"/>
      <c r="E50" s="327"/>
      <c r="F50" s="142"/>
      <c r="G50" s="142"/>
      <c r="H50" s="44"/>
      <c r="I50" s="1026"/>
      <c r="J50" s="337"/>
      <c r="K50" s="142"/>
      <c r="L50" s="327"/>
      <c r="M50" s="1039"/>
      <c r="N50" s="1039"/>
      <c r="O50" s="1039"/>
      <c r="P50" s="142"/>
      <c r="Q50" s="327"/>
      <c r="R50" s="142"/>
      <c r="S50" s="1970" t="str">
        <f t="shared" si="8"/>
        <v/>
      </c>
      <c r="CA50" s="4258" t="str">
        <f t="shared" si="2"/>
        <v/>
      </c>
      <c r="CB50" s="4258" t="str">
        <f t="shared" si="3"/>
        <v/>
      </c>
      <c r="CC50" s="4258" t="str">
        <f t="shared" si="9"/>
        <v/>
      </c>
      <c r="CD50" s="4258" t="str">
        <f t="shared" si="10"/>
        <v/>
      </c>
      <c r="CE50" s="4258" t="str">
        <f t="shared" si="11"/>
        <v/>
      </c>
      <c r="CF50" s="4258" t="str">
        <f t="shared" si="12"/>
        <v/>
      </c>
      <c r="CG50" s="4258" t="str">
        <f t="shared" si="13"/>
        <v/>
      </c>
      <c r="CH50" s="4258" t="str">
        <f t="shared" si="14"/>
        <v/>
      </c>
      <c r="CI50" s="4258" t="str">
        <f t="shared" si="15"/>
        <v/>
      </c>
      <c r="CM50" s="435">
        <f t="shared" si="4"/>
        <v>0</v>
      </c>
      <c r="CN50" s="435">
        <f t="shared" si="5"/>
        <v>0</v>
      </c>
      <c r="CO50" s="435">
        <f t="shared" si="16"/>
        <v>0</v>
      </c>
      <c r="CP50" s="435">
        <f t="shared" si="17"/>
        <v>0</v>
      </c>
      <c r="CQ50" s="435">
        <f t="shared" si="18"/>
        <v>0</v>
      </c>
      <c r="CR50" s="435">
        <f t="shared" si="19"/>
        <v>0</v>
      </c>
      <c r="CS50" s="435">
        <f t="shared" si="20"/>
        <v>0</v>
      </c>
      <c r="CT50" s="1901">
        <f t="shared" si="21"/>
        <v>0</v>
      </c>
      <c r="CU50" s="1901">
        <f t="shared" si="22"/>
        <v>0</v>
      </c>
    </row>
    <row r="51" spans="1:99" x14ac:dyDescent="0.3">
      <c r="A51" s="519" t="s">
        <v>2229</v>
      </c>
      <c r="B51" s="2786">
        <f t="shared" si="0"/>
        <v>0</v>
      </c>
      <c r="C51" s="876"/>
      <c r="D51" s="877"/>
      <c r="E51" s="876"/>
      <c r="F51" s="877"/>
      <c r="G51" s="877"/>
      <c r="H51" s="1911"/>
      <c r="I51" s="1953"/>
      <c r="J51" s="1913"/>
      <c r="K51" s="877"/>
      <c r="L51" s="876"/>
      <c r="M51" s="1907"/>
      <c r="N51" s="1907"/>
      <c r="O51" s="1907"/>
      <c r="P51" s="877"/>
      <c r="Q51" s="876"/>
      <c r="R51" s="877"/>
      <c r="S51" s="1970" t="str">
        <f t="shared" si="8"/>
        <v/>
      </c>
      <c r="CA51" s="4258" t="str">
        <f t="shared" si="2"/>
        <v/>
      </c>
      <c r="CB51" s="4258" t="str">
        <f t="shared" si="3"/>
        <v/>
      </c>
      <c r="CC51" s="4258" t="str">
        <f t="shared" si="9"/>
        <v/>
      </c>
      <c r="CD51" s="4258" t="str">
        <f t="shared" si="10"/>
        <v/>
      </c>
      <c r="CE51" s="4258" t="str">
        <f t="shared" si="11"/>
        <v/>
      </c>
      <c r="CF51" s="4258" t="str">
        <f t="shared" si="12"/>
        <v/>
      </c>
      <c r="CG51" s="4258" t="str">
        <f t="shared" si="13"/>
        <v/>
      </c>
      <c r="CH51" s="4258" t="str">
        <f t="shared" si="14"/>
        <v/>
      </c>
      <c r="CI51" s="4258" t="str">
        <f t="shared" si="15"/>
        <v/>
      </c>
      <c r="CM51" s="435">
        <f t="shared" si="4"/>
        <v>0</v>
      </c>
      <c r="CN51" s="435">
        <f t="shared" si="5"/>
        <v>0</v>
      </c>
      <c r="CO51" s="435">
        <f t="shared" si="16"/>
        <v>0</v>
      </c>
      <c r="CP51" s="435">
        <f t="shared" si="17"/>
        <v>0</v>
      </c>
      <c r="CQ51" s="435">
        <f t="shared" si="18"/>
        <v>0</v>
      </c>
      <c r="CR51" s="435">
        <f t="shared" si="19"/>
        <v>0</v>
      </c>
      <c r="CS51" s="435">
        <f t="shared" si="20"/>
        <v>0</v>
      </c>
      <c r="CT51" s="1901">
        <f t="shared" si="21"/>
        <v>0</v>
      </c>
      <c r="CU51" s="1901">
        <f t="shared" si="22"/>
        <v>0</v>
      </c>
    </row>
    <row r="52" spans="1:99" x14ac:dyDescent="0.3">
      <c r="A52" s="3975" t="s">
        <v>2230</v>
      </c>
      <c r="B52" s="4251">
        <f>SUM(B53:B57)</f>
        <v>0</v>
      </c>
      <c r="C52" s="4251">
        <f>SUM(C53:C57)</f>
        <v>0</v>
      </c>
      <c r="D52" s="4252">
        <f>SUM(D53:D57)</f>
        <v>0</v>
      </c>
      <c r="E52" s="4251"/>
      <c r="F52" s="4252"/>
      <c r="G52" s="4260"/>
      <c r="H52" s="4261"/>
      <c r="I52" s="4255"/>
      <c r="J52" s="4253">
        <f>SUM(J53:J57)</f>
        <v>0</v>
      </c>
      <c r="K52" s="4260">
        <f>SUM(K53:K57)</f>
        <v>0</v>
      </c>
      <c r="L52" s="4262">
        <f>SUM(L53:L57)</f>
        <v>0</v>
      </c>
      <c r="M52" s="4262">
        <f t="shared" ref="M52:R52" si="24">SUM(M53:M57)</f>
        <v>0</v>
      </c>
      <c r="N52" s="4262">
        <f t="shared" si="24"/>
        <v>0</v>
      </c>
      <c r="O52" s="4262">
        <f t="shared" si="24"/>
        <v>0</v>
      </c>
      <c r="P52" s="4252">
        <f t="shared" si="24"/>
        <v>0</v>
      </c>
      <c r="Q52" s="4262">
        <f t="shared" si="24"/>
        <v>0</v>
      </c>
      <c r="R52" s="4252">
        <f t="shared" si="24"/>
        <v>0</v>
      </c>
      <c r="S52" s="1970"/>
      <c r="CA52" s="4263"/>
      <c r="CB52" s="4263"/>
      <c r="CC52" s="4263"/>
      <c r="CD52" s="4263"/>
      <c r="CE52" s="4263"/>
      <c r="CF52" s="4263"/>
      <c r="CG52" s="4263"/>
      <c r="CH52" s="4263"/>
      <c r="CI52" s="4263"/>
      <c r="CM52" s="440"/>
      <c r="CN52" s="440"/>
      <c r="CO52" s="440"/>
      <c r="CP52" s="440"/>
      <c r="CQ52" s="440"/>
      <c r="CR52" s="440"/>
      <c r="CS52" s="440"/>
      <c r="CT52" s="2707"/>
      <c r="CU52" s="2707"/>
    </row>
    <row r="53" spans="1:99" x14ac:dyDescent="0.3">
      <c r="A53" s="400" t="s">
        <v>1655</v>
      </c>
      <c r="B53" s="4257">
        <f>SUM(C53:D53)</f>
        <v>0</v>
      </c>
      <c r="C53" s="327"/>
      <c r="D53" s="142"/>
      <c r="E53" s="334"/>
      <c r="F53" s="1012"/>
      <c r="G53" s="211"/>
      <c r="H53" s="1919"/>
      <c r="I53" s="1016"/>
      <c r="J53" s="3126"/>
      <c r="K53" s="142"/>
      <c r="L53" s="327"/>
      <c r="M53" s="1039"/>
      <c r="N53" s="1039"/>
      <c r="O53" s="1039"/>
      <c r="P53" s="905"/>
      <c r="Q53" s="44"/>
      <c r="R53" s="905"/>
      <c r="S53" s="1970" t="str">
        <f t="shared" si="8"/>
        <v/>
      </c>
      <c r="CA53" s="4258" t="str">
        <f>IF(AND(D53&gt;0,J53=""),"*No olvide digitar el campo TRANS Masculino (Digite CERO si no tiene).", IF(J53&gt;D53," * El Número de TRANS Masculino no puede superar el Total Mujeres. ",""))</f>
        <v/>
      </c>
      <c r="CB53" s="4258" t="str">
        <f>IF(AND(C53&gt;0,OR(K53=""))," *No olvide digitar el campo TRANS Femenino (Digite CERO si no tiene).",IF(K53&gt;$C53," * El Número de TRANS Femenino no puede superar el Total Hombres. ",""))</f>
        <v/>
      </c>
      <c r="CC53" s="4258" t="str">
        <f t="shared" si="9"/>
        <v/>
      </c>
      <c r="CD53" s="4258" t="str">
        <f t="shared" si="10"/>
        <v/>
      </c>
      <c r="CE53" s="4258" t="str">
        <f t="shared" si="11"/>
        <v/>
      </c>
      <c r="CF53" s="4258" t="str">
        <f t="shared" si="12"/>
        <v/>
      </c>
      <c r="CG53" s="4258" t="str">
        <f t="shared" si="13"/>
        <v/>
      </c>
      <c r="CH53" s="4258" t="str">
        <f t="shared" si="14"/>
        <v/>
      </c>
      <c r="CI53" s="4258" t="str">
        <f t="shared" si="15"/>
        <v/>
      </c>
      <c r="CM53" s="435">
        <f>IF(AND(D53&gt;0,OR(J53="")),1,IF(J53&gt;D53,1,0))</f>
        <v>0</v>
      </c>
      <c r="CN53" s="435">
        <f>IF(AND(C53&gt;0,OR(K53="")),1,IF(K53&gt;C53,1,0))</f>
        <v>0</v>
      </c>
      <c r="CO53" s="435">
        <f t="shared" si="16"/>
        <v>0</v>
      </c>
      <c r="CP53" s="435">
        <f t="shared" si="17"/>
        <v>0</v>
      </c>
      <c r="CQ53" s="435">
        <f t="shared" si="18"/>
        <v>0</v>
      </c>
      <c r="CR53" s="435">
        <f t="shared" si="19"/>
        <v>0</v>
      </c>
      <c r="CS53" s="435">
        <f t="shared" si="20"/>
        <v>0</v>
      </c>
      <c r="CT53" s="1901">
        <f t="shared" si="21"/>
        <v>0</v>
      </c>
      <c r="CU53" s="1901">
        <f t="shared" si="22"/>
        <v>0</v>
      </c>
    </row>
    <row r="54" spans="1:99" x14ac:dyDescent="0.3">
      <c r="A54" s="4246" t="s">
        <v>2231</v>
      </c>
      <c r="B54" s="4259">
        <f>SUM(C54:D54)</f>
        <v>0</v>
      </c>
      <c r="C54" s="327"/>
      <c r="D54" s="2003"/>
      <c r="E54" s="3992"/>
      <c r="F54" s="2002"/>
      <c r="G54" s="1978"/>
      <c r="H54" s="1977"/>
      <c r="I54" s="2055"/>
      <c r="J54" s="3986"/>
      <c r="K54" s="330"/>
      <c r="L54" s="3996"/>
      <c r="M54" s="1973"/>
      <c r="N54" s="1973"/>
      <c r="O54" s="1973"/>
      <c r="P54" s="2003"/>
      <c r="Q54" s="3987"/>
      <c r="R54" s="2003"/>
      <c r="S54" s="1970" t="str">
        <f t="shared" si="8"/>
        <v/>
      </c>
      <c r="CA54" s="4258" t="str">
        <f>IF(AND(D54&gt;0,J54=""),"*No olvide digitar el campo TRANS Masculino (Digite CERO si no tiene).", IF(J54&gt;D54," * El Número de TRANS Masculino no puede superar el Total Mujeres. ",""))</f>
        <v/>
      </c>
      <c r="CB54" s="4258" t="str">
        <f>IF(AND(C54&gt;0,OR(K54=""))," *No olvide digitar el campo TRANS Femenino (Digite CERO si no tiene).",IF(K54&gt;$C54," * El Número de TRANS Femenino no puede superar el Total Hombres. ",""))</f>
        <v/>
      </c>
      <c r="CC54" s="4258" t="str">
        <f t="shared" si="9"/>
        <v/>
      </c>
      <c r="CD54" s="4258" t="str">
        <f t="shared" si="10"/>
        <v/>
      </c>
      <c r="CE54" s="4258" t="str">
        <f t="shared" si="11"/>
        <v/>
      </c>
      <c r="CF54" s="4258" t="str">
        <f t="shared" si="12"/>
        <v/>
      </c>
      <c r="CG54" s="4258" t="str">
        <f t="shared" si="13"/>
        <v/>
      </c>
      <c r="CH54" s="4258" t="str">
        <f t="shared" si="14"/>
        <v/>
      </c>
      <c r="CI54" s="4258" t="str">
        <f t="shared" si="15"/>
        <v/>
      </c>
      <c r="CM54" s="435">
        <f>IF(AND(D54&gt;0,OR(J54="")),1,IF(J54&gt;D54,1,0))</f>
        <v>0</v>
      </c>
      <c r="CN54" s="435">
        <f>IF(AND(C54&gt;0,OR(K54="")),1,IF(K54&gt;C54,1,0))</f>
        <v>0</v>
      </c>
      <c r="CO54" s="435">
        <f t="shared" si="16"/>
        <v>0</v>
      </c>
      <c r="CP54" s="435">
        <f t="shared" si="17"/>
        <v>0</v>
      </c>
      <c r="CQ54" s="435">
        <f t="shared" si="18"/>
        <v>0</v>
      </c>
      <c r="CR54" s="435">
        <f t="shared" si="19"/>
        <v>0</v>
      </c>
      <c r="CS54" s="435">
        <f t="shared" si="20"/>
        <v>0</v>
      </c>
      <c r="CT54" s="1901">
        <f t="shared" si="21"/>
        <v>0</v>
      </c>
      <c r="CU54" s="1901">
        <f t="shared" si="22"/>
        <v>0</v>
      </c>
    </row>
    <row r="55" spans="1:99" x14ac:dyDescent="0.3">
      <c r="A55" s="4246" t="s">
        <v>2232</v>
      </c>
      <c r="B55" s="4259">
        <f>SUM(C55:D55)</f>
        <v>0</v>
      </c>
      <c r="C55" s="3996"/>
      <c r="D55" s="2003"/>
      <c r="E55" s="3992"/>
      <c r="F55" s="2002"/>
      <c r="G55" s="1978"/>
      <c r="H55" s="1977"/>
      <c r="I55" s="2055"/>
      <c r="J55" s="3986"/>
      <c r="K55" s="330"/>
      <c r="L55" s="3996"/>
      <c r="M55" s="1973"/>
      <c r="N55" s="1973"/>
      <c r="O55" s="1973"/>
      <c r="P55" s="2003"/>
      <c r="Q55" s="3987"/>
      <c r="R55" s="2003"/>
      <c r="S55" s="1970" t="str">
        <f t="shared" si="8"/>
        <v/>
      </c>
      <c r="CA55" s="4258" t="str">
        <f>IF(AND(D55&gt;0,J55=""),"*No olvide digitar el campo TRANS Masculino (Digite CERO si no tiene).", IF(J55&gt;D55," * El Número de TRANS Masculino no puede superar el Total Mujeres. ",""))</f>
        <v/>
      </c>
      <c r="CB55" s="4258" t="str">
        <f>IF(AND(C55&gt;0,OR(K55=""))," *No olvide digitar el campo TRANS Femenino (Digite CERO si no tiene).",IF(K55&gt;$C55," * El Número de TRANS Femenino no puede superar el Total Hombres. ",""))</f>
        <v/>
      </c>
      <c r="CC55" s="4258" t="str">
        <f t="shared" si="9"/>
        <v/>
      </c>
      <c r="CD55" s="4258" t="str">
        <f t="shared" si="10"/>
        <v/>
      </c>
      <c r="CE55" s="4258" t="str">
        <f t="shared" si="11"/>
        <v/>
      </c>
      <c r="CF55" s="4258" t="str">
        <f t="shared" si="12"/>
        <v/>
      </c>
      <c r="CG55" s="4258" t="str">
        <f t="shared" si="13"/>
        <v/>
      </c>
      <c r="CH55" s="4258" t="str">
        <f t="shared" si="14"/>
        <v/>
      </c>
      <c r="CI55" s="4258" t="str">
        <f t="shared" si="15"/>
        <v/>
      </c>
      <c r="CM55" s="435">
        <f>IF(AND(D55&gt;0,OR(J55="")),1,IF(J55&gt;D55,1,0))</f>
        <v>0</v>
      </c>
      <c r="CN55" s="435">
        <f>IF(AND(C55&gt;0,OR(K55="")),1,IF(K55&gt;C55,1,0))</f>
        <v>0</v>
      </c>
      <c r="CO55" s="435">
        <f t="shared" si="16"/>
        <v>0</v>
      </c>
      <c r="CP55" s="435">
        <f t="shared" si="17"/>
        <v>0</v>
      </c>
      <c r="CQ55" s="435">
        <f t="shared" si="18"/>
        <v>0</v>
      </c>
      <c r="CR55" s="435">
        <f t="shared" si="19"/>
        <v>0</v>
      </c>
      <c r="CS55" s="435">
        <f t="shared" si="20"/>
        <v>0</v>
      </c>
      <c r="CT55" s="1901">
        <f t="shared" si="21"/>
        <v>0</v>
      </c>
      <c r="CU55" s="1901">
        <f t="shared" si="22"/>
        <v>0</v>
      </c>
    </row>
    <row r="56" spans="1:99" x14ac:dyDescent="0.3">
      <c r="A56" s="4246" t="s">
        <v>2233</v>
      </c>
      <c r="B56" s="4259">
        <f>SUM(C56:D56)</f>
        <v>0</v>
      </c>
      <c r="C56" s="3996"/>
      <c r="D56" s="2003"/>
      <c r="E56" s="334"/>
      <c r="F56" s="1012"/>
      <c r="G56" s="211"/>
      <c r="H56" s="1919"/>
      <c r="I56" s="1016"/>
      <c r="J56" s="3986"/>
      <c r="K56" s="330"/>
      <c r="L56" s="3996"/>
      <c r="M56" s="1973"/>
      <c r="N56" s="1973"/>
      <c r="O56" s="1973"/>
      <c r="P56" s="2003"/>
      <c r="Q56" s="3987"/>
      <c r="R56" s="2003"/>
      <c r="S56" s="1970" t="str">
        <f t="shared" si="8"/>
        <v/>
      </c>
      <c r="CA56" s="4258" t="str">
        <f>IF(AND(D56&gt;0,J56=""),"*No olvide digitar el campo TRANS Masculino (Digite CERO si no tiene).", IF(J56&gt;D56," * El Número de TRANS Masculino no puede superar el Total Mujeres. ",""))</f>
        <v/>
      </c>
      <c r="CB56" s="4258" t="str">
        <f>IF(AND(C56&gt;0,OR(K56=""))," *No olvide digitar el campo TRANS Femenino (Digite CERO si no tiene).",IF(K56&gt;$C56," * El Número de TRANS Femenino no puede superar el Total Hombres. ",""))</f>
        <v/>
      </c>
      <c r="CC56" s="4258" t="str">
        <f t="shared" si="9"/>
        <v/>
      </c>
      <c r="CD56" s="4258" t="str">
        <f t="shared" si="10"/>
        <v/>
      </c>
      <c r="CE56" s="4258" t="str">
        <f t="shared" si="11"/>
        <v/>
      </c>
      <c r="CF56" s="4258" t="str">
        <f t="shared" si="12"/>
        <v/>
      </c>
      <c r="CG56" s="4258" t="str">
        <f t="shared" si="13"/>
        <v/>
      </c>
      <c r="CH56" s="4258" t="str">
        <f t="shared" si="14"/>
        <v/>
      </c>
      <c r="CI56" s="4258" t="str">
        <f t="shared" si="15"/>
        <v/>
      </c>
      <c r="CM56" s="435">
        <f>IF(AND(D56&gt;0,OR(J56="")),1,IF(J56&gt;D56,1,0))</f>
        <v>0</v>
      </c>
      <c r="CN56" s="435">
        <f>IF(AND(C56&gt;0,OR(K56="")),1,IF(K56&gt;C56,1,0))</f>
        <v>0</v>
      </c>
      <c r="CO56" s="435">
        <f t="shared" si="16"/>
        <v>0</v>
      </c>
      <c r="CP56" s="435">
        <f t="shared" si="17"/>
        <v>0</v>
      </c>
      <c r="CQ56" s="435">
        <f t="shared" si="18"/>
        <v>0</v>
      </c>
      <c r="CR56" s="435">
        <f t="shared" si="19"/>
        <v>0</v>
      </c>
      <c r="CS56" s="435">
        <f t="shared" si="20"/>
        <v>0</v>
      </c>
      <c r="CT56" s="1901">
        <f t="shared" si="21"/>
        <v>0</v>
      </c>
      <c r="CU56" s="1901">
        <f t="shared" si="22"/>
        <v>0</v>
      </c>
    </row>
    <row r="57" spans="1:99" x14ac:dyDescent="0.3">
      <c r="A57" s="2927" t="s">
        <v>2234</v>
      </c>
      <c r="B57" s="4241">
        <f>SUM(C57:D57)</f>
        <v>0</v>
      </c>
      <c r="C57" s="876"/>
      <c r="D57" s="2009"/>
      <c r="E57" s="1905"/>
      <c r="F57" s="2021"/>
      <c r="G57" s="2020"/>
      <c r="H57" s="1909"/>
      <c r="I57" s="1910"/>
      <c r="J57" s="1913"/>
      <c r="K57" s="877"/>
      <c r="L57" s="876"/>
      <c r="M57" s="1907"/>
      <c r="N57" s="1907"/>
      <c r="O57" s="1907"/>
      <c r="P57" s="2009"/>
      <c r="Q57" s="1911"/>
      <c r="R57" s="2009"/>
      <c r="S57" s="1970" t="str">
        <f>CA57&amp;CB57&amp;CC57&amp;CD57&amp;CE57&amp;CF57&amp;CG57&amp;CH57&amp;CI57</f>
        <v/>
      </c>
      <c r="CA57" s="4258" t="str">
        <f>IF(AND(D57&gt;0,J57=""),"*No olvide digitar el campo TRANS Masculino (Digite CERO si no tiene).", IF(J57&gt;D57," * El Número de TRANS Masculino no puede superar el Total Mujeres. ",""))</f>
        <v/>
      </c>
      <c r="CB57" s="4258" t="str">
        <f>IF(AND(C57&gt;0,OR(K57=""))," *No olvide digitar el campo TRANS Femenino (Digite CERO si no tiene).",IF(K57&gt;$C57," * El Número de TRANS Femenino no puede superar el Total Hombres. ",""))</f>
        <v/>
      </c>
      <c r="CC57" s="4258" t="str">
        <f t="shared" si="9"/>
        <v/>
      </c>
      <c r="CD57" s="4258" t="str">
        <f t="shared" si="10"/>
        <v/>
      </c>
      <c r="CE57" s="4258" t="str">
        <f t="shared" si="11"/>
        <v/>
      </c>
      <c r="CF57" s="4258" t="str">
        <f t="shared" si="12"/>
        <v/>
      </c>
      <c r="CG57" s="4258" t="str">
        <f t="shared" si="13"/>
        <v/>
      </c>
      <c r="CH57" s="4258" t="str">
        <f t="shared" si="14"/>
        <v/>
      </c>
      <c r="CI57" s="4258" t="str">
        <f t="shared" si="15"/>
        <v/>
      </c>
      <c r="CM57" s="435">
        <f>IF(AND(D57&gt;0,OR(J57="")),1,IF(J57&gt;D57,1,0))</f>
        <v>0</v>
      </c>
      <c r="CN57" s="435">
        <f>IF(AND(C57&gt;0,OR(K57="")),1,IF(K57&gt;C57,1,0))</f>
        <v>0</v>
      </c>
      <c r="CO57" s="435">
        <f t="shared" si="16"/>
        <v>0</v>
      </c>
      <c r="CP57" s="435">
        <f t="shared" si="17"/>
        <v>0</v>
      </c>
      <c r="CQ57" s="435">
        <f t="shared" si="18"/>
        <v>0</v>
      </c>
      <c r="CR57" s="435">
        <f t="shared" si="19"/>
        <v>0</v>
      </c>
      <c r="CS57" s="435">
        <f t="shared" si="20"/>
        <v>0</v>
      </c>
      <c r="CT57" s="1901">
        <f t="shared" si="21"/>
        <v>0</v>
      </c>
      <c r="CU57" s="1901">
        <f t="shared" si="22"/>
        <v>0</v>
      </c>
    </row>
    <row r="58" spans="1:99" ht="18" customHeight="1" x14ac:dyDescent="0.3">
      <c r="A58" s="6931" t="s">
        <v>2235</v>
      </c>
      <c r="B58" s="6931"/>
      <c r="C58" s="6931"/>
      <c r="D58" s="6931"/>
      <c r="E58" s="6931"/>
      <c r="F58" s="6931"/>
      <c r="G58" s="6931"/>
      <c r="H58" s="6931"/>
      <c r="I58" s="6931"/>
      <c r="J58" s="6931"/>
      <c r="K58" s="6931"/>
      <c r="L58" s="6931"/>
      <c r="M58" s="6931"/>
      <c r="N58" s="6931"/>
    </row>
    <row r="59" spans="1:99" ht="18" customHeight="1" x14ac:dyDescent="0.3">
      <c r="A59" s="1" t="s">
        <v>2236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99" ht="15" customHeight="1" x14ac:dyDescent="0.3">
      <c r="A60" s="6837" t="s">
        <v>2237</v>
      </c>
      <c r="B60" s="6837" t="s">
        <v>77</v>
      </c>
      <c r="C60" s="6848" t="s">
        <v>2238</v>
      </c>
      <c r="D60" s="6842"/>
      <c r="E60" s="6842"/>
      <c r="F60" s="6842"/>
      <c r="G60" s="6842"/>
      <c r="H60" s="6842"/>
      <c r="I60" s="6842"/>
      <c r="J60" s="6842"/>
      <c r="K60" s="6842"/>
      <c r="L60" s="6843"/>
      <c r="M60" s="6243" t="s">
        <v>2239</v>
      </c>
      <c r="N60" s="6848" t="s">
        <v>2240</v>
      </c>
      <c r="O60" s="6842"/>
      <c r="P60" s="6842"/>
      <c r="Q60" s="6842"/>
      <c r="R60" s="6842"/>
      <c r="S60" s="6842"/>
      <c r="T60" s="6842"/>
      <c r="U60" s="6842"/>
      <c r="V60" s="6842"/>
      <c r="W60" s="6842"/>
      <c r="X60" s="4264"/>
    </row>
    <row r="61" spans="1:99" ht="40.799999999999997" x14ac:dyDescent="0.3">
      <c r="A61" s="6471"/>
      <c r="B61" s="6471"/>
      <c r="C61" s="53" t="s">
        <v>2241</v>
      </c>
      <c r="D61" s="3978" t="s">
        <v>2242</v>
      </c>
      <c r="E61" s="53" t="s">
        <v>2243</v>
      </c>
      <c r="F61" s="4265" t="s">
        <v>2244</v>
      </c>
      <c r="G61" s="3978" t="s">
        <v>2245</v>
      </c>
      <c r="H61" s="53" t="s">
        <v>2246</v>
      </c>
      <c r="I61" s="4265" t="s">
        <v>2247</v>
      </c>
      <c r="J61" s="4265" t="s">
        <v>2248</v>
      </c>
      <c r="K61" s="3978" t="s">
        <v>2249</v>
      </c>
      <c r="L61" s="3974" t="s">
        <v>2250</v>
      </c>
      <c r="M61" s="6687"/>
      <c r="N61" s="3977" t="s">
        <v>2251</v>
      </c>
      <c r="O61" s="3980" t="s">
        <v>58</v>
      </c>
      <c r="P61" s="3981" t="s">
        <v>59</v>
      </c>
      <c r="Q61" s="4022" t="s">
        <v>1278</v>
      </c>
      <c r="R61" s="3978" t="s">
        <v>1354</v>
      </c>
      <c r="S61" s="3978" t="s">
        <v>1355</v>
      </c>
      <c r="T61" s="3978" t="s">
        <v>2178</v>
      </c>
      <c r="U61" s="3978" t="s">
        <v>36</v>
      </c>
      <c r="V61" s="3978" t="s">
        <v>37</v>
      </c>
      <c r="W61" s="3976" t="s">
        <v>2179</v>
      </c>
      <c r="X61" s="53"/>
    </row>
    <row r="62" spans="1:99" x14ac:dyDescent="0.3">
      <c r="A62" s="3443" t="s">
        <v>2252</v>
      </c>
      <c r="B62" s="4266">
        <f>SUM(C62:L62)</f>
        <v>0</v>
      </c>
      <c r="C62" s="960"/>
      <c r="D62" s="960"/>
      <c r="E62" s="960"/>
      <c r="F62" s="960"/>
      <c r="G62" s="4036"/>
      <c r="H62" s="960"/>
      <c r="I62" s="960"/>
      <c r="J62" s="4036"/>
      <c r="K62" s="960"/>
      <c r="L62" s="4035"/>
      <c r="M62" s="4013"/>
      <c r="N62" s="4267">
        <f>SUM(O62:P62)</f>
        <v>0</v>
      </c>
      <c r="O62" s="4036"/>
      <c r="P62" s="892"/>
      <c r="Q62" s="3126"/>
      <c r="R62" s="960"/>
      <c r="S62" s="960"/>
      <c r="T62" s="960"/>
      <c r="U62" s="960"/>
      <c r="V62" s="960"/>
      <c r="W62" s="4013"/>
      <c r="X62" s="1970" t="str">
        <f>CA62&amp;CB62&amp;CC62&amp;CD62&amp;CE62&amp;CF62&amp;CG62</f>
        <v/>
      </c>
      <c r="CA62" s="4258" t="str">
        <f>IF(AND(P62&gt;0,Q62=""),"*No olvide digitar el campo "&amp;Q$61&amp;""&amp;". Digite CERO si no tiene.", IF(Q62&gt;P62," * El Número de "&amp;Q$61&amp;""&amp;" no puede superar el Total Mujeres. ",""))</f>
        <v/>
      </c>
      <c r="CB62" s="4258" t="str">
        <f>IF(AND(O62&gt;0,R62=""),"*No olvide digitar el campo "&amp;R$61&amp;""&amp;". Digite CERO si no tiene.", IF(R62&gt;O62," * El Número de "&amp;R$61&amp;""&amp;" no puede superar el Total hOMBRES. ",""))</f>
        <v/>
      </c>
      <c r="CC62" s="4258" t="str">
        <f>IF(AND($N62&gt;0,S62=""),"*No olvide digitar el campo "&amp;S$61&amp;""&amp;". Digite CERO si no tiene.", IF(S62&gt;$N62," * La variable "&amp;S$61&amp;""&amp;" no puede superar el Total Ambos Sexos. ",""))</f>
        <v/>
      </c>
      <c r="CD62" s="4258" t="str">
        <f>IF(AND($N62&gt;0,T62=""),"*No olvide digitar el campo "&amp;T$61&amp;""&amp;". Digite CERO si no tiene.", IF(T62&gt;$N62," * La variable "&amp;T$61&amp;""&amp;" no puede superar el Total Ambos Sexos. ",""))</f>
        <v/>
      </c>
      <c r="CE62" s="4258" t="str">
        <f>IF(AND($N62&gt;0,U62=""),"*No olvide digitar el campo "&amp;U$61&amp;""&amp;". Digite CERO si no tiene.", IF(U62&gt;$N62," * La variable "&amp;U$61&amp;""&amp;" no puede superar el Total Ambos Sexos. ",""))</f>
        <v/>
      </c>
      <c r="CF62" s="4258" t="str">
        <f>IF(AND($N62&gt;0,V62=""),"*No olvide digitar el campo "&amp;V$61&amp;""&amp;". Digite CERO si no tiene.", IF(V62&gt;$N62," * La variable "&amp;V$61&amp;""&amp;" no puede superar el Total Ambos Sexos. ",""))</f>
        <v/>
      </c>
      <c r="CG62" s="4258" t="str">
        <f>IF(AND($N62&gt;0,W62=""),"*No olvide digitar el campo "&amp;W$61&amp;""&amp;". Digite CERO si no tiene.", IF(W62&gt;$N62," * La variable "&amp;W$61&amp;""&amp;" no puede superar el Total Ambos Sexos. ",""))</f>
        <v/>
      </c>
      <c r="CM62" s="435">
        <f>IF(AND(P62&gt;0,OR(Q62="")),1,IF(Q62&gt;P62,1,0))</f>
        <v>0</v>
      </c>
      <c r="CN62" s="435">
        <f>IF(AND(O62&gt;0,OR(R62="")),1,IF(R62&gt;O62,1,0))</f>
        <v>0</v>
      </c>
      <c r="CO62" s="435">
        <f>IF(AND($N62&gt;0,OR(S62="")),1,IF(S62&gt;$N62,1,0))</f>
        <v>0</v>
      </c>
      <c r="CP62" s="435">
        <f t="shared" ref="CP62:CS62" si="25">IF(AND($N62&gt;0,OR(T62="")),1,IF(T62&gt;$N62,1,0))</f>
        <v>0</v>
      </c>
      <c r="CQ62" s="435">
        <f t="shared" si="25"/>
        <v>0</v>
      </c>
      <c r="CR62" s="435">
        <f t="shared" si="25"/>
        <v>0</v>
      </c>
      <c r="CS62" s="435">
        <f t="shared" si="25"/>
        <v>0</v>
      </c>
    </row>
    <row r="63" spans="1:99" x14ac:dyDescent="0.3">
      <c r="A63" s="4065" t="s">
        <v>2147</v>
      </c>
      <c r="B63" s="500">
        <f>SUM(C63:L63)</f>
        <v>0</v>
      </c>
      <c r="C63" s="1973"/>
      <c r="D63" s="1973"/>
      <c r="E63" s="1973"/>
      <c r="F63" s="1973"/>
      <c r="G63" s="3987"/>
      <c r="H63" s="1973"/>
      <c r="I63" s="1973"/>
      <c r="J63" s="3987"/>
      <c r="K63" s="1973"/>
      <c r="L63" s="4026"/>
      <c r="M63" s="330"/>
      <c r="N63" s="3991">
        <f t="shared" ref="N63:N70" si="26">SUM(O63:P63)</f>
        <v>0</v>
      </c>
      <c r="O63" s="3987"/>
      <c r="P63" s="332"/>
      <c r="Q63" s="3986"/>
      <c r="R63" s="1973"/>
      <c r="S63" s="1973"/>
      <c r="T63" s="1973"/>
      <c r="U63" s="1973"/>
      <c r="V63" s="1973"/>
      <c r="W63" s="330"/>
      <c r="X63" s="1970" t="str">
        <f t="shared" ref="X63:X72" si="27">CA63&amp;CB63&amp;CC63&amp;CD63&amp;CE63&amp;CF63&amp;CG63</f>
        <v/>
      </c>
      <c r="CA63" s="4258" t="str">
        <f t="shared" ref="CA63:CA73" si="28">IF(AND(P63&gt;0,Q63=""),"*No olvide digitar el campo "&amp;Q$61&amp;""&amp;". Digite CERO si no tiene.", IF(Q63&gt;P63," * El Número de "&amp;Q$61&amp;""&amp;" no puede superar el Total Mujeres. ",""))</f>
        <v/>
      </c>
      <c r="CB63" s="4258" t="str">
        <f t="shared" ref="CB63:CB73" si="29">IF(AND(O63&gt;0,R63=""),"*No olvide digitar el campo "&amp;R$61&amp;""&amp;". Digite CERO si no tiene.", IF(R63&gt;O63," * El Número de "&amp;R$61&amp;""&amp;" no puede superar el Total hOMBRES. ",""))</f>
        <v/>
      </c>
      <c r="CC63" s="4258" t="str">
        <f t="shared" ref="CC63:CC73" si="30">IF(AND($N63&gt;0,S63=""),"*No olvide digitar el campo "&amp;S$61&amp;""&amp;". Digite CERO si no tiene.", IF(S63&gt;$N63," * La variable "&amp;S$61&amp;""&amp;" no puede superar el Total Ambos Sexos. ",""))</f>
        <v/>
      </c>
      <c r="CD63" s="4258" t="str">
        <f t="shared" ref="CD63:CD73" si="31">IF(AND($N63&gt;0,T63=""),"*No olvide digitar el campo "&amp;T$61&amp;""&amp;". Digite CERO si no tiene.", IF(T63&gt;$N63," * La variable "&amp;T$61&amp;""&amp;" no puede superar el Total Ambos Sexos. ",""))</f>
        <v/>
      </c>
      <c r="CE63" s="4258" t="str">
        <f t="shared" ref="CE63:CE73" si="32">IF(AND($N63&gt;0,U63=""),"*No olvide digitar el campo "&amp;U$61&amp;""&amp;". Digite CERO si no tiene.", IF(U63&gt;$N63," * La variable "&amp;U$61&amp;""&amp;" no puede superar el Total Ambos Sexos. ",""))</f>
        <v/>
      </c>
      <c r="CF63" s="4258" t="str">
        <f t="shared" ref="CF63:CF73" si="33">IF(AND($N63&gt;0,V63=""),"*No olvide digitar el campo "&amp;V$61&amp;""&amp;". Digite CERO si no tiene.", IF(V63&gt;$N63," * La variable "&amp;V$61&amp;""&amp;" no puede superar el Total Ambos Sexos. ",""))</f>
        <v/>
      </c>
      <c r="CG63" s="4258" t="str">
        <f t="shared" ref="CG63:CG73" si="34">IF(AND($N63&gt;0,W63=""),"*No olvide digitar el campo "&amp;W$61&amp;""&amp;". Digite CERO si no tiene.", IF(W63&gt;$N63," * La variable "&amp;W$61&amp;""&amp;" no puede superar el Total Ambos Sexos. ",""))</f>
        <v/>
      </c>
      <c r="CM63" s="435">
        <f t="shared" ref="CM63:CM73" si="35">IF(AND(P63&gt;0,OR(Q63="")),1,IF(Q63&gt;P63,1,0))</f>
        <v>0</v>
      </c>
      <c r="CN63" s="435">
        <f t="shared" ref="CN63:CN73" si="36">IF(AND(O63&gt;0,OR(R63="")),1,IF(R63&gt;O63,1,0))</f>
        <v>0</v>
      </c>
      <c r="CO63" s="435">
        <f t="shared" ref="CO63:CO73" si="37">IF(AND($N63&gt;0,OR(S63="")),1,IF(S63&gt;$N63,1,0))</f>
        <v>0</v>
      </c>
      <c r="CP63" s="435">
        <f t="shared" ref="CP63:CP73" si="38">IF(AND($N63&gt;0,OR(T63="")),1,IF(T63&gt;$N63,1,0))</f>
        <v>0</v>
      </c>
      <c r="CQ63" s="435">
        <f t="shared" ref="CQ63:CQ73" si="39">IF(AND($N63&gt;0,OR(U63="")),1,IF(U63&gt;$N63,1,0))</f>
        <v>0</v>
      </c>
      <c r="CR63" s="435">
        <f t="shared" ref="CR63:CR73" si="40">IF(AND($N63&gt;0,OR(V63="")),1,IF(V63&gt;$N63,1,0))</f>
        <v>0</v>
      </c>
      <c r="CS63" s="435">
        <f t="shared" ref="CS63:CS73" si="41">IF(AND($N63&gt;0,OR(W63="")),1,IF(W63&gt;$N63,1,0))</f>
        <v>0</v>
      </c>
    </row>
    <row r="64" spans="1:99" x14ac:dyDescent="0.3">
      <c r="A64" s="4065" t="s">
        <v>2253</v>
      </c>
      <c r="B64" s="500">
        <f t="shared" ref="B64:B72" si="42">SUM(C64:L64)</f>
        <v>0</v>
      </c>
      <c r="C64" s="1973"/>
      <c r="D64" s="1973"/>
      <c r="E64" s="1973"/>
      <c r="F64" s="1973"/>
      <c r="G64" s="3987"/>
      <c r="H64" s="1973"/>
      <c r="I64" s="1973"/>
      <c r="J64" s="3987"/>
      <c r="K64" s="1973"/>
      <c r="L64" s="4026"/>
      <c r="M64" s="330"/>
      <c r="N64" s="231">
        <f t="shared" si="26"/>
        <v>0</v>
      </c>
      <c r="O64" s="3987"/>
      <c r="P64" s="332"/>
      <c r="Q64" s="3986"/>
      <c r="R64" s="1973"/>
      <c r="S64" s="1973"/>
      <c r="T64" s="1973"/>
      <c r="U64" s="1973"/>
      <c r="V64" s="1973"/>
      <c r="W64" s="330"/>
      <c r="X64" s="1970" t="str">
        <f t="shared" si="27"/>
        <v/>
      </c>
      <c r="CA64" s="4258" t="str">
        <f t="shared" si="28"/>
        <v/>
      </c>
      <c r="CB64" s="4258" t="str">
        <f t="shared" si="29"/>
        <v/>
      </c>
      <c r="CC64" s="4258" t="str">
        <f t="shared" si="30"/>
        <v/>
      </c>
      <c r="CD64" s="4258" t="str">
        <f t="shared" si="31"/>
        <v/>
      </c>
      <c r="CE64" s="4258" t="str">
        <f t="shared" si="32"/>
        <v/>
      </c>
      <c r="CF64" s="4258" t="str">
        <f t="shared" si="33"/>
        <v/>
      </c>
      <c r="CG64" s="4258" t="str">
        <f t="shared" si="34"/>
        <v/>
      </c>
      <c r="CM64" s="435">
        <f t="shared" si="35"/>
        <v>0</v>
      </c>
      <c r="CN64" s="435">
        <f t="shared" si="36"/>
        <v>0</v>
      </c>
      <c r="CO64" s="435">
        <f t="shared" si="37"/>
        <v>0</v>
      </c>
      <c r="CP64" s="435">
        <f t="shared" si="38"/>
        <v>0</v>
      </c>
      <c r="CQ64" s="435">
        <f t="shared" si="39"/>
        <v>0</v>
      </c>
      <c r="CR64" s="435">
        <f t="shared" si="40"/>
        <v>0</v>
      </c>
      <c r="CS64" s="435">
        <f t="shared" si="41"/>
        <v>0</v>
      </c>
    </row>
    <row r="65" spans="1:97" x14ac:dyDescent="0.3">
      <c r="A65" s="4065" t="s">
        <v>2254</v>
      </c>
      <c r="B65" s="500">
        <f t="shared" si="42"/>
        <v>0</v>
      </c>
      <c r="C65" s="1973"/>
      <c r="D65" s="1973"/>
      <c r="E65" s="1973"/>
      <c r="F65" s="1973"/>
      <c r="G65" s="3987"/>
      <c r="H65" s="1973"/>
      <c r="I65" s="1973"/>
      <c r="J65" s="3987"/>
      <c r="K65" s="1973"/>
      <c r="L65" s="4026"/>
      <c r="M65" s="330"/>
      <c r="N65" s="199">
        <f>SUM(O65:P65)</f>
        <v>0</v>
      </c>
      <c r="O65" s="3987"/>
      <c r="P65" s="332"/>
      <c r="Q65" s="3986"/>
      <c r="R65" s="1973"/>
      <c r="S65" s="1973"/>
      <c r="T65" s="1973"/>
      <c r="U65" s="1973"/>
      <c r="V65" s="1973"/>
      <c r="W65" s="330"/>
      <c r="X65" s="1970" t="str">
        <f t="shared" si="27"/>
        <v/>
      </c>
      <c r="CA65" s="4258" t="str">
        <f t="shared" si="28"/>
        <v/>
      </c>
      <c r="CB65" s="4258" t="str">
        <f t="shared" si="29"/>
        <v/>
      </c>
      <c r="CC65" s="4258" t="str">
        <f t="shared" si="30"/>
        <v/>
      </c>
      <c r="CD65" s="4258" t="str">
        <f t="shared" si="31"/>
        <v/>
      </c>
      <c r="CE65" s="4258" t="str">
        <f t="shared" si="32"/>
        <v/>
      </c>
      <c r="CF65" s="4258" t="str">
        <f t="shared" si="33"/>
        <v/>
      </c>
      <c r="CG65" s="4258" t="str">
        <f t="shared" si="34"/>
        <v/>
      </c>
      <c r="CM65" s="435">
        <f t="shared" si="35"/>
        <v>0</v>
      </c>
      <c r="CN65" s="435">
        <f t="shared" si="36"/>
        <v>0</v>
      </c>
      <c r="CO65" s="435">
        <f t="shared" si="37"/>
        <v>0</v>
      </c>
      <c r="CP65" s="435">
        <f t="shared" si="38"/>
        <v>0</v>
      </c>
      <c r="CQ65" s="435">
        <f t="shared" si="39"/>
        <v>0</v>
      </c>
      <c r="CR65" s="435">
        <f t="shared" si="40"/>
        <v>0</v>
      </c>
      <c r="CS65" s="435">
        <f t="shared" si="41"/>
        <v>0</v>
      </c>
    </row>
    <row r="66" spans="1:97" x14ac:dyDescent="0.3">
      <c r="A66" s="4065" t="s">
        <v>2255</v>
      </c>
      <c r="B66" s="500">
        <f t="shared" si="42"/>
        <v>0</v>
      </c>
      <c r="C66" s="1973"/>
      <c r="D66" s="1973"/>
      <c r="E66" s="1973"/>
      <c r="F66" s="1973"/>
      <c r="G66" s="3987"/>
      <c r="H66" s="1973"/>
      <c r="I66" s="1973"/>
      <c r="J66" s="3987"/>
      <c r="K66" s="1973"/>
      <c r="L66" s="4026"/>
      <c r="M66" s="330"/>
      <c r="N66" s="3991">
        <f>SUM(O66:P66)</f>
        <v>0</v>
      </c>
      <c r="O66" s="3987"/>
      <c r="P66" s="332"/>
      <c r="Q66" s="3986"/>
      <c r="R66" s="1973"/>
      <c r="S66" s="1973"/>
      <c r="T66" s="1973"/>
      <c r="U66" s="1973"/>
      <c r="V66" s="1973"/>
      <c r="W66" s="330"/>
      <c r="X66" s="1970" t="str">
        <f t="shared" si="27"/>
        <v/>
      </c>
      <c r="CA66" s="4258" t="str">
        <f t="shared" si="28"/>
        <v/>
      </c>
      <c r="CB66" s="4258" t="str">
        <f t="shared" si="29"/>
        <v/>
      </c>
      <c r="CC66" s="4258" t="str">
        <f t="shared" si="30"/>
        <v/>
      </c>
      <c r="CD66" s="4258" t="str">
        <f t="shared" si="31"/>
        <v/>
      </c>
      <c r="CE66" s="4258" t="str">
        <f t="shared" si="32"/>
        <v/>
      </c>
      <c r="CF66" s="4258" t="str">
        <f t="shared" si="33"/>
        <v/>
      </c>
      <c r="CG66" s="4258" t="str">
        <f t="shared" si="34"/>
        <v/>
      </c>
      <c r="CM66" s="435">
        <f t="shared" si="35"/>
        <v>0</v>
      </c>
      <c r="CN66" s="435">
        <f t="shared" si="36"/>
        <v>0</v>
      </c>
      <c r="CO66" s="435">
        <f t="shared" si="37"/>
        <v>0</v>
      </c>
      <c r="CP66" s="435">
        <f t="shared" si="38"/>
        <v>0</v>
      </c>
      <c r="CQ66" s="435">
        <f t="shared" si="39"/>
        <v>0</v>
      </c>
      <c r="CR66" s="435">
        <f t="shared" si="40"/>
        <v>0</v>
      </c>
      <c r="CS66" s="435">
        <f t="shared" si="41"/>
        <v>0</v>
      </c>
    </row>
    <row r="67" spans="1:97" x14ac:dyDescent="0.3">
      <c r="A67" s="4065" t="s">
        <v>2256</v>
      </c>
      <c r="B67" s="500">
        <f t="shared" si="42"/>
        <v>0</v>
      </c>
      <c r="C67" s="1973"/>
      <c r="D67" s="1973"/>
      <c r="E67" s="1973"/>
      <c r="F67" s="1973"/>
      <c r="G67" s="3987"/>
      <c r="H67" s="1973"/>
      <c r="I67" s="1973"/>
      <c r="J67" s="3987"/>
      <c r="K67" s="1973"/>
      <c r="L67" s="4026"/>
      <c r="M67" s="330"/>
      <c r="N67" s="199">
        <f>SUM(O67:P67)</f>
        <v>0</v>
      </c>
      <c r="O67" s="3987"/>
      <c r="P67" s="332"/>
      <c r="Q67" s="3986"/>
      <c r="R67" s="1973"/>
      <c r="S67" s="1973"/>
      <c r="T67" s="1973"/>
      <c r="U67" s="1973"/>
      <c r="V67" s="1973"/>
      <c r="W67" s="330"/>
      <c r="X67" s="1970" t="str">
        <f t="shared" si="27"/>
        <v/>
      </c>
      <c r="CA67" s="4258" t="str">
        <f t="shared" si="28"/>
        <v/>
      </c>
      <c r="CB67" s="4258" t="str">
        <f t="shared" si="29"/>
        <v/>
      </c>
      <c r="CC67" s="4258" t="str">
        <f t="shared" si="30"/>
        <v/>
      </c>
      <c r="CD67" s="4258" t="str">
        <f t="shared" si="31"/>
        <v/>
      </c>
      <c r="CE67" s="4258" t="str">
        <f t="shared" si="32"/>
        <v/>
      </c>
      <c r="CF67" s="4258" t="str">
        <f t="shared" si="33"/>
        <v/>
      </c>
      <c r="CG67" s="4258" t="str">
        <f t="shared" si="34"/>
        <v/>
      </c>
      <c r="CM67" s="435">
        <f t="shared" si="35"/>
        <v>0</v>
      </c>
      <c r="CN67" s="435">
        <f t="shared" si="36"/>
        <v>0</v>
      </c>
      <c r="CO67" s="435">
        <f t="shared" si="37"/>
        <v>0</v>
      </c>
      <c r="CP67" s="435">
        <f t="shared" si="38"/>
        <v>0</v>
      </c>
      <c r="CQ67" s="435">
        <f t="shared" si="39"/>
        <v>0</v>
      </c>
      <c r="CR67" s="435">
        <f t="shared" si="40"/>
        <v>0</v>
      </c>
      <c r="CS67" s="435">
        <f t="shared" si="41"/>
        <v>0</v>
      </c>
    </row>
    <row r="68" spans="1:97" x14ac:dyDescent="0.3">
      <c r="A68" s="4065" t="s">
        <v>2257</v>
      </c>
      <c r="B68" s="500">
        <f t="shared" si="42"/>
        <v>0</v>
      </c>
      <c r="C68" s="1973"/>
      <c r="D68" s="1973"/>
      <c r="E68" s="1973"/>
      <c r="F68" s="1973"/>
      <c r="G68" s="3987"/>
      <c r="H68" s="1973"/>
      <c r="I68" s="1973"/>
      <c r="J68" s="3987"/>
      <c r="K68" s="1973"/>
      <c r="L68" s="4026"/>
      <c r="M68" s="330"/>
      <c r="N68" s="199">
        <f t="shared" si="26"/>
        <v>0</v>
      </c>
      <c r="O68" s="3987"/>
      <c r="P68" s="332"/>
      <c r="Q68" s="3986"/>
      <c r="R68" s="1973"/>
      <c r="S68" s="1973"/>
      <c r="T68" s="1973"/>
      <c r="U68" s="1973"/>
      <c r="V68" s="1973"/>
      <c r="W68" s="330"/>
      <c r="X68" s="1970" t="str">
        <f t="shared" si="27"/>
        <v/>
      </c>
      <c r="CA68" s="4258" t="str">
        <f t="shared" si="28"/>
        <v/>
      </c>
      <c r="CB68" s="4258" t="str">
        <f t="shared" si="29"/>
        <v/>
      </c>
      <c r="CC68" s="4258" t="str">
        <f t="shared" si="30"/>
        <v/>
      </c>
      <c r="CD68" s="4258" t="str">
        <f t="shared" si="31"/>
        <v/>
      </c>
      <c r="CE68" s="4258" t="str">
        <f t="shared" si="32"/>
        <v/>
      </c>
      <c r="CF68" s="4258" t="str">
        <f t="shared" si="33"/>
        <v/>
      </c>
      <c r="CG68" s="4258" t="str">
        <f t="shared" si="34"/>
        <v/>
      </c>
      <c r="CM68" s="435">
        <f t="shared" si="35"/>
        <v>0</v>
      </c>
      <c r="CN68" s="435">
        <f t="shared" si="36"/>
        <v>0</v>
      </c>
      <c r="CO68" s="435">
        <f t="shared" si="37"/>
        <v>0</v>
      </c>
      <c r="CP68" s="435">
        <f t="shared" si="38"/>
        <v>0</v>
      </c>
      <c r="CQ68" s="435">
        <f t="shared" si="39"/>
        <v>0</v>
      </c>
      <c r="CR68" s="435">
        <f t="shared" si="40"/>
        <v>0</v>
      </c>
      <c r="CS68" s="435">
        <f t="shared" si="41"/>
        <v>0</v>
      </c>
    </row>
    <row r="69" spans="1:97" x14ac:dyDescent="0.3">
      <c r="A69" s="4065" t="s">
        <v>2258</v>
      </c>
      <c r="B69" s="500">
        <f t="shared" si="42"/>
        <v>0</v>
      </c>
      <c r="C69" s="1973"/>
      <c r="D69" s="1973"/>
      <c r="E69" s="1973"/>
      <c r="F69" s="1973"/>
      <c r="G69" s="3987"/>
      <c r="H69" s="1973"/>
      <c r="I69" s="1973"/>
      <c r="J69" s="3987"/>
      <c r="K69" s="1973"/>
      <c r="L69" s="4026"/>
      <c r="M69" s="330"/>
      <c r="N69" s="199">
        <f t="shared" si="26"/>
        <v>0</v>
      </c>
      <c r="O69" s="3987"/>
      <c r="P69" s="332"/>
      <c r="Q69" s="3986"/>
      <c r="R69" s="1973"/>
      <c r="S69" s="1973"/>
      <c r="T69" s="1973"/>
      <c r="U69" s="1973"/>
      <c r="V69" s="1973"/>
      <c r="W69" s="330"/>
      <c r="X69" s="1970" t="str">
        <f t="shared" si="27"/>
        <v/>
      </c>
      <c r="CA69" s="4258" t="str">
        <f t="shared" si="28"/>
        <v/>
      </c>
      <c r="CB69" s="4258" t="str">
        <f t="shared" si="29"/>
        <v/>
      </c>
      <c r="CC69" s="4258" t="str">
        <f t="shared" si="30"/>
        <v/>
      </c>
      <c r="CD69" s="4258" t="str">
        <f t="shared" si="31"/>
        <v/>
      </c>
      <c r="CE69" s="4258" t="str">
        <f t="shared" si="32"/>
        <v/>
      </c>
      <c r="CF69" s="4258" t="str">
        <f t="shared" si="33"/>
        <v/>
      </c>
      <c r="CG69" s="4258" t="str">
        <f t="shared" si="34"/>
        <v/>
      </c>
      <c r="CM69" s="435">
        <f t="shared" si="35"/>
        <v>0</v>
      </c>
      <c r="CN69" s="435">
        <f t="shared" si="36"/>
        <v>0</v>
      </c>
      <c r="CO69" s="435">
        <f t="shared" si="37"/>
        <v>0</v>
      </c>
      <c r="CP69" s="435">
        <f t="shared" si="38"/>
        <v>0</v>
      </c>
      <c r="CQ69" s="435">
        <f t="shared" si="39"/>
        <v>0</v>
      </c>
      <c r="CR69" s="435">
        <f t="shared" si="40"/>
        <v>0</v>
      </c>
      <c r="CS69" s="435">
        <f t="shared" si="41"/>
        <v>0</v>
      </c>
    </row>
    <row r="70" spans="1:97" x14ac:dyDescent="0.3">
      <c r="A70" s="4065" t="s">
        <v>2259</v>
      </c>
      <c r="B70" s="500">
        <f t="shared" si="42"/>
        <v>0</v>
      </c>
      <c r="C70" s="1018"/>
      <c r="D70" s="1018"/>
      <c r="E70" s="1018"/>
      <c r="F70" s="1018"/>
      <c r="G70" s="1162"/>
      <c r="H70" s="1018"/>
      <c r="I70" s="1018"/>
      <c r="J70" s="1162"/>
      <c r="K70" s="1018"/>
      <c r="L70" s="3526"/>
      <c r="M70" s="330"/>
      <c r="N70" s="3991">
        <f t="shared" si="26"/>
        <v>0</v>
      </c>
      <c r="O70" s="3987"/>
      <c r="P70" s="332"/>
      <c r="Q70" s="3986"/>
      <c r="R70" s="1973"/>
      <c r="S70" s="1973"/>
      <c r="T70" s="1973"/>
      <c r="U70" s="1973"/>
      <c r="V70" s="1973"/>
      <c r="W70" s="330"/>
      <c r="X70" s="1970" t="str">
        <f t="shared" si="27"/>
        <v/>
      </c>
      <c r="CA70" s="4258" t="str">
        <f t="shared" si="28"/>
        <v/>
      </c>
      <c r="CB70" s="4258" t="str">
        <f t="shared" si="29"/>
        <v/>
      </c>
      <c r="CC70" s="4258" t="str">
        <f t="shared" si="30"/>
        <v/>
      </c>
      <c r="CD70" s="4258" t="str">
        <f t="shared" si="31"/>
        <v/>
      </c>
      <c r="CE70" s="4258" t="str">
        <f t="shared" si="32"/>
        <v/>
      </c>
      <c r="CF70" s="4258" t="str">
        <f t="shared" si="33"/>
        <v/>
      </c>
      <c r="CG70" s="4258" t="str">
        <f t="shared" si="34"/>
        <v/>
      </c>
      <c r="CM70" s="435">
        <f t="shared" si="35"/>
        <v>0</v>
      </c>
      <c r="CN70" s="435">
        <f t="shared" si="36"/>
        <v>0</v>
      </c>
      <c r="CO70" s="435">
        <f t="shared" si="37"/>
        <v>0</v>
      </c>
      <c r="CP70" s="435">
        <f t="shared" si="38"/>
        <v>0</v>
      </c>
      <c r="CQ70" s="435">
        <f t="shared" si="39"/>
        <v>0</v>
      </c>
      <c r="CR70" s="435">
        <f t="shared" si="40"/>
        <v>0</v>
      </c>
      <c r="CS70" s="435">
        <f t="shared" si="41"/>
        <v>0</v>
      </c>
    </row>
    <row r="71" spans="1:97" x14ac:dyDescent="0.3">
      <c r="A71" s="196" t="s">
        <v>2260</v>
      </c>
      <c r="B71" s="500">
        <f t="shared" si="42"/>
        <v>0</v>
      </c>
      <c r="C71" s="1018"/>
      <c r="D71" s="1018"/>
      <c r="E71" s="1018"/>
      <c r="F71" s="1018"/>
      <c r="G71" s="1162"/>
      <c r="H71" s="1973"/>
      <c r="I71" s="1018"/>
      <c r="J71" s="3987"/>
      <c r="K71" s="1018"/>
      <c r="L71" s="3526"/>
      <c r="M71" s="330"/>
      <c r="N71" s="3991">
        <f>SUM(O71:P71)</f>
        <v>0</v>
      </c>
      <c r="O71" s="3987"/>
      <c r="P71" s="332"/>
      <c r="Q71" s="3986"/>
      <c r="R71" s="1973"/>
      <c r="S71" s="1973"/>
      <c r="T71" s="1973"/>
      <c r="U71" s="1973"/>
      <c r="V71" s="1973"/>
      <c r="W71" s="330"/>
      <c r="X71" s="1970" t="str">
        <f t="shared" si="27"/>
        <v/>
      </c>
      <c r="CA71" s="4258" t="str">
        <f t="shared" si="28"/>
        <v/>
      </c>
      <c r="CB71" s="4258" t="str">
        <f t="shared" si="29"/>
        <v/>
      </c>
      <c r="CC71" s="4258" t="str">
        <f t="shared" si="30"/>
        <v/>
      </c>
      <c r="CD71" s="4258" t="str">
        <f t="shared" si="31"/>
        <v/>
      </c>
      <c r="CE71" s="4258" t="str">
        <f t="shared" si="32"/>
        <v/>
      </c>
      <c r="CF71" s="4258" t="str">
        <f t="shared" si="33"/>
        <v/>
      </c>
      <c r="CG71" s="4258" t="str">
        <f t="shared" si="34"/>
        <v/>
      </c>
      <c r="CM71" s="435">
        <f t="shared" si="35"/>
        <v>0</v>
      </c>
      <c r="CN71" s="435">
        <f t="shared" si="36"/>
        <v>0</v>
      </c>
      <c r="CO71" s="435">
        <f t="shared" si="37"/>
        <v>0</v>
      </c>
      <c r="CP71" s="435">
        <f t="shared" si="38"/>
        <v>0</v>
      </c>
      <c r="CQ71" s="435">
        <f t="shared" si="39"/>
        <v>0</v>
      </c>
      <c r="CR71" s="435">
        <f t="shared" si="40"/>
        <v>0</v>
      </c>
      <c r="CS71" s="435">
        <f t="shared" si="41"/>
        <v>0</v>
      </c>
    </row>
    <row r="72" spans="1:97" x14ac:dyDescent="0.3">
      <c r="A72" s="196" t="s">
        <v>2261</v>
      </c>
      <c r="B72" s="500">
        <f t="shared" si="42"/>
        <v>0</v>
      </c>
      <c r="C72" s="1018"/>
      <c r="D72" s="1018"/>
      <c r="E72" s="1018"/>
      <c r="F72" s="1018"/>
      <c r="G72" s="1162"/>
      <c r="H72" s="1018"/>
      <c r="I72" s="1018"/>
      <c r="J72" s="1162"/>
      <c r="K72" s="1018"/>
      <c r="L72" s="3526"/>
      <c r="M72" s="330"/>
      <c r="N72" s="231">
        <f>SUM(O72:P72)</f>
        <v>0</v>
      </c>
      <c r="O72" s="3987"/>
      <c r="P72" s="332"/>
      <c r="Q72" s="3986"/>
      <c r="R72" s="1973"/>
      <c r="S72" s="1973"/>
      <c r="T72" s="1973"/>
      <c r="U72" s="1973"/>
      <c r="V72" s="1973"/>
      <c r="W72" s="330"/>
      <c r="X72" s="1970" t="str">
        <f t="shared" si="27"/>
        <v/>
      </c>
      <c r="CA72" s="4258" t="str">
        <f t="shared" si="28"/>
        <v/>
      </c>
      <c r="CB72" s="4258" t="str">
        <f t="shared" si="29"/>
        <v/>
      </c>
      <c r="CC72" s="4258" t="str">
        <f t="shared" si="30"/>
        <v/>
      </c>
      <c r="CD72" s="4258" t="str">
        <f t="shared" si="31"/>
        <v/>
      </c>
      <c r="CE72" s="4258" t="str">
        <f t="shared" si="32"/>
        <v/>
      </c>
      <c r="CF72" s="4258" t="str">
        <f t="shared" si="33"/>
        <v/>
      </c>
      <c r="CG72" s="4258" t="str">
        <f t="shared" si="34"/>
        <v/>
      </c>
      <c r="CM72" s="435">
        <f t="shared" si="35"/>
        <v>0</v>
      </c>
      <c r="CN72" s="435">
        <f t="shared" si="36"/>
        <v>0</v>
      </c>
      <c r="CO72" s="435">
        <f t="shared" si="37"/>
        <v>0</v>
      </c>
      <c r="CP72" s="435">
        <f t="shared" si="38"/>
        <v>0</v>
      </c>
      <c r="CQ72" s="435">
        <f t="shared" si="39"/>
        <v>0</v>
      </c>
      <c r="CR72" s="435">
        <f t="shared" si="40"/>
        <v>0</v>
      </c>
      <c r="CS72" s="435">
        <f t="shared" si="41"/>
        <v>0</v>
      </c>
    </row>
    <row r="73" spans="1:97" x14ac:dyDescent="0.3">
      <c r="A73" s="690" t="s">
        <v>2262</v>
      </c>
      <c r="B73" s="387">
        <f>SUM(C73:L73)</f>
        <v>0</v>
      </c>
      <c r="C73" s="1018"/>
      <c r="D73" s="1018"/>
      <c r="E73" s="1018"/>
      <c r="F73" s="1018"/>
      <c r="G73" s="1162"/>
      <c r="H73" s="1018"/>
      <c r="I73" s="1018"/>
      <c r="J73" s="1162"/>
      <c r="K73" s="1018"/>
      <c r="L73" s="3526"/>
      <c r="M73" s="34"/>
      <c r="N73" s="638">
        <f>SUM(O73:P73)</f>
        <v>0</v>
      </c>
      <c r="O73" s="1162"/>
      <c r="P73" s="2444"/>
      <c r="Q73" s="3986"/>
      <c r="R73" s="1018"/>
      <c r="S73" s="1018"/>
      <c r="T73" s="1018"/>
      <c r="U73" s="1973"/>
      <c r="V73" s="1018"/>
      <c r="W73" s="34"/>
      <c r="X73" s="1970" t="str">
        <f>CA73&amp;CB73&amp;CC73&amp;CD73&amp;CE73&amp;CF73&amp;CG73</f>
        <v/>
      </c>
      <c r="CA73" s="4258" t="str">
        <f t="shared" si="28"/>
        <v/>
      </c>
      <c r="CB73" s="4258" t="str">
        <f t="shared" si="29"/>
        <v/>
      </c>
      <c r="CC73" s="4258" t="str">
        <f t="shared" si="30"/>
        <v/>
      </c>
      <c r="CD73" s="4258" t="str">
        <f t="shared" si="31"/>
        <v/>
      </c>
      <c r="CE73" s="4258" t="str">
        <f t="shared" si="32"/>
        <v/>
      </c>
      <c r="CF73" s="4258" t="str">
        <f t="shared" si="33"/>
        <v/>
      </c>
      <c r="CG73" s="4258" t="str">
        <f t="shared" si="34"/>
        <v/>
      </c>
      <c r="CM73" s="435">
        <f t="shared" si="35"/>
        <v>0</v>
      </c>
      <c r="CN73" s="435">
        <f t="shared" si="36"/>
        <v>0</v>
      </c>
      <c r="CO73" s="435">
        <f t="shared" si="37"/>
        <v>0</v>
      </c>
      <c r="CP73" s="435">
        <f t="shared" si="38"/>
        <v>0</v>
      </c>
      <c r="CQ73" s="435">
        <f t="shared" si="39"/>
        <v>0</v>
      </c>
      <c r="CR73" s="435">
        <f t="shared" si="40"/>
        <v>0</v>
      </c>
      <c r="CS73" s="435">
        <f t="shared" si="41"/>
        <v>0</v>
      </c>
    </row>
    <row r="74" spans="1:97" x14ac:dyDescent="0.3">
      <c r="A74" s="4268" t="s">
        <v>77</v>
      </c>
      <c r="B74" s="4269">
        <f>SUM(C74:L74)</f>
        <v>0</v>
      </c>
      <c r="C74" s="4270">
        <f t="shared" ref="C74:L74" si="43">SUM(C62:C73)</f>
        <v>0</v>
      </c>
      <c r="D74" s="4270">
        <f t="shared" si="43"/>
        <v>0</v>
      </c>
      <c r="E74" s="4270">
        <f t="shared" si="43"/>
        <v>0</v>
      </c>
      <c r="F74" s="4270">
        <f t="shared" si="43"/>
        <v>0</v>
      </c>
      <c r="G74" s="4271">
        <f t="shared" si="43"/>
        <v>0</v>
      </c>
      <c r="H74" s="4270">
        <f t="shared" si="43"/>
        <v>0</v>
      </c>
      <c r="I74" s="4270">
        <f t="shared" si="43"/>
        <v>0</v>
      </c>
      <c r="J74" s="4271">
        <f t="shared" si="43"/>
        <v>0</v>
      </c>
      <c r="K74" s="4270">
        <f t="shared" si="43"/>
        <v>0</v>
      </c>
      <c r="L74" s="4272">
        <f t="shared" si="43"/>
        <v>0</v>
      </c>
      <c r="M74" s="4273">
        <f>SUM(M62:M73)</f>
        <v>0</v>
      </c>
      <c r="N74" s="4243">
        <f>SUM(O74:P74)</f>
        <v>0</v>
      </c>
      <c r="O74" s="4273">
        <f>SUM(O62:O73)</f>
        <v>0</v>
      </c>
      <c r="P74" s="4274">
        <f t="shared" ref="P74:W74" si="44">SUM(P62:P73)</f>
        <v>0</v>
      </c>
      <c r="Q74" s="4275">
        <f>SUM(Q62:Q73)</f>
        <v>0</v>
      </c>
      <c r="R74" s="4270">
        <f t="shared" si="44"/>
        <v>0</v>
      </c>
      <c r="S74" s="4270">
        <f t="shared" si="44"/>
        <v>0</v>
      </c>
      <c r="T74" s="4270">
        <f t="shared" si="44"/>
        <v>0</v>
      </c>
      <c r="U74" s="4270">
        <f t="shared" si="44"/>
        <v>0</v>
      </c>
      <c r="V74" s="4270">
        <f t="shared" si="44"/>
        <v>0</v>
      </c>
      <c r="W74" s="4276">
        <f t="shared" si="44"/>
        <v>0</v>
      </c>
    </row>
    <row r="75" spans="1:97" ht="18" customHeight="1" x14ac:dyDescent="0.3">
      <c r="A75" s="6905" t="s">
        <v>2263</v>
      </c>
      <c r="B75" s="6905"/>
      <c r="C75" s="6905"/>
      <c r="D75" s="6905"/>
      <c r="E75" s="6905"/>
      <c r="F75" s="6905"/>
      <c r="G75" s="6905"/>
      <c r="H75" s="6905"/>
      <c r="I75" s="6905"/>
      <c r="J75" s="6905"/>
      <c r="K75" s="6905"/>
      <c r="L75" s="6905"/>
      <c r="M75" s="6941"/>
      <c r="N75" s="6941"/>
    </row>
    <row r="76" spans="1:97" ht="15" customHeight="1" x14ac:dyDescent="0.3">
      <c r="A76" s="5776" t="s">
        <v>2264</v>
      </c>
      <c r="B76" s="5755" t="s">
        <v>2265</v>
      </c>
      <c r="C76" s="6848" t="s">
        <v>2240</v>
      </c>
      <c r="D76" s="6842"/>
      <c r="E76" s="6842"/>
      <c r="F76" s="6842"/>
      <c r="G76" s="6842"/>
      <c r="H76" s="6842"/>
      <c r="I76" s="6842"/>
      <c r="J76" s="6842"/>
      <c r="K76" s="6842"/>
      <c r="L76" s="6843"/>
      <c r="M76" s="6842" t="s">
        <v>2266</v>
      </c>
      <c r="N76" s="6842"/>
      <c r="O76" s="6842"/>
      <c r="P76" s="6842"/>
      <c r="Q76" s="6842"/>
      <c r="R76" s="6849"/>
    </row>
    <row r="77" spans="1:97" ht="37.5" customHeight="1" x14ac:dyDescent="0.3">
      <c r="A77" s="6466"/>
      <c r="B77" s="6471"/>
      <c r="C77" s="3977" t="s">
        <v>2251</v>
      </c>
      <c r="D77" s="3980" t="s">
        <v>58</v>
      </c>
      <c r="E77" s="3981" t="s">
        <v>59</v>
      </c>
      <c r="F77" s="4022" t="s">
        <v>1278</v>
      </c>
      <c r="G77" s="3978" t="s">
        <v>1354</v>
      </c>
      <c r="H77" s="3978" t="s">
        <v>62</v>
      </c>
      <c r="I77" s="3978" t="s">
        <v>2178</v>
      </c>
      <c r="J77" s="3978" t="s">
        <v>36</v>
      </c>
      <c r="K77" s="3978" t="s">
        <v>37</v>
      </c>
      <c r="L77" s="3981" t="s">
        <v>2179</v>
      </c>
      <c r="M77" s="3980" t="s">
        <v>2241</v>
      </c>
      <c r="N77" s="4204" t="s">
        <v>2243</v>
      </c>
      <c r="O77" s="3978" t="s">
        <v>2267</v>
      </c>
      <c r="P77" s="4204" t="s">
        <v>2268</v>
      </c>
      <c r="Q77" s="3978" t="s">
        <v>2269</v>
      </c>
      <c r="R77" s="1802" t="s">
        <v>2249</v>
      </c>
    </row>
    <row r="78" spans="1:97" x14ac:dyDescent="0.3">
      <c r="A78" s="4277" t="s">
        <v>2270</v>
      </c>
      <c r="B78" s="4190"/>
      <c r="C78" s="4267">
        <f>SUM(D78:E78)</f>
        <v>0</v>
      </c>
      <c r="D78" s="4036"/>
      <c r="E78" s="892"/>
      <c r="F78" s="3126"/>
      <c r="G78" s="960"/>
      <c r="H78" s="960"/>
      <c r="I78" s="960"/>
      <c r="J78" s="960"/>
      <c r="K78" s="960"/>
      <c r="L78" s="892"/>
      <c r="M78" s="4036"/>
      <c r="N78" s="960"/>
      <c r="O78" s="960"/>
      <c r="P78" s="960"/>
      <c r="Q78" s="960"/>
      <c r="R78" s="4013"/>
      <c r="S78" s="1970" t="str">
        <f>CA78&amp;CB78&amp;CC78&amp;CD78&amp;CE78&amp;CF78&amp;CG78</f>
        <v/>
      </c>
      <c r="CA78" s="4258" t="str">
        <f t="shared" ref="CA78:CA90" si="45">IF(AND(E78&gt;0,F78=""),"*No olvide digitar el campo "&amp;F$77&amp;""&amp;". Digite CERO si no tiene.", IF(F78&gt;E78," * El Número de "&amp;F$77&amp;""&amp;" no puede superar el Total Mujeres. ",""))</f>
        <v/>
      </c>
      <c r="CB78" s="4258" t="str">
        <f t="shared" ref="CB78:CB90" si="46">IF(AND(D78&gt;0,G78=""),"*No olvide digitar el campo "&amp;G$77&amp;""&amp;". Digite CERO si no tiene.", IF(G78&gt;D78," * El Número de "&amp;G$77&amp;""&amp;" no puede superar el Total Hombres. ",""))</f>
        <v/>
      </c>
      <c r="CC78" s="4258" t="str">
        <f t="shared" ref="CC78:CC90" si="47">IF(AND($C78&gt;0,H78=""),"*No olvide digitar el campo "&amp;H$77&amp;""&amp;". Digite CERO si no tiene.", IF(H78&gt;$C78," * La variable "&amp;H$77&amp;""&amp;" no puede superar el Total Ambos Sexos. ",""))</f>
        <v/>
      </c>
      <c r="CD78" s="4258" t="str">
        <f t="shared" ref="CD78:CD90" si="48">IF(AND($C78&gt;0,I78=""),"*No olvide digitar el campo "&amp;I$77&amp;""&amp;". Digite CERO si no tiene.", IF(I78&gt;$C78," * La variable "&amp;I$77&amp;""&amp;" no puede superar el Total Ambos Sexos. ",""))</f>
        <v/>
      </c>
      <c r="CE78" s="4258" t="str">
        <f t="shared" ref="CE78:CE90" si="49">IF(AND($C78&gt;0,J78=""),"*No olvide digitar el campo "&amp;J$77&amp;""&amp;". Digite CERO si no tiene.", IF(J78&gt;$C78," * La variable "&amp;J$77&amp;""&amp;" no puede superar el Total Ambos Sexos. ",""))</f>
        <v/>
      </c>
      <c r="CF78" s="4258" t="str">
        <f t="shared" ref="CF78:CF90" si="50">IF(AND($C78&gt;0,K78=""),"*No olvide digitar el campo "&amp;K$77&amp;""&amp;". Digite CERO si no tiene.", IF(K78&gt;$C78," * La variable "&amp;K$77&amp;""&amp;" no puede superar el Total Ambos Sexos. ",""))</f>
        <v/>
      </c>
      <c r="CG78" s="4258" t="str">
        <f t="shared" ref="CG78:CG90" si="51">IF(AND($C78&gt;0,L78=""),"*No olvide digitar el campo "&amp;L$77&amp;""&amp;". Digite CERO si no tiene.", IF(L78&gt;$C78," * La variable "&amp;L$77&amp;""&amp;" no puede superar el Total Ambos Sexos. ",""))</f>
        <v/>
      </c>
      <c r="CM78" s="435">
        <f>IF(AND(E78&gt;0,OR(F78="")),1,IF(F78&gt;E78,1,0))</f>
        <v>0</v>
      </c>
      <c r="CN78" s="435">
        <f>IF(AND(D78&gt;0,OR(G78="")),1,IF(G78&gt;D78,1,0))</f>
        <v>0</v>
      </c>
      <c r="CO78" s="435">
        <f>IF(AND($C78&gt;0,OR(H78="")),1,IF(H78&gt;$C78,1,0))</f>
        <v>0</v>
      </c>
      <c r="CP78" s="435">
        <f t="shared" ref="CP78:CS78" si="52">IF(AND($C78&gt;0,OR(I78="")),1,IF(I78&gt;$C78,1,0))</f>
        <v>0</v>
      </c>
      <c r="CQ78" s="435">
        <f t="shared" si="52"/>
        <v>0</v>
      </c>
      <c r="CR78" s="435">
        <f t="shared" si="52"/>
        <v>0</v>
      </c>
      <c r="CS78" s="435">
        <f t="shared" si="52"/>
        <v>0</v>
      </c>
    </row>
    <row r="79" spans="1:97" x14ac:dyDescent="0.3">
      <c r="A79" s="4181" t="s">
        <v>2271</v>
      </c>
      <c r="B79" s="4051"/>
      <c r="C79" s="3991">
        <f t="shared" ref="C79:C91" si="53">SUM(D79:E79)</f>
        <v>0</v>
      </c>
      <c r="D79" s="3987"/>
      <c r="E79" s="332"/>
      <c r="F79" s="3986"/>
      <c r="G79" s="1973"/>
      <c r="H79" s="1973"/>
      <c r="I79" s="1973"/>
      <c r="J79" s="1973"/>
      <c r="K79" s="1973"/>
      <c r="L79" s="332"/>
      <c r="M79" s="3987"/>
      <c r="N79" s="1973"/>
      <c r="O79" s="1973"/>
      <c r="P79" s="1973"/>
      <c r="Q79" s="1973"/>
      <c r="R79" s="330"/>
      <c r="S79" s="1970" t="str">
        <f t="shared" ref="S79:S91" si="54">CA79&amp;CB79&amp;CC79&amp;CD79&amp;CE79&amp;CF79&amp;CG79</f>
        <v/>
      </c>
      <c r="CA79" s="4258" t="str">
        <f t="shared" si="45"/>
        <v/>
      </c>
      <c r="CB79" s="4258" t="str">
        <f t="shared" si="46"/>
        <v/>
      </c>
      <c r="CC79" s="4258" t="str">
        <f t="shared" si="47"/>
        <v/>
      </c>
      <c r="CD79" s="4258" t="str">
        <f t="shared" si="48"/>
        <v/>
      </c>
      <c r="CE79" s="4258" t="str">
        <f t="shared" si="49"/>
        <v/>
      </c>
      <c r="CF79" s="4258" t="str">
        <f t="shared" si="50"/>
        <v/>
      </c>
      <c r="CG79" s="4258" t="str">
        <f t="shared" si="51"/>
        <v/>
      </c>
      <c r="CM79" s="435">
        <f t="shared" ref="CM79:CM91" si="55">IF(AND(E79&gt;0,OR(F79="")),1,IF(F79&gt;E79,1,0))</f>
        <v>0</v>
      </c>
      <c r="CN79" s="435">
        <f t="shared" ref="CN79:CN91" si="56">IF(AND(D79&gt;0,OR(G79="")),1,IF(G79&gt;D79,1,0))</f>
        <v>0</v>
      </c>
      <c r="CO79" s="435">
        <f t="shared" ref="CO79:CO91" si="57">IF(AND($C79&gt;0,OR(H79="")),1,IF(H79&gt;$C79,1,0))</f>
        <v>0</v>
      </c>
      <c r="CP79" s="435">
        <f t="shared" ref="CP79:CP91" si="58">IF(AND($C79&gt;0,OR(I79="")),1,IF(I79&gt;$C79,1,0))</f>
        <v>0</v>
      </c>
      <c r="CQ79" s="435">
        <f t="shared" ref="CQ79:CQ91" si="59">IF(AND($C79&gt;0,OR(J79="")),1,IF(J79&gt;$C79,1,0))</f>
        <v>0</v>
      </c>
      <c r="CR79" s="435">
        <f t="shared" ref="CR79:CR91" si="60">IF(AND($C79&gt;0,OR(K79="")),1,IF(K79&gt;$C79,1,0))</f>
        <v>0</v>
      </c>
      <c r="CS79" s="435">
        <f t="shared" ref="CS79:CS91" si="61">IF(AND($C79&gt;0,OR(L79="")),1,IF(L79&gt;$C79,1,0))</f>
        <v>0</v>
      </c>
    </row>
    <row r="80" spans="1:97" x14ac:dyDescent="0.3">
      <c r="A80" s="4181" t="s">
        <v>2272</v>
      </c>
      <c r="B80" s="4051"/>
      <c r="C80" s="303">
        <f t="shared" si="53"/>
        <v>0</v>
      </c>
      <c r="D80" s="3987"/>
      <c r="E80" s="332"/>
      <c r="F80" s="3986"/>
      <c r="G80" s="1973"/>
      <c r="H80" s="1973"/>
      <c r="I80" s="1973"/>
      <c r="J80" s="1973"/>
      <c r="K80" s="1973"/>
      <c r="L80" s="332"/>
      <c r="M80" s="3987"/>
      <c r="N80" s="1973"/>
      <c r="O80" s="1973"/>
      <c r="P80" s="1973"/>
      <c r="Q80" s="1973"/>
      <c r="R80" s="330"/>
      <c r="S80" s="1970" t="str">
        <f t="shared" si="54"/>
        <v/>
      </c>
      <c r="CA80" s="4258" t="str">
        <f t="shared" si="45"/>
        <v/>
      </c>
      <c r="CB80" s="4258" t="str">
        <f t="shared" si="46"/>
        <v/>
      </c>
      <c r="CC80" s="4258" t="str">
        <f t="shared" si="47"/>
        <v/>
      </c>
      <c r="CD80" s="4258" t="str">
        <f t="shared" si="48"/>
        <v/>
      </c>
      <c r="CE80" s="4258" t="str">
        <f t="shared" si="49"/>
        <v/>
      </c>
      <c r="CF80" s="4258" t="str">
        <f t="shared" si="50"/>
        <v/>
      </c>
      <c r="CG80" s="4258" t="str">
        <f t="shared" si="51"/>
        <v/>
      </c>
      <c r="CM80" s="435">
        <f t="shared" si="55"/>
        <v>0</v>
      </c>
      <c r="CN80" s="435">
        <f t="shared" si="56"/>
        <v>0</v>
      </c>
      <c r="CO80" s="435">
        <f t="shared" si="57"/>
        <v>0</v>
      </c>
      <c r="CP80" s="435">
        <f t="shared" si="58"/>
        <v>0</v>
      </c>
      <c r="CQ80" s="435">
        <f t="shared" si="59"/>
        <v>0</v>
      </c>
      <c r="CR80" s="435">
        <f t="shared" si="60"/>
        <v>0</v>
      </c>
      <c r="CS80" s="435">
        <f t="shared" si="61"/>
        <v>0</v>
      </c>
    </row>
    <row r="81" spans="1:97" x14ac:dyDescent="0.3">
      <c r="A81" s="4181" t="s">
        <v>2273</v>
      </c>
      <c r="B81" s="1952"/>
      <c r="C81" s="303">
        <f t="shared" si="53"/>
        <v>0</v>
      </c>
      <c r="D81" s="3987"/>
      <c r="E81" s="332"/>
      <c r="F81" s="3986"/>
      <c r="G81" s="1973"/>
      <c r="H81" s="1973"/>
      <c r="I81" s="1973"/>
      <c r="J81" s="1973"/>
      <c r="K81" s="1973"/>
      <c r="L81" s="332"/>
      <c r="M81" s="3987"/>
      <c r="N81" s="1973"/>
      <c r="O81" s="1973"/>
      <c r="P81" s="1973"/>
      <c r="Q81" s="1973"/>
      <c r="R81" s="330"/>
      <c r="S81" s="1970" t="str">
        <f t="shared" si="54"/>
        <v/>
      </c>
      <c r="CA81" s="4258" t="str">
        <f t="shared" si="45"/>
        <v/>
      </c>
      <c r="CB81" s="4258" t="str">
        <f t="shared" si="46"/>
        <v/>
      </c>
      <c r="CC81" s="4258" t="str">
        <f t="shared" si="47"/>
        <v/>
      </c>
      <c r="CD81" s="4258" t="str">
        <f t="shared" si="48"/>
        <v/>
      </c>
      <c r="CE81" s="4258" t="str">
        <f t="shared" si="49"/>
        <v/>
      </c>
      <c r="CF81" s="4258" t="str">
        <f t="shared" si="50"/>
        <v/>
      </c>
      <c r="CG81" s="4258" t="str">
        <f t="shared" si="51"/>
        <v/>
      </c>
      <c r="CM81" s="435">
        <f t="shared" si="55"/>
        <v>0</v>
      </c>
      <c r="CN81" s="435">
        <f t="shared" si="56"/>
        <v>0</v>
      </c>
      <c r="CO81" s="435">
        <f t="shared" si="57"/>
        <v>0</v>
      </c>
      <c r="CP81" s="435">
        <f t="shared" si="58"/>
        <v>0</v>
      </c>
      <c r="CQ81" s="435">
        <f t="shared" si="59"/>
        <v>0</v>
      </c>
      <c r="CR81" s="435">
        <f t="shared" si="60"/>
        <v>0</v>
      </c>
      <c r="CS81" s="435">
        <f t="shared" si="61"/>
        <v>0</v>
      </c>
    </row>
    <row r="82" spans="1:97" x14ac:dyDescent="0.3">
      <c r="A82" s="4181" t="s">
        <v>2274</v>
      </c>
      <c r="B82" s="4051"/>
      <c r="C82" s="231">
        <f>SUM(D82:E82)</f>
        <v>0</v>
      </c>
      <c r="D82" s="3987"/>
      <c r="E82" s="332"/>
      <c r="F82" s="3986"/>
      <c r="G82" s="1973"/>
      <c r="H82" s="1973"/>
      <c r="I82" s="1973"/>
      <c r="J82" s="1973"/>
      <c r="K82" s="1973"/>
      <c r="L82" s="332"/>
      <c r="M82" s="3987"/>
      <c r="N82" s="1973"/>
      <c r="O82" s="1973"/>
      <c r="P82" s="1973"/>
      <c r="Q82" s="1973"/>
      <c r="R82" s="330"/>
      <c r="S82" s="1970" t="str">
        <f t="shared" si="54"/>
        <v/>
      </c>
      <c r="CA82" s="4258" t="str">
        <f t="shared" si="45"/>
        <v/>
      </c>
      <c r="CB82" s="4258" t="str">
        <f t="shared" si="46"/>
        <v/>
      </c>
      <c r="CC82" s="4258" t="str">
        <f t="shared" si="47"/>
        <v/>
      </c>
      <c r="CD82" s="4258" t="str">
        <f t="shared" si="48"/>
        <v/>
      </c>
      <c r="CE82" s="4258" t="str">
        <f t="shared" si="49"/>
        <v/>
      </c>
      <c r="CF82" s="4258" t="str">
        <f t="shared" si="50"/>
        <v/>
      </c>
      <c r="CG82" s="4258" t="str">
        <f t="shared" si="51"/>
        <v/>
      </c>
      <c r="CM82" s="435">
        <f t="shared" si="55"/>
        <v>0</v>
      </c>
      <c r="CN82" s="435">
        <f t="shared" si="56"/>
        <v>0</v>
      </c>
      <c r="CO82" s="435">
        <f t="shared" si="57"/>
        <v>0</v>
      </c>
      <c r="CP82" s="435">
        <f t="shared" si="58"/>
        <v>0</v>
      </c>
      <c r="CQ82" s="435">
        <f t="shared" si="59"/>
        <v>0</v>
      </c>
      <c r="CR82" s="435">
        <f t="shared" si="60"/>
        <v>0</v>
      </c>
      <c r="CS82" s="435">
        <f t="shared" si="61"/>
        <v>0</v>
      </c>
    </row>
    <row r="83" spans="1:97" x14ac:dyDescent="0.3">
      <c r="A83" s="4181" t="s">
        <v>2275</v>
      </c>
      <c r="B83" s="2070"/>
      <c r="C83" s="3991">
        <f t="shared" si="53"/>
        <v>0</v>
      </c>
      <c r="D83" s="3987"/>
      <c r="E83" s="332"/>
      <c r="F83" s="3986"/>
      <c r="G83" s="1973"/>
      <c r="H83" s="1973"/>
      <c r="I83" s="1973"/>
      <c r="J83" s="1973"/>
      <c r="K83" s="1973"/>
      <c r="L83" s="332"/>
      <c r="M83" s="3987"/>
      <c r="N83" s="1973"/>
      <c r="O83" s="1973"/>
      <c r="P83" s="1973"/>
      <c r="Q83" s="1973"/>
      <c r="R83" s="330"/>
      <c r="S83" s="1970" t="str">
        <f t="shared" si="54"/>
        <v/>
      </c>
      <c r="CA83" s="4258" t="str">
        <f t="shared" si="45"/>
        <v/>
      </c>
      <c r="CB83" s="4258" t="str">
        <f t="shared" si="46"/>
        <v/>
      </c>
      <c r="CC83" s="4258" t="str">
        <f t="shared" si="47"/>
        <v/>
      </c>
      <c r="CD83" s="4258" t="str">
        <f t="shared" si="48"/>
        <v/>
      </c>
      <c r="CE83" s="4258" t="str">
        <f t="shared" si="49"/>
        <v/>
      </c>
      <c r="CF83" s="4258" t="str">
        <f t="shared" si="50"/>
        <v/>
      </c>
      <c r="CG83" s="4258" t="str">
        <f t="shared" si="51"/>
        <v/>
      </c>
      <c r="CM83" s="435">
        <f t="shared" si="55"/>
        <v>0</v>
      </c>
      <c r="CN83" s="435">
        <f t="shared" si="56"/>
        <v>0</v>
      </c>
      <c r="CO83" s="435">
        <f t="shared" si="57"/>
        <v>0</v>
      </c>
      <c r="CP83" s="435">
        <f t="shared" si="58"/>
        <v>0</v>
      </c>
      <c r="CQ83" s="435">
        <f t="shared" si="59"/>
        <v>0</v>
      </c>
      <c r="CR83" s="435">
        <f t="shared" si="60"/>
        <v>0</v>
      </c>
      <c r="CS83" s="435">
        <f t="shared" si="61"/>
        <v>0</v>
      </c>
    </row>
    <row r="84" spans="1:97" x14ac:dyDescent="0.3">
      <c r="A84" s="4181" t="s">
        <v>2276</v>
      </c>
      <c r="B84" s="2070"/>
      <c r="C84" s="3991">
        <f t="shared" si="53"/>
        <v>0</v>
      </c>
      <c r="D84" s="3987"/>
      <c r="E84" s="332"/>
      <c r="F84" s="3986"/>
      <c r="G84" s="1973"/>
      <c r="H84" s="1973"/>
      <c r="I84" s="1973"/>
      <c r="J84" s="1973"/>
      <c r="K84" s="1973"/>
      <c r="L84" s="332"/>
      <c r="M84" s="3987"/>
      <c r="N84" s="1973"/>
      <c r="O84" s="1973"/>
      <c r="P84" s="1973"/>
      <c r="Q84" s="1973"/>
      <c r="R84" s="330"/>
      <c r="S84" s="1970" t="str">
        <f t="shared" si="54"/>
        <v/>
      </c>
      <c r="CA84" s="4258" t="str">
        <f t="shared" si="45"/>
        <v/>
      </c>
      <c r="CB84" s="4258" t="str">
        <f t="shared" si="46"/>
        <v/>
      </c>
      <c r="CC84" s="4258" t="str">
        <f t="shared" si="47"/>
        <v/>
      </c>
      <c r="CD84" s="4258" t="str">
        <f t="shared" si="48"/>
        <v/>
      </c>
      <c r="CE84" s="4258" t="str">
        <f t="shared" si="49"/>
        <v/>
      </c>
      <c r="CF84" s="4258" t="str">
        <f t="shared" si="50"/>
        <v/>
      </c>
      <c r="CG84" s="4258" t="str">
        <f t="shared" si="51"/>
        <v/>
      </c>
      <c r="CM84" s="435">
        <f t="shared" si="55"/>
        <v>0</v>
      </c>
      <c r="CN84" s="435">
        <f t="shared" si="56"/>
        <v>0</v>
      </c>
      <c r="CO84" s="435">
        <f t="shared" si="57"/>
        <v>0</v>
      </c>
      <c r="CP84" s="435">
        <f t="shared" si="58"/>
        <v>0</v>
      </c>
      <c r="CQ84" s="435">
        <f t="shared" si="59"/>
        <v>0</v>
      </c>
      <c r="CR84" s="435">
        <f t="shared" si="60"/>
        <v>0</v>
      </c>
      <c r="CS84" s="435">
        <f t="shared" si="61"/>
        <v>0</v>
      </c>
    </row>
    <row r="85" spans="1:97" x14ac:dyDescent="0.3">
      <c r="A85" s="4181" t="s">
        <v>2277</v>
      </c>
      <c r="B85" s="1952"/>
      <c r="C85" s="3991">
        <f t="shared" si="53"/>
        <v>0</v>
      </c>
      <c r="D85" s="3987"/>
      <c r="E85" s="332"/>
      <c r="F85" s="3986"/>
      <c r="G85" s="1973"/>
      <c r="H85" s="1973"/>
      <c r="I85" s="1973"/>
      <c r="J85" s="1973"/>
      <c r="K85" s="1973"/>
      <c r="L85" s="332"/>
      <c r="M85" s="3987"/>
      <c r="N85" s="1973"/>
      <c r="O85" s="1973"/>
      <c r="P85" s="1973"/>
      <c r="Q85" s="1973"/>
      <c r="R85" s="330"/>
      <c r="S85" s="1970" t="str">
        <f t="shared" si="54"/>
        <v/>
      </c>
      <c r="CA85" s="4258" t="str">
        <f t="shared" si="45"/>
        <v/>
      </c>
      <c r="CB85" s="4258" t="str">
        <f t="shared" si="46"/>
        <v/>
      </c>
      <c r="CC85" s="4258" t="str">
        <f t="shared" si="47"/>
        <v/>
      </c>
      <c r="CD85" s="4258" t="str">
        <f t="shared" si="48"/>
        <v/>
      </c>
      <c r="CE85" s="4258" t="str">
        <f t="shared" si="49"/>
        <v/>
      </c>
      <c r="CF85" s="4258" t="str">
        <f t="shared" si="50"/>
        <v/>
      </c>
      <c r="CG85" s="4258" t="str">
        <f t="shared" si="51"/>
        <v/>
      </c>
      <c r="CM85" s="435">
        <f t="shared" si="55"/>
        <v>0</v>
      </c>
      <c r="CN85" s="435">
        <f t="shared" si="56"/>
        <v>0</v>
      </c>
      <c r="CO85" s="435">
        <f t="shared" si="57"/>
        <v>0</v>
      </c>
      <c r="CP85" s="435">
        <f t="shared" si="58"/>
        <v>0</v>
      </c>
      <c r="CQ85" s="435">
        <f t="shared" si="59"/>
        <v>0</v>
      </c>
      <c r="CR85" s="435">
        <f t="shared" si="60"/>
        <v>0</v>
      </c>
      <c r="CS85" s="435">
        <f t="shared" si="61"/>
        <v>0</v>
      </c>
    </row>
    <row r="86" spans="1:97" x14ac:dyDescent="0.3">
      <c r="A86" s="4181" t="s">
        <v>2278</v>
      </c>
      <c r="B86" s="4051"/>
      <c r="C86" s="3991">
        <f t="shared" si="53"/>
        <v>0</v>
      </c>
      <c r="D86" s="3987"/>
      <c r="E86" s="332"/>
      <c r="F86" s="3986"/>
      <c r="G86" s="1973"/>
      <c r="H86" s="1973"/>
      <c r="I86" s="1973"/>
      <c r="J86" s="1973"/>
      <c r="K86" s="1973"/>
      <c r="L86" s="332"/>
      <c r="M86" s="3987"/>
      <c r="N86" s="1973"/>
      <c r="O86" s="1973"/>
      <c r="P86" s="1973"/>
      <c r="Q86" s="1973"/>
      <c r="R86" s="330"/>
      <c r="S86" s="1970" t="str">
        <f t="shared" si="54"/>
        <v/>
      </c>
      <c r="CA86" s="4258" t="str">
        <f t="shared" si="45"/>
        <v/>
      </c>
      <c r="CB86" s="4258" t="str">
        <f t="shared" si="46"/>
        <v/>
      </c>
      <c r="CC86" s="4258" t="str">
        <f t="shared" si="47"/>
        <v/>
      </c>
      <c r="CD86" s="4258" t="str">
        <f t="shared" si="48"/>
        <v/>
      </c>
      <c r="CE86" s="4258" t="str">
        <f t="shared" si="49"/>
        <v/>
      </c>
      <c r="CF86" s="4258" t="str">
        <f t="shared" si="50"/>
        <v/>
      </c>
      <c r="CG86" s="4258" t="str">
        <f t="shared" si="51"/>
        <v/>
      </c>
      <c r="CM86" s="435">
        <f t="shared" si="55"/>
        <v>0</v>
      </c>
      <c r="CN86" s="435">
        <f t="shared" si="56"/>
        <v>0</v>
      </c>
      <c r="CO86" s="435">
        <f t="shared" si="57"/>
        <v>0</v>
      </c>
      <c r="CP86" s="435">
        <f t="shared" si="58"/>
        <v>0</v>
      </c>
      <c r="CQ86" s="435">
        <f t="shared" si="59"/>
        <v>0</v>
      </c>
      <c r="CR86" s="435">
        <f t="shared" si="60"/>
        <v>0</v>
      </c>
      <c r="CS86" s="435">
        <f t="shared" si="61"/>
        <v>0</v>
      </c>
    </row>
    <row r="87" spans="1:97" x14ac:dyDescent="0.3">
      <c r="A87" s="4278" t="s">
        <v>2279</v>
      </c>
      <c r="B87" s="1952"/>
      <c r="C87" s="303">
        <f t="shared" si="53"/>
        <v>0</v>
      </c>
      <c r="D87" s="3987"/>
      <c r="E87" s="332"/>
      <c r="F87" s="3986"/>
      <c r="G87" s="1973"/>
      <c r="H87" s="1973"/>
      <c r="I87" s="1973"/>
      <c r="J87" s="1973"/>
      <c r="K87" s="1973"/>
      <c r="L87" s="332"/>
      <c r="M87" s="3987"/>
      <c r="N87" s="1973"/>
      <c r="O87" s="1973"/>
      <c r="P87" s="1973"/>
      <c r="Q87" s="1973"/>
      <c r="R87" s="330"/>
      <c r="S87" s="1970" t="str">
        <f t="shared" si="54"/>
        <v/>
      </c>
      <c r="CA87" s="4258" t="str">
        <f t="shared" si="45"/>
        <v/>
      </c>
      <c r="CB87" s="4258" t="str">
        <f t="shared" si="46"/>
        <v/>
      </c>
      <c r="CC87" s="4258" t="str">
        <f t="shared" si="47"/>
        <v/>
      </c>
      <c r="CD87" s="4258" t="str">
        <f t="shared" si="48"/>
        <v/>
      </c>
      <c r="CE87" s="4258" t="str">
        <f t="shared" si="49"/>
        <v/>
      </c>
      <c r="CF87" s="4258" t="str">
        <f t="shared" si="50"/>
        <v/>
      </c>
      <c r="CG87" s="4258" t="str">
        <f t="shared" si="51"/>
        <v/>
      </c>
      <c r="CM87" s="435">
        <f t="shared" si="55"/>
        <v>0</v>
      </c>
      <c r="CN87" s="435">
        <f t="shared" si="56"/>
        <v>0</v>
      </c>
      <c r="CO87" s="435">
        <f t="shared" si="57"/>
        <v>0</v>
      </c>
      <c r="CP87" s="435">
        <f t="shared" si="58"/>
        <v>0</v>
      </c>
      <c r="CQ87" s="435">
        <f t="shared" si="59"/>
        <v>0</v>
      </c>
      <c r="CR87" s="435">
        <f t="shared" si="60"/>
        <v>0</v>
      </c>
      <c r="CS87" s="435">
        <f t="shared" si="61"/>
        <v>0</v>
      </c>
    </row>
    <row r="88" spans="1:97" x14ac:dyDescent="0.3">
      <c r="A88" s="4065" t="s">
        <v>2280</v>
      </c>
      <c r="B88" s="4051"/>
      <c r="C88" s="303">
        <f t="shared" si="53"/>
        <v>0</v>
      </c>
      <c r="D88" s="3987"/>
      <c r="E88" s="332"/>
      <c r="F88" s="3986"/>
      <c r="G88" s="1973"/>
      <c r="H88" s="1973"/>
      <c r="I88" s="1973"/>
      <c r="J88" s="1973"/>
      <c r="K88" s="1973"/>
      <c r="L88" s="332"/>
      <c r="M88" s="3987"/>
      <c r="N88" s="1973"/>
      <c r="O88" s="1973"/>
      <c r="P88" s="1973"/>
      <c r="Q88" s="1973"/>
      <c r="R88" s="330"/>
      <c r="S88" s="1970" t="str">
        <f t="shared" si="54"/>
        <v/>
      </c>
      <c r="CA88" s="4258" t="str">
        <f t="shared" si="45"/>
        <v/>
      </c>
      <c r="CB88" s="4258" t="str">
        <f t="shared" si="46"/>
        <v/>
      </c>
      <c r="CC88" s="4258" t="str">
        <f t="shared" si="47"/>
        <v/>
      </c>
      <c r="CD88" s="4258" t="str">
        <f t="shared" si="48"/>
        <v/>
      </c>
      <c r="CE88" s="4258" t="str">
        <f t="shared" si="49"/>
        <v/>
      </c>
      <c r="CF88" s="4258" t="str">
        <f t="shared" si="50"/>
        <v/>
      </c>
      <c r="CG88" s="4258" t="str">
        <f t="shared" si="51"/>
        <v/>
      </c>
      <c r="CM88" s="435">
        <f t="shared" si="55"/>
        <v>0</v>
      </c>
      <c r="CN88" s="435">
        <f t="shared" si="56"/>
        <v>0</v>
      </c>
      <c r="CO88" s="435">
        <f t="shared" si="57"/>
        <v>0</v>
      </c>
      <c r="CP88" s="435">
        <f t="shared" si="58"/>
        <v>0</v>
      </c>
      <c r="CQ88" s="435">
        <f t="shared" si="59"/>
        <v>0</v>
      </c>
      <c r="CR88" s="435">
        <f t="shared" si="60"/>
        <v>0</v>
      </c>
      <c r="CS88" s="435">
        <f t="shared" si="61"/>
        <v>0</v>
      </c>
    </row>
    <row r="89" spans="1:97" ht="20.399999999999999" x14ac:dyDescent="0.3">
      <c r="A89" s="3357" t="s">
        <v>2281</v>
      </c>
      <c r="B89" s="4051"/>
      <c r="C89" s="231">
        <f t="shared" si="53"/>
        <v>0</v>
      </c>
      <c r="D89" s="3987"/>
      <c r="E89" s="332"/>
      <c r="F89" s="3986"/>
      <c r="G89" s="1973"/>
      <c r="H89" s="1018"/>
      <c r="I89" s="1973"/>
      <c r="J89" s="1018"/>
      <c r="K89" s="1973"/>
      <c r="L89" s="2444"/>
      <c r="M89" s="3987"/>
      <c r="N89" s="1973"/>
      <c r="O89" s="1018"/>
      <c r="P89" s="1973"/>
      <c r="Q89" s="1973"/>
      <c r="R89" s="34"/>
      <c r="S89" s="1970" t="str">
        <f t="shared" si="54"/>
        <v/>
      </c>
      <c r="CA89" s="4258" t="str">
        <f t="shared" si="45"/>
        <v/>
      </c>
      <c r="CB89" s="4258" t="str">
        <f t="shared" si="46"/>
        <v/>
      </c>
      <c r="CC89" s="4258" t="str">
        <f t="shared" si="47"/>
        <v/>
      </c>
      <c r="CD89" s="4258" t="str">
        <f t="shared" si="48"/>
        <v/>
      </c>
      <c r="CE89" s="4258" t="str">
        <f t="shared" si="49"/>
        <v/>
      </c>
      <c r="CF89" s="4258" t="str">
        <f t="shared" si="50"/>
        <v/>
      </c>
      <c r="CG89" s="4258" t="str">
        <f t="shared" si="51"/>
        <v/>
      </c>
      <c r="CM89" s="435">
        <f t="shared" si="55"/>
        <v>0</v>
      </c>
      <c r="CN89" s="435">
        <f t="shared" si="56"/>
        <v>0</v>
      </c>
      <c r="CO89" s="435">
        <f t="shared" si="57"/>
        <v>0</v>
      </c>
      <c r="CP89" s="435">
        <f t="shared" si="58"/>
        <v>0</v>
      </c>
      <c r="CQ89" s="435">
        <f t="shared" si="59"/>
        <v>0</v>
      </c>
      <c r="CR89" s="435">
        <f t="shared" si="60"/>
        <v>0</v>
      </c>
      <c r="CS89" s="435">
        <f t="shared" si="61"/>
        <v>0</v>
      </c>
    </row>
    <row r="90" spans="1:97" x14ac:dyDescent="0.3">
      <c r="A90" s="193" t="s">
        <v>2282</v>
      </c>
      <c r="B90" s="4051"/>
      <c r="C90" s="3991">
        <f t="shared" si="53"/>
        <v>0</v>
      </c>
      <c r="D90" s="331"/>
      <c r="E90" s="332"/>
      <c r="F90" s="3986"/>
      <c r="G90" s="1018"/>
      <c r="H90" s="1018"/>
      <c r="I90" s="1018"/>
      <c r="J90" s="1018"/>
      <c r="K90" s="1018"/>
      <c r="L90" s="2444"/>
      <c r="M90" s="3987"/>
      <c r="N90" s="1018"/>
      <c r="O90" s="1018"/>
      <c r="P90" s="1973"/>
      <c r="Q90" s="1018"/>
      <c r="R90" s="34"/>
      <c r="S90" s="1970" t="str">
        <f t="shared" si="54"/>
        <v/>
      </c>
      <c r="CA90" s="4258" t="str">
        <f t="shared" si="45"/>
        <v/>
      </c>
      <c r="CB90" s="4258" t="str">
        <f t="shared" si="46"/>
        <v/>
      </c>
      <c r="CC90" s="4258" t="str">
        <f t="shared" si="47"/>
        <v/>
      </c>
      <c r="CD90" s="4258" t="str">
        <f t="shared" si="48"/>
        <v/>
      </c>
      <c r="CE90" s="4258" t="str">
        <f t="shared" si="49"/>
        <v/>
      </c>
      <c r="CF90" s="4258" t="str">
        <f t="shared" si="50"/>
        <v/>
      </c>
      <c r="CG90" s="4258" t="str">
        <f t="shared" si="51"/>
        <v/>
      </c>
      <c r="CM90" s="435">
        <f t="shared" si="55"/>
        <v>0</v>
      </c>
      <c r="CN90" s="435">
        <f t="shared" si="56"/>
        <v>0</v>
      </c>
      <c r="CO90" s="435">
        <f t="shared" si="57"/>
        <v>0</v>
      </c>
      <c r="CP90" s="435">
        <f t="shared" si="58"/>
        <v>0</v>
      </c>
      <c r="CQ90" s="435">
        <f t="shared" si="59"/>
        <v>0</v>
      </c>
      <c r="CR90" s="435">
        <f t="shared" si="60"/>
        <v>0</v>
      </c>
      <c r="CS90" s="435">
        <f t="shared" si="61"/>
        <v>0</v>
      </c>
    </row>
    <row r="91" spans="1:97" x14ac:dyDescent="0.3">
      <c r="A91" s="519" t="s">
        <v>2283</v>
      </c>
      <c r="B91" s="1954"/>
      <c r="C91" s="638">
        <f t="shared" si="53"/>
        <v>0</v>
      </c>
      <c r="D91" s="4122"/>
      <c r="E91" s="1953"/>
      <c r="F91" s="2109"/>
      <c r="G91" s="1907"/>
      <c r="H91" s="1907"/>
      <c r="I91" s="1907"/>
      <c r="J91" s="1907"/>
      <c r="K91" s="1907"/>
      <c r="L91" s="1953"/>
      <c r="M91" s="4122"/>
      <c r="N91" s="1907"/>
      <c r="O91" s="1907"/>
      <c r="P91" s="1914"/>
      <c r="Q91" s="1907"/>
      <c r="R91" s="877"/>
      <c r="S91" s="1970" t="str">
        <f t="shared" si="54"/>
        <v/>
      </c>
      <c r="CA91" s="4258" t="str">
        <f>IF(AND(E91&gt;0,F91=""),"*No olvide digitar el campo "&amp;F$77&amp;""&amp;". Digite CERO si no tiene.", IF(F91&gt;E91," * El Número de "&amp;F$77&amp;""&amp;" no puede superar el Total Mujeres. ",""))</f>
        <v/>
      </c>
      <c r="CB91" s="4258" t="str">
        <f>IF(AND(D91&gt;0,G91=""),"*No olvide digitar el campo "&amp;G$77&amp;""&amp;". Digite CERO si no tiene.", IF(G91&gt;D91," * El Número de "&amp;G$77&amp;""&amp;" no puede superar el Total Hombres. ",""))</f>
        <v/>
      </c>
      <c r="CC91" s="4258" t="str">
        <f>IF(AND($C91&gt;0,H91=""),"*No olvide digitar el campo "&amp;H$77&amp;""&amp;". Digite CERO si no tiene.", IF(H91&gt;$C91," * La variable "&amp;H$77&amp;""&amp;" no puede superar el Total Ambos Sexos. ",""))</f>
        <v/>
      </c>
      <c r="CD91" s="4258" t="str">
        <f>IF(AND($C91&gt;0,I91=""),"*No olvide digitar el campo "&amp;I$77&amp;""&amp;". Digite CERO si no tiene.", IF(I91&gt;$C91," * La variable "&amp;I$77&amp;""&amp;" no puede superar el Total Ambos Sexos. ",""))</f>
        <v/>
      </c>
      <c r="CE91" s="4258" t="str">
        <f>IF(AND($C91&gt;0,J91=""),"*No olvide digitar el campo "&amp;J$77&amp;""&amp;". Digite CERO si no tiene.", IF(J91&gt;$C91," * La variable "&amp;J$77&amp;""&amp;" no puede superar el Total Ambos Sexos. ",""))</f>
        <v/>
      </c>
      <c r="CF91" s="4258" t="str">
        <f>IF(AND($C91&gt;0,K91=""),"*No olvide digitar el campo "&amp;K$77&amp;""&amp;". Digite CERO si no tiene.", IF(K91&gt;$C91," * La variable "&amp;K$77&amp;""&amp;" no puede superar el Total Ambos Sexos. ",""))</f>
        <v/>
      </c>
      <c r="CG91" s="4258" t="str">
        <f>IF(AND($C91&gt;0,L91=""),"*No olvide digitar el campo "&amp;L$77&amp;""&amp;". Digite CERO si no tiene.", IF(L91&gt;$C91," * La variable "&amp;L$77&amp;""&amp;" no puede superar el Total Ambos Sexos. ",""))</f>
        <v/>
      </c>
      <c r="CM91" s="435">
        <f t="shared" si="55"/>
        <v>0</v>
      </c>
      <c r="CN91" s="435">
        <f t="shared" si="56"/>
        <v>0</v>
      </c>
      <c r="CO91" s="435">
        <f t="shared" si="57"/>
        <v>0</v>
      </c>
      <c r="CP91" s="435">
        <f t="shared" si="58"/>
        <v>0</v>
      </c>
      <c r="CQ91" s="435">
        <f t="shared" si="59"/>
        <v>0</v>
      </c>
      <c r="CR91" s="435">
        <f t="shared" si="60"/>
        <v>0</v>
      </c>
      <c r="CS91" s="435">
        <f t="shared" si="61"/>
        <v>0</v>
      </c>
    </row>
    <row r="92" spans="1:97" x14ac:dyDescent="0.3">
      <c r="A92" s="4268" t="s">
        <v>77</v>
      </c>
      <c r="B92" s="4279">
        <f>SUM(B78:B91)</f>
        <v>0</v>
      </c>
      <c r="C92" s="4243">
        <f t="shared" ref="C92:R92" si="62">SUM(C78:C91)</f>
        <v>0</v>
      </c>
      <c r="D92" s="4273">
        <f t="shared" si="62"/>
        <v>0</v>
      </c>
      <c r="E92" s="4280">
        <f t="shared" si="62"/>
        <v>0</v>
      </c>
      <c r="F92" s="4275">
        <f t="shared" si="62"/>
        <v>0</v>
      </c>
      <c r="G92" s="4270">
        <f t="shared" si="62"/>
        <v>0</v>
      </c>
      <c r="H92" s="4270">
        <f t="shared" si="62"/>
        <v>0</v>
      </c>
      <c r="I92" s="4270">
        <f t="shared" si="62"/>
        <v>0</v>
      </c>
      <c r="J92" s="4270">
        <f t="shared" si="62"/>
        <v>0</v>
      </c>
      <c r="K92" s="4270">
        <f t="shared" si="62"/>
        <v>0</v>
      </c>
      <c r="L92" s="4274">
        <f t="shared" si="62"/>
        <v>0</v>
      </c>
      <c r="M92" s="4271">
        <f t="shared" si="62"/>
        <v>0</v>
      </c>
      <c r="N92" s="4270">
        <f t="shared" si="62"/>
        <v>0</v>
      </c>
      <c r="O92" s="4270">
        <f t="shared" si="62"/>
        <v>0</v>
      </c>
      <c r="P92" s="4270">
        <f t="shared" si="62"/>
        <v>0</v>
      </c>
      <c r="Q92" s="4270">
        <f t="shared" si="62"/>
        <v>0</v>
      </c>
      <c r="R92" s="4276">
        <f t="shared" si="62"/>
        <v>0</v>
      </c>
    </row>
    <row r="93" spans="1:97" ht="18" customHeight="1" x14ac:dyDescent="0.3">
      <c r="A93" s="6931" t="s">
        <v>2284</v>
      </c>
      <c r="B93" s="6931"/>
      <c r="C93" s="6931"/>
      <c r="D93" s="6931"/>
      <c r="E93" s="6931"/>
      <c r="F93" s="6931"/>
      <c r="G93" s="6931"/>
      <c r="H93" s="6931"/>
      <c r="I93" s="6931"/>
      <c r="J93" s="6931"/>
      <c r="K93" s="6931"/>
      <c r="L93" s="6931"/>
      <c r="M93" s="6931"/>
      <c r="N93" s="6931"/>
    </row>
    <row r="94" spans="1:97" ht="18" customHeight="1" x14ac:dyDescent="0.3">
      <c r="A94" s="6911" t="s">
        <v>2285</v>
      </c>
      <c r="B94" s="6911"/>
      <c r="C94" s="6911"/>
      <c r="D94" s="6911"/>
      <c r="E94" s="6911"/>
      <c r="F94" s="6911"/>
      <c r="G94" s="6911"/>
      <c r="H94" s="6911"/>
      <c r="I94" s="6911"/>
      <c r="J94" s="6931"/>
      <c r="K94" s="6931"/>
      <c r="L94" s="6931"/>
      <c r="M94" s="6931"/>
      <c r="N94" s="6931"/>
    </row>
    <row r="95" spans="1:97" ht="15" customHeight="1" x14ac:dyDescent="0.3">
      <c r="A95" s="5755" t="s">
        <v>2237</v>
      </c>
      <c r="B95" s="5759" t="s">
        <v>77</v>
      </c>
      <c r="C95" s="6929" t="s">
        <v>2286</v>
      </c>
      <c r="D95" s="6940" t="s">
        <v>2287</v>
      </c>
      <c r="E95" s="6947" t="s">
        <v>2288</v>
      </c>
      <c r="F95" s="6940" t="s">
        <v>2289</v>
      </c>
      <c r="G95" s="6940" t="s">
        <v>2290</v>
      </c>
      <c r="H95" s="6940" t="s">
        <v>2291</v>
      </c>
      <c r="I95" s="6242" t="s">
        <v>2292</v>
      </c>
      <c r="J95" s="6937" t="s">
        <v>2239</v>
      </c>
      <c r="K95" s="6848" t="s">
        <v>2240</v>
      </c>
      <c r="L95" s="6842"/>
      <c r="M95" s="6842"/>
      <c r="N95" s="6842"/>
      <c r="O95" s="6842"/>
      <c r="P95" s="6842"/>
      <c r="Q95" s="6842"/>
      <c r="R95" s="6842"/>
      <c r="S95" s="6842"/>
      <c r="T95" s="6849"/>
    </row>
    <row r="96" spans="1:97" ht="31.5" customHeight="1" x14ac:dyDescent="0.3">
      <c r="A96" s="6471"/>
      <c r="B96" s="6687"/>
      <c r="C96" s="6483"/>
      <c r="D96" s="5818"/>
      <c r="E96" s="6508"/>
      <c r="F96" s="5818"/>
      <c r="G96" s="5818"/>
      <c r="H96" s="5818"/>
      <c r="I96" s="6467"/>
      <c r="J96" s="6669"/>
      <c r="K96" s="3976" t="s">
        <v>2251</v>
      </c>
      <c r="L96" s="3977" t="s">
        <v>58</v>
      </c>
      <c r="M96" s="3981" t="s">
        <v>59</v>
      </c>
      <c r="N96" s="4022" t="s">
        <v>1278</v>
      </c>
      <c r="O96" s="3978" t="s">
        <v>1354</v>
      </c>
      <c r="P96" s="3978" t="s">
        <v>1355</v>
      </c>
      <c r="Q96" s="3978" t="s">
        <v>2178</v>
      </c>
      <c r="R96" s="3978" t="s">
        <v>36</v>
      </c>
      <c r="S96" s="3978" t="s">
        <v>37</v>
      </c>
      <c r="T96" s="3976" t="s">
        <v>2179</v>
      </c>
    </row>
    <row r="97" spans="1:97" x14ac:dyDescent="0.3">
      <c r="A97" s="3443" t="s">
        <v>2293</v>
      </c>
      <c r="B97" s="4281">
        <f>SUM(C97:I97)</f>
        <v>0</v>
      </c>
      <c r="C97" s="3996"/>
      <c r="D97" s="960"/>
      <c r="E97" s="960"/>
      <c r="F97" s="1039"/>
      <c r="G97" s="1039"/>
      <c r="H97" s="232"/>
      <c r="I97" s="4282"/>
      <c r="J97" s="142"/>
      <c r="K97" s="787">
        <f>SUM(L97:M97)</f>
        <v>0</v>
      </c>
      <c r="L97" s="20"/>
      <c r="M97" s="1026"/>
      <c r="N97" s="337"/>
      <c r="O97" s="232"/>
      <c r="P97" s="960"/>
      <c r="Q97" s="1039"/>
      <c r="R97" s="1039"/>
      <c r="S97" s="44"/>
      <c r="T97" s="142"/>
      <c r="U97" s="1970" t="str">
        <f>CA97&amp;CB97&amp;CC97&amp;CD97&amp;CE97&amp;CF97&amp;CG97</f>
        <v/>
      </c>
      <c r="CA97" s="4258" t="str">
        <f>IF(AND(M97&gt;0,N97=""),"*No olvide digitar el campo "&amp;N$96&amp;""&amp;". Digite CERO si no tiene.", IF(N97&gt;M97," * El Número de "&amp;N$96&amp;""&amp;" no puede superar el Total Mujeres. ",""))</f>
        <v/>
      </c>
      <c r="CB97" s="4258" t="str">
        <f>IF(AND(L97&gt;0,O97=""),"*No olvide digitar el campo "&amp;O$96&amp;""&amp;". Digite CERO si no tiene.", IF(O97&gt;L97," * El Número de "&amp;O$96&amp;""&amp;" no puede superar el Total Hombres. ",""))</f>
        <v/>
      </c>
      <c r="CC97" s="4258" t="str">
        <f>IF(AND($K97&gt;0,P97=""),"*No olvide digitar el campo "&amp;P$96&amp;""&amp;". Digite CERO si no tiene.", IF(P97&gt;$K97," * La variable "&amp;P$96&amp;""&amp;" no puede superar el Total Ambos Sexos. ",""))</f>
        <v/>
      </c>
      <c r="CD97" s="4258" t="str">
        <f>IF(AND($K97&gt;0,Q97=""),"*No olvide digitar el campo "&amp;Q$96&amp;""&amp;". Digite CERO si no tiene.", IF(Q97&gt;$K97," * La variable "&amp;Q$96&amp;""&amp;" no puede superar el Total Ambos Sexos. ",""))</f>
        <v/>
      </c>
      <c r="CE97" s="4258" t="str">
        <f>IF(AND($K97&gt;0,R97=""),"*No olvide digitar el campo "&amp;R$96&amp;""&amp;". Digite CERO si no tiene.", IF(R97&gt;$K97," * La variable "&amp;R$96&amp;""&amp;" no puede superar el Total Ambos Sexos. ",""))</f>
        <v/>
      </c>
      <c r="CF97" s="4258" t="str">
        <f>IF(AND($K97&gt;0,S97=""),"*No olvide digitar el campo "&amp;S$96&amp;""&amp;". Digite CERO si no tiene.", IF(S97&gt;$K97," * La variable "&amp;S$96&amp;""&amp;" no puede superar el Total Ambos Sexos. ",""))</f>
        <v/>
      </c>
      <c r="CG97" s="4258" t="str">
        <f>IF(AND($K97&gt;0,T97=""),"*No olvide digitar el campo "&amp;T$96&amp;""&amp;". Digite CERO si no tiene.", IF(T97&gt;$K97," * La variable "&amp;T$96&amp;""&amp;" no puede superar el Total Ambos Sexos. ",""))</f>
        <v/>
      </c>
      <c r="CM97" s="435">
        <f>IF(AND(M97&gt;0,OR(N97="")),1,IF(N97&gt;M97,1,0))</f>
        <v>0</v>
      </c>
      <c r="CN97" s="435">
        <f>IF(AND(L97&gt;0,OR(O97="")),1,IF(O97&gt;L97,1,0))</f>
        <v>0</v>
      </c>
      <c r="CO97" s="435">
        <f>IF(AND($K97&gt;0,OR(P97="")),1,IF(P97&gt;$K97,1,0))</f>
        <v>0</v>
      </c>
      <c r="CP97" s="435">
        <f>IF(AND($K97&gt;0,OR(Q97="")),1,IF(Q97&gt;$K97,1,0))</f>
        <v>0</v>
      </c>
      <c r="CQ97" s="435">
        <f>IF(AND($K97&gt;0,OR(R97="")),1,IF(R97&gt;$K97,1,0))</f>
        <v>0</v>
      </c>
      <c r="CR97" s="435">
        <f>IF(AND($K97&gt;0,OR(S97="")),1,IF(S97&gt;$K97,1,0))</f>
        <v>0</v>
      </c>
      <c r="CS97" s="435">
        <f>IF(AND($K97&gt;0,OR(T97="")),1,IF(T97&gt;$K97,1,0))</f>
        <v>0</v>
      </c>
    </row>
    <row r="98" spans="1:97" x14ac:dyDescent="0.3">
      <c r="A98" s="4065" t="s">
        <v>2147</v>
      </c>
      <c r="B98" s="4065">
        <f>SUM(C98:I98)</f>
        <v>0</v>
      </c>
      <c r="C98" s="3996"/>
      <c r="D98" s="1973"/>
      <c r="E98" s="1973"/>
      <c r="F98" s="1973"/>
      <c r="G98" s="1973"/>
      <c r="H98" s="1018"/>
      <c r="I98" s="3526"/>
      <c r="J98" s="330"/>
      <c r="K98" s="4121">
        <f t="shared" ref="K98:K108" si="63">SUM(L98:M98)</f>
        <v>0</v>
      </c>
      <c r="L98" s="3996"/>
      <c r="M98" s="1945"/>
      <c r="N98" s="3986"/>
      <c r="O98" s="1018"/>
      <c r="P98" s="1018"/>
      <c r="Q98" s="232"/>
      <c r="R98" s="232"/>
      <c r="S98" s="214"/>
      <c r="T98" s="29"/>
      <c r="U98" s="1970" t="str">
        <f t="shared" ref="U98:U108" si="64">CA98&amp;CB98&amp;CC98&amp;CD98&amp;CE98&amp;CF98&amp;CG98</f>
        <v/>
      </c>
      <c r="CA98" s="4258" t="str">
        <f t="shared" ref="CA98:CA108" si="65">IF(AND(M98&gt;0,N98=""),"*No olvide digitar el campo "&amp;N$96&amp;""&amp;". Digite CERO si no tiene.", IF(N98&gt;M98," * El Número de "&amp;N$96&amp;""&amp;" no puede superar el Total Mujeres. ",""))</f>
        <v/>
      </c>
      <c r="CB98" s="4258" t="str">
        <f t="shared" ref="CB98:CB108" si="66">IF(AND(L98&gt;0,O98=""),"*No olvide digitar el campo "&amp;O$96&amp;""&amp;". Digite CERO si no tiene.", IF(O98&gt;L98," * El Número de "&amp;O$96&amp;""&amp;" no puede superar el Total Hombres. ",""))</f>
        <v/>
      </c>
      <c r="CC98" s="4258" t="str">
        <f t="shared" ref="CC98:CC108" si="67">IF(AND($K98&gt;0,P98=""),"*No olvide digitar el campo "&amp;P$96&amp;""&amp;". Digite CERO si no tiene.", IF(P98&gt;$K98," * La variable "&amp;P$96&amp;""&amp;" no puede superar el Total Ambos Sexos. ",""))</f>
        <v/>
      </c>
      <c r="CD98" s="4258" t="str">
        <f t="shared" ref="CD98:CD108" si="68">IF(AND($K98&gt;0,Q98=""),"*No olvide digitar el campo "&amp;Q$96&amp;""&amp;". Digite CERO si no tiene.", IF(Q98&gt;$K98," * La variable "&amp;Q$96&amp;""&amp;" no puede superar el Total Ambos Sexos. ",""))</f>
        <v/>
      </c>
      <c r="CE98" s="4258" t="str">
        <f t="shared" ref="CE98:CE108" si="69">IF(AND($K98&gt;0,R98=""),"*No olvide digitar el campo "&amp;R$96&amp;""&amp;". Digite CERO si no tiene.", IF(R98&gt;$K98," * La variable "&amp;R$96&amp;""&amp;" no puede superar el Total Ambos Sexos. ",""))</f>
        <v/>
      </c>
      <c r="CF98" s="4258" t="str">
        <f t="shared" ref="CF98:CF108" si="70">IF(AND($K98&gt;0,S98=""),"*No olvide digitar el campo "&amp;S$96&amp;""&amp;". Digite CERO si no tiene.", IF(S98&gt;$K98," * La variable "&amp;S$96&amp;""&amp;" no puede superar el Total Ambos Sexos. ",""))</f>
        <v/>
      </c>
      <c r="CG98" s="4258" t="str">
        <f t="shared" ref="CG98:CG108" si="71">IF(AND($K98&gt;0,T98=""),"*No olvide digitar el campo "&amp;T$96&amp;""&amp;". Digite CERO si no tiene.", IF(T98&gt;$K98," * La variable "&amp;T$96&amp;""&amp;" no puede superar el Total Ambos Sexos. ",""))</f>
        <v/>
      </c>
      <c r="CM98" s="435">
        <f t="shared" ref="CM98:CM108" si="72">IF(AND(M98&gt;0,OR(N98="")),1,IF(N98&gt;M98,1,0))</f>
        <v>0</v>
      </c>
      <c r="CN98" s="435">
        <f t="shared" ref="CN98:CN108" si="73">IF(AND(L98&gt;0,OR(O98="")),1,IF(O98&gt;L98,1,0))</f>
        <v>0</v>
      </c>
      <c r="CO98" s="435">
        <f t="shared" ref="CO98:CO108" si="74">IF(AND($K98&gt;0,OR(P98="")),1,IF(P98&gt;$K98,1,0))</f>
        <v>0</v>
      </c>
      <c r="CP98" s="435">
        <f t="shared" ref="CP98:CP108" si="75">IF(AND($K98&gt;0,OR(Q98="")),1,IF(Q98&gt;$K98,1,0))</f>
        <v>0</v>
      </c>
      <c r="CQ98" s="435">
        <f t="shared" ref="CQ98:CQ108" si="76">IF(AND($K98&gt;0,OR(R98="")),1,IF(R98&gt;$K98,1,0))</f>
        <v>0</v>
      </c>
      <c r="CR98" s="435">
        <f t="shared" ref="CR98:CR108" si="77">IF(AND($K98&gt;0,OR(S98="")),1,IF(S98&gt;$K98,1,0))</f>
        <v>0</v>
      </c>
      <c r="CS98" s="435">
        <f t="shared" ref="CS98:CS108" si="78">IF(AND($K98&gt;0,OR(T98="")),1,IF(T98&gt;$K98,1,0))</f>
        <v>0</v>
      </c>
    </row>
    <row r="99" spans="1:97" x14ac:dyDescent="0.3">
      <c r="A99" s="4065" t="s">
        <v>2294</v>
      </c>
      <c r="B99" s="4065">
        <f>SUM(C99:I99)</f>
        <v>0</v>
      </c>
      <c r="C99" s="3996"/>
      <c r="D99" s="232"/>
      <c r="E99" s="232"/>
      <c r="F99" s="1973"/>
      <c r="G99" s="1973"/>
      <c r="H99" s="1018"/>
      <c r="I99" s="4026"/>
      <c r="J99" s="330"/>
      <c r="K99" s="4121">
        <f>SUM(L99:M99)</f>
        <v>0</v>
      </c>
      <c r="L99" s="3996"/>
      <c r="M99" s="2444"/>
      <c r="N99" s="3986"/>
      <c r="O99" s="1018"/>
      <c r="P99" s="1973"/>
      <c r="Q99" s="1973"/>
      <c r="R99" s="1018"/>
      <c r="S99" s="3987"/>
      <c r="T99" s="34"/>
      <c r="U99" s="1970" t="str">
        <f t="shared" si="64"/>
        <v/>
      </c>
      <c r="CA99" s="4258" t="str">
        <f t="shared" si="65"/>
        <v/>
      </c>
      <c r="CB99" s="4258" t="str">
        <f t="shared" si="66"/>
        <v/>
      </c>
      <c r="CC99" s="4258" t="str">
        <f t="shared" si="67"/>
        <v/>
      </c>
      <c r="CD99" s="4258" t="str">
        <f t="shared" si="68"/>
        <v/>
      </c>
      <c r="CE99" s="4258" t="str">
        <f t="shared" si="69"/>
        <v/>
      </c>
      <c r="CF99" s="4258" t="str">
        <f t="shared" si="70"/>
        <v/>
      </c>
      <c r="CG99" s="4258" t="str">
        <f t="shared" si="71"/>
        <v/>
      </c>
      <c r="CM99" s="435">
        <f t="shared" si="72"/>
        <v>0</v>
      </c>
      <c r="CN99" s="435">
        <f t="shared" si="73"/>
        <v>0</v>
      </c>
      <c r="CO99" s="435">
        <f t="shared" si="74"/>
        <v>0</v>
      </c>
      <c r="CP99" s="435">
        <f t="shared" si="75"/>
        <v>0</v>
      </c>
      <c r="CQ99" s="435">
        <f t="shared" si="76"/>
        <v>0</v>
      </c>
      <c r="CR99" s="435">
        <f t="shared" si="77"/>
        <v>0</v>
      </c>
      <c r="CS99" s="435">
        <f t="shared" si="78"/>
        <v>0</v>
      </c>
    </row>
    <row r="100" spans="1:97" x14ac:dyDescent="0.3">
      <c r="A100" s="4065" t="s">
        <v>2295</v>
      </c>
      <c r="B100" s="4065">
        <f>SUM(C100:I100)</f>
        <v>0</v>
      </c>
      <c r="C100" s="3996"/>
      <c r="D100" s="1018"/>
      <c r="E100" s="1018"/>
      <c r="F100" s="1973"/>
      <c r="G100" s="232"/>
      <c r="H100" s="1973"/>
      <c r="I100" s="4283"/>
      <c r="J100" s="330"/>
      <c r="K100" s="4121">
        <f t="shared" si="63"/>
        <v>0</v>
      </c>
      <c r="L100" s="20"/>
      <c r="M100" s="332"/>
      <c r="N100" s="3986"/>
      <c r="O100" s="1018"/>
      <c r="P100" s="232"/>
      <c r="Q100" s="1973"/>
      <c r="R100" s="1018"/>
      <c r="S100" s="3987"/>
      <c r="T100" s="34"/>
      <c r="U100" s="1970" t="str">
        <f t="shared" si="64"/>
        <v/>
      </c>
      <c r="CA100" s="4258" t="str">
        <f t="shared" si="65"/>
        <v/>
      </c>
      <c r="CB100" s="4258" t="str">
        <f t="shared" si="66"/>
        <v/>
      </c>
      <c r="CC100" s="4258" t="str">
        <f t="shared" si="67"/>
        <v/>
      </c>
      <c r="CD100" s="4258" t="str">
        <f t="shared" si="68"/>
        <v/>
      </c>
      <c r="CE100" s="4258" t="str">
        <f t="shared" si="69"/>
        <v/>
      </c>
      <c r="CF100" s="4258" t="str">
        <f t="shared" si="70"/>
        <v/>
      </c>
      <c r="CG100" s="4258" t="str">
        <f t="shared" si="71"/>
        <v/>
      </c>
      <c r="CM100" s="435">
        <f t="shared" si="72"/>
        <v>0</v>
      </c>
      <c r="CN100" s="435">
        <f t="shared" si="73"/>
        <v>0</v>
      </c>
      <c r="CO100" s="435">
        <f t="shared" si="74"/>
        <v>0</v>
      </c>
      <c r="CP100" s="435">
        <f t="shared" si="75"/>
        <v>0</v>
      </c>
      <c r="CQ100" s="435">
        <f t="shared" si="76"/>
        <v>0</v>
      </c>
      <c r="CR100" s="435">
        <f t="shared" si="77"/>
        <v>0</v>
      </c>
      <c r="CS100" s="435">
        <f t="shared" si="78"/>
        <v>0</v>
      </c>
    </row>
    <row r="101" spans="1:97" x14ac:dyDescent="0.3">
      <c r="A101" s="4065" t="s">
        <v>2255</v>
      </c>
      <c r="B101" s="4065">
        <f>SUM(C101:I101)</f>
        <v>0</v>
      </c>
      <c r="C101" s="3996"/>
      <c r="D101" s="1973"/>
      <c r="E101" s="1973"/>
      <c r="F101" s="232"/>
      <c r="G101" s="1018"/>
      <c r="H101" s="232"/>
      <c r="I101" s="3526"/>
      <c r="J101" s="330"/>
      <c r="K101" s="4121">
        <f t="shared" si="63"/>
        <v>0</v>
      </c>
      <c r="L101" s="3996"/>
      <c r="M101" s="332"/>
      <c r="N101" s="3986"/>
      <c r="O101" s="1973"/>
      <c r="P101" s="1018"/>
      <c r="Q101" s="1973"/>
      <c r="R101" s="1018"/>
      <c r="S101" s="3987"/>
      <c r="T101" s="34"/>
      <c r="U101" s="1970" t="str">
        <f t="shared" si="64"/>
        <v/>
      </c>
      <c r="CA101" s="4258" t="str">
        <f t="shared" si="65"/>
        <v/>
      </c>
      <c r="CB101" s="4258" t="str">
        <f t="shared" si="66"/>
        <v/>
      </c>
      <c r="CC101" s="4258" t="str">
        <f t="shared" si="67"/>
        <v/>
      </c>
      <c r="CD101" s="4258" t="str">
        <f t="shared" si="68"/>
        <v/>
      </c>
      <c r="CE101" s="4258" t="str">
        <f t="shared" si="69"/>
        <v/>
      </c>
      <c r="CF101" s="4258" t="str">
        <f t="shared" si="70"/>
        <v/>
      </c>
      <c r="CG101" s="4258" t="str">
        <f t="shared" si="71"/>
        <v/>
      </c>
      <c r="CM101" s="435">
        <f t="shared" si="72"/>
        <v>0</v>
      </c>
      <c r="CN101" s="435">
        <f t="shared" si="73"/>
        <v>0</v>
      </c>
      <c r="CO101" s="435">
        <f t="shared" si="74"/>
        <v>0</v>
      </c>
      <c r="CP101" s="435">
        <f t="shared" si="75"/>
        <v>0</v>
      </c>
      <c r="CQ101" s="435">
        <f t="shared" si="76"/>
        <v>0</v>
      </c>
      <c r="CR101" s="435">
        <f t="shared" si="77"/>
        <v>0</v>
      </c>
      <c r="CS101" s="435">
        <f t="shared" si="78"/>
        <v>0</v>
      </c>
    </row>
    <row r="102" spans="1:97" x14ac:dyDescent="0.3">
      <c r="A102" s="4065" t="s">
        <v>2256</v>
      </c>
      <c r="B102" s="4065">
        <f t="shared" ref="B102:B108" si="79">SUM(C102:I102)</f>
        <v>0</v>
      </c>
      <c r="C102" s="3996"/>
      <c r="D102" s="232"/>
      <c r="E102" s="232"/>
      <c r="F102" s="1973"/>
      <c r="G102" s="1973"/>
      <c r="H102" s="1973"/>
      <c r="I102" s="4026"/>
      <c r="J102" s="330"/>
      <c r="K102" s="4121">
        <f t="shared" si="63"/>
        <v>0</v>
      </c>
      <c r="L102" s="3996"/>
      <c r="M102" s="1945"/>
      <c r="N102" s="3986"/>
      <c r="O102" s="232"/>
      <c r="P102" s="1018"/>
      <c r="Q102" s="1973"/>
      <c r="R102" s="1018"/>
      <c r="S102" s="3987"/>
      <c r="T102" s="34"/>
      <c r="U102" s="1970" t="str">
        <f t="shared" si="64"/>
        <v/>
      </c>
      <c r="CA102" s="4258" t="str">
        <f t="shared" si="65"/>
        <v/>
      </c>
      <c r="CB102" s="4258" t="str">
        <f t="shared" si="66"/>
        <v/>
      </c>
      <c r="CC102" s="4258" t="str">
        <f t="shared" si="67"/>
        <v/>
      </c>
      <c r="CD102" s="4258" t="str">
        <f t="shared" si="68"/>
        <v/>
      </c>
      <c r="CE102" s="4258" t="str">
        <f t="shared" si="69"/>
        <v/>
      </c>
      <c r="CF102" s="4258" t="str">
        <f t="shared" si="70"/>
        <v/>
      </c>
      <c r="CG102" s="4258" t="str">
        <f t="shared" si="71"/>
        <v/>
      </c>
      <c r="CM102" s="435">
        <f t="shared" si="72"/>
        <v>0</v>
      </c>
      <c r="CN102" s="435">
        <f t="shared" si="73"/>
        <v>0</v>
      </c>
      <c r="CO102" s="435">
        <f t="shared" si="74"/>
        <v>0</v>
      </c>
      <c r="CP102" s="435">
        <f t="shared" si="75"/>
        <v>0</v>
      </c>
      <c r="CQ102" s="435">
        <f t="shared" si="76"/>
        <v>0</v>
      </c>
      <c r="CR102" s="435">
        <f t="shared" si="77"/>
        <v>0</v>
      </c>
      <c r="CS102" s="435">
        <f t="shared" si="78"/>
        <v>0</v>
      </c>
    </row>
    <row r="103" spans="1:97" x14ac:dyDescent="0.3">
      <c r="A103" s="4065" t="s">
        <v>2257</v>
      </c>
      <c r="B103" s="4065">
        <f t="shared" si="79"/>
        <v>0</v>
      </c>
      <c r="C103" s="3996"/>
      <c r="D103" s="1973"/>
      <c r="E103" s="1973"/>
      <c r="F103" s="1973"/>
      <c r="G103" s="1973"/>
      <c r="H103" s="1973"/>
      <c r="I103" s="1918"/>
      <c r="J103" s="330"/>
      <c r="K103" s="4121">
        <f t="shared" si="63"/>
        <v>0</v>
      </c>
      <c r="L103" s="3996"/>
      <c r="M103" s="2444"/>
      <c r="N103" s="2017"/>
      <c r="O103" s="1018"/>
      <c r="P103" s="1973"/>
      <c r="Q103" s="1973"/>
      <c r="R103" s="1973"/>
      <c r="S103" s="3987"/>
      <c r="T103" s="330"/>
      <c r="U103" s="1970" t="str">
        <f t="shared" si="64"/>
        <v/>
      </c>
      <c r="CA103" s="4258" t="str">
        <f t="shared" si="65"/>
        <v/>
      </c>
      <c r="CB103" s="4258" t="str">
        <f t="shared" si="66"/>
        <v/>
      </c>
      <c r="CC103" s="4258" t="str">
        <f t="shared" si="67"/>
        <v/>
      </c>
      <c r="CD103" s="4258" t="str">
        <f t="shared" si="68"/>
        <v/>
      </c>
      <c r="CE103" s="4258" t="str">
        <f t="shared" si="69"/>
        <v/>
      </c>
      <c r="CF103" s="4258" t="str">
        <f t="shared" si="70"/>
        <v/>
      </c>
      <c r="CG103" s="4258" t="str">
        <f t="shared" si="71"/>
        <v/>
      </c>
      <c r="CM103" s="435">
        <f t="shared" si="72"/>
        <v>0</v>
      </c>
      <c r="CN103" s="435">
        <f t="shared" si="73"/>
        <v>0</v>
      </c>
      <c r="CO103" s="435">
        <f t="shared" si="74"/>
        <v>0</v>
      </c>
      <c r="CP103" s="435">
        <f t="shared" si="75"/>
        <v>0</v>
      </c>
      <c r="CQ103" s="435">
        <f t="shared" si="76"/>
        <v>0</v>
      </c>
      <c r="CR103" s="435">
        <f t="shared" si="77"/>
        <v>0</v>
      </c>
      <c r="CS103" s="435">
        <f t="shared" si="78"/>
        <v>0</v>
      </c>
    </row>
    <row r="104" spans="1:97" x14ac:dyDescent="0.3">
      <c r="A104" s="4065" t="s">
        <v>2258</v>
      </c>
      <c r="B104" s="4065">
        <f t="shared" si="79"/>
        <v>0</v>
      </c>
      <c r="C104" s="3996"/>
      <c r="D104" s="232"/>
      <c r="E104" s="232"/>
      <c r="F104" s="1973"/>
      <c r="G104" s="1973"/>
      <c r="H104" s="232"/>
      <c r="I104" s="4283"/>
      <c r="J104" s="330"/>
      <c r="K104" s="4121">
        <f t="shared" si="63"/>
        <v>0</v>
      </c>
      <c r="L104" s="20"/>
      <c r="M104" s="2444"/>
      <c r="N104" s="3986"/>
      <c r="O104" s="1973"/>
      <c r="P104" s="232"/>
      <c r="Q104" s="1973"/>
      <c r="R104" s="232"/>
      <c r="S104" s="3987"/>
      <c r="T104" s="29"/>
      <c r="U104" s="1970" t="str">
        <f t="shared" si="64"/>
        <v/>
      </c>
      <c r="CA104" s="4258" t="str">
        <f t="shared" si="65"/>
        <v/>
      </c>
      <c r="CB104" s="4258" t="str">
        <f t="shared" si="66"/>
        <v/>
      </c>
      <c r="CC104" s="4258" t="str">
        <f t="shared" si="67"/>
        <v/>
      </c>
      <c r="CD104" s="4258" t="str">
        <f t="shared" si="68"/>
        <v/>
      </c>
      <c r="CE104" s="4258" t="str">
        <f t="shared" si="69"/>
        <v/>
      </c>
      <c r="CF104" s="4258" t="str">
        <f t="shared" si="70"/>
        <v/>
      </c>
      <c r="CG104" s="4258" t="str">
        <f t="shared" si="71"/>
        <v/>
      </c>
      <c r="CM104" s="435">
        <f t="shared" si="72"/>
        <v>0</v>
      </c>
      <c r="CN104" s="435">
        <f t="shared" si="73"/>
        <v>0</v>
      </c>
      <c r="CO104" s="435">
        <f t="shared" si="74"/>
        <v>0</v>
      </c>
      <c r="CP104" s="435">
        <f t="shared" si="75"/>
        <v>0</v>
      </c>
      <c r="CQ104" s="435">
        <f t="shared" si="76"/>
        <v>0</v>
      </c>
      <c r="CR104" s="435">
        <f t="shared" si="77"/>
        <v>0</v>
      </c>
      <c r="CS104" s="435">
        <f t="shared" si="78"/>
        <v>0</v>
      </c>
    </row>
    <row r="105" spans="1:97" x14ac:dyDescent="0.3">
      <c r="A105" s="4065" t="s">
        <v>2259</v>
      </c>
      <c r="B105" s="4065">
        <f t="shared" si="79"/>
        <v>0</v>
      </c>
      <c r="C105" s="3996"/>
      <c r="D105" s="1018"/>
      <c r="E105" s="1018"/>
      <c r="F105" s="1973"/>
      <c r="G105" s="1973"/>
      <c r="H105" s="1973"/>
      <c r="I105" s="4026"/>
      <c r="J105" s="330"/>
      <c r="K105" s="4121">
        <f t="shared" si="63"/>
        <v>0</v>
      </c>
      <c r="L105" s="3996"/>
      <c r="M105" s="2444"/>
      <c r="N105" s="3986"/>
      <c r="O105" s="232"/>
      <c r="P105" s="1973"/>
      <c r="Q105" s="1973"/>
      <c r="R105" s="1018"/>
      <c r="S105" s="3987"/>
      <c r="T105" s="34"/>
      <c r="U105" s="1970" t="str">
        <f t="shared" si="64"/>
        <v/>
      </c>
      <c r="CA105" s="4258" t="str">
        <f t="shared" si="65"/>
        <v/>
      </c>
      <c r="CB105" s="4258" t="str">
        <f t="shared" si="66"/>
        <v/>
      </c>
      <c r="CC105" s="4258" t="str">
        <f t="shared" si="67"/>
        <v/>
      </c>
      <c r="CD105" s="4258" t="str">
        <f t="shared" si="68"/>
        <v/>
      </c>
      <c r="CE105" s="4258" t="str">
        <f t="shared" si="69"/>
        <v/>
      </c>
      <c r="CF105" s="4258" t="str">
        <f t="shared" si="70"/>
        <v/>
      </c>
      <c r="CG105" s="4258" t="str">
        <f t="shared" si="71"/>
        <v/>
      </c>
      <c r="CM105" s="435">
        <f t="shared" si="72"/>
        <v>0</v>
      </c>
      <c r="CN105" s="435">
        <f t="shared" si="73"/>
        <v>0</v>
      </c>
      <c r="CO105" s="435">
        <f t="shared" si="74"/>
        <v>0</v>
      </c>
      <c r="CP105" s="435">
        <f t="shared" si="75"/>
        <v>0</v>
      </c>
      <c r="CQ105" s="435">
        <f t="shared" si="76"/>
        <v>0</v>
      </c>
      <c r="CR105" s="435">
        <f t="shared" si="77"/>
        <v>0</v>
      </c>
      <c r="CS105" s="435">
        <f t="shared" si="78"/>
        <v>0</v>
      </c>
    </row>
    <row r="106" spans="1:97" x14ac:dyDescent="0.3">
      <c r="A106" s="196" t="s">
        <v>2260</v>
      </c>
      <c r="B106" s="4065">
        <f t="shared" si="79"/>
        <v>0</v>
      </c>
      <c r="C106" s="4178"/>
      <c r="D106" s="1973"/>
      <c r="E106" s="1973"/>
      <c r="F106" s="1973"/>
      <c r="G106" s="1973"/>
      <c r="H106" s="232"/>
      <c r="I106" s="4283"/>
      <c r="J106" s="330"/>
      <c r="K106" s="4121">
        <f t="shared" si="63"/>
        <v>0</v>
      </c>
      <c r="L106" s="3996"/>
      <c r="M106" s="2444"/>
      <c r="N106" s="2017"/>
      <c r="O106" s="1018"/>
      <c r="P106" s="1973"/>
      <c r="Q106" s="1973"/>
      <c r="R106" s="1973"/>
      <c r="S106" s="3987"/>
      <c r="T106" s="330"/>
      <c r="U106" s="1970" t="str">
        <f t="shared" si="64"/>
        <v/>
      </c>
      <c r="CA106" s="4258" t="str">
        <f t="shared" si="65"/>
        <v/>
      </c>
      <c r="CB106" s="4258" t="str">
        <f t="shared" si="66"/>
        <v/>
      </c>
      <c r="CC106" s="4258" t="str">
        <f t="shared" si="67"/>
        <v/>
      </c>
      <c r="CD106" s="4258" t="str">
        <f t="shared" si="68"/>
        <v/>
      </c>
      <c r="CE106" s="4258" t="str">
        <f t="shared" si="69"/>
        <v/>
      </c>
      <c r="CF106" s="4258" t="str">
        <f t="shared" si="70"/>
        <v/>
      </c>
      <c r="CG106" s="4258" t="str">
        <f t="shared" si="71"/>
        <v/>
      </c>
      <c r="CM106" s="435">
        <f t="shared" si="72"/>
        <v>0</v>
      </c>
      <c r="CN106" s="435">
        <f t="shared" si="73"/>
        <v>0</v>
      </c>
      <c r="CO106" s="435">
        <f t="shared" si="74"/>
        <v>0</v>
      </c>
      <c r="CP106" s="435">
        <f t="shared" si="75"/>
        <v>0</v>
      </c>
      <c r="CQ106" s="435">
        <f t="shared" si="76"/>
        <v>0</v>
      </c>
      <c r="CR106" s="435">
        <f t="shared" si="77"/>
        <v>0</v>
      </c>
      <c r="CS106" s="435">
        <f t="shared" si="78"/>
        <v>0</v>
      </c>
    </row>
    <row r="107" spans="1:97" x14ac:dyDescent="0.3">
      <c r="A107" s="196" t="s">
        <v>2261</v>
      </c>
      <c r="B107" s="4065">
        <f t="shared" si="79"/>
        <v>0</v>
      </c>
      <c r="C107" s="3996"/>
      <c r="D107" s="1973"/>
      <c r="E107" s="1973"/>
      <c r="F107" s="232"/>
      <c r="G107" s="1973"/>
      <c r="H107" s="1018"/>
      <c r="I107" s="4026"/>
      <c r="J107" s="330"/>
      <c r="K107" s="4121">
        <f t="shared" si="63"/>
        <v>0</v>
      </c>
      <c r="L107" s="3996"/>
      <c r="M107" s="332"/>
      <c r="N107" s="3986"/>
      <c r="O107" s="1973"/>
      <c r="P107" s="1973"/>
      <c r="Q107" s="1973"/>
      <c r="R107" s="232"/>
      <c r="S107" s="3987"/>
      <c r="T107" s="29"/>
      <c r="U107" s="1970" t="str">
        <f t="shared" si="64"/>
        <v/>
      </c>
      <c r="CA107" s="4258" t="str">
        <f t="shared" si="65"/>
        <v/>
      </c>
      <c r="CB107" s="4258" t="str">
        <f t="shared" si="66"/>
        <v/>
      </c>
      <c r="CC107" s="4258" t="str">
        <f t="shared" si="67"/>
        <v/>
      </c>
      <c r="CD107" s="4258" t="str">
        <f t="shared" si="68"/>
        <v/>
      </c>
      <c r="CE107" s="4258" t="str">
        <f t="shared" si="69"/>
        <v/>
      </c>
      <c r="CF107" s="4258" t="str">
        <f t="shared" si="70"/>
        <v/>
      </c>
      <c r="CG107" s="4258" t="str">
        <f t="shared" si="71"/>
        <v/>
      </c>
      <c r="CM107" s="435">
        <f t="shared" si="72"/>
        <v>0</v>
      </c>
      <c r="CN107" s="435">
        <f t="shared" si="73"/>
        <v>0</v>
      </c>
      <c r="CO107" s="435">
        <f t="shared" si="74"/>
        <v>0</v>
      </c>
      <c r="CP107" s="435">
        <f t="shared" si="75"/>
        <v>0</v>
      </c>
      <c r="CQ107" s="435">
        <f t="shared" si="76"/>
        <v>0</v>
      </c>
      <c r="CR107" s="435">
        <f t="shared" si="77"/>
        <v>0</v>
      </c>
      <c r="CS107" s="435">
        <f t="shared" si="78"/>
        <v>0</v>
      </c>
    </row>
    <row r="108" spans="1:97" x14ac:dyDescent="0.3">
      <c r="A108" s="690" t="s">
        <v>2262</v>
      </c>
      <c r="B108" s="4065">
        <f t="shared" si="79"/>
        <v>0</v>
      </c>
      <c r="C108" s="327"/>
      <c r="D108" s="232"/>
      <c r="E108" s="232"/>
      <c r="F108" s="1907"/>
      <c r="G108" s="232"/>
      <c r="H108" s="1907"/>
      <c r="I108" s="3430"/>
      <c r="J108" s="330"/>
      <c r="K108" s="4121">
        <f t="shared" si="63"/>
        <v>0</v>
      </c>
      <c r="L108" s="876"/>
      <c r="M108" s="1945"/>
      <c r="N108" s="2017"/>
      <c r="O108" s="232"/>
      <c r="P108" s="232"/>
      <c r="Q108" s="232"/>
      <c r="R108" s="1907"/>
      <c r="S108" s="214"/>
      <c r="T108" s="877"/>
      <c r="U108" s="1970" t="str">
        <f t="shared" si="64"/>
        <v/>
      </c>
      <c r="CA108" s="4258" t="str">
        <f t="shared" si="65"/>
        <v/>
      </c>
      <c r="CB108" s="4258" t="str">
        <f t="shared" si="66"/>
        <v/>
      </c>
      <c r="CC108" s="4258" t="str">
        <f t="shared" si="67"/>
        <v/>
      </c>
      <c r="CD108" s="4258" t="str">
        <f t="shared" si="68"/>
        <v/>
      </c>
      <c r="CE108" s="4258" t="str">
        <f t="shared" si="69"/>
        <v/>
      </c>
      <c r="CF108" s="4258" t="str">
        <f t="shared" si="70"/>
        <v/>
      </c>
      <c r="CG108" s="4258" t="str">
        <f t="shared" si="71"/>
        <v/>
      </c>
      <c r="CM108" s="435">
        <f t="shared" si="72"/>
        <v>0</v>
      </c>
      <c r="CN108" s="435">
        <f t="shared" si="73"/>
        <v>0</v>
      </c>
      <c r="CO108" s="435">
        <f t="shared" si="74"/>
        <v>0</v>
      </c>
      <c r="CP108" s="435">
        <f t="shared" si="75"/>
        <v>0</v>
      </c>
      <c r="CQ108" s="435">
        <f t="shared" si="76"/>
        <v>0</v>
      </c>
      <c r="CR108" s="435">
        <f t="shared" si="77"/>
        <v>0</v>
      </c>
      <c r="CS108" s="435">
        <f t="shared" si="78"/>
        <v>0</v>
      </c>
    </row>
    <row r="109" spans="1:97" x14ac:dyDescent="0.3">
      <c r="A109" s="4268" t="s">
        <v>77</v>
      </c>
      <c r="B109" s="4284">
        <f>SUM(B97:B108)</f>
        <v>0</v>
      </c>
      <c r="C109" s="4285">
        <f t="shared" ref="C109:S109" si="80">SUM(C97:C108)</f>
        <v>0</v>
      </c>
      <c r="D109" s="4285">
        <f t="shared" si="80"/>
        <v>0</v>
      </c>
      <c r="E109" s="4285">
        <f>SUM(E97:E108)</f>
        <v>0</v>
      </c>
      <c r="F109" s="4285">
        <f t="shared" si="80"/>
        <v>0</v>
      </c>
      <c r="G109" s="4285">
        <f t="shared" si="80"/>
        <v>0</v>
      </c>
      <c r="H109" s="4285">
        <f t="shared" si="80"/>
        <v>0</v>
      </c>
      <c r="I109" s="4286">
        <f t="shared" si="80"/>
        <v>0</v>
      </c>
      <c r="J109" s="4271">
        <f t="shared" si="80"/>
        <v>0</v>
      </c>
      <c r="K109" s="4279">
        <f>SUM(K97:K108)</f>
        <v>0</v>
      </c>
      <c r="L109" s="4243">
        <f t="shared" si="80"/>
        <v>0</v>
      </c>
      <c r="M109" s="4273">
        <f t="shared" si="80"/>
        <v>0</v>
      </c>
      <c r="N109" s="4275">
        <f t="shared" si="80"/>
        <v>0</v>
      </c>
      <c r="O109" s="4270">
        <f t="shared" si="80"/>
        <v>0</v>
      </c>
      <c r="P109" s="4270">
        <f t="shared" si="80"/>
        <v>0</v>
      </c>
      <c r="Q109" s="4270">
        <f>SUM(Q97:Q108)</f>
        <v>0</v>
      </c>
      <c r="R109" s="4270">
        <f t="shared" si="80"/>
        <v>0</v>
      </c>
      <c r="S109" s="4271">
        <f t="shared" si="80"/>
        <v>0</v>
      </c>
      <c r="T109" s="4276">
        <f>SUM(T97:T108)</f>
        <v>0</v>
      </c>
      <c r="CA109" s="4"/>
      <c r="CB109" s="4"/>
      <c r="CC109" s="4"/>
      <c r="CD109" s="4"/>
      <c r="CE109" s="4"/>
      <c r="CF109" s="4"/>
      <c r="CG109" s="4"/>
    </row>
    <row r="110" spans="1:97" ht="18" customHeight="1" x14ac:dyDescent="0.3">
      <c r="A110" s="6911" t="s">
        <v>2296</v>
      </c>
      <c r="B110" s="6911"/>
      <c r="C110" s="6931"/>
      <c r="D110" s="6931"/>
      <c r="E110" s="6931"/>
      <c r="F110" s="6931"/>
      <c r="G110" s="6931"/>
      <c r="H110" s="6931"/>
      <c r="I110" s="6931"/>
      <c r="J110" s="6931"/>
      <c r="K110" s="6931"/>
      <c r="L110" s="6931"/>
      <c r="M110" s="6931"/>
      <c r="N110" s="6931"/>
    </row>
    <row r="111" spans="1:97" ht="15" customHeight="1" x14ac:dyDescent="0.3">
      <c r="A111" s="6853" t="s">
        <v>2264</v>
      </c>
      <c r="B111" s="6837" t="s">
        <v>2265</v>
      </c>
      <c r="C111" s="6848" t="s">
        <v>2240</v>
      </c>
      <c r="D111" s="6842"/>
      <c r="E111" s="6842"/>
      <c r="F111" s="6842"/>
      <c r="G111" s="6842"/>
      <c r="H111" s="6842"/>
      <c r="I111" s="6842"/>
      <c r="J111" s="6842"/>
      <c r="K111" s="6842"/>
      <c r="L111" s="6849"/>
      <c r="M111" s="6842" t="s">
        <v>2266</v>
      </c>
      <c r="N111" s="6842"/>
      <c r="O111" s="6842"/>
      <c r="P111" s="6842"/>
      <c r="Q111" s="6842"/>
      <c r="R111" s="6849"/>
    </row>
    <row r="112" spans="1:97" ht="30.6" x14ac:dyDescent="0.3">
      <c r="A112" s="6466"/>
      <c r="B112" s="6471"/>
      <c r="C112" s="3977" t="s">
        <v>2251</v>
      </c>
      <c r="D112" s="3980" t="s">
        <v>58</v>
      </c>
      <c r="E112" s="3981" t="s">
        <v>59</v>
      </c>
      <c r="F112" s="4022" t="s">
        <v>1278</v>
      </c>
      <c r="G112" s="3978" t="s">
        <v>1354</v>
      </c>
      <c r="H112" s="3978" t="s">
        <v>62</v>
      </c>
      <c r="I112" s="3978" t="s">
        <v>2178</v>
      </c>
      <c r="J112" s="3978" t="s">
        <v>36</v>
      </c>
      <c r="K112" s="3978" t="s">
        <v>37</v>
      </c>
      <c r="L112" s="3979" t="s">
        <v>2179</v>
      </c>
      <c r="M112" s="3980" t="s">
        <v>2241</v>
      </c>
      <c r="N112" s="3978" t="s">
        <v>2243</v>
      </c>
      <c r="O112" s="3978" t="s">
        <v>2267</v>
      </c>
      <c r="P112" s="3978" t="s">
        <v>2268</v>
      </c>
      <c r="Q112" s="3978" t="s">
        <v>2269</v>
      </c>
      <c r="R112" s="1802" t="s">
        <v>2249</v>
      </c>
    </row>
    <row r="113" spans="1:97" x14ac:dyDescent="0.3">
      <c r="A113" s="4181" t="s">
        <v>2272</v>
      </c>
      <c r="B113" s="4051"/>
      <c r="C113" s="303">
        <f>SUM(D113:E113)</f>
        <v>0</v>
      </c>
      <c r="D113" s="3987"/>
      <c r="E113" s="332"/>
      <c r="F113" s="3986"/>
      <c r="G113" s="1973"/>
      <c r="H113" s="1973"/>
      <c r="I113" s="1973"/>
      <c r="J113" s="1973"/>
      <c r="K113" s="1973"/>
      <c r="L113" s="2003"/>
      <c r="M113" s="3987"/>
      <c r="N113" s="1039"/>
      <c r="O113" s="1039"/>
      <c r="P113" s="1039"/>
      <c r="Q113" s="1973"/>
      <c r="R113" s="330"/>
      <c r="CA113" s="4258" t="str">
        <f>IF(AND(E113&gt;0,F113=""),"*No olvide digitar el campo "&amp;F$112&amp;""&amp;". Digite CERO si no tiene.", IF(F113&gt;E113," * El Número de "&amp;F$112&amp;""&amp;" no puede superar el Total Mujeres. ",""))</f>
        <v/>
      </c>
      <c r="CB113" s="4258" t="str">
        <f>IF(AND(D113&gt;0,G113=""),"*No olvide digitar el campo "&amp;G$112&amp;""&amp;". Digite CERO si no tiene.", IF(G113&gt;D113," * El Número de "&amp;G$112&amp;""&amp;" no puede superar el Total Hombres. ",""))</f>
        <v/>
      </c>
      <c r="CC113" s="4258" t="str">
        <f>IF(AND($C113&gt;0,H113=""),"*No olvide digitar el campo "&amp;H$112&amp;""&amp;". Digite CERO si no tiene.", IF(H113&gt;$C113," * La variable "&amp;H$112&amp;""&amp;" no puede superar el Total Ambos Sexos. ",""))</f>
        <v/>
      </c>
      <c r="CD113" s="4258" t="str">
        <f>IF(AND($C113&gt;0,I113=""),"*No olvide digitar el campo "&amp;I$112&amp;""&amp;". Digite CERO si no tiene.", IF(I113&gt;$C113," * La variable "&amp;I$112&amp;""&amp;" no puede superar el Total Ambos Sexos. ",""))</f>
        <v/>
      </c>
      <c r="CE113" s="4258" t="str">
        <f>IF(AND($C113&gt;0,J113=""),"*No olvide digitar el campo "&amp;J$112&amp;""&amp;". Digite CERO si no tiene.", IF(J113&gt;$C113," * La variable "&amp;J$112&amp;""&amp;" no puede superar el Total Ambos Sexos. ",""))</f>
        <v/>
      </c>
      <c r="CF113" s="4258" t="str">
        <f>IF(AND($C113&gt;0,K113=""),"*No olvide digitar el campo "&amp;K$112&amp;""&amp;". Digite CERO si no tiene.", IF(K113&gt;$C113," * La variable "&amp;K$112&amp;""&amp;" no puede superar el Total Ambos Sexos. ",""))</f>
        <v/>
      </c>
      <c r="CG113" s="4258" t="str">
        <f>IF(AND($C113&gt;0,L113=""),"*No olvide digitar el campo "&amp;L$112&amp;""&amp;". Digite CERO si no tiene.", IF(L113&gt;$C113," * La variable "&amp;L$112&amp;""&amp;" no puede superar el Total Ambos Sexos. ",""))</f>
        <v/>
      </c>
      <c r="CM113" s="435">
        <f>IF(AND(E113&gt;0,OR(F113="")),1,IF(F113&gt;E113,1,0))</f>
        <v>0</v>
      </c>
      <c r="CN113" s="435">
        <f>IF(AND(D113&gt;0,OR(G113="")),1,IF(G113&gt;D113,1,0))</f>
        <v>0</v>
      </c>
      <c r="CO113" s="435">
        <f>IF(AND($C113&gt;0,OR(H113="")),1,IF(H113&gt;$C113,1,0))</f>
        <v>0</v>
      </c>
      <c r="CP113" s="435">
        <f t="shared" ref="CP113" si="81">IF(AND($C113&gt;0,OR(I113="")),1,IF(I113&gt;$C113,1,0))</f>
        <v>0</v>
      </c>
      <c r="CQ113" s="435">
        <f t="shared" ref="CQ113" si="82">IF(AND($C113&gt;0,OR(J113="")),1,IF(J113&gt;$C113,1,0))</f>
        <v>0</v>
      </c>
      <c r="CR113" s="435">
        <f t="shared" ref="CR113" si="83">IF(AND($C113&gt;0,OR(K113="")),1,IF(K113&gt;$C113,1,0))</f>
        <v>0</v>
      </c>
      <c r="CS113" s="435">
        <f t="shared" ref="CS113" si="84">IF(AND($C113&gt;0,OR(L113="")),1,IF(L113&gt;$C113,1,0))</f>
        <v>0</v>
      </c>
    </row>
    <row r="114" spans="1:97" x14ac:dyDescent="0.3">
      <c r="A114" s="4181" t="s">
        <v>2275</v>
      </c>
      <c r="B114" s="4051"/>
      <c r="C114" s="3991">
        <f t="shared" ref="C114:C121" si="85">SUM(D114:E114)</f>
        <v>0</v>
      </c>
      <c r="D114" s="3987"/>
      <c r="E114" s="332"/>
      <c r="F114" s="3986"/>
      <c r="G114" s="1973"/>
      <c r="H114" s="1973"/>
      <c r="I114" s="1973"/>
      <c r="J114" s="1973"/>
      <c r="K114" s="1973"/>
      <c r="L114" s="2003"/>
      <c r="M114" s="3987"/>
      <c r="N114" s="1973"/>
      <c r="O114" s="1973"/>
      <c r="P114" s="1973"/>
      <c r="Q114" s="1973"/>
      <c r="R114" s="330"/>
      <c r="CA114" s="4258" t="str">
        <f t="shared" ref="CA114:CA122" si="86">IF(AND(E114&gt;0,F114=""),"*No olvide digitar el campo "&amp;F$112&amp;""&amp;". Digite CERO si no tiene.", IF(F114&gt;E114," * El Número de "&amp;F$112&amp;""&amp;" no puede superar el Total Mujeres. ",""))</f>
        <v/>
      </c>
      <c r="CB114" s="4258" t="str">
        <f t="shared" ref="CB114:CB122" si="87">IF(AND(D114&gt;0,G114=""),"*No olvide digitar el campo "&amp;G$112&amp;""&amp;". Digite CERO si no tiene.", IF(G114&gt;D114," * El Número de "&amp;G$112&amp;""&amp;" no puede superar el Total Hombres. ",""))</f>
        <v/>
      </c>
      <c r="CC114" s="4258" t="str">
        <f t="shared" ref="CC114:CC122" si="88">IF(AND($C114&gt;0,H114=""),"*No olvide digitar el campo "&amp;H$112&amp;""&amp;". Digite CERO si no tiene.", IF(H114&gt;$C114," * La variable "&amp;H$112&amp;""&amp;" no puede superar el Total Ambos Sexos. ",""))</f>
        <v/>
      </c>
      <c r="CD114" s="4258" t="str">
        <f t="shared" ref="CD114:CD122" si="89">IF(AND($C114&gt;0,I114=""),"*No olvide digitar el campo "&amp;I$112&amp;""&amp;". Digite CERO si no tiene.", IF(I114&gt;$C114," * La variable "&amp;I$112&amp;""&amp;" no puede superar el Total Ambos Sexos. ",""))</f>
        <v/>
      </c>
      <c r="CE114" s="4258" t="str">
        <f t="shared" ref="CE114:CE122" si="90">IF(AND($C114&gt;0,J114=""),"*No olvide digitar el campo "&amp;J$112&amp;""&amp;". Digite CERO si no tiene.", IF(J114&gt;$C114," * La variable "&amp;J$112&amp;""&amp;" no puede superar el Total Ambos Sexos. ",""))</f>
        <v/>
      </c>
      <c r="CF114" s="4258" t="str">
        <f t="shared" ref="CF114:CF122" si="91">IF(AND($C114&gt;0,K114=""),"*No olvide digitar el campo "&amp;K$112&amp;""&amp;". Digite CERO si no tiene.", IF(K114&gt;$C114," * La variable "&amp;K$112&amp;""&amp;" no puede superar el Total Ambos Sexos. ",""))</f>
        <v/>
      </c>
      <c r="CG114" s="4258" t="str">
        <f t="shared" ref="CG114:CG122" si="92">IF(AND($C114&gt;0,L114=""),"*No olvide digitar el campo "&amp;L$112&amp;""&amp;". Digite CERO si no tiene.", IF(L114&gt;$C114," * La variable "&amp;L$112&amp;""&amp;" no puede superar el Total Ambos Sexos. ",""))</f>
        <v/>
      </c>
      <c r="CM114" s="435">
        <f t="shared" ref="CM114:CM122" si="93">IF(AND(E114&gt;0,OR(F114="")),1,IF(F114&gt;E114,1,0))</f>
        <v>0</v>
      </c>
      <c r="CN114" s="435">
        <f t="shared" ref="CN114:CN122" si="94">IF(AND(D114&gt;0,OR(G114="")),1,IF(G114&gt;D114,1,0))</f>
        <v>0</v>
      </c>
      <c r="CO114" s="435">
        <f t="shared" ref="CO114:CO122" si="95">IF(AND($C114&gt;0,OR(H114="")),1,IF(H114&gt;$C114,1,0))</f>
        <v>0</v>
      </c>
      <c r="CP114" s="435">
        <f t="shared" ref="CP114:CP122" si="96">IF(AND($C114&gt;0,OR(I114="")),1,IF(I114&gt;$C114,1,0))</f>
        <v>0</v>
      </c>
      <c r="CQ114" s="435">
        <f t="shared" ref="CQ114:CQ122" si="97">IF(AND($C114&gt;0,OR(J114="")),1,IF(J114&gt;$C114,1,0))</f>
        <v>0</v>
      </c>
      <c r="CR114" s="435">
        <f t="shared" ref="CR114:CR122" si="98">IF(AND($C114&gt;0,OR(K114="")),1,IF(K114&gt;$C114,1,0))</f>
        <v>0</v>
      </c>
      <c r="CS114" s="435">
        <f t="shared" ref="CS114:CS122" si="99">IF(AND($C114&gt;0,OR(L114="")),1,IF(L114&gt;$C114,1,0))</f>
        <v>0</v>
      </c>
    </row>
    <row r="115" spans="1:97" x14ac:dyDescent="0.3">
      <c r="A115" s="4181" t="s">
        <v>2276</v>
      </c>
      <c r="B115" s="2070"/>
      <c r="C115" s="3991">
        <f t="shared" si="85"/>
        <v>0</v>
      </c>
      <c r="D115" s="3987"/>
      <c r="E115" s="332"/>
      <c r="F115" s="3986"/>
      <c r="G115" s="1973"/>
      <c r="H115" s="1973"/>
      <c r="I115" s="1973"/>
      <c r="J115" s="1973"/>
      <c r="K115" s="1973"/>
      <c r="L115" s="2003"/>
      <c r="M115" s="3987"/>
      <c r="N115" s="1973"/>
      <c r="O115" s="1973"/>
      <c r="P115" s="1973"/>
      <c r="Q115" s="1973"/>
      <c r="R115" s="330"/>
      <c r="CA115" s="4258" t="str">
        <f t="shared" si="86"/>
        <v/>
      </c>
      <c r="CB115" s="4258" t="str">
        <f t="shared" si="87"/>
        <v/>
      </c>
      <c r="CC115" s="4258" t="str">
        <f t="shared" si="88"/>
        <v/>
      </c>
      <c r="CD115" s="4258" t="str">
        <f t="shared" si="89"/>
        <v/>
      </c>
      <c r="CE115" s="4258" t="str">
        <f t="shared" si="90"/>
        <v/>
      </c>
      <c r="CF115" s="4258" t="str">
        <f t="shared" si="91"/>
        <v/>
      </c>
      <c r="CG115" s="4258" t="str">
        <f t="shared" si="92"/>
        <v/>
      </c>
      <c r="CM115" s="435">
        <f t="shared" si="93"/>
        <v>0</v>
      </c>
      <c r="CN115" s="435">
        <f t="shared" si="94"/>
        <v>0</v>
      </c>
      <c r="CO115" s="435">
        <f t="shared" si="95"/>
        <v>0</v>
      </c>
      <c r="CP115" s="435">
        <f t="shared" si="96"/>
        <v>0</v>
      </c>
      <c r="CQ115" s="435">
        <f t="shared" si="97"/>
        <v>0</v>
      </c>
      <c r="CR115" s="435">
        <f t="shared" si="98"/>
        <v>0</v>
      </c>
      <c r="CS115" s="435">
        <f t="shared" si="99"/>
        <v>0</v>
      </c>
    </row>
    <row r="116" spans="1:97" x14ac:dyDescent="0.3">
      <c r="A116" s="4181" t="s">
        <v>2277</v>
      </c>
      <c r="B116" s="1952"/>
      <c r="C116" s="3991">
        <f t="shared" si="85"/>
        <v>0</v>
      </c>
      <c r="D116" s="3987"/>
      <c r="E116" s="332"/>
      <c r="F116" s="3986"/>
      <c r="G116" s="1973"/>
      <c r="H116" s="1973"/>
      <c r="I116" s="1973"/>
      <c r="J116" s="1973"/>
      <c r="K116" s="1973"/>
      <c r="L116" s="2003"/>
      <c r="M116" s="3987"/>
      <c r="N116" s="1973"/>
      <c r="O116" s="1973"/>
      <c r="P116" s="1973"/>
      <c r="Q116" s="1973"/>
      <c r="R116" s="330"/>
      <c r="CA116" s="4258" t="str">
        <f t="shared" si="86"/>
        <v/>
      </c>
      <c r="CB116" s="4258" t="str">
        <f t="shared" si="87"/>
        <v/>
      </c>
      <c r="CC116" s="4258" t="str">
        <f t="shared" si="88"/>
        <v/>
      </c>
      <c r="CD116" s="4258" t="str">
        <f t="shared" si="89"/>
        <v/>
      </c>
      <c r="CE116" s="4258" t="str">
        <f t="shared" si="90"/>
        <v/>
      </c>
      <c r="CF116" s="4258" t="str">
        <f t="shared" si="91"/>
        <v/>
      </c>
      <c r="CG116" s="4258" t="str">
        <f t="shared" si="92"/>
        <v/>
      </c>
      <c r="CM116" s="435">
        <f t="shared" si="93"/>
        <v>0</v>
      </c>
      <c r="CN116" s="435">
        <f t="shared" si="94"/>
        <v>0</v>
      </c>
      <c r="CO116" s="435">
        <f t="shared" si="95"/>
        <v>0</v>
      </c>
      <c r="CP116" s="435">
        <f t="shared" si="96"/>
        <v>0</v>
      </c>
      <c r="CQ116" s="435">
        <f t="shared" si="97"/>
        <v>0</v>
      </c>
      <c r="CR116" s="435">
        <f t="shared" si="98"/>
        <v>0</v>
      </c>
      <c r="CS116" s="435">
        <f t="shared" si="99"/>
        <v>0</v>
      </c>
    </row>
    <row r="117" spans="1:97" x14ac:dyDescent="0.3">
      <c r="A117" s="4181" t="s">
        <v>2278</v>
      </c>
      <c r="B117" s="4051"/>
      <c r="C117" s="3991">
        <f t="shared" si="85"/>
        <v>0</v>
      </c>
      <c r="D117" s="3987"/>
      <c r="E117" s="332"/>
      <c r="F117" s="3986"/>
      <c r="G117" s="1973"/>
      <c r="H117" s="1973"/>
      <c r="I117" s="1973"/>
      <c r="J117" s="1973"/>
      <c r="K117" s="1973"/>
      <c r="L117" s="2003"/>
      <c r="M117" s="3987"/>
      <c r="N117" s="1973"/>
      <c r="O117" s="1973"/>
      <c r="P117" s="1973"/>
      <c r="Q117" s="1973"/>
      <c r="R117" s="330"/>
      <c r="CA117" s="4258" t="str">
        <f t="shared" si="86"/>
        <v/>
      </c>
      <c r="CB117" s="4258" t="str">
        <f t="shared" si="87"/>
        <v/>
      </c>
      <c r="CC117" s="4258" t="str">
        <f t="shared" si="88"/>
        <v/>
      </c>
      <c r="CD117" s="4258" t="str">
        <f t="shared" si="89"/>
        <v/>
      </c>
      <c r="CE117" s="4258" t="str">
        <f t="shared" si="90"/>
        <v/>
      </c>
      <c r="CF117" s="4258" t="str">
        <f t="shared" si="91"/>
        <v/>
      </c>
      <c r="CG117" s="4258" t="str">
        <f t="shared" si="92"/>
        <v/>
      </c>
      <c r="CM117" s="435">
        <f t="shared" si="93"/>
        <v>0</v>
      </c>
      <c r="CN117" s="435">
        <f t="shared" si="94"/>
        <v>0</v>
      </c>
      <c r="CO117" s="435">
        <f t="shared" si="95"/>
        <v>0</v>
      </c>
      <c r="CP117" s="435">
        <f t="shared" si="96"/>
        <v>0</v>
      </c>
      <c r="CQ117" s="435">
        <f t="shared" si="97"/>
        <v>0</v>
      </c>
      <c r="CR117" s="435">
        <f t="shared" si="98"/>
        <v>0</v>
      </c>
      <c r="CS117" s="435">
        <f t="shared" si="99"/>
        <v>0</v>
      </c>
    </row>
    <row r="118" spans="1:97" x14ac:dyDescent="0.3">
      <c r="A118" s="4278" t="s">
        <v>2279</v>
      </c>
      <c r="B118" s="1952"/>
      <c r="C118" s="303">
        <f t="shared" si="85"/>
        <v>0</v>
      </c>
      <c r="D118" s="3987"/>
      <c r="E118" s="332"/>
      <c r="F118" s="3986"/>
      <c r="G118" s="1973"/>
      <c r="H118" s="1973"/>
      <c r="I118" s="1973"/>
      <c r="J118" s="1973"/>
      <c r="K118" s="1973"/>
      <c r="L118" s="2003"/>
      <c r="M118" s="3987"/>
      <c r="N118" s="1973"/>
      <c r="O118" s="1973"/>
      <c r="P118" s="1973"/>
      <c r="Q118" s="1973"/>
      <c r="R118" s="330"/>
      <c r="CA118" s="4258" t="str">
        <f t="shared" si="86"/>
        <v/>
      </c>
      <c r="CB118" s="4258" t="str">
        <f t="shared" si="87"/>
        <v/>
      </c>
      <c r="CC118" s="4258" t="str">
        <f t="shared" si="88"/>
        <v/>
      </c>
      <c r="CD118" s="4258" t="str">
        <f t="shared" si="89"/>
        <v/>
      </c>
      <c r="CE118" s="4258" t="str">
        <f t="shared" si="90"/>
        <v/>
      </c>
      <c r="CF118" s="4258" t="str">
        <f t="shared" si="91"/>
        <v/>
      </c>
      <c r="CG118" s="4258" t="str">
        <f t="shared" si="92"/>
        <v/>
      </c>
      <c r="CM118" s="435">
        <f t="shared" si="93"/>
        <v>0</v>
      </c>
      <c r="CN118" s="435">
        <f t="shared" si="94"/>
        <v>0</v>
      </c>
      <c r="CO118" s="435">
        <f t="shared" si="95"/>
        <v>0</v>
      </c>
      <c r="CP118" s="435">
        <f t="shared" si="96"/>
        <v>0</v>
      </c>
      <c r="CQ118" s="435">
        <f t="shared" si="97"/>
        <v>0</v>
      </c>
      <c r="CR118" s="435">
        <f t="shared" si="98"/>
        <v>0</v>
      </c>
      <c r="CS118" s="435">
        <f t="shared" si="99"/>
        <v>0</v>
      </c>
    </row>
    <row r="119" spans="1:97" x14ac:dyDescent="0.3">
      <c r="A119" s="4065" t="s">
        <v>2280</v>
      </c>
      <c r="B119" s="4051"/>
      <c r="C119" s="303">
        <f t="shared" si="85"/>
        <v>0</v>
      </c>
      <c r="D119" s="3987"/>
      <c r="E119" s="332"/>
      <c r="F119" s="3986"/>
      <c r="G119" s="1973"/>
      <c r="H119" s="1973"/>
      <c r="I119" s="1973"/>
      <c r="J119" s="1973"/>
      <c r="K119" s="1973"/>
      <c r="L119" s="2003"/>
      <c r="M119" s="3987"/>
      <c r="N119" s="1973"/>
      <c r="O119" s="1973"/>
      <c r="P119" s="1973"/>
      <c r="Q119" s="1973"/>
      <c r="R119" s="330"/>
      <c r="CA119" s="4258" t="str">
        <f t="shared" si="86"/>
        <v/>
      </c>
      <c r="CB119" s="4258" t="str">
        <f t="shared" si="87"/>
        <v/>
      </c>
      <c r="CC119" s="4258" t="str">
        <f t="shared" si="88"/>
        <v/>
      </c>
      <c r="CD119" s="4258" t="str">
        <f t="shared" si="89"/>
        <v/>
      </c>
      <c r="CE119" s="4258" t="str">
        <f t="shared" si="90"/>
        <v/>
      </c>
      <c r="CF119" s="4258" t="str">
        <f t="shared" si="91"/>
        <v/>
      </c>
      <c r="CG119" s="4258" t="str">
        <f t="shared" si="92"/>
        <v/>
      </c>
      <c r="CM119" s="435">
        <f t="shared" si="93"/>
        <v>0</v>
      </c>
      <c r="CN119" s="435">
        <f t="shared" si="94"/>
        <v>0</v>
      </c>
      <c r="CO119" s="435">
        <f t="shared" si="95"/>
        <v>0</v>
      </c>
      <c r="CP119" s="435">
        <f t="shared" si="96"/>
        <v>0</v>
      </c>
      <c r="CQ119" s="435">
        <f t="shared" si="97"/>
        <v>0</v>
      </c>
      <c r="CR119" s="435">
        <f t="shared" si="98"/>
        <v>0</v>
      </c>
      <c r="CS119" s="435">
        <f t="shared" si="99"/>
        <v>0</v>
      </c>
    </row>
    <row r="120" spans="1:97" ht="20.399999999999999" x14ac:dyDescent="0.3">
      <c r="A120" s="3357" t="s">
        <v>2281</v>
      </c>
      <c r="B120" s="4051"/>
      <c r="C120" s="231">
        <f t="shared" si="85"/>
        <v>0</v>
      </c>
      <c r="D120" s="3987"/>
      <c r="E120" s="332"/>
      <c r="F120" s="3986"/>
      <c r="G120" s="1973"/>
      <c r="H120" s="1018"/>
      <c r="I120" s="1973"/>
      <c r="J120" s="1018"/>
      <c r="K120" s="1973"/>
      <c r="L120" s="1161"/>
      <c r="M120" s="3987"/>
      <c r="N120" s="1973"/>
      <c r="O120" s="1018"/>
      <c r="P120" s="1973"/>
      <c r="Q120" s="1973"/>
      <c r="R120" s="34"/>
      <c r="CA120" s="4258" t="str">
        <f t="shared" si="86"/>
        <v/>
      </c>
      <c r="CB120" s="4258" t="str">
        <f t="shared" si="87"/>
        <v/>
      </c>
      <c r="CC120" s="4258" t="str">
        <f t="shared" si="88"/>
        <v/>
      </c>
      <c r="CD120" s="4258" t="str">
        <f t="shared" si="89"/>
        <v/>
      </c>
      <c r="CE120" s="4258" t="str">
        <f t="shared" si="90"/>
        <v/>
      </c>
      <c r="CF120" s="4258" t="str">
        <f t="shared" si="91"/>
        <v/>
      </c>
      <c r="CG120" s="4258" t="str">
        <f t="shared" si="92"/>
        <v/>
      </c>
      <c r="CM120" s="435">
        <f t="shared" si="93"/>
        <v>0</v>
      </c>
      <c r="CN120" s="435">
        <f t="shared" si="94"/>
        <v>0</v>
      </c>
      <c r="CO120" s="435">
        <f t="shared" si="95"/>
        <v>0</v>
      </c>
      <c r="CP120" s="435">
        <f t="shared" si="96"/>
        <v>0</v>
      </c>
      <c r="CQ120" s="435">
        <f t="shared" si="97"/>
        <v>0</v>
      </c>
      <c r="CR120" s="435">
        <f t="shared" si="98"/>
        <v>0</v>
      </c>
      <c r="CS120" s="435">
        <f t="shared" si="99"/>
        <v>0</v>
      </c>
    </row>
    <row r="121" spans="1:97" x14ac:dyDescent="0.3">
      <c r="A121" s="193" t="s">
        <v>2282</v>
      </c>
      <c r="B121" s="4051"/>
      <c r="C121" s="3991">
        <f t="shared" si="85"/>
        <v>0</v>
      </c>
      <c r="D121" s="331"/>
      <c r="E121" s="332"/>
      <c r="F121" s="3986"/>
      <c r="G121" s="1018"/>
      <c r="H121" s="1018"/>
      <c r="I121" s="1018"/>
      <c r="J121" s="1018"/>
      <c r="K121" s="1018"/>
      <c r="L121" s="1161"/>
      <c r="M121" s="3987"/>
      <c r="N121" s="1018"/>
      <c r="O121" s="1018"/>
      <c r="P121" s="1973"/>
      <c r="Q121" s="1018"/>
      <c r="R121" s="34"/>
      <c r="CA121" s="4258" t="str">
        <f t="shared" si="86"/>
        <v/>
      </c>
      <c r="CB121" s="4258" t="str">
        <f t="shared" si="87"/>
        <v/>
      </c>
      <c r="CC121" s="4258" t="str">
        <f t="shared" si="88"/>
        <v/>
      </c>
      <c r="CD121" s="4258" t="str">
        <f t="shared" si="89"/>
        <v/>
      </c>
      <c r="CE121" s="4258" t="str">
        <f t="shared" si="90"/>
        <v/>
      </c>
      <c r="CF121" s="4258" t="str">
        <f t="shared" si="91"/>
        <v/>
      </c>
      <c r="CG121" s="4258" t="str">
        <f t="shared" si="92"/>
        <v/>
      </c>
      <c r="CM121" s="435">
        <f t="shared" si="93"/>
        <v>0</v>
      </c>
      <c r="CN121" s="435">
        <f t="shared" si="94"/>
        <v>0</v>
      </c>
      <c r="CO121" s="435">
        <f t="shared" si="95"/>
        <v>0</v>
      </c>
      <c r="CP121" s="435">
        <f t="shared" si="96"/>
        <v>0</v>
      </c>
      <c r="CQ121" s="435">
        <f t="shared" si="97"/>
        <v>0</v>
      </c>
      <c r="CR121" s="435">
        <f t="shared" si="98"/>
        <v>0</v>
      </c>
      <c r="CS121" s="435">
        <f t="shared" si="99"/>
        <v>0</v>
      </c>
    </row>
    <row r="122" spans="1:97" x14ac:dyDescent="0.3">
      <c r="A122" s="519" t="s">
        <v>2283</v>
      </c>
      <c r="B122" s="1954"/>
      <c r="C122" s="638">
        <f>SUM(D122:E122)</f>
        <v>0</v>
      </c>
      <c r="D122" s="4122"/>
      <c r="E122" s="1953"/>
      <c r="F122" s="2109"/>
      <c r="G122" s="1907"/>
      <c r="H122" s="1907"/>
      <c r="I122" s="1907"/>
      <c r="J122" s="1907"/>
      <c r="K122" s="1907"/>
      <c r="L122" s="2009"/>
      <c r="M122" s="4122"/>
      <c r="N122" s="1907"/>
      <c r="O122" s="1907"/>
      <c r="P122" s="1914"/>
      <c r="Q122" s="1907"/>
      <c r="R122" s="877"/>
      <c r="CA122" s="4258" t="str">
        <f t="shared" si="86"/>
        <v/>
      </c>
      <c r="CB122" s="4258" t="str">
        <f t="shared" si="87"/>
        <v/>
      </c>
      <c r="CC122" s="4258" t="str">
        <f t="shared" si="88"/>
        <v/>
      </c>
      <c r="CD122" s="4258" t="str">
        <f t="shared" si="89"/>
        <v/>
      </c>
      <c r="CE122" s="4258" t="str">
        <f t="shared" si="90"/>
        <v/>
      </c>
      <c r="CF122" s="4258" t="str">
        <f t="shared" si="91"/>
        <v/>
      </c>
      <c r="CG122" s="4258" t="str">
        <f t="shared" si="92"/>
        <v/>
      </c>
      <c r="CM122" s="435">
        <f t="shared" si="93"/>
        <v>0</v>
      </c>
      <c r="CN122" s="435">
        <f t="shared" si="94"/>
        <v>0</v>
      </c>
      <c r="CO122" s="435">
        <f t="shared" si="95"/>
        <v>0</v>
      </c>
      <c r="CP122" s="435">
        <f t="shared" si="96"/>
        <v>0</v>
      </c>
      <c r="CQ122" s="435">
        <f t="shared" si="97"/>
        <v>0</v>
      </c>
      <c r="CR122" s="435">
        <f t="shared" si="98"/>
        <v>0</v>
      </c>
      <c r="CS122" s="435">
        <f t="shared" si="99"/>
        <v>0</v>
      </c>
    </row>
    <row r="123" spans="1:97" x14ac:dyDescent="0.3">
      <c r="A123" s="4268" t="s">
        <v>77</v>
      </c>
      <c r="B123" s="4279">
        <f>SUM(B113:B122)</f>
        <v>0</v>
      </c>
      <c r="C123" s="4243">
        <f t="shared" ref="C123:R123" si="100">SUM(C113:C122)</f>
        <v>0</v>
      </c>
      <c r="D123" s="4273">
        <f t="shared" si="100"/>
        <v>0</v>
      </c>
      <c r="E123" s="4274">
        <f t="shared" si="100"/>
        <v>0</v>
      </c>
      <c r="F123" s="4275">
        <f t="shared" si="100"/>
        <v>0</v>
      </c>
      <c r="G123" s="4270">
        <f t="shared" si="100"/>
        <v>0</v>
      </c>
      <c r="H123" s="4270">
        <f t="shared" si="100"/>
        <v>0</v>
      </c>
      <c r="I123" s="4270">
        <f t="shared" si="100"/>
        <v>0</v>
      </c>
      <c r="J123" s="4270">
        <f t="shared" si="100"/>
        <v>0</v>
      </c>
      <c r="K123" s="4270">
        <f t="shared" si="100"/>
        <v>0</v>
      </c>
      <c r="L123" s="4242">
        <f t="shared" si="100"/>
        <v>0</v>
      </c>
      <c r="M123" s="4271">
        <f t="shared" si="100"/>
        <v>0</v>
      </c>
      <c r="N123" s="4270">
        <f t="shared" si="100"/>
        <v>0</v>
      </c>
      <c r="O123" s="4270">
        <f t="shared" si="100"/>
        <v>0</v>
      </c>
      <c r="P123" s="4270">
        <f t="shared" si="100"/>
        <v>0</v>
      </c>
      <c r="Q123" s="4270">
        <f t="shared" si="100"/>
        <v>0</v>
      </c>
      <c r="R123" s="4276">
        <f t="shared" si="100"/>
        <v>0</v>
      </c>
    </row>
    <row r="199" spans="1:2" hidden="1" x14ac:dyDescent="0.3"/>
    <row r="200" spans="1:2" hidden="1" x14ac:dyDescent="0.3">
      <c r="A200" s="105">
        <f>SUM(B12:B51,B53:B57,B62:B73,B78:C91,B97:B108,B113:C122)</f>
        <v>0</v>
      </c>
      <c r="B200" s="105">
        <f>SUM(CM12:CU122)</f>
        <v>0</v>
      </c>
    </row>
    <row r="201" spans="1:2" hidden="1" x14ac:dyDescent="0.3"/>
  </sheetData>
  <sheetProtection algorithmName="SHA-512" hashValue="8mEvVhan2RIKAjIMCO8D4mZNCf6Yy7+fvuaq1RadLct6B0W1yaUK5reOz0M+TVV0nn3wLZ+ID2spuWcl9CRB5g==" saltValue="zOgwQtmD+ZxP8w/7JoARvg==" spinCount="100000" sheet="1" objects="1" scenarios="1"/>
  <mergeCells count="43">
    <mergeCell ref="A110:N110"/>
    <mergeCell ref="A111:A112"/>
    <mergeCell ref="B111:B112"/>
    <mergeCell ref="C111:L111"/>
    <mergeCell ref="M111:R111"/>
    <mergeCell ref="A93:N93"/>
    <mergeCell ref="A94:N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95:T95"/>
    <mergeCell ref="A75:N75"/>
    <mergeCell ref="A76:A77"/>
    <mergeCell ref="B76:B77"/>
    <mergeCell ref="C76:L76"/>
    <mergeCell ref="M76:R76"/>
    <mergeCell ref="O9:O10"/>
    <mergeCell ref="P9:P10"/>
    <mergeCell ref="Q9:R9"/>
    <mergeCell ref="A58:N58"/>
    <mergeCell ref="A60:A61"/>
    <mergeCell ref="B60:B61"/>
    <mergeCell ref="C60:L60"/>
    <mergeCell ref="M60:M61"/>
    <mergeCell ref="N60:W60"/>
    <mergeCell ref="A6:N6"/>
    <mergeCell ref="A8:K8"/>
    <mergeCell ref="A9:A10"/>
    <mergeCell ref="B9:D9"/>
    <mergeCell ref="E9:F9"/>
    <mergeCell ref="G9:G10"/>
    <mergeCell ref="H9:I9"/>
    <mergeCell ref="J9:K9"/>
    <mergeCell ref="L9:L10"/>
    <mergeCell ref="M9:M10"/>
    <mergeCell ref="N9:N10"/>
  </mergeCells>
  <dataValidations count="3">
    <dataValidation type="whole" operator="greaterThanOrEqual" allowBlank="1" showInputMessage="1" showErrorMessage="1" sqref="N62:N74 K97:K109 C78:R91 C62:M73 L97:T108 C97:J108 O62:W73 B113:R122 C12:R51" xr:uid="{0A576841-6E8F-4241-B0B9-3A61124EA0F5}">
      <formula1>0</formula1>
    </dataValidation>
    <dataValidation type="whole" operator="greaterThan" allowBlank="1" showInputMessage="1" showErrorMessage="1" sqref="B78:B91" xr:uid="{EE999686-C912-4F41-96CE-E5BABEB457A9}">
      <formula1>0</formula1>
    </dataValidation>
    <dataValidation type="whole" allowBlank="1" showInputMessage="1" showErrorMessage="1" sqref="C53:R57" xr:uid="{E6043A8D-FFB1-4876-BF2C-6B7B5E9BBD75}">
      <formula1>0</formula1>
      <formula2>9.99999999999999E+39</formula2>
    </dataValidation>
  </dataValidations>
  <pageMargins left="0.23622047244094491" right="0.23622047244094491" top="0.74803149606299213" bottom="0.74803149606299213" header="0.31496062992125984" footer="0.31496062992125984"/>
  <pageSetup paperSize="9" scale="5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BO204"/>
  <sheetViews>
    <sheetView showGridLines="0" zoomScaleNormal="100" workbookViewId="0"/>
  </sheetViews>
  <sheetFormatPr baseColWidth="10" defaultColWidth="11.44140625" defaultRowHeight="14.4" x14ac:dyDescent="0.3"/>
  <cols>
    <col min="1" max="1" width="75.44140625" customWidth="1"/>
    <col min="2" max="2" width="16.5546875" customWidth="1"/>
    <col min="3" max="4" width="16.6640625" customWidth="1"/>
    <col min="5" max="5" width="16.5546875" customWidth="1"/>
    <col min="6" max="6" width="15.109375" customWidth="1"/>
    <col min="7" max="8" width="15.88671875" customWidth="1"/>
    <col min="9" max="9" width="14.88671875" customWidth="1"/>
    <col min="10" max="10" width="13.44140625" customWidth="1"/>
    <col min="11" max="11" width="14.33203125" customWidth="1"/>
    <col min="13" max="13" width="13" customWidth="1"/>
    <col min="14" max="14" width="10" customWidth="1"/>
    <col min="27" max="27" width="14.109375" customWidth="1"/>
    <col min="28" max="28" width="15.6640625" customWidth="1"/>
    <col min="30" max="30" width="12.33203125" customWidth="1"/>
    <col min="31" max="31" width="13.5546875" customWidth="1"/>
    <col min="40" max="44" width="11.44140625" customWidth="1"/>
    <col min="45" max="67" width="11.44140625" hidden="1" customWidth="1"/>
    <col min="84" max="84" width="11.6640625" customWidth="1"/>
    <col min="85" max="85" width="12.33203125" customWidth="1"/>
    <col min="86" max="112" width="11.44140625" customWidth="1"/>
  </cols>
  <sheetData>
    <row r="1" spans="1:31" x14ac:dyDescent="0.3">
      <c r="A1" s="50" t="s">
        <v>23</v>
      </c>
      <c r="E1" t="s">
        <v>2297</v>
      </c>
      <c r="K1" t="s">
        <v>2298</v>
      </c>
    </row>
    <row r="2" spans="1:31" x14ac:dyDescent="0.3">
      <c r="A2" s="50" t="str">
        <f>CONCATENATE("COMUNA: ",NOMBRE!B2, " (",NOMBRE!C2,NOMBRE!D2,NOMBRE!E2,NOMBRE!F2,NOMBRE!G2,")")</f>
        <v>COMUNA:  ()</v>
      </c>
    </row>
    <row r="3" spans="1:31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31" x14ac:dyDescent="0.3">
      <c r="A4" s="50" t="str">
        <f>CONCATENATE("MES: ",NOMBRE!B6, " (",NOMBRE!C6,NOMBRE!D6,")")</f>
        <v>MES:  ()</v>
      </c>
    </row>
    <row r="5" spans="1:31" x14ac:dyDescent="0.3">
      <c r="A5" s="50" t="str">
        <f>CONCATENATE("AÑO: ",NOMBRE!B7)</f>
        <v>AÑO: 2025</v>
      </c>
    </row>
    <row r="6" spans="1:31" s="9" customFormat="1" ht="18" customHeight="1" x14ac:dyDescent="0.3">
      <c r="A6" s="6998" t="s">
        <v>2299</v>
      </c>
      <c r="B6" s="6998"/>
      <c r="C6" s="6998"/>
      <c r="D6" s="6998"/>
      <c r="E6" s="6998"/>
      <c r="F6" s="6998"/>
      <c r="G6" s="6998"/>
      <c r="H6" s="6998"/>
      <c r="I6" s="6998"/>
      <c r="J6" s="6998"/>
      <c r="K6" s="3962"/>
      <c r="L6" s="3962"/>
      <c r="M6" s="3962"/>
      <c r="N6" s="3962"/>
      <c r="O6" s="3962"/>
      <c r="P6" s="3962"/>
      <c r="Q6" s="3962"/>
      <c r="R6" s="3962"/>
      <c r="S6" s="3962"/>
      <c r="T6" s="3962"/>
      <c r="U6" s="3962"/>
      <c r="V6" s="3962"/>
      <c r="W6" s="3962"/>
      <c r="X6" s="3962"/>
      <c r="Y6" s="3962"/>
      <c r="Z6" s="3962"/>
      <c r="AA6" s="3962"/>
      <c r="AB6" s="3962"/>
      <c r="AC6" s="3962"/>
      <c r="AD6" s="3962"/>
      <c r="AE6" s="3962"/>
    </row>
    <row r="8" spans="1:31" s="6" customFormat="1" ht="18" customHeight="1" x14ac:dyDescent="0.25">
      <c r="A8" s="4287" t="s">
        <v>2300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</row>
    <row r="9" spans="1:31" ht="15" customHeight="1" x14ac:dyDescent="0.3">
      <c r="A9" s="6999" t="s">
        <v>2301</v>
      </c>
      <c r="B9" s="7001" t="s">
        <v>2302</v>
      </c>
      <c r="C9" s="7004" t="s">
        <v>2303</v>
      </c>
      <c r="D9" s="7004" t="s">
        <v>2304</v>
      </c>
      <c r="E9" s="7004" t="s">
        <v>2305</v>
      </c>
      <c r="F9" s="6628" t="s">
        <v>4355</v>
      </c>
      <c r="G9" s="7005" t="s">
        <v>2306</v>
      </c>
      <c r="H9" s="7006"/>
      <c r="I9" s="7006"/>
      <c r="J9" s="7006"/>
      <c r="K9" s="7006"/>
      <c r="L9" s="7006"/>
      <c r="M9" s="7006"/>
      <c r="N9" s="7006"/>
      <c r="O9" s="7006"/>
      <c r="P9" s="7006"/>
      <c r="Q9" s="7006"/>
      <c r="R9" s="7006"/>
      <c r="S9" s="7006"/>
      <c r="T9" s="7006"/>
      <c r="U9" s="7006"/>
      <c r="V9" s="7006"/>
      <c r="W9" s="7006"/>
      <c r="X9" s="7006"/>
      <c r="Y9" s="7007"/>
      <c r="Z9" s="7018" t="s">
        <v>2307</v>
      </c>
      <c r="AA9" s="7018"/>
      <c r="AB9" s="7018"/>
      <c r="AC9" s="7018"/>
      <c r="AD9" s="7018"/>
      <c r="AE9" s="7019"/>
    </row>
    <row r="10" spans="1:31" ht="15" customHeight="1" x14ac:dyDescent="0.3">
      <c r="A10" s="6999"/>
      <c r="B10" s="7002"/>
      <c r="C10" s="6777"/>
      <c r="D10" s="6777"/>
      <c r="E10" s="6777"/>
      <c r="F10" s="6757"/>
      <c r="G10" s="7020" t="s">
        <v>4356</v>
      </c>
      <c r="H10" s="6627"/>
      <c r="I10" s="6627"/>
      <c r="J10" s="6628"/>
      <c r="K10" s="7020" t="s">
        <v>4357</v>
      </c>
      <c r="L10" s="6627"/>
      <c r="M10" s="6627"/>
      <c r="N10" s="6627"/>
      <c r="O10" s="6628"/>
      <c r="P10" s="7020" t="s">
        <v>4358</v>
      </c>
      <c r="Q10" s="6627"/>
      <c r="R10" s="6627"/>
      <c r="S10" s="6627"/>
      <c r="T10" s="6628"/>
      <c r="U10" s="7020" t="s">
        <v>4359</v>
      </c>
      <c r="V10" s="6627"/>
      <c r="W10" s="6627"/>
      <c r="X10" s="6627"/>
      <c r="Y10" s="6784"/>
      <c r="Z10" s="6627" t="s">
        <v>4360</v>
      </c>
      <c r="AA10" s="6627"/>
      <c r="AB10" s="6628"/>
      <c r="AC10" s="7020" t="s">
        <v>4361</v>
      </c>
      <c r="AD10" s="6627"/>
      <c r="AE10" s="6628"/>
    </row>
    <row r="11" spans="1:31" x14ac:dyDescent="0.3">
      <c r="A11" s="6999"/>
      <c r="B11" s="7002"/>
      <c r="C11" s="6777"/>
      <c r="D11" s="6777"/>
      <c r="E11" s="6777"/>
      <c r="F11" s="6757"/>
      <c r="G11" s="6758"/>
      <c r="H11" s="6629"/>
      <c r="I11" s="6629"/>
      <c r="J11" s="6696"/>
      <c r="K11" s="6758"/>
      <c r="L11" s="6629"/>
      <c r="M11" s="6629"/>
      <c r="N11" s="6629"/>
      <c r="O11" s="6696"/>
      <c r="P11" s="6758"/>
      <c r="Q11" s="6629"/>
      <c r="R11" s="6629"/>
      <c r="S11" s="6629"/>
      <c r="T11" s="6696"/>
      <c r="U11" s="6758"/>
      <c r="V11" s="6629"/>
      <c r="W11" s="6629"/>
      <c r="X11" s="6629"/>
      <c r="Y11" s="6786"/>
      <c r="Z11" s="6629"/>
      <c r="AA11" s="6629"/>
      <c r="AB11" s="6696"/>
      <c r="AC11" s="6758"/>
      <c r="AD11" s="6629"/>
      <c r="AE11" s="6696"/>
    </row>
    <row r="12" spans="1:31" ht="20.399999999999999" x14ac:dyDescent="0.3">
      <c r="A12" s="7000"/>
      <c r="B12" s="7003"/>
      <c r="C12" s="5815"/>
      <c r="D12" s="5815"/>
      <c r="E12" s="5815"/>
      <c r="F12" s="6696"/>
      <c r="G12" s="4288" t="s">
        <v>919</v>
      </c>
      <c r="H12" s="4289" t="s">
        <v>2308</v>
      </c>
      <c r="I12" s="4289" t="s">
        <v>2309</v>
      </c>
      <c r="J12" s="4290" t="s">
        <v>591</v>
      </c>
      <c r="K12" s="4288" t="s">
        <v>919</v>
      </c>
      <c r="L12" s="4289" t="s">
        <v>2308</v>
      </c>
      <c r="M12" s="4289" t="s">
        <v>2309</v>
      </c>
      <c r="N12" s="4289" t="s">
        <v>591</v>
      </c>
      <c r="O12" s="4290" t="s">
        <v>2310</v>
      </c>
      <c r="P12" s="4288" t="s">
        <v>919</v>
      </c>
      <c r="Q12" s="4289" t="s">
        <v>2308</v>
      </c>
      <c r="R12" s="4289" t="s">
        <v>2309</v>
      </c>
      <c r="S12" s="4289" t="s">
        <v>591</v>
      </c>
      <c r="T12" s="4290" t="s">
        <v>2310</v>
      </c>
      <c r="U12" s="4288" t="s">
        <v>919</v>
      </c>
      <c r="V12" s="4289" t="s">
        <v>2308</v>
      </c>
      <c r="W12" s="4289" t="s">
        <v>2309</v>
      </c>
      <c r="X12" s="4289" t="s">
        <v>591</v>
      </c>
      <c r="Y12" s="4291" t="s">
        <v>2310</v>
      </c>
      <c r="Z12" s="4292" t="s">
        <v>919</v>
      </c>
      <c r="AA12" s="4289" t="s">
        <v>2311</v>
      </c>
      <c r="AB12" s="4293" t="s">
        <v>2312</v>
      </c>
      <c r="AC12" s="4288" t="s">
        <v>919</v>
      </c>
      <c r="AD12" s="4289" t="s">
        <v>2311</v>
      </c>
      <c r="AE12" s="4293" t="s">
        <v>2312</v>
      </c>
    </row>
    <row r="13" spans="1:31" x14ac:dyDescent="0.3">
      <c r="A13" s="4294" t="s">
        <v>2313</v>
      </c>
      <c r="B13" s="4295">
        <f t="shared" ref="B13:AE13" si="0">SUM(B14:B17)</f>
        <v>0</v>
      </c>
      <c r="C13" s="4296">
        <f t="shared" si="0"/>
        <v>0</v>
      </c>
      <c r="D13" s="4297">
        <f t="shared" si="0"/>
        <v>0</v>
      </c>
      <c r="E13" s="4297">
        <f t="shared" si="0"/>
        <v>0</v>
      </c>
      <c r="F13" s="4298">
        <f t="shared" si="0"/>
        <v>0</v>
      </c>
      <c r="G13" s="4299">
        <f t="shared" si="0"/>
        <v>0</v>
      </c>
      <c r="H13" s="4297">
        <f t="shared" si="0"/>
        <v>0</v>
      </c>
      <c r="I13" s="4297">
        <f t="shared" si="0"/>
        <v>0</v>
      </c>
      <c r="J13" s="4298">
        <f t="shared" si="0"/>
        <v>0</v>
      </c>
      <c r="K13" s="4299">
        <f t="shared" si="0"/>
        <v>0</v>
      </c>
      <c r="L13" s="4297">
        <f t="shared" si="0"/>
        <v>0</v>
      </c>
      <c r="M13" s="4297">
        <f t="shared" si="0"/>
        <v>0</v>
      </c>
      <c r="N13" s="4297">
        <f t="shared" si="0"/>
        <v>0</v>
      </c>
      <c r="O13" s="4298">
        <f t="shared" si="0"/>
        <v>0</v>
      </c>
      <c r="P13" s="4299">
        <f t="shared" si="0"/>
        <v>0</v>
      </c>
      <c r="Q13" s="4297">
        <f t="shared" si="0"/>
        <v>0</v>
      </c>
      <c r="R13" s="4297">
        <f t="shared" si="0"/>
        <v>0</v>
      </c>
      <c r="S13" s="4297">
        <f t="shared" si="0"/>
        <v>0</v>
      </c>
      <c r="T13" s="4298">
        <f t="shared" si="0"/>
        <v>0</v>
      </c>
      <c r="U13" s="4299">
        <f t="shared" si="0"/>
        <v>0</v>
      </c>
      <c r="V13" s="4297">
        <f t="shared" si="0"/>
        <v>0</v>
      </c>
      <c r="W13" s="4297">
        <f t="shared" si="0"/>
        <v>0</v>
      </c>
      <c r="X13" s="4297">
        <f t="shared" si="0"/>
        <v>0</v>
      </c>
      <c r="Y13" s="4300">
        <f t="shared" si="0"/>
        <v>0</v>
      </c>
      <c r="Z13" s="4296">
        <f t="shared" si="0"/>
        <v>0</v>
      </c>
      <c r="AA13" s="4297">
        <f>SUM(AA14:AA17)</f>
        <v>0</v>
      </c>
      <c r="AB13" s="4301">
        <f t="shared" si="0"/>
        <v>0</v>
      </c>
      <c r="AC13" s="4299">
        <f t="shared" si="0"/>
        <v>0</v>
      </c>
      <c r="AD13" s="4297">
        <f t="shared" si="0"/>
        <v>0</v>
      </c>
      <c r="AE13" s="4301">
        <f t="shared" si="0"/>
        <v>0</v>
      </c>
    </row>
    <row r="14" spans="1:31" x14ac:dyDescent="0.3">
      <c r="A14" s="4302" t="s">
        <v>2314</v>
      </c>
      <c r="B14" s="4303"/>
      <c r="C14" s="4304"/>
      <c r="D14" s="4304"/>
      <c r="E14" s="4304"/>
      <c r="F14" s="4304"/>
      <c r="G14" s="4305">
        <f>SUM(H14:J14)</f>
        <v>0</v>
      </c>
      <c r="H14" s="4306"/>
      <c r="I14" s="4304"/>
      <c r="J14" s="4304"/>
      <c r="K14" s="4307">
        <f>SUM(L14:O14)</f>
        <v>0</v>
      </c>
      <c r="L14" s="4306"/>
      <c r="M14" s="4304"/>
      <c r="N14" s="4308"/>
      <c r="O14" s="4309"/>
      <c r="P14" s="4307">
        <f>SUM(Q14:T14)</f>
        <v>0</v>
      </c>
      <c r="Q14" s="4306"/>
      <c r="R14" s="4304"/>
      <c r="S14" s="4308"/>
      <c r="T14" s="4309"/>
      <c r="U14" s="4307">
        <f>SUM(V14:Y14)</f>
        <v>0</v>
      </c>
      <c r="V14" s="4306"/>
      <c r="W14" s="4304"/>
      <c r="X14" s="4308"/>
      <c r="Y14" s="4310"/>
      <c r="Z14" s="4311">
        <f>SUM(AA14:AB14)</f>
        <v>0</v>
      </c>
      <c r="AA14" s="4304"/>
      <c r="AB14" s="4312"/>
      <c r="AC14" s="4307">
        <f>SUM(AD14:AE14)</f>
        <v>0</v>
      </c>
      <c r="AD14" s="4304"/>
      <c r="AE14" s="4312"/>
    </row>
    <row r="15" spans="1:31" x14ac:dyDescent="0.3">
      <c r="A15" s="4313" t="s">
        <v>2315</v>
      </c>
      <c r="B15" s="4314"/>
      <c r="C15" s="4315"/>
      <c r="D15" s="4315"/>
      <c r="E15" s="4315"/>
      <c r="F15" s="4315"/>
      <c r="G15" s="4316">
        <f>SUM(H15:J15)</f>
        <v>0</v>
      </c>
      <c r="H15" s="4317"/>
      <c r="I15" s="4315"/>
      <c r="J15" s="4317"/>
      <c r="K15" s="4316">
        <f>SUM(L15:O15)</f>
        <v>0</v>
      </c>
      <c r="L15" s="4317"/>
      <c r="M15" s="4317"/>
      <c r="N15" s="4318"/>
      <c r="O15" s="4319"/>
      <c r="P15" s="4316">
        <f>SUM(Q15:T15)</f>
        <v>0</v>
      </c>
      <c r="Q15" s="4317"/>
      <c r="R15" s="4315"/>
      <c r="S15" s="4318"/>
      <c r="T15" s="4319"/>
      <c r="U15" s="4316">
        <f>SUM(V15:Y15)</f>
        <v>0</v>
      </c>
      <c r="V15" s="4317"/>
      <c r="W15" s="4315"/>
      <c r="X15" s="4318"/>
      <c r="Y15" s="4320"/>
      <c r="Z15" s="4321">
        <f>SUM(AA15:AB15)</f>
        <v>0</v>
      </c>
      <c r="AA15" s="4315"/>
      <c r="AB15" s="4322"/>
      <c r="AC15" s="4316">
        <f>SUM(AD15:AE15)</f>
        <v>0</v>
      </c>
      <c r="AD15" s="4315"/>
      <c r="AE15" s="4322"/>
    </row>
    <row r="16" spans="1:31" x14ac:dyDescent="0.3">
      <c r="A16" s="4323" t="s">
        <v>2316</v>
      </c>
      <c r="B16" s="4314"/>
      <c r="C16" s="4315"/>
      <c r="D16" s="4315"/>
      <c r="E16" s="4315"/>
      <c r="F16" s="4315"/>
      <c r="G16" s="4316">
        <f>SUM(H16:J16)</f>
        <v>0</v>
      </c>
      <c r="H16" s="4317"/>
      <c r="I16" s="4315"/>
      <c r="J16" s="4324"/>
      <c r="K16" s="4316">
        <f>SUM(L16:O16)</f>
        <v>0</v>
      </c>
      <c r="L16" s="4317"/>
      <c r="M16" s="4324"/>
      <c r="N16" s="4325"/>
      <c r="O16" s="4326"/>
      <c r="P16" s="4316">
        <f>SUM(Q16:T16)</f>
        <v>0</v>
      </c>
      <c r="Q16" s="4317"/>
      <c r="R16" s="4324"/>
      <c r="S16" s="4325"/>
      <c r="T16" s="4326"/>
      <c r="U16" s="4316">
        <f>SUM(V16:Y16)</f>
        <v>0</v>
      </c>
      <c r="V16" s="4317"/>
      <c r="W16" s="4324"/>
      <c r="X16" s="4325"/>
      <c r="Y16" s="4327"/>
      <c r="Z16" s="4321">
        <f>SUM(AA16:AB16)</f>
        <v>0</v>
      </c>
      <c r="AA16" s="4315"/>
      <c r="AB16" s="4322"/>
      <c r="AC16" s="4316">
        <f>SUM(AD16:AE16)</f>
        <v>0</v>
      </c>
      <c r="AD16" s="4315"/>
      <c r="AE16" s="4322"/>
    </row>
    <row r="17" spans="1:65" x14ac:dyDescent="0.3">
      <c r="A17" s="4328" t="s">
        <v>2317</v>
      </c>
      <c r="B17" s="4329"/>
      <c r="C17" s="4330"/>
      <c r="D17" s="4331"/>
      <c r="E17" s="4331"/>
      <c r="F17" s="4332"/>
      <c r="G17" s="4333">
        <f>SUM(H17:J17)</f>
        <v>0</v>
      </c>
      <c r="H17" s="4334"/>
      <c r="I17" s="4335"/>
      <c r="J17" s="4336"/>
      <c r="K17" s="4337">
        <f>SUM(L17:O17)</f>
        <v>0</v>
      </c>
      <c r="L17" s="4334"/>
      <c r="M17" s="4338"/>
      <c r="N17" s="4339"/>
      <c r="O17" s="4336"/>
      <c r="P17" s="4337">
        <f>SUM(Q17:T17)</f>
        <v>0</v>
      </c>
      <c r="Q17" s="4338"/>
      <c r="R17" s="4330"/>
      <c r="S17" s="4339"/>
      <c r="T17" s="4336"/>
      <c r="U17" s="4337">
        <f>SUM(V17:Y17)</f>
        <v>0</v>
      </c>
      <c r="V17" s="4338"/>
      <c r="W17" s="4330"/>
      <c r="X17" s="4339"/>
      <c r="Y17" s="4340"/>
      <c r="Z17" s="4341">
        <f>SUM(AA17:AB17)</f>
        <v>0</v>
      </c>
      <c r="AA17" s="4330"/>
      <c r="AB17" s="4342"/>
      <c r="AC17" s="4333">
        <f>SUM(AD17:AE17)</f>
        <v>0</v>
      </c>
      <c r="AD17" s="4330"/>
      <c r="AE17" s="4342"/>
    </row>
    <row r="18" spans="1:65" ht="16.2" x14ac:dyDescent="0.3">
      <c r="A18" s="4343" t="s">
        <v>4362</v>
      </c>
    </row>
    <row r="19" spans="1:65" s="6" customFormat="1" ht="18" customHeight="1" x14ac:dyDescent="0.25">
      <c r="A19" s="4344" t="s">
        <v>2318</v>
      </c>
      <c r="B19" s="4345"/>
      <c r="C19" s="4346"/>
      <c r="D19" s="4346"/>
      <c r="E19" s="4346"/>
      <c r="F19" s="4346"/>
      <c r="G19" s="4345"/>
    </row>
    <row r="20" spans="1:65" ht="32.25" customHeight="1" x14ac:dyDescent="0.3">
      <c r="A20" s="4347" t="s">
        <v>2319</v>
      </c>
      <c r="B20" s="4348" t="s">
        <v>77</v>
      </c>
      <c r="C20" s="4349" t="s">
        <v>2320</v>
      </c>
      <c r="D20" s="4349" t="s">
        <v>2321</v>
      </c>
      <c r="E20" s="4349" t="s">
        <v>2322</v>
      </c>
      <c r="F20" s="4350" t="s">
        <v>902</v>
      </c>
    </row>
    <row r="21" spans="1:65" ht="15" customHeight="1" x14ac:dyDescent="0.3">
      <c r="A21" s="4351" t="s">
        <v>2323</v>
      </c>
      <c r="B21" s="4352">
        <f>SUM(C21:F21)</f>
        <v>0</v>
      </c>
      <c r="C21" s="4353"/>
      <c r="D21" s="4353"/>
      <c r="E21" s="4353"/>
      <c r="F21" s="4354"/>
    </row>
    <row r="22" spans="1:65" ht="15" customHeight="1" x14ac:dyDescent="0.3">
      <c r="A22" s="4355" t="s">
        <v>761</v>
      </c>
      <c r="B22" s="4356">
        <f>SUM(C22:F22)</f>
        <v>0</v>
      </c>
      <c r="C22" s="4357"/>
      <c r="D22" s="4357"/>
      <c r="E22" s="4357"/>
      <c r="F22" s="4358"/>
    </row>
    <row r="23" spans="1:65" ht="15" customHeight="1" x14ac:dyDescent="0.3">
      <c r="A23" s="4355" t="s">
        <v>2324</v>
      </c>
      <c r="B23" s="4356">
        <f>SUM(C23:F23)</f>
        <v>0</v>
      </c>
      <c r="C23" s="4357"/>
      <c r="D23" s="4357"/>
      <c r="E23" s="4357"/>
      <c r="F23" s="4358"/>
    </row>
    <row r="24" spans="1:65" ht="15" customHeight="1" x14ac:dyDescent="0.3">
      <c r="A24" s="4355" t="s">
        <v>2325</v>
      </c>
      <c r="B24" s="4356">
        <f>SUM(C24:F24)</f>
        <v>0</v>
      </c>
      <c r="C24" s="4357"/>
      <c r="D24" s="4357"/>
      <c r="E24" s="4357"/>
      <c r="F24" s="4358"/>
    </row>
    <row r="25" spans="1:65" ht="15" customHeight="1" x14ac:dyDescent="0.3">
      <c r="A25" s="4359" t="s">
        <v>818</v>
      </c>
      <c r="B25" s="4360">
        <f>SUM(C25:F25)</f>
        <v>0</v>
      </c>
      <c r="C25" s="4361"/>
      <c r="D25" s="4361"/>
      <c r="E25" s="4361"/>
      <c r="F25" s="4362"/>
    </row>
    <row r="26" spans="1:65" s="6" customFormat="1" ht="18" customHeight="1" x14ac:dyDescent="0.25">
      <c r="A26" s="4344" t="s">
        <v>4363</v>
      </c>
    </row>
    <row r="27" spans="1:65" s="6" customFormat="1" ht="18" customHeight="1" x14ac:dyDescent="0.25">
      <c r="A27" s="4344" t="s">
        <v>2326</v>
      </c>
    </row>
    <row r="28" spans="1:65" s="6" customFormat="1" ht="18" customHeight="1" x14ac:dyDescent="0.25">
      <c r="A28" s="4344" t="s">
        <v>2327</v>
      </c>
      <c r="B28" s="4363"/>
      <c r="C28" s="4364"/>
      <c r="D28" s="4364"/>
      <c r="E28" s="4364"/>
      <c r="F28" s="4364"/>
      <c r="G28" s="4364"/>
      <c r="H28" s="4364"/>
      <c r="I28" s="4365"/>
      <c r="J28" s="4365"/>
      <c r="K28" s="4366"/>
      <c r="L28" s="4366"/>
    </row>
    <row r="29" spans="1:65" x14ac:dyDescent="0.3">
      <c r="A29" s="6971" t="s">
        <v>2319</v>
      </c>
      <c r="B29" s="6983"/>
      <c r="C29" s="7008" t="s">
        <v>77</v>
      </c>
      <c r="D29" s="6951" t="s">
        <v>29</v>
      </c>
      <c r="E29" s="6952"/>
      <c r="F29" s="6952"/>
      <c r="G29" s="6953"/>
      <c r="H29" s="6948" t="s">
        <v>2328</v>
      </c>
      <c r="I29" s="6949"/>
      <c r="J29" s="6949"/>
      <c r="K29" s="6949"/>
      <c r="L29" s="6949"/>
      <c r="M29" s="6950"/>
      <c r="N29" s="7016" t="s">
        <v>2409</v>
      </c>
      <c r="O29" s="7017"/>
    </row>
    <row r="30" spans="1:65" ht="20.399999999999999" x14ac:dyDescent="0.3">
      <c r="A30" s="6972"/>
      <c r="B30" s="6985"/>
      <c r="C30" s="7009"/>
      <c r="D30" s="4368" t="s">
        <v>4405</v>
      </c>
      <c r="E30" s="4369" t="s">
        <v>44</v>
      </c>
      <c r="F30" s="4369" t="s">
        <v>4320</v>
      </c>
      <c r="G30" s="4370" t="s">
        <v>1179</v>
      </c>
      <c r="H30" s="4371" t="s">
        <v>1007</v>
      </c>
      <c r="I30" s="4372" t="s">
        <v>554</v>
      </c>
      <c r="J30" s="4372" t="s">
        <v>2084</v>
      </c>
      <c r="K30" s="4372" t="s">
        <v>2329</v>
      </c>
      <c r="L30" s="4372" t="s">
        <v>2330</v>
      </c>
      <c r="M30" s="4372" t="s">
        <v>2331</v>
      </c>
      <c r="N30" s="5668" t="s">
        <v>58</v>
      </c>
      <c r="O30" s="5668" t="s">
        <v>59</v>
      </c>
    </row>
    <row r="31" spans="1:65" ht="15" customHeight="1" x14ac:dyDescent="0.3">
      <c r="A31" s="7010" t="s">
        <v>761</v>
      </c>
      <c r="B31" s="7011"/>
      <c r="C31" s="4373">
        <f>SUM(D31:G31)</f>
        <v>0</v>
      </c>
      <c r="D31" s="4374"/>
      <c r="E31" s="4375"/>
      <c r="F31" s="4375"/>
      <c r="G31" s="4376"/>
      <c r="H31" s="4377"/>
      <c r="I31" s="4378"/>
      <c r="J31" s="4378"/>
      <c r="K31" s="4378"/>
      <c r="L31" s="4378"/>
      <c r="M31" s="4378"/>
      <c r="N31" s="4378"/>
      <c r="O31" s="4378"/>
      <c r="P31" t="str">
        <f>AW31&amp;AX31&amp;AY31&amp;AZ31&amp;BA31&amp;BB31&amp;BC31&amp;BD31</f>
        <v/>
      </c>
      <c r="AW31" s="432" t="str">
        <f>IF(AND($C31&gt;0,H31="")," * No olvide digitar la variable "&amp;H$29&amp;""&amp;" APS. Digite CERO si no tiene.","")</f>
        <v/>
      </c>
      <c r="AX31" s="432" t="str">
        <f>IF(AND($C31&gt;0,I31="")," * No olvide digitar la variable "&amp;$H$29&amp;""&amp;" Urgencia. Digite CERO si no tiene.","")</f>
        <v/>
      </c>
      <c r="AY31" s="432" t="str">
        <f>IF(AND($C31&gt;0,J31="")," * No olvide digitar la variable "&amp;$H$29&amp;""&amp;" Hospitalización. Digite CERO si no tiene.","")</f>
        <v/>
      </c>
      <c r="AZ31" s="432" t="str">
        <f>IF(AND($C31&gt;0,K31="")," * No olvide digitar la variable "&amp;$H$29&amp;""&amp;" Ambulatorio. Digite CERO si no tiene.","")</f>
        <v/>
      </c>
      <c r="BA31" s="432" t="str">
        <f>IF(AND($C31&gt;0,L31="")," * No olvide digitar la variable "&amp;$H$29&amp;""&amp;" Ley de Urgencia. Digite CERO si no tiene.","")</f>
        <v/>
      </c>
      <c r="BB31" s="432" t="str">
        <f>IF(AND($C31&gt;0,M31="")," * No olvide digitar la variable "&amp;$H$29&amp;""&amp;" UGCC. Digite CERO si no tiene.","")</f>
        <v/>
      </c>
      <c r="BC31" s="432" t="str">
        <f>IF(AND(H31+I31+J31+K31+L31+M31&gt;$C31)," * La variable "&amp;$H$29&amp;""&amp;" No puede ser mayor al Total.","")</f>
        <v/>
      </c>
      <c r="BD31" s="432" t="str">
        <f>IF(AND(N31+O31&gt;$C31)," * La variable "&amp;$N$29&amp;""&amp;" No puede ser mayor al Total.","")</f>
        <v/>
      </c>
      <c r="BF31" s="180">
        <f t="shared" ref="BF31:BK31" si="1">IF(AND($C31&gt;0,H31=""),1,0)</f>
        <v>0</v>
      </c>
      <c r="BG31" s="180">
        <f t="shared" si="1"/>
        <v>0</v>
      </c>
      <c r="BH31" s="180">
        <f t="shared" si="1"/>
        <v>0</v>
      </c>
      <c r="BI31" s="180">
        <f t="shared" si="1"/>
        <v>0</v>
      </c>
      <c r="BJ31" s="180">
        <f t="shared" si="1"/>
        <v>0</v>
      </c>
      <c r="BK31" s="180">
        <f t="shared" si="1"/>
        <v>0</v>
      </c>
      <c r="BL31" s="180">
        <f>IF(AND(H31+I31+J31+K31+L31+M31&gt;$C31),1,0)</f>
        <v>0</v>
      </c>
      <c r="BM31" s="180">
        <f>IF(AND(N31+O31&gt;$C31),1,0)</f>
        <v>0</v>
      </c>
    </row>
    <row r="32" spans="1:65" ht="15" customHeight="1" x14ac:dyDescent="0.3">
      <c r="A32" s="7012" t="s">
        <v>2324</v>
      </c>
      <c r="B32" s="7013"/>
      <c r="C32" s="4373">
        <f t="shared" ref="C32:C37" si="2">SUM(D32:G32)</f>
        <v>0</v>
      </c>
      <c r="D32" s="4379"/>
      <c r="E32" s="4380"/>
      <c r="F32" s="4380"/>
      <c r="G32" s="4381"/>
      <c r="H32" s="4382"/>
      <c r="I32" s="4383"/>
      <c r="J32" s="4383"/>
      <c r="K32" s="4383"/>
      <c r="L32" s="4383"/>
      <c r="M32" s="4383"/>
      <c r="N32" s="4378"/>
      <c r="O32" s="4378"/>
      <c r="P32" t="str">
        <f>BD32</f>
        <v/>
      </c>
      <c r="BD32" s="432" t="str">
        <f t="shared" ref="BD32:BD37" si="3">IF(AND(N32+O32&gt;$C32)," * La variable "&amp;$N$29&amp;""&amp;" No puede ser mayor al Total.","")</f>
        <v/>
      </c>
      <c r="BM32" s="180">
        <f t="shared" ref="BM32:BM37" si="4">IF(AND(N32+O32&gt;$C32),1,0)</f>
        <v>0</v>
      </c>
    </row>
    <row r="33" spans="1:65" ht="15" customHeight="1" x14ac:dyDescent="0.3">
      <c r="A33" s="7012" t="s">
        <v>2325</v>
      </c>
      <c r="B33" s="7013"/>
      <c r="C33" s="4373">
        <f t="shared" si="2"/>
        <v>0</v>
      </c>
      <c r="D33" s="4379"/>
      <c r="E33" s="4380"/>
      <c r="F33" s="4380"/>
      <c r="G33" s="4381"/>
      <c r="H33" s="4382"/>
      <c r="I33" s="4383"/>
      <c r="J33" s="4383"/>
      <c r="K33" s="4383"/>
      <c r="L33" s="4383"/>
      <c r="M33" s="4383"/>
      <c r="N33" s="4378"/>
      <c r="O33" s="4378"/>
      <c r="P33" t="str">
        <f t="shared" ref="P33:P37" si="5">BD33</f>
        <v/>
      </c>
      <c r="BD33" s="432" t="str">
        <f t="shared" si="3"/>
        <v/>
      </c>
      <c r="BM33" s="180">
        <f t="shared" si="4"/>
        <v>0</v>
      </c>
    </row>
    <row r="34" spans="1:65" ht="15" customHeight="1" x14ac:dyDescent="0.3">
      <c r="A34" s="7014" t="s">
        <v>818</v>
      </c>
      <c r="B34" s="7015"/>
      <c r="C34" s="4396">
        <f t="shared" si="2"/>
        <v>0</v>
      </c>
      <c r="D34" s="4391"/>
      <c r="E34" s="4392"/>
      <c r="F34" s="4392"/>
      <c r="G34" s="4393"/>
      <c r="H34" s="4386"/>
      <c r="I34" s="4387"/>
      <c r="J34" s="4387"/>
      <c r="K34" s="4387"/>
      <c r="L34" s="4387"/>
      <c r="M34" s="4387"/>
      <c r="N34" s="5646"/>
      <c r="O34" s="5646"/>
      <c r="P34" t="str">
        <f t="shared" si="5"/>
        <v/>
      </c>
      <c r="BD34" s="432" t="str">
        <f t="shared" si="3"/>
        <v/>
      </c>
      <c r="BM34" s="180">
        <f t="shared" si="4"/>
        <v>0</v>
      </c>
    </row>
    <row r="35" spans="1:65" ht="15" customHeight="1" x14ac:dyDescent="0.3">
      <c r="A35" s="6963" t="s">
        <v>2332</v>
      </c>
      <c r="B35" s="4388" t="s">
        <v>2333</v>
      </c>
      <c r="C35" s="5643">
        <f t="shared" si="2"/>
        <v>0</v>
      </c>
      <c r="D35" s="4374"/>
      <c r="E35" s="4375"/>
      <c r="F35" s="4375"/>
      <c r="G35" s="4376"/>
      <c r="H35" s="4382"/>
      <c r="I35" s="4383"/>
      <c r="J35" s="4383"/>
      <c r="K35" s="4383"/>
      <c r="L35" s="4383"/>
      <c r="M35" s="4383"/>
      <c r="N35" s="4378"/>
      <c r="O35" s="4378"/>
      <c r="P35" t="str">
        <f t="shared" si="5"/>
        <v/>
      </c>
      <c r="BD35" s="432" t="str">
        <f t="shared" si="3"/>
        <v/>
      </c>
      <c r="BM35" s="180">
        <f t="shared" si="4"/>
        <v>0</v>
      </c>
    </row>
    <row r="36" spans="1:65" ht="15" customHeight="1" x14ac:dyDescent="0.3">
      <c r="A36" s="6964"/>
      <c r="B36" s="4384" t="s">
        <v>2334</v>
      </c>
      <c r="C36" s="5644">
        <f t="shared" si="2"/>
        <v>0</v>
      </c>
      <c r="D36" s="4391"/>
      <c r="E36" s="4392"/>
      <c r="F36" s="4392"/>
      <c r="G36" s="4393"/>
      <c r="H36" s="4389"/>
      <c r="I36" s="4390"/>
      <c r="J36" s="4390"/>
      <c r="K36" s="4390"/>
      <c r="L36" s="4390"/>
      <c r="M36" s="4390"/>
      <c r="N36" s="5646"/>
      <c r="O36" s="5646"/>
      <c r="P36" t="str">
        <f t="shared" si="5"/>
        <v/>
      </c>
      <c r="R36" s="5648"/>
      <c r="BD36" s="432" t="str">
        <f t="shared" si="3"/>
        <v/>
      </c>
      <c r="BM36" s="180">
        <f t="shared" si="4"/>
        <v>0</v>
      </c>
    </row>
    <row r="37" spans="1:65" ht="15" customHeight="1" x14ac:dyDescent="0.3">
      <c r="A37" s="6965" t="s">
        <v>2335</v>
      </c>
      <c r="B37" s="6966"/>
      <c r="C37" s="5645">
        <f t="shared" si="2"/>
        <v>0</v>
      </c>
      <c r="D37" s="5581"/>
      <c r="E37" s="5582"/>
      <c r="F37" s="5582"/>
      <c r="G37" s="5583"/>
      <c r="H37" s="4389"/>
      <c r="I37" s="4390"/>
      <c r="J37" s="4390"/>
      <c r="K37" s="4390"/>
      <c r="L37" s="4390"/>
      <c r="M37" s="4390"/>
      <c r="N37" s="5647"/>
      <c r="O37" s="5647"/>
      <c r="P37" t="str">
        <f t="shared" si="5"/>
        <v/>
      </c>
      <c r="BD37" s="432" t="str">
        <f t="shared" si="3"/>
        <v/>
      </c>
      <c r="BM37" s="180">
        <f t="shared" si="4"/>
        <v>0</v>
      </c>
    </row>
    <row r="38" spans="1:65" s="6" customFormat="1" ht="18" customHeight="1" x14ac:dyDescent="0.25">
      <c r="A38" s="4394" t="s">
        <v>2336</v>
      </c>
      <c r="B38" s="4395"/>
    </row>
    <row r="39" spans="1:65" ht="30" customHeight="1" x14ac:dyDescent="0.3">
      <c r="A39" s="4372" t="s">
        <v>2337</v>
      </c>
      <c r="B39" s="4372" t="s">
        <v>2338</v>
      </c>
    </row>
    <row r="40" spans="1:65" ht="15" customHeight="1" x14ac:dyDescent="0.3">
      <c r="A40" s="4373" t="s">
        <v>959</v>
      </c>
      <c r="B40" s="4378"/>
    </row>
    <row r="41" spans="1:65" ht="15" customHeight="1" x14ac:dyDescent="0.3">
      <c r="A41" s="4373" t="s">
        <v>2339</v>
      </c>
      <c r="B41" s="4378"/>
    </row>
    <row r="42" spans="1:65" ht="15" customHeight="1" x14ac:dyDescent="0.3">
      <c r="A42" s="4373" t="s">
        <v>99</v>
      </c>
      <c r="B42" s="4378"/>
    </row>
    <row r="43" spans="1:65" ht="15" customHeight="1" x14ac:dyDescent="0.3">
      <c r="A43" s="4373" t="s">
        <v>2340</v>
      </c>
      <c r="B43" s="4378"/>
    </row>
    <row r="44" spans="1:65" ht="15" customHeight="1" x14ac:dyDescent="0.3">
      <c r="A44" s="4373" t="s">
        <v>509</v>
      </c>
      <c r="B44" s="4378"/>
    </row>
    <row r="45" spans="1:65" ht="15" customHeight="1" x14ac:dyDescent="0.3">
      <c r="A45" s="4373" t="s">
        <v>589</v>
      </c>
      <c r="B45" s="4378"/>
    </row>
    <row r="46" spans="1:65" ht="15" customHeight="1" x14ac:dyDescent="0.3">
      <c r="A46" s="4373" t="s">
        <v>504</v>
      </c>
      <c r="B46" s="4378"/>
    </row>
    <row r="47" spans="1:65" ht="15" customHeight="1" x14ac:dyDescent="0.3">
      <c r="A47" s="4396" t="s">
        <v>1035</v>
      </c>
      <c r="B47" s="4397"/>
    </row>
    <row r="48" spans="1:65" ht="15" customHeight="1" x14ac:dyDescent="0.3">
      <c r="A48" s="4385" t="s">
        <v>1037</v>
      </c>
      <c r="B48" s="4398"/>
    </row>
    <row r="49" spans="1:7" s="6" customFormat="1" ht="18" customHeight="1" x14ac:dyDescent="0.25">
      <c r="A49" s="4399" t="s">
        <v>2341</v>
      </c>
      <c r="B49" s="4363"/>
      <c r="C49" s="8"/>
      <c r="D49" s="4400"/>
      <c r="E49" s="4400"/>
    </row>
    <row r="50" spans="1:7" ht="30.6" x14ac:dyDescent="0.3">
      <c r="A50" s="4372" t="s">
        <v>2319</v>
      </c>
      <c r="B50" s="4372" t="s">
        <v>77</v>
      </c>
      <c r="C50" s="4372" t="s">
        <v>2342</v>
      </c>
      <c r="D50" s="4372" t="s">
        <v>4424</v>
      </c>
      <c r="E50" s="4372" t="s">
        <v>2343</v>
      </c>
    </row>
    <row r="51" spans="1:7" x14ac:dyDescent="0.3">
      <c r="A51" s="4373" t="s">
        <v>2344</v>
      </c>
      <c r="B51" s="4401">
        <f>SUM(C51:E51)</f>
        <v>0</v>
      </c>
      <c r="C51" s="4402"/>
      <c r="D51" s="4402"/>
      <c r="E51" s="4402"/>
    </row>
    <row r="52" spans="1:7" x14ac:dyDescent="0.3">
      <c r="A52" s="4373" t="s">
        <v>2345</v>
      </c>
      <c r="B52" s="4401">
        <f>SUM(C52:E52)</f>
        <v>0</v>
      </c>
      <c r="C52" s="4402"/>
      <c r="D52" s="4402"/>
      <c r="E52" s="4402"/>
    </row>
    <row r="53" spans="1:7" x14ac:dyDescent="0.3">
      <c r="A53" s="4385" t="s">
        <v>2346</v>
      </c>
      <c r="B53" s="4403">
        <f>SUM(C53:E53)</f>
        <v>0</v>
      </c>
      <c r="C53" s="4404"/>
      <c r="D53" s="4404"/>
      <c r="E53" s="4404"/>
    </row>
    <row r="54" spans="1:7" ht="18" customHeight="1" x14ac:dyDescent="0.3">
      <c r="A54" s="4405" t="s">
        <v>2347</v>
      </c>
      <c r="B54" s="4406"/>
    </row>
    <row r="55" spans="1:7" s="6" customFormat="1" ht="18" customHeight="1" x14ac:dyDescent="0.25">
      <c r="A55" s="4405" t="s">
        <v>2348</v>
      </c>
      <c r="B55" s="4407"/>
      <c r="C55" s="4408"/>
      <c r="D55" s="4408"/>
      <c r="E55" s="4409"/>
      <c r="F55" s="4409"/>
    </row>
    <row r="56" spans="1:7" ht="30.6" x14ac:dyDescent="0.3">
      <c r="A56" s="1237" t="s">
        <v>972</v>
      </c>
      <c r="B56" s="1237" t="s">
        <v>77</v>
      </c>
      <c r="C56" s="4410" t="s">
        <v>2349</v>
      </c>
      <c r="D56" s="4411" t="s">
        <v>459</v>
      </c>
      <c r="E56" s="4412" t="s">
        <v>706</v>
      </c>
      <c r="F56" s="4413" t="s">
        <v>2343</v>
      </c>
    </row>
    <row r="57" spans="1:7" x14ac:dyDescent="0.3">
      <c r="A57" s="4414" t="s">
        <v>2350</v>
      </c>
      <c r="B57" s="1298">
        <f>SUM(C57:E57)</f>
        <v>0</v>
      </c>
      <c r="C57" s="1106"/>
      <c r="D57" s="1108"/>
      <c r="E57" s="759"/>
      <c r="F57" s="4415"/>
    </row>
    <row r="58" spans="1:7" x14ac:dyDescent="0.3">
      <c r="A58" s="4416" t="s">
        <v>2351</v>
      </c>
      <c r="B58" s="4417">
        <f>SUM(C58:E58)</f>
        <v>0</v>
      </c>
      <c r="C58" s="4418"/>
      <c r="D58" s="4419"/>
      <c r="E58" s="4420"/>
      <c r="F58" s="4415"/>
    </row>
    <row r="59" spans="1:7" x14ac:dyDescent="0.3">
      <c r="A59" s="939" t="s">
        <v>2352</v>
      </c>
      <c r="B59" s="4421">
        <f>SUM(C59:E59)</f>
        <v>0</v>
      </c>
      <c r="C59" s="1767"/>
      <c r="D59" s="429"/>
      <c r="E59" s="4422"/>
      <c r="F59" s="4423"/>
    </row>
    <row r="60" spans="1:7" s="6" customFormat="1" ht="18" customHeight="1" x14ac:dyDescent="0.25">
      <c r="A60" s="4424" t="s">
        <v>2353</v>
      </c>
    </row>
    <row r="61" spans="1:7" s="6" customFormat="1" ht="18" customHeight="1" x14ac:dyDescent="0.25">
      <c r="A61" s="6974" t="s">
        <v>219</v>
      </c>
      <c r="B61" s="6967" t="s">
        <v>2354</v>
      </c>
      <c r="C61" s="6967"/>
      <c r="D61" s="6968"/>
      <c r="E61" s="6969" t="s">
        <v>2355</v>
      </c>
      <c r="F61" s="6954" t="s">
        <v>2356</v>
      </c>
      <c r="G61" s="6954" t="s">
        <v>2357</v>
      </c>
    </row>
    <row r="62" spans="1:7" ht="29.25" customHeight="1" x14ac:dyDescent="0.3">
      <c r="A62" s="6974"/>
      <c r="B62" s="4426" t="s">
        <v>2358</v>
      </c>
      <c r="C62" s="4427" t="s">
        <v>58</v>
      </c>
      <c r="D62" s="4428" t="s">
        <v>59</v>
      </c>
      <c r="E62" s="6687"/>
      <c r="F62" s="6954"/>
      <c r="G62" s="6954"/>
    </row>
    <row r="63" spans="1:7" x14ac:dyDescent="0.3">
      <c r="A63" s="1185" t="s">
        <v>2359</v>
      </c>
      <c r="B63" s="4429">
        <f>SUM(C63:D63)</f>
        <v>0</v>
      </c>
      <c r="C63" s="4430"/>
      <c r="D63" s="1284"/>
      <c r="E63" s="4431"/>
      <c r="F63" s="4432"/>
      <c r="G63" s="1107"/>
    </row>
    <row r="64" spans="1:7" x14ac:dyDescent="0.3">
      <c r="A64" s="4433" t="s">
        <v>2360</v>
      </c>
      <c r="B64" s="4434">
        <f t="shared" ref="B64:B68" si="6">SUM(C64:D64)</f>
        <v>0</v>
      </c>
      <c r="C64" s="4435"/>
      <c r="D64" s="4436"/>
      <c r="E64" s="4437"/>
      <c r="F64" s="4438"/>
      <c r="G64" s="4439"/>
    </row>
    <row r="65" spans="1:46" x14ac:dyDescent="0.3">
      <c r="A65" s="4433" t="s">
        <v>2361</v>
      </c>
      <c r="B65" s="4434">
        <f>SUM(C65:D65)</f>
        <v>0</v>
      </c>
      <c r="C65" s="4435"/>
      <c r="D65" s="4436"/>
      <c r="E65" s="4437"/>
      <c r="F65" s="4438"/>
      <c r="G65" s="4439"/>
    </row>
    <row r="66" spans="1:46" x14ac:dyDescent="0.3">
      <c r="A66" s="4433" t="s">
        <v>2362</v>
      </c>
      <c r="B66" s="4434">
        <f t="shared" si="6"/>
        <v>0</v>
      </c>
      <c r="C66" s="4435"/>
      <c r="D66" s="4436"/>
      <c r="E66" s="4437"/>
      <c r="F66" s="4438"/>
      <c r="G66" s="4439"/>
    </row>
    <row r="67" spans="1:46" x14ac:dyDescent="0.3">
      <c r="A67" s="4433" t="s">
        <v>2363</v>
      </c>
      <c r="B67" s="4434">
        <f t="shared" si="6"/>
        <v>0</v>
      </c>
      <c r="C67" s="4435"/>
      <c r="D67" s="4436"/>
      <c r="E67" s="4437"/>
      <c r="F67" s="4438"/>
      <c r="G67" s="4439"/>
    </row>
    <row r="68" spans="1:46" x14ac:dyDescent="0.3">
      <c r="A68" s="4440" t="s">
        <v>2364</v>
      </c>
      <c r="B68" s="3186">
        <f t="shared" si="6"/>
        <v>0</v>
      </c>
      <c r="C68" s="4441"/>
      <c r="D68" s="392"/>
      <c r="E68" s="564"/>
      <c r="F68" s="799"/>
      <c r="G68" s="388"/>
    </row>
    <row r="69" spans="1:46" x14ac:dyDescent="0.3">
      <c r="A69" s="1050" t="s">
        <v>77</v>
      </c>
      <c r="B69" s="3191">
        <f t="shared" ref="B69:G69" si="7">SUM(B63:B68)</f>
        <v>0</v>
      </c>
      <c r="C69" s="4442">
        <f>SUM(C63:C68)</f>
        <v>0</v>
      </c>
      <c r="D69" s="4443">
        <f>SUM(D63:D68)</f>
        <v>0</v>
      </c>
      <c r="E69" s="3193">
        <f t="shared" si="7"/>
        <v>0</v>
      </c>
      <c r="F69" s="3190">
        <f t="shared" si="7"/>
        <v>0</v>
      </c>
      <c r="G69" s="1126">
        <f t="shared" si="7"/>
        <v>0</v>
      </c>
    </row>
    <row r="70" spans="1:46" x14ac:dyDescent="0.3">
      <c r="A70" s="4444" t="s">
        <v>2365</v>
      </c>
    </row>
    <row r="71" spans="1:46" ht="40.799999999999997" x14ac:dyDescent="0.3">
      <c r="A71" s="4445" t="s">
        <v>2366</v>
      </c>
      <c r="B71" s="4446" t="s">
        <v>2367</v>
      </c>
      <c r="C71" s="4447" t="s">
        <v>2368</v>
      </c>
      <c r="D71" s="4448" t="s">
        <v>2361</v>
      </c>
      <c r="E71" s="4448" t="s">
        <v>2362</v>
      </c>
      <c r="F71" s="4448" t="s">
        <v>2363</v>
      </c>
      <c r="G71" s="4449" t="s">
        <v>2364</v>
      </c>
      <c r="H71" s="4450" t="s">
        <v>322</v>
      </c>
      <c r="I71" s="4451" t="s">
        <v>1794</v>
      </c>
    </row>
    <row r="72" spans="1:46" x14ac:dyDescent="0.3">
      <c r="A72" s="300" t="s">
        <v>2369</v>
      </c>
      <c r="B72" s="4430"/>
      <c r="C72" s="4452"/>
      <c r="D72" s="4453"/>
      <c r="E72" s="4453"/>
      <c r="F72" s="4453"/>
      <c r="G72" s="4454"/>
      <c r="H72" s="4415"/>
      <c r="I72" s="4455"/>
      <c r="AT72" s="6"/>
    </row>
    <row r="73" spans="1:46" x14ac:dyDescent="0.3">
      <c r="A73" s="4433" t="s">
        <v>2370</v>
      </c>
      <c r="B73" s="4435"/>
      <c r="C73" s="4456"/>
      <c r="D73" s="4457"/>
      <c r="E73" s="4457"/>
      <c r="F73" s="4457"/>
      <c r="G73" s="4458"/>
      <c r="H73" s="4415"/>
      <c r="I73" s="4459"/>
    </row>
    <row r="74" spans="1:46" x14ac:dyDescent="0.3">
      <c r="A74" s="4433" t="s">
        <v>2371</v>
      </c>
      <c r="B74" s="4435"/>
      <c r="C74" s="4456"/>
      <c r="D74" s="4457"/>
      <c r="E74" s="4457"/>
      <c r="F74" s="4457"/>
      <c r="G74" s="4458"/>
      <c r="H74" s="4415"/>
      <c r="I74" s="4459"/>
    </row>
    <row r="75" spans="1:46" x14ac:dyDescent="0.3">
      <c r="A75" s="4433" t="s">
        <v>2372</v>
      </c>
      <c r="B75" s="4435"/>
      <c r="C75" s="4456"/>
      <c r="D75" s="4457"/>
      <c r="E75" s="4457"/>
      <c r="F75" s="4457"/>
      <c r="G75" s="4458"/>
      <c r="H75" s="4415"/>
      <c r="I75" s="4459"/>
    </row>
    <row r="76" spans="1:46" x14ac:dyDescent="0.3">
      <c r="A76" s="4440" t="s">
        <v>2373</v>
      </c>
      <c r="B76" s="4441"/>
      <c r="C76" s="4460"/>
      <c r="D76" s="4461"/>
      <c r="E76" s="4461"/>
      <c r="F76" s="4461"/>
      <c r="G76" s="4462"/>
      <c r="H76" s="4423"/>
      <c r="I76" s="4463"/>
    </row>
    <row r="77" spans="1:46" s="6" customFormat="1" ht="18" customHeight="1" x14ac:dyDescent="0.25">
      <c r="A77" s="6957" t="s">
        <v>2374</v>
      </c>
      <c r="B77" s="6958"/>
      <c r="C77" s="6958"/>
      <c r="D77" s="6959"/>
      <c r="E77" s="6960"/>
      <c r="F77" s="4464"/>
      <c r="G77" s="4464"/>
      <c r="H77" s="4464"/>
      <c r="I77" s="4464"/>
    </row>
    <row r="78" spans="1:46" s="6" customFormat="1" ht="18" customHeight="1" x14ac:dyDescent="0.25">
      <c r="A78" s="6971" t="s">
        <v>285</v>
      </c>
      <c r="B78" s="6973" t="s">
        <v>2375</v>
      </c>
      <c r="C78" s="6971" t="s">
        <v>77</v>
      </c>
      <c r="D78" s="6970" t="s">
        <v>29</v>
      </c>
      <c r="E78" s="6970"/>
      <c r="F78" s="6970"/>
      <c r="G78" s="6970"/>
      <c r="H78" s="6970"/>
      <c r="I78" s="6970"/>
    </row>
    <row r="79" spans="1:46" ht="24.75" customHeight="1" x14ac:dyDescent="0.3">
      <c r="A79" s="6972"/>
      <c r="B79" s="6973"/>
      <c r="C79" s="6972"/>
      <c r="D79" s="4465" t="s">
        <v>2376</v>
      </c>
      <c r="E79" s="4466" t="s">
        <v>2377</v>
      </c>
      <c r="F79" s="4467" t="s">
        <v>475</v>
      </c>
      <c r="G79" s="4467" t="s">
        <v>326</v>
      </c>
      <c r="H79" s="4467" t="s">
        <v>94</v>
      </c>
      <c r="I79" s="4468" t="s">
        <v>44</v>
      </c>
    </row>
    <row r="80" spans="1:46" x14ac:dyDescent="0.3">
      <c r="A80" s="6961" t="s">
        <v>2378</v>
      </c>
      <c r="B80" s="6962"/>
      <c r="C80" s="4469">
        <f>SUM(D80:I80)</f>
        <v>0</v>
      </c>
      <c r="D80" s="4470"/>
      <c r="E80" s="4471"/>
      <c r="F80" s="4471"/>
      <c r="G80" s="4471"/>
      <c r="H80" s="4471"/>
      <c r="I80" s="4472"/>
    </row>
    <row r="81" spans="1:55" ht="24.9" customHeight="1" x14ac:dyDescent="0.3">
      <c r="A81" s="6955" t="s">
        <v>2379</v>
      </c>
      <c r="B81" s="4473" t="s">
        <v>2380</v>
      </c>
      <c r="C81" s="4474">
        <f>SUM(D81:I81)</f>
        <v>0</v>
      </c>
      <c r="D81" s="4374"/>
      <c r="E81" s="4375"/>
      <c r="F81" s="4375"/>
      <c r="G81" s="4375"/>
      <c r="H81" s="4375"/>
      <c r="I81" s="4475"/>
    </row>
    <row r="82" spans="1:55" ht="24.9" customHeight="1" x14ac:dyDescent="0.3">
      <c r="A82" s="6956"/>
      <c r="B82" s="4476" t="s">
        <v>2381</v>
      </c>
      <c r="C82" s="4477">
        <f>SUM(D82:I82)</f>
        <v>0</v>
      </c>
      <c r="D82" s="4478"/>
      <c r="E82" s="4479"/>
      <c r="F82" s="4479"/>
      <c r="G82" s="4479"/>
      <c r="H82" s="4479"/>
      <c r="I82" s="4480"/>
    </row>
    <row r="83" spans="1:55" ht="24.9" customHeight="1" x14ac:dyDescent="0.3">
      <c r="A83" s="6955" t="s">
        <v>2382</v>
      </c>
      <c r="B83" s="4473" t="s">
        <v>2380</v>
      </c>
      <c r="C83" s="4474">
        <f>SUM(D83:I83)</f>
        <v>0</v>
      </c>
      <c r="D83" s="4481"/>
      <c r="E83" s="4482"/>
      <c r="F83" s="4482"/>
      <c r="G83" s="4482"/>
      <c r="H83" s="4482"/>
      <c r="I83" s="4483"/>
    </row>
    <row r="84" spans="1:55" ht="24.9" customHeight="1" x14ac:dyDescent="0.3">
      <c r="A84" s="6956"/>
      <c r="B84" s="4484" t="s">
        <v>2381</v>
      </c>
      <c r="C84" s="4485">
        <f>SUM(D84:I84)</f>
        <v>0</v>
      </c>
      <c r="D84" s="4486"/>
      <c r="E84" s="4487"/>
      <c r="F84" s="4487"/>
      <c r="G84" s="4487"/>
      <c r="H84" s="4487"/>
      <c r="I84" s="4488"/>
    </row>
    <row r="85" spans="1:55" s="6" customFormat="1" ht="18" customHeight="1" x14ac:dyDescent="0.25">
      <c r="A85" s="4405" t="s">
        <v>2383</v>
      </c>
      <c r="B85" s="4400"/>
      <c r="C85" s="4400"/>
      <c r="D85" s="4395"/>
      <c r="E85" s="4395"/>
      <c r="F85" s="4395"/>
      <c r="G85" s="4395"/>
      <c r="H85" s="4489"/>
      <c r="I85" s="4489"/>
    </row>
    <row r="86" spans="1:55" ht="15" customHeight="1" x14ac:dyDescent="0.3">
      <c r="A86" s="6983" t="s">
        <v>1635</v>
      </c>
      <c r="B86" s="6986" t="s">
        <v>2384</v>
      </c>
      <c r="C86" s="6983"/>
      <c r="D86" s="6986" t="s">
        <v>2385</v>
      </c>
      <c r="E86" s="6983"/>
      <c r="F86" s="6977" t="s">
        <v>2386</v>
      </c>
      <c r="G86" s="6978"/>
      <c r="H86" s="6978"/>
      <c r="I86" s="6979"/>
      <c r="J86" s="6977" t="s">
        <v>2387</v>
      </c>
      <c r="K86" s="6978"/>
      <c r="L86" s="6978"/>
      <c r="M86" s="6979"/>
      <c r="N86" s="6977" t="s">
        <v>2388</v>
      </c>
      <c r="O86" s="6978"/>
      <c r="P86" s="6978"/>
      <c r="Q86" s="6979"/>
    </row>
    <row r="87" spans="1:55" ht="15" customHeight="1" x14ac:dyDescent="0.3">
      <c r="A87" s="6984"/>
      <c r="B87" s="6987"/>
      <c r="C87" s="6985"/>
      <c r="D87" s="6987"/>
      <c r="E87" s="6985"/>
      <c r="F87" s="6977" t="s">
        <v>2389</v>
      </c>
      <c r="G87" s="6979"/>
      <c r="H87" s="6977" t="s">
        <v>2390</v>
      </c>
      <c r="I87" s="6979"/>
      <c r="J87" s="6977" t="s">
        <v>2389</v>
      </c>
      <c r="K87" s="6979"/>
      <c r="L87" s="6977" t="s">
        <v>2390</v>
      </c>
      <c r="M87" s="6979"/>
      <c r="N87" s="6977" t="s">
        <v>2389</v>
      </c>
      <c r="O87" s="6979"/>
      <c r="P87" s="6977" t="s">
        <v>2390</v>
      </c>
      <c r="Q87" s="6979"/>
    </row>
    <row r="88" spans="1:55" ht="27.75" customHeight="1" x14ac:dyDescent="0.3">
      <c r="A88" s="6985"/>
      <c r="B88" s="4410" t="s">
        <v>4405</v>
      </c>
      <c r="C88" s="4490" t="s">
        <v>2391</v>
      </c>
      <c r="D88" s="4410" t="s">
        <v>4405</v>
      </c>
      <c r="E88" s="4490" t="s">
        <v>2391</v>
      </c>
      <c r="F88" s="4410" t="s">
        <v>4405</v>
      </c>
      <c r="G88" s="4490" t="s">
        <v>2391</v>
      </c>
      <c r="H88" s="4410" t="s">
        <v>4405</v>
      </c>
      <c r="I88" s="4491" t="s">
        <v>2391</v>
      </c>
      <c r="J88" s="4410" t="s">
        <v>4405</v>
      </c>
      <c r="K88" s="4490" t="s">
        <v>2391</v>
      </c>
      <c r="L88" s="4410" t="s">
        <v>4405</v>
      </c>
      <c r="M88" s="4491" t="s">
        <v>2391</v>
      </c>
      <c r="N88" s="4410" t="s">
        <v>4405</v>
      </c>
      <c r="O88" s="4490" t="s">
        <v>2391</v>
      </c>
      <c r="P88" s="4410" t="s">
        <v>4405</v>
      </c>
      <c r="Q88" s="4491" t="s">
        <v>2391</v>
      </c>
    </row>
    <row r="89" spans="1:55" x14ac:dyDescent="0.3">
      <c r="A89" s="4492" t="s">
        <v>1433</v>
      </c>
      <c r="B89" s="4374"/>
      <c r="C89" s="4475"/>
      <c r="D89" s="4374"/>
      <c r="E89" s="4475"/>
      <c r="F89" s="4493"/>
      <c r="G89" s="4415"/>
      <c r="H89" s="4493"/>
      <c r="I89" s="4415"/>
      <c r="J89" s="4493"/>
      <c r="K89" s="4415"/>
      <c r="L89" s="4493"/>
      <c r="M89" s="4415"/>
      <c r="N89" s="4493"/>
      <c r="O89" s="4415"/>
      <c r="P89" s="4493"/>
      <c r="Q89" s="4415"/>
      <c r="R89" t="str">
        <f>AT89&amp;AU89&amp;AV89</f>
        <v/>
      </c>
      <c r="AT89" s="4494" t="str">
        <f>IF((D89+E89)&lt;((F89+G89)-(H89+I89)),"* La suma de "&amp;D$86&amp;""&amp;" debe ser mayor o igual a la Diferencia de "&amp;F$87&amp;""&amp;" menos Pacientes Suspendidos","")</f>
        <v/>
      </c>
      <c r="BC89" s="1901">
        <f>IF((D89+E89)&lt;((F89+G89)-(H89+I89)),1,0)</f>
        <v>0</v>
      </c>
    </row>
    <row r="90" spans="1:55" x14ac:dyDescent="0.3">
      <c r="A90" s="4495" t="s">
        <v>1235</v>
      </c>
      <c r="B90" s="4496"/>
      <c r="C90" s="4497"/>
      <c r="D90" s="4496"/>
      <c r="E90" s="4497"/>
      <c r="F90" s="4498"/>
      <c r="G90" s="4499"/>
      <c r="H90" s="4498"/>
      <c r="I90" s="4499"/>
      <c r="J90" s="4498"/>
      <c r="K90" s="4499"/>
      <c r="L90" s="4498"/>
      <c r="M90" s="4499"/>
      <c r="N90" s="4498"/>
      <c r="O90" s="4499"/>
      <c r="P90" s="4498"/>
      <c r="Q90" s="4499"/>
      <c r="R90" t="str">
        <f t="shared" ref="R90:R101" si="8">AT90&amp;AU90&amp;AV90</f>
        <v/>
      </c>
      <c r="AT90" s="4494" t="str">
        <f t="shared" ref="AT90:AT99" si="9">IF((D90+E90)&lt;((F90+G90)-(H90+I90)),"* La suma de "&amp;D$86&amp;""&amp;" debe ser mayor o igual a la Diferencia de "&amp;F$87&amp;""&amp;" menos Pacientes Suspendidos","")</f>
        <v/>
      </c>
      <c r="BC90" s="1901">
        <f t="shared" ref="BC90:BC101" si="10">IF((D90+E90)&lt;((F90+G90)-(H90+I90)),1,0)</f>
        <v>0</v>
      </c>
    </row>
    <row r="91" spans="1:55" x14ac:dyDescent="0.3">
      <c r="A91" s="4495" t="s">
        <v>2392</v>
      </c>
      <c r="B91" s="4496"/>
      <c r="C91" s="4497"/>
      <c r="D91" s="4496"/>
      <c r="E91" s="4497"/>
      <c r="F91" s="4498"/>
      <c r="G91" s="4499"/>
      <c r="H91" s="4498"/>
      <c r="I91" s="4499"/>
      <c r="J91" s="4498"/>
      <c r="K91" s="4499"/>
      <c r="L91" s="4498"/>
      <c r="M91" s="4499"/>
      <c r="N91" s="4498"/>
      <c r="O91" s="4499"/>
      <c r="P91" s="4498"/>
      <c r="Q91" s="4499"/>
      <c r="R91" t="str">
        <f t="shared" si="8"/>
        <v/>
      </c>
      <c r="AT91" s="4494" t="str">
        <f t="shared" si="9"/>
        <v/>
      </c>
      <c r="BC91" s="1901">
        <f t="shared" si="10"/>
        <v>0</v>
      </c>
    </row>
    <row r="92" spans="1:55" x14ac:dyDescent="0.3">
      <c r="A92" s="4495" t="s">
        <v>1232</v>
      </c>
      <c r="B92" s="4496"/>
      <c r="C92" s="4497"/>
      <c r="D92" s="4496"/>
      <c r="E92" s="4497"/>
      <c r="F92" s="4498"/>
      <c r="G92" s="4499"/>
      <c r="H92" s="4498"/>
      <c r="I92" s="4499"/>
      <c r="J92" s="4498"/>
      <c r="K92" s="4499"/>
      <c r="L92" s="4498"/>
      <c r="M92" s="4499"/>
      <c r="N92" s="4498"/>
      <c r="O92" s="4499"/>
      <c r="P92" s="4498"/>
      <c r="Q92" s="4499"/>
      <c r="R92" t="str">
        <f t="shared" si="8"/>
        <v/>
      </c>
      <c r="AT92" s="4494" t="str">
        <f t="shared" si="9"/>
        <v/>
      </c>
      <c r="BC92" s="1901">
        <f t="shared" si="10"/>
        <v>0</v>
      </c>
    </row>
    <row r="93" spans="1:55" x14ac:dyDescent="0.3">
      <c r="A93" s="4495" t="s">
        <v>2393</v>
      </c>
      <c r="B93" s="4496"/>
      <c r="C93" s="4497"/>
      <c r="D93" s="4496"/>
      <c r="E93" s="4497"/>
      <c r="F93" s="4498"/>
      <c r="G93" s="4499"/>
      <c r="H93" s="4498"/>
      <c r="I93" s="4499"/>
      <c r="J93" s="4498"/>
      <c r="K93" s="4499"/>
      <c r="L93" s="4498"/>
      <c r="M93" s="4499"/>
      <c r="N93" s="4498"/>
      <c r="O93" s="4499"/>
      <c r="P93" s="4498"/>
      <c r="Q93" s="4499"/>
      <c r="R93" t="str">
        <f t="shared" si="8"/>
        <v/>
      </c>
      <c r="AT93" s="4494" t="str">
        <f t="shared" si="9"/>
        <v/>
      </c>
      <c r="BC93" s="1901">
        <f t="shared" si="10"/>
        <v>0</v>
      </c>
    </row>
    <row r="94" spans="1:55" x14ac:dyDescent="0.3">
      <c r="A94" s="4495" t="s">
        <v>1234</v>
      </c>
      <c r="B94" s="4496"/>
      <c r="C94" s="4497"/>
      <c r="D94" s="4496"/>
      <c r="E94" s="4497"/>
      <c r="F94" s="4498"/>
      <c r="G94" s="4499"/>
      <c r="H94" s="4498"/>
      <c r="I94" s="4499"/>
      <c r="J94" s="4498"/>
      <c r="K94" s="4499"/>
      <c r="L94" s="4498"/>
      <c r="M94" s="4499"/>
      <c r="N94" s="4498"/>
      <c r="O94" s="4499"/>
      <c r="P94" s="4498"/>
      <c r="Q94" s="4499"/>
      <c r="R94" t="str">
        <f t="shared" si="8"/>
        <v/>
      </c>
      <c r="AT94" s="4494" t="str">
        <f t="shared" si="9"/>
        <v/>
      </c>
      <c r="BC94" s="1901">
        <f t="shared" si="10"/>
        <v>0</v>
      </c>
    </row>
    <row r="95" spans="1:55" x14ac:dyDescent="0.3">
      <c r="A95" s="4495" t="s">
        <v>1238</v>
      </c>
      <c r="B95" s="4496"/>
      <c r="C95" s="4497"/>
      <c r="D95" s="4496"/>
      <c r="E95" s="4497"/>
      <c r="F95" s="4498"/>
      <c r="G95" s="4499"/>
      <c r="H95" s="4498"/>
      <c r="I95" s="4499"/>
      <c r="J95" s="4498"/>
      <c r="K95" s="4499"/>
      <c r="L95" s="4498"/>
      <c r="M95" s="4499"/>
      <c r="N95" s="4498"/>
      <c r="O95" s="4499"/>
      <c r="P95" s="4498"/>
      <c r="Q95" s="4499"/>
      <c r="R95" t="str">
        <f t="shared" si="8"/>
        <v/>
      </c>
      <c r="AT95" s="4494" t="str">
        <f t="shared" si="9"/>
        <v/>
      </c>
      <c r="BC95" s="1901">
        <f t="shared" si="10"/>
        <v>0</v>
      </c>
    </row>
    <row r="96" spans="1:55" x14ac:dyDescent="0.3">
      <c r="A96" s="4495" t="s">
        <v>1237</v>
      </c>
      <c r="B96" s="4496"/>
      <c r="C96" s="4497"/>
      <c r="D96" s="4496"/>
      <c r="E96" s="4497"/>
      <c r="F96" s="4498"/>
      <c r="G96" s="4499"/>
      <c r="H96" s="4498"/>
      <c r="I96" s="4499"/>
      <c r="J96" s="4498"/>
      <c r="K96" s="4499"/>
      <c r="L96" s="4498"/>
      <c r="M96" s="4499"/>
      <c r="N96" s="4498"/>
      <c r="O96" s="4499"/>
      <c r="P96" s="4498"/>
      <c r="Q96" s="4499"/>
      <c r="R96" t="str">
        <f t="shared" si="8"/>
        <v/>
      </c>
      <c r="AT96" s="4494" t="str">
        <f t="shared" si="9"/>
        <v/>
      </c>
      <c r="BC96" s="1901">
        <f t="shared" si="10"/>
        <v>0</v>
      </c>
    </row>
    <row r="97" spans="1:55" x14ac:dyDescent="0.3">
      <c r="A97" s="4495" t="s">
        <v>2394</v>
      </c>
      <c r="B97" s="4496"/>
      <c r="C97" s="4497"/>
      <c r="D97" s="4496"/>
      <c r="E97" s="4497"/>
      <c r="F97" s="4498"/>
      <c r="G97" s="4499"/>
      <c r="H97" s="4498"/>
      <c r="I97" s="4499"/>
      <c r="J97" s="4498"/>
      <c r="K97" s="4499"/>
      <c r="L97" s="4498"/>
      <c r="M97" s="4499"/>
      <c r="N97" s="4498"/>
      <c r="O97" s="4499"/>
      <c r="P97" s="4498"/>
      <c r="Q97" s="4499"/>
      <c r="R97" t="str">
        <f t="shared" si="8"/>
        <v/>
      </c>
      <c r="AT97" s="4494" t="str">
        <f t="shared" si="9"/>
        <v/>
      </c>
      <c r="BC97" s="1901">
        <f t="shared" si="10"/>
        <v>0</v>
      </c>
    </row>
    <row r="98" spans="1:55" x14ac:dyDescent="0.3">
      <c r="A98" s="4495" t="s">
        <v>2395</v>
      </c>
      <c r="B98" s="4496"/>
      <c r="C98" s="4497"/>
      <c r="D98" s="4496"/>
      <c r="E98" s="4497"/>
      <c r="F98" s="4498"/>
      <c r="G98" s="4499"/>
      <c r="H98" s="4498"/>
      <c r="I98" s="4499"/>
      <c r="J98" s="4498"/>
      <c r="K98" s="4499"/>
      <c r="L98" s="4498"/>
      <c r="M98" s="4499"/>
      <c r="N98" s="4498"/>
      <c r="O98" s="4499"/>
      <c r="P98" s="4498"/>
      <c r="Q98" s="4499"/>
      <c r="R98" t="str">
        <f t="shared" si="8"/>
        <v/>
      </c>
      <c r="AT98" s="4494" t="str">
        <f t="shared" si="9"/>
        <v/>
      </c>
      <c r="BC98" s="1901">
        <f t="shared" si="10"/>
        <v>0</v>
      </c>
    </row>
    <row r="99" spans="1:55" x14ac:dyDescent="0.3">
      <c r="A99" s="4495" t="s">
        <v>1431</v>
      </c>
      <c r="B99" s="4496"/>
      <c r="C99" s="4497"/>
      <c r="D99" s="4496"/>
      <c r="E99" s="4497"/>
      <c r="F99" s="4498"/>
      <c r="G99" s="4499"/>
      <c r="H99" s="4498"/>
      <c r="I99" s="4499"/>
      <c r="J99" s="4498"/>
      <c r="K99" s="4499"/>
      <c r="L99" s="4498"/>
      <c r="M99" s="4499"/>
      <c r="N99" s="4498"/>
      <c r="O99" s="4499"/>
      <c r="P99" s="4498"/>
      <c r="Q99" s="4499"/>
      <c r="R99" t="str">
        <f t="shared" si="8"/>
        <v/>
      </c>
      <c r="AT99" s="4494" t="str">
        <f t="shared" si="9"/>
        <v/>
      </c>
      <c r="BC99" s="1901">
        <f t="shared" si="10"/>
        <v>0</v>
      </c>
    </row>
    <row r="100" spans="1:55" x14ac:dyDescent="0.3">
      <c r="A100" s="4495" t="s">
        <v>4364</v>
      </c>
      <c r="B100" s="4496"/>
      <c r="C100" s="4497"/>
      <c r="D100" s="4496"/>
      <c r="E100" s="4497"/>
      <c r="F100" s="4498"/>
      <c r="G100" s="4499"/>
      <c r="H100" s="4498"/>
      <c r="I100" s="4499"/>
      <c r="J100" s="4498"/>
      <c r="K100" s="4499"/>
      <c r="L100" s="4498"/>
      <c r="M100" s="4499"/>
      <c r="N100" s="4498"/>
      <c r="O100" s="4499"/>
      <c r="P100" s="4498"/>
      <c r="Q100" s="4499"/>
      <c r="R100" t="str">
        <f t="shared" si="8"/>
        <v/>
      </c>
      <c r="AT100" s="4494" t="str">
        <f>IF((D100+E100)&lt;((F100+G100)-(H100+I100)),"* La suma de "&amp;D$86&amp;""&amp;" debe ser mayor o igual a la Diferencia de "&amp;F$87&amp;""&amp;" menos Pacientes Suspendidos","")</f>
        <v/>
      </c>
      <c r="BC100" s="1901">
        <f t="shared" si="10"/>
        <v>0</v>
      </c>
    </row>
    <row r="101" spans="1:55" x14ac:dyDescent="0.3">
      <c r="A101" s="4495" t="s">
        <v>2396</v>
      </c>
      <c r="B101" s="4496"/>
      <c r="C101" s="4497"/>
      <c r="D101" s="4496"/>
      <c r="E101" s="4497"/>
      <c r="F101" s="4498"/>
      <c r="G101" s="4499"/>
      <c r="H101" s="4498"/>
      <c r="I101" s="4499"/>
      <c r="J101" s="4498"/>
      <c r="K101" s="4499"/>
      <c r="L101" s="4498"/>
      <c r="M101" s="4499"/>
      <c r="N101" s="4498"/>
      <c r="O101" s="4499"/>
      <c r="P101" s="4498"/>
      <c r="Q101" s="4499"/>
      <c r="R101" t="str">
        <f t="shared" si="8"/>
        <v/>
      </c>
      <c r="AT101" s="4494" t="str">
        <f>IF((D101+E101)&lt;((F101+G101)-(H101+I101)),"* La suma de "&amp;D$86&amp;""&amp;" debe ser mayor o igual a la Diferencia de "&amp;F$87&amp;""&amp;" menos Pacientes Suspendidos","")</f>
        <v/>
      </c>
      <c r="BC101" s="1901">
        <f t="shared" si="10"/>
        <v>0</v>
      </c>
    </row>
    <row r="102" spans="1:55" x14ac:dyDescent="0.3">
      <c r="A102" s="4500" t="s">
        <v>77</v>
      </c>
      <c r="B102" s="4501">
        <f t="shared" ref="B102:I102" si="11">SUM(B89:B101)</f>
        <v>0</v>
      </c>
      <c r="C102" s="4502">
        <f t="shared" si="11"/>
        <v>0</v>
      </c>
      <c r="D102" s="4501">
        <f t="shared" si="11"/>
        <v>0</v>
      </c>
      <c r="E102" s="4502">
        <f t="shared" si="11"/>
        <v>0</v>
      </c>
      <c r="F102" s="4501">
        <f t="shared" si="11"/>
        <v>0</v>
      </c>
      <c r="G102" s="4502">
        <f t="shared" si="11"/>
        <v>0</v>
      </c>
      <c r="H102" s="4501">
        <f t="shared" si="11"/>
        <v>0</v>
      </c>
      <c r="I102" s="4503">
        <f t="shared" si="11"/>
        <v>0</v>
      </c>
      <c r="J102" s="4501">
        <f>SUM(J89:J101)</f>
        <v>0</v>
      </c>
      <c r="K102" s="4502">
        <f t="shared" ref="K102:M102" si="12">SUM(K89:K101)</f>
        <v>0</v>
      </c>
      <c r="L102" s="4501">
        <f t="shared" si="12"/>
        <v>0</v>
      </c>
      <c r="M102" s="4503">
        <f t="shared" si="12"/>
        <v>0</v>
      </c>
      <c r="N102" s="4501">
        <f>SUM(N89:N101)</f>
        <v>0</v>
      </c>
      <c r="O102" s="4502">
        <f t="shared" ref="O102:Q102" si="13">SUM(O89:O101)</f>
        <v>0</v>
      </c>
      <c r="P102" s="4501">
        <f t="shared" si="13"/>
        <v>0</v>
      </c>
      <c r="Q102" s="4503">
        <f t="shared" si="13"/>
        <v>0</v>
      </c>
    </row>
    <row r="103" spans="1:55" s="6" customFormat="1" ht="18" customHeight="1" x14ac:dyDescent="0.25">
      <c r="A103" s="6980" t="s">
        <v>2397</v>
      </c>
      <c r="B103" s="6980"/>
      <c r="C103" s="6980"/>
      <c r="D103" s="6980"/>
      <c r="E103" s="6980"/>
      <c r="F103" s="6980"/>
      <c r="G103" s="6980"/>
    </row>
    <row r="104" spans="1:55" x14ac:dyDescent="0.3">
      <c r="A104" s="6981" t="s">
        <v>2398</v>
      </c>
      <c r="B104" s="6977" t="s">
        <v>2399</v>
      </c>
      <c r="C104" s="6978"/>
      <c r="D104" s="6978"/>
      <c r="E104" s="6978"/>
      <c r="F104" s="6978"/>
      <c r="G104" s="6979"/>
    </row>
    <row r="105" spans="1:55" x14ac:dyDescent="0.3">
      <c r="A105" s="6982"/>
      <c r="B105" s="1237" t="s">
        <v>1531</v>
      </c>
      <c r="C105" s="4410" t="s">
        <v>4405</v>
      </c>
      <c r="D105" s="4504" t="s">
        <v>2391</v>
      </c>
      <c r="E105" s="4411" t="s">
        <v>2308</v>
      </c>
      <c r="F105" s="4491" t="s">
        <v>2309</v>
      </c>
      <c r="G105" s="4491" t="s">
        <v>591</v>
      </c>
    </row>
    <row r="106" spans="1:55" x14ac:dyDescent="0.3">
      <c r="A106" s="4492" t="s">
        <v>2400</v>
      </c>
      <c r="B106" s="4352">
        <f t="shared" ref="B106:B113" si="14">SUM(C106+D106)</f>
        <v>0</v>
      </c>
      <c r="C106" s="4493"/>
      <c r="D106" s="4505"/>
      <c r="E106" s="4506"/>
      <c r="F106" s="4507"/>
      <c r="G106" s="4507"/>
      <c r="H106" t="str">
        <f t="shared" ref="H106:H114" si="15">AT106</f>
        <v/>
      </c>
      <c r="AT106" s="4494" t="str">
        <f t="shared" ref="AT106:AT112" si="16">IF(SUM(E106:G106)&lt;&gt;B106,"* La Suma de los Beneficiarios MAI, MLE y Otros debe ser igual al Total.","")</f>
        <v/>
      </c>
      <c r="BC106" s="2707">
        <f t="shared" ref="BC106:BC113" si="17">IF(SUM(E106:G106)&lt;&gt;B106,1,0)</f>
        <v>0</v>
      </c>
    </row>
    <row r="107" spans="1:55" x14ac:dyDescent="0.3">
      <c r="A107" s="4508" t="s">
        <v>2401</v>
      </c>
      <c r="B107" s="4356">
        <f t="shared" si="14"/>
        <v>0</v>
      </c>
      <c r="C107" s="4498"/>
      <c r="D107" s="4509"/>
      <c r="E107" s="4510"/>
      <c r="F107" s="4358"/>
      <c r="G107" s="4358"/>
      <c r="H107" t="str">
        <f t="shared" si="15"/>
        <v/>
      </c>
      <c r="AT107" s="4494" t="str">
        <f t="shared" si="16"/>
        <v/>
      </c>
      <c r="BC107" s="2707">
        <f t="shared" si="17"/>
        <v>0</v>
      </c>
    </row>
    <row r="108" spans="1:55" x14ac:dyDescent="0.3">
      <c r="A108" s="4495" t="s">
        <v>2402</v>
      </c>
      <c r="B108" s="4356">
        <f t="shared" si="14"/>
        <v>0</v>
      </c>
      <c r="C108" s="4498"/>
      <c r="D108" s="4509"/>
      <c r="E108" s="4510"/>
      <c r="F108" s="4358"/>
      <c r="G108" s="4358"/>
      <c r="H108" t="str">
        <f t="shared" si="15"/>
        <v/>
      </c>
      <c r="AT108" s="4494" t="str">
        <f t="shared" si="16"/>
        <v/>
      </c>
      <c r="BC108" s="2707">
        <f t="shared" si="17"/>
        <v>0</v>
      </c>
    </row>
    <row r="109" spans="1:55" x14ac:dyDescent="0.3">
      <c r="A109" s="4495" t="s">
        <v>2403</v>
      </c>
      <c r="B109" s="4356">
        <f t="shared" si="14"/>
        <v>0</v>
      </c>
      <c r="C109" s="4498"/>
      <c r="D109" s="4509"/>
      <c r="E109" s="4510"/>
      <c r="F109" s="4358"/>
      <c r="G109" s="4358"/>
      <c r="H109" t="str">
        <f t="shared" si="15"/>
        <v/>
      </c>
      <c r="AT109" s="4494" t="str">
        <f t="shared" si="16"/>
        <v/>
      </c>
      <c r="BC109" s="2707">
        <f t="shared" si="17"/>
        <v>0</v>
      </c>
    </row>
    <row r="110" spans="1:55" x14ac:dyDescent="0.3">
      <c r="A110" s="4495" t="s">
        <v>2404</v>
      </c>
      <c r="B110" s="4356">
        <f t="shared" si="14"/>
        <v>0</v>
      </c>
      <c r="C110" s="4498"/>
      <c r="D110" s="4509"/>
      <c r="E110" s="4510"/>
      <c r="F110" s="4358"/>
      <c r="G110" s="4358"/>
      <c r="H110" t="str">
        <f t="shared" si="15"/>
        <v/>
      </c>
      <c r="AT110" s="4494" t="str">
        <f t="shared" si="16"/>
        <v/>
      </c>
      <c r="BC110" s="2707">
        <f t="shared" si="17"/>
        <v>0</v>
      </c>
    </row>
    <row r="111" spans="1:55" x14ac:dyDescent="0.3">
      <c r="A111" s="4495" t="s">
        <v>2405</v>
      </c>
      <c r="B111" s="4356">
        <f t="shared" si="14"/>
        <v>0</v>
      </c>
      <c r="C111" s="4498"/>
      <c r="D111" s="4509"/>
      <c r="E111" s="4510"/>
      <c r="F111" s="4358"/>
      <c r="G111" s="4358"/>
      <c r="H111" t="str">
        <f t="shared" si="15"/>
        <v/>
      </c>
      <c r="AT111" s="4494" t="str">
        <f t="shared" si="16"/>
        <v/>
      </c>
      <c r="BC111" s="2707">
        <f t="shared" si="17"/>
        <v>0</v>
      </c>
    </row>
    <row r="112" spans="1:55" x14ac:dyDescent="0.3">
      <c r="A112" s="4508" t="s">
        <v>2406</v>
      </c>
      <c r="B112" s="4356">
        <f t="shared" si="14"/>
        <v>0</v>
      </c>
      <c r="C112" s="4498"/>
      <c r="D112" s="4509"/>
      <c r="E112" s="4510"/>
      <c r="F112" s="4358"/>
      <c r="G112" s="4358"/>
      <c r="H112" t="str">
        <f t="shared" si="15"/>
        <v/>
      </c>
      <c r="AT112" s="4494" t="str">
        <f t="shared" si="16"/>
        <v/>
      </c>
      <c r="BC112" s="2707">
        <f t="shared" si="17"/>
        <v>0</v>
      </c>
    </row>
    <row r="113" spans="1:56" x14ac:dyDescent="0.3">
      <c r="A113" s="4511" t="s">
        <v>2407</v>
      </c>
      <c r="B113" s="4512">
        <f t="shared" si="14"/>
        <v>0</v>
      </c>
      <c r="C113" s="4498"/>
      <c r="D113" s="4509"/>
      <c r="E113" s="4510"/>
      <c r="F113" s="4513"/>
      <c r="G113" s="4513"/>
      <c r="H113" t="str">
        <f t="shared" si="15"/>
        <v/>
      </c>
      <c r="AT113" s="4494" t="str">
        <f>IF(SUM(E113:G113)&lt;&gt;B113,"* La Suma de los Beneficiarios MAI, MLE y Otros debe ser igual al Total.","")</f>
        <v/>
      </c>
      <c r="BC113" s="2707">
        <f t="shared" si="17"/>
        <v>0</v>
      </c>
    </row>
    <row r="114" spans="1:56" x14ac:dyDescent="0.3">
      <c r="A114" s="4514" t="s">
        <v>77</v>
      </c>
      <c r="B114" s="4515">
        <f t="shared" ref="B114:G114" si="18">SUM(B106:B113)</f>
        <v>0</v>
      </c>
      <c r="C114" s="4516">
        <f t="shared" si="18"/>
        <v>0</v>
      </c>
      <c r="D114" s="4517">
        <f t="shared" si="18"/>
        <v>0</v>
      </c>
      <c r="E114" s="4518">
        <f t="shared" si="18"/>
        <v>0</v>
      </c>
      <c r="F114" s="4519">
        <f t="shared" si="18"/>
        <v>0</v>
      </c>
      <c r="G114" s="4519">
        <f t="shared" si="18"/>
        <v>0</v>
      </c>
      <c r="H114" s="4520" t="str">
        <f t="shared" si="15"/>
        <v/>
      </c>
      <c r="AT114" s="4494" t="str">
        <f>IF((H102+I102+L102+M102+P102+Q102)&lt;&gt;B114," * El total de Causas de suspensión debe coincidir con la suma de Pacientes suspendidos de la Sección E","")</f>
        <v/>
      </c>
      <c r="AU114" s="6"/>
      <c r="AV114" s="6"/>
      <c r="BC114" s="54">
        <f>IF((H102+I102+L102+M102+P102+Q102)&lt;&gt;B114,1,0)</f>
        <v>0</v>
      </c>
      <c r="BD114" s="6"/>
    </row>
    <row r="115" spans="1:56" s="6" customFormat="1" ht="18" customHeight="1" x14ac:dyDescent="0.25">
      <c r="A115" s="13" t="s">
        <v>2408</v>
      </c>
      <c r="E115" s="884"/>
      <c r="F115" s="4"/>
      <c r="G115" s="4"/>
    </row>
    <row r="116" spans="1:56" x14ac:dyDescent="0.3">
      <c r="A116" s="6988" t="s">
        <v>2409</v>
      </c>
      <c r="B116" s="6988" t="s">
        <v>28</v>
      </c>
      <c r="C116" s="6989" t="s">
        <v>29</v>
      </c>
      <c r="D116" s="6990"/>
      <c r="E116" s="6991"/>
      <c r="F116" s="6975" t="s">
        <v>457</v>
      </c>
      <c r="G116" s="6976"/>
    </row>
    <row r="117" spans="1:56" ht="20.399999999999999" x14ac:dyDescent="0.3">
      <c r="A117" s="6471"/>
      <c r="B117" s="6471"/>
      <c r="C117" s="1134" t="s">
        <v>4406</v>
      </c>
      <c r="D117" s="1007" t="s">
        <v>2410</v>
      </c>
      <c r="E117" s="1053" t="s">
        <v>2411</v>
      </c>
      <c r="F117" s="4521" t="s">
        <v>462</v>
      </c>
      <c r="G117" s="1203" t="s">
        <v>463</v>
      </c>
    </row>
    <row r="118" spans="1:56" x14ac:dyDescent="0.3">
      <c r="A118" s="4522" t="s">
        <v>751</v>
      </c>
      <c r="B118" s="1184">
        <f>SUM(C118:E118)</f>
        <v>0</v>
      </c>
      <c r="C118" s="1106"/>
      <c r="D118" s="773"/>
      <c r="E118" s="4431"/>
      <c r="F118" s="1321"/>
      <c r="G118" s="1479"/>
      <c r="H118" t="str">
        <f>AT118</f>
        <v/>
      </c>
      <c r="AT118" s="4494" t="str">
        <f>IF(AND(B118&gt;0,F118=""),"* No olvide digitar la variable Trans Masculino. Digite cero si no tiene.",IF(F118&gt;B118," * Trans Masculino no puede ser mayor al Total.",""))</f>
        <v/>
      </c>
      <c r="BC118" s="2707">
        <f>IF(AND(B118&gt;0,F118=""),1,IF(F118&gt;B118,1,0))</f>
        <v>0</v>
      </c>
    </row>
    <row r="119" spans="1:56" x14ac:dyDescent="0.3">
      <c r="A119" s="4523" t="s">
        <v>522</v>
      </c>
      <c r="B119" s="1188">
        <f>SUM(C119:E119)</f>
        <v>0</v>
      </c>
      <c r="C119" s="1767"/>
      <c r="D119" s="1283"/>
      <c r="E119" s="564"/>
      <c r="F119" s="4524"/>
      <c r="G119" s="1140"/>
      <c r="H119" t="str">
        <f>AU119</f>
        <v/>
      </c>
      <c r="AU119" s="4494" t="str">
        <f>IF(AND(B119&gt;0,G119=""),"* No olvide digitar la variable Trans Femenino. Digite cero si no tiene.",IF(G119&gt;B119," * Trans Femenino no puede ser mayor al Total.",""))</f>
        <v/>
      </c>
      <c r="BD119" s="2707">
        <f>IF(AND(B119&gt;0,G119=""),1,IF(G119&gt;B119,1,0))</f>
        <v>0</v>
      </c>
    </row>
    <row r="120" spans="1:56" x14ac:dyDescent="0.3">
      <c r="A120" s="4525" t="s">
        <v>2412</v>
      </c>
    </row>
    <row r="121" spans="1:56" ht="51" x14ac:dyDescent="0.3">
      <c r="A121" s="4348" t="s">
        <v>1635</v>
      </c>
      <c r="B121" s="4526" t="s">
        <v>2302</v>
      </c>
      <c r="C121" s="4527" t="s">
        <v>2413</v>
      </c>
      <c r="D121" s="4528" t="s">
        <v>2414</v>
      </c>
      <c r="E121" s="4529" t="s">
        <v>2415</v>
      </c>
      <c r="F121" s="4527" t="s">
        <v>2416</v>
      </c>
      <c r="G121" s="4528" t="s">
        <v>2417</v>
      </c>
      <c r="H121" s="4529" t="s">
        <v>2418</v>
      </c>
      <c r="I121" s="4530"/>
    </row>
    <row r="122" spans="1:56" x14ac:dyDescent="0.3">
      <c r="A122" s="4372" t="s">
        <v>77</v>
      </c>
      <c r="B122" s="4531">
        <f>SUM(B123:B124)</f>
        <v>0</v>
      </c>
      <c r="C122" s="4532">
        <f t="shared" ref="C122:H122" si="19">SUM(C123:C124)</f>
        <v>0</v>
      </c>
      <c r="D122" s="4533">
        <f t="shared" si="19"/>
        <v>0</v>
      </c>
      <c r="E122" s="4534">
        <f t="shared" si="19"/>
        <v>0</v>
      </c>
      <c r="F122" s="4532">
        <f t="shared" si="19"/>
        <v>0</v>
      </c>
      <c r="G122" s="4533">
        <f>SUM(G123:G124)</f>
        <v>0</v>
      </c>
      <c r="H122" s="4534">
        <f t="shared" si="19"/>
        <v>0</v>
      </c>
      <c r="I122" s="2183"/>
    </row>
    <row r="123" spans="1:56" x14ac:dyDescent="0.3">
      <c r="A123" s="4535" t="s">
        <v>2419</v>
      </c>
      <c r="B123" s="4536"/>
      <c r="C123" s="4537"/>
      <c r="D123" s="4538"/>
      <c r="E123" s="4539"/>
      <c r="F123" s="4537"/>
      <c r="G123" s="4538"/>
      <c r="H123" s="4539"/>
      <c r="I123" s="4540"/>
    </row>
    <row r="124" spans="1:56" x14ac:dyDescent="0.3">
      <c r="A124" s="4541" t="s">
        <v>2420</v>
      </c>
      <c r="B124" s="4542"/>
      <c r="C124" s="4543"/>
      <c r="D124" s="4544"/>
      <c r="E124" s="4545"/>
      <c r="F124" s="4543"/>
      <c r="G124" s="4544"/>
      <c r="H124" s="4546"/>
      <c r="I124" s="4540"/>
    </row>
    <row r="125" spans="1:56" x14ac:dyDescent="0.3">
      <c r="A125" s="4547" t="s">
        <v>2421</v>
      </c>
      <c r="B125" s="4548"/>
      <c r="C125" s="4548"/>
      <c r="D125" s="3293"/>
      <c r="E125" s="3293"/>
      <c r="F125" s="3293"/>
      <c r="G125" s="3293"/>
      <c r="H125" s="3293"/>
      <c r="I125" s="3293"/>
    </row>
    <row r="126" spans="1:56" ht="40.799999999999997" x14ac:dyDescent="0.3">
      <c r="A126" s="4367" t="s">
        <v>1635</v>
      </c>
      <c r="B126" s="4549" t="s">
        <v>2422</v>
      </c>
      <c r="C126" s="4550" t="s">
        <v>4403</v>
      </c>
      <c r="D126" s="4549" t="s">
        <v>2423</v>
      </c>
      <c r="E126" s="4550" t="s">
        <v>2424</v>
      </c>
      <c r="F126" s="4549" t="s">
        <v>2425</v>
      </c>
      <c r="G126" s="4550" t="s">
        <v>2426</v>
      </c>
      <c r="H126" s="4549" t="s">
        <v>2427</v>
      </c>
      <c r="I126" s="4551" t="s">
        <v>2428</v>
      </c>
    </row>
    <row r="127" spans="1:56" x14ac:dyDescent="0.3">
      <c r="A127" s="4492" t="s">
        <v>1433</v>
      </c>
      <c r="B127" s="4374"/>
      <c r="C127" s="4475"/>
      <c r="D127" s="4493"/>
      <c r="E127" s="4415"/>
      <c r="F127" s="4493"/>
      <c r="G127" s="4415"/>
      <c r="H127" s="4493"/>
      <c r="I127" s="4415"/>
    </row>
    <row r="128" spans="1:56" x14ac:dyDescent="0.3">
      <c r="A128" s="4552" t="s">
        <v>2392</v>
      </c>
      <c r="B128" s="4553"/>
      <c r="C128" s="4554"/>
      <c r="D128" s="4555"/>
      <c r="E128" s="4499"/>
      <c r="F128" s="4555"/>
      <c r="G128" s="4499"/>
      <c r="H128" s="4555"/>
      <c r="I128" s="4556"/>
    </row>
    <row r="129" spans="1:10" x14ac:dyDescent="0.3">
      <c r="A129" s="4552" t="s">
        <v>1232</v>
      </c>
      <c r="B129" s="4553"/>
      <c r="C129" s="4554"/>
      <c r="D129" s="4555"/>
      <c r="E129" s="4499"/>
      <c r="F129" s="4555"/>
      <c r="G129" s="4499"/>
      <c r="H129" s="4555"/>
      <c r="I129" s="4415"/>
    </row>
    <row r="130" spans="1:10" x14ac:dyDescent="0.3">
      <c r="A130" s="4552" t="s">
        <v>1220</v>
      </c>
      <c r="B130" s="4553"/>
      <c r="C130" s="4554"/>
      <c r="D130" s="4555"/>
      <c r="E130" s="4499"/>
      <c r="F130" s="4555"/>
      <c r="G130" s="4499"/>
      <c r="H130" s="4555"/>
      <c r="I130" s="4415"/>
    </row>
    <row r="131" spans="1:10" x14ac:dyDescent="0.3">
      <c r="A131" s="4552" t="s">
        <v>2393</v>
      </c>
      <c r="B131" s="4553"/>
      <c r="C131" s="4554"/>
      <c r="D131" s="4555"/>
      <c r="E131" s="4499"/>
      <c r="F131" s="4555"/>
      <c r="G131" s="4499"/>
      <c r="H131" s="4555"/>
      <c r="I131" s="4415"/>
    </row>
    <row r="132" spans="1:10" x14ac:dyDescent="0.3">
      <c r="A132" s="4552" t="s">
        <v>1238</v>
      </c>
      <c r="B132" s="4553"/>
      <c r="C132" s="4554"/>
      <c r="D132" s="4555"/>
      <c r="E132" s="4499"/>
      <c r="F132" s="4555"/>
      <c r="G132" s="4499"/>
      <c r="H132" s="4555"/>
      <c r="I132" s="4415"/>
    </row>
    <row r="133" spans="1:10" x14ac:dyDescent="0.3">
      <c r="A133" s="4552" t="s">
        <v>1237</v>
      </c>
      <c r="B133" s="4553"/>
      <c r="C133" s="4554"/>
      <c r="D133" s="4555"/>
      <c r="E133" s="4499"/>
      <c r="F133" s="4555"/>
      <c r="G133" s="4499"/>
      <c r="H133" s="4555"/>
      <c r="I133" s="4415"/>
    </row>
    <row r="134" spans="1:10" x14ac:dyDescent="0.3">
      <c r="A134" s="4552" t="s">
        <v>2394</v>
      </c>
      <c r="B134" s="4553"/>
      <c r="C134" s="4554"/>
      <c r="D134" s="4555"/>
      <c r="E134" s="4499"/>
      <c r="F134" s="4555"/>
      <c r="G134" s="4499"/>
      <c r="H134" s="4555"/>
      <c r="I134" s="4415"/>
    </row>
    <row r="135" spans="1:10" x14ac:dyDescent="0.3">
      <c r="A135" s="4552" t="s">
        <v>2395</v>
      </c>
      <c r="B135" s="4553"/>
      <c r="C135" s="4554"/>
      <c r="D135" s="4555"/>
      <c r="E135" s="4499"/>
      <c r="F135" s="4555"/>
      <c r="G135" s="4499"/>
      <c r="H135" s="4555"/>
      <c r="I135" s="4415"/>
    </row>
    <row r="136" spans="1:10" x14ac:dyDescent="0.3">
      <c r="A136" s="4552" t="s">
        <v>1431</v>
      </c>
      <c r="B136" s="4553"/>
      <c r="C136" s="4554"/>
      <c r="D136" s="4555"/>
      <c r="E136" s="4499"/>
      <c r="F136" s="4555"/>
      <c r="G136" s="4499"/>
      <c r="H136" s="4555"/>
      <c r="I136" s="4415"/>
    </row>
    <row r="137" spans="1:10" x14ac:dyDescent="0.3">
      <c r="A137" s="4552" t="s">
        <v>2396</v>
      </c>
      <c r="B137" s="4553"/>
      <c r="C137" s="4554"/>
      <c r="D137" s="4555"/>
      <c r="E137" s="4499"/>
      <c r="F137" s="4555"/>
      <c r="G137" s="4499"/>
      <c r="H137" s="4555"/>
      <c r="I137" s="4415"/>
    </row>
    <row r="138" spans="1:10" x14ac:dyDescent="0.3">
      <c r="A138" s="4552" t="s">
        <v>2429</v>
      </c>
      <c r="B138" s="4553"/>
      <c r="C138" s="4554"/>
      <c r="D138" s="4555"/>
      <c r="E138" s="4499"/>
      <c r="F138" s="4555"/>
      <c r="G138" s="4499"/>
      <c r="H138" s="4555"/>
      <c r="I138" s="4557"/>
    </row>
    <row r="139" spans="1:10" x14ac:dyDescent="0.3">
      <c r="A139" s="4558" t="s">
        <v>77</v>
      </c>
      <c r="B139" s="4559">
        <f t="shared" ref="B139:I139" si="20">SUM(B127:B138)</f>
        <v>0</v>
      </c>
      <c r="C139" s="4560">
        <f t="shared" si="20"/>
        <v>0</v>
      </c>
      <c r="D139" s="4559">
        <f t="shared" si="20"/>
        <v>0</v>
      </c>
      <c r="E139" s="4560">
        <f t="shared" si="20"/>
        <v>0</v>
      </c>
      <c r="F139" s="4559">
        <f t="shared" si="20"/>
        <v>0</v>
      </c>
      <c r="G139" s="4560">
        <f t="shared" si="20"/>
        <v>0</v>
      </c>
      <c r="H139" s="4559">
        <f t="shared" si="20"/>
        <v>0</v>
      </c>
      <c r="I139" s="4560">
        <f t="shared" si="20"/>
        <v>0</v>
      </c>
    </row>
    <row r="140" spans="1:10" x14ac:dyDescent="0.3">
      <c r="A140" s="4344" t="s">
        <v>2430</v>
      </c>
      <c r="B140" s="4520"/>
      <c r="C140" s="4520"/>
      <c r="D140" s="4520"/>
      <c r="E140" s="4520"/>
      <c r="F140" s="4520"/>
      <c r="G140" s="4520"/>
      <c r="H140" s="4520"/>
      <c r="I140" s="4520"/>
      <c r="J140" s="4520"/>
    </row>
    <row r="141" spans="1:10" x14ac:dyDescent="0.3">
      <c r="A141" s="6973" t="s">
        <v>2431</v>
      </c>
      <c r="B141" s="6979" t="s">
        <v>2358</v>
      </c>
      <c r="C141" s="6994" t="s">
        <v>2432</v>
      </c>
      <c r="D141" s="6994"/>
      <c r="E141" s="6994" t="s">
        <v>1349</v>
      </c>
      <c r="F141" s="6995"/>
      <c r="G141" s="6996" t="s">
        <v>2324</v>
      </c>
      <c r="H141" s="6954" t="s">
        <v>761</v>
      </c>
      <c r="I141" s="6997" t="s">
        <v>770</v>
      </c>
      <c r="J141" s="6992" t="s">
        <v>2323</v>
      </c>
    </row>
    <row r="142" spans="1:10" x14ac:dyDescent="0.3">
      <c r="A142" s="6973"/>
      <c r="B142" s="6979"/>
      <c r="C142" s="4561" t="s">
        <v>2433</v>
      </c>
      <c r="D142" s="4562" t="s">
        <v>59</v>
      </c>
      <c r="E142" s="4561" t="s">
        <v>2433</v>
      </c>
      <c r="F142" s="12" t="s">
        <v>59</v>
      </c>
      <c r="G142" s="6996"/>
      <c r="H142" s="6954"/>
      <c r="I142" s="6997"/>
      <c r="J142" s="6993"/>
    </row>
    <row r="143" spans="1:10" x14ac:dyDescent="0.3">
      <c r="A143" s="295" t="s">
        <v>2434</v>
      </c>
      <c r="B143" s="4563">
        <f>SUM(C143:F143)</f>
        <v>0</v>
      </c>
      <c r="C143" s="4564"/>
      <c r="D143" s="4565"/>
      <c r="E143" s="4564"/>
      <c r="F143" s="4566"/>
      <c r="G143" s="4415"/>
      <c r="H143" s="4567"/>
      <c r="I143" s="4568"/>
      <c r="J143" s="4569"/>
    </row>
    <row r="144" spans="1:10" x14ac:dyDescent="0.3">
      <c r="A144" s="1187" t="s">
        <v>2435</v>
      </c>
      <c r="B144" s="4563">
        <f t="shared" ref="B144:B151" si="21">SUM(C144:F144)</f>
        <v>0</v>
      </c>
      <c r="C144" s="4570"/>
      <c r="D144" s="4571"/>
      <c r="E144" s="4570"/>
      <c r="F144" s="4509"/>
      <c r="G144" s="4415"/>
      <c r="H144" s="4572"/>
      <c r="I144" s="4573"/>
      <c r="J144" s="4415"/>
    </row>
    <row r="145" spans="1:10" x14ac:dyDescent="0.3">
      <c r="A145" s="1187" t="s">
        <v>2436</v>
      </c>
      <c r="B145" s="4563">
        <f t="shared" si="21"/>
        <v>0</v>
      </c>
      <c r="C145" s="4570"/>
      <c r="D145" s="4571"/>
      <c r="E145" s="4570"/>
      <c r="F145" s="4509"/>
      <c r="G145" s="4415"/>
      <c r="H145" s="4572"/>
      <c r="I145" s="4574"/>
      <c r="J145" s="4569"/>
    </row>
    <row r="146" spans="1:10" x14ac:dyDescent="0.3">
      <c r="A146" s="1187" t="s">
        <v>2437</v>
      </c>
      <c r="B146" s="4563">
        <f t="shared" si="21"/>
        <v>0</v>
      </c>
      <c r="C146" s="4570"/>
      <c r="D146" s="4571"/>
      <c r="E146" s="4570"/>
      <c r="F146" s="4509"/>
      <c r="G146" s="4415"/>
      <c r="H146" s="4572"/>
      <c r="I146" s="4574"/>
      <c r="J146" s="4569"/>
    </row>
    <row r="147" spans="1:10" x14ac:dyDescent="0.3">
      <c r="A147" s="1187" t="s">
        <v>2438</v>
      </c>
      <c r="B147" s="4563">
        <f t="shared" si="21"/>
        <v>0</v>
      </c>
      <c r="C147" s="4570"/>
      <c r="D147" s="4571"/>
      <c r="E147" s="4570"/>
      <c r="F147" s="4509"/>
      <c r="G147" s="4415"/>
      <c r="H147" s="4572"/>
      <c r="I147" s="4574"/>
      <c r="J147" s="4569"/>
    </row>
    <row r="148" spans="1:10" x14ac:dyDescent="0.3">
      <c r="A148" s="1187" t="s">
        <v>2439</v>
      </c>
      <c r="B148" s="4563">
        <f t="shared" si="21"/>
        <v>0</v>
      </c>
      <c r="C148" s="4570"/>
      <c r="D148" s="4571"/>
      <c r="E148" s="4570"/>
      <c r="F148" s="4509"/>
      <c r="G148" s="4415"/>
      <c r="H148" s="4572"/>
      <c r="I148" s="4574"/>
      <c r="J148" s="4569"/>
    </row>
    <row r="149" spans="1:10" x14ac:dyDescent="0.3">
      <c r="A149" s="1187" t="s">
        <v>2440</v>
      </c>
      <c r="B149" s="4563">
        <f t="shared" si="21"/>
        <v>0</v>
      </c>
      <c r="C149" s="4570"/>
      <c r="D149" s="4571"/>
      <c r="E149" s="4570"/>
      <c r="F149" s="4509"/>
      <c r="G149" s="4415"/>
      <c r="H149" s="4572"/>
      <c r="I149" s="4574"/>
      <c r="J149" s="4569"/>
    </row>
    <row r="150" spans="1:10" x14ac:dyDescent="0.3">
      <c r="A150" s="1187" t="s">
        <v>2441</v>
      </c>
      <c r="B150" s="4563">
        <f t="shared" si="21"/>
        <v>0</v>
      </c>
      <c r="C150" s="4570"/>
      <c r="D150" s="4571"/>
      <c r="E150" s="4570"/>
      <c r="F150" s="4509"/>
      <c r="G150" s="4415"/>
      <c r="H150" s="4575"/>
      <c r="I150" s="4574"/>
      <c r="J150" s="4569"/>
    </row>
    <row r="151" spans="1:10" x14ac:dyDescent="0.3">
      <c r="A151" s="1187" t="s">
        <v>2442</v>
      </c>
      <c r="B151" s="4563">
        <f t="shared" si="21"/>
        <v>0</v>
      </c>
      <c r="C151" s="4570"/>
      <c r="D151" s="4571"/>
      <c r="E151" s="4570"/>
      <c r="F151" s="4509"/>
      <c r="G151" s="4415"/>
      <c r="H151" s="4575"/>
      <c r="I151" s="4574"/>
      <c r="J151" s="4569"/>
    </row>
    <row r="152" spans="1:10" x14ac:dyDescent="0.3">
      <c r="A152" s="4558" t="s">
        <v>77</v>
      </c>
      <c r="B152" s="4560">
        <f>SUM(B143:B151)</f>
        <v>0</v>
      </c>
      <c r="C152" s="4559">
        <f t="shared" ref="C152:H152" si="22">SUM(C143:C151)</f>
        <v>0</v>
      </c>
      <c r="D152" s="4560">
        <f t="shared" si="22"/>
        <v>0</v>
      </c>
      <c r="E152" s="4559">
        <f t="shared" si="22"/>
        <v>0</v>
      </c>
      <c r="F152" s="4576">
        <f t="shared" si="22"/>
        <v>0</v>
      </c>
      <c r="G152" s="4577">
        <f t="shared" si="22"/>
        <v>0</v>
      </c>
      <c r="H152" s="4578">
        <f t="shared" si="22"/>
        <v>0</v>
      </c>
      <c r="I152" s="4579">
        <f>I144</f>
        <v>0</v>
      </c>
      <c r="J152" s="4560">
        <f>J144</f>
        <v>0</v>
      </c>
    </row>
    <row r="204" spans="1:2" ht="15" hidden="1" customHeight="1" x14ac:dyDescent="0.3">
      <c r="A204" s="3114">
        <f>SUM(B13:F13,G13:J13,G14:G17,K13:AE13,K14:K17,P14:P17,U14:U17,Z14:Z17,AC14:AC17,B21:B25,C31:C37,B40:B48,B51:B53,B57:B59,F57:F59,B69:G69,B72:G76,C80:C84,B89:Q101,B106:B113,B118:B119,B123:H124,B127:I138,B143:B151)</f>
        <v>0</v>
      </c>
      <c r="B204" s="3115">
        <f>SUM(BC31:BN119)</f>
        <v>0</v>
      </c>
    </row>
  </sheetData>
  <sheetProtection algorithmName="SHA-512" hashValue="Iq5lM6ax2nPI5240732WvD8t5g3lJpN5DZaBGeWIeec+437Cq0C9fpsMfHqc2OilwaEipu2K8H9lfYN2s51d0Q==" saltValue="zNJbfOk6sHq2oUhlMhpSSw==" spinCount="100000" sheet="1" objects="1" scenarios="1"/>
  <mergeCells count="66">
    <mergeCell ref="Z9:AE9"/>
    <mergeCell ref="G10:J11"/>
    <mergeCell ref="K10:O11"/>
    <mergeCell ref="P10:T11"/>
    <mergeCell ref="U10:Y11"/>
    <mergeCell ref="Z10:AB11"/>
    <mergeCell ref="AC10:AE11"/>
    <mergeCell ref="A78:A79"/>
    <mergeCell ref="A6:J6"/>
    <mergeCell ref="A9:A12"/>
    <mergeCell ref="B9:B12"/>
    <mergeCell ref="C9:C12"/>
    <mergeCell ref="D9:D12"/>
    <mergeCell ref="E9:E12"/>
    <mergeCell ref="F9:F12"/>
    <mergeCell ref="G9:Y9"/>
    <mergeCell ref="C29:C30"/>
    <mergeCell ref="A31:B31"/>
    <mergeCell ref="A33:B33"/>
    <mergeCell ref="A34:B34"/>
    <mergeCell ref="A32:B32"/>
    <mergeCell ref="A29:B30"/>
    <mergeCell ref="N29:O29"/>
    <mergeCell ref="N86:Q86"/>
    <mergeCell ref="N87:O87"/>
    <mergeCell ref="P87:Q87"/>
    <mergeCell ref="J86:M86"/>
    <mergeCell ref="J87:K87"/>
    <mergeCell ref="L87:M87"/>
    <mergeCell ref="J141:J142"/>
    <mergeCell ref="A141:A142"/>
    <mergeCell ref="B141:B142"/>
    <mergeCell ref="C141:D141"/>
    <mergeCell ref="E141:F141"/>
    <mergeCell ref="G141:G142"/>
    <mergeCell ref="H141:H142"/>
    <mergeCell ref="I141:I142"/>
    <mergeCell ref="F116:G116"/>
    <mergeCell ref="F86:I86"/>
    <mergeCell ref="F87:G87"/>
    <mergeCell ref="H87:I87"/>
    <mergeCell ref="A103:G103"/>
    <mergeCell ref="A104:A105"/>
    <mergeCell ref="B104:G104"/>
    <mergeCell ref="A86:A88"/>
    <mergeCell ref="B86:C87"/>
    <mergeCell ref="D86:E87"/>
    <mergeCell ref="A116:A117"/>
    <mergeCell ref="B116:B117"/>
    <mergeCell ref="C116:E116"/>
    <mergeCell ref="H29:M29"/>
    <mergeCell ref="D29:G29"/>
    <mergeCell ref="F61:F62"/>
    <mergeCell ref="G61:G62"/>
    <mergeCell ref="A83:A84"/>
    <mergeCell ref="A77:E77"/>
    <mergeCell ref="A80:B80"/>
    <mergeCell ref="A81:A82"/>
    <mergeCell ref="A35:A36"/>
    <mergeCell ref="A37:B37"/>
    <mergeCell ref="B61:D61"/>
    <mergeCell ref="E61:E62"/>
    <mergeCell ref="D78:I78"/>
    <mergeCell ref="C78:C79"/>
    <mergeCell ref="B78:B79"/>
    <mergeCell ref="A61:A62"/>
  </mergeCells>
  <dataValidations count="9">
    <dataValidation type="whole" operator="greaterThanOrEqual" allowBlank="1" showInputMessage="1" showErrorMessage="1" sqref="C21:F25 B14:B17 E140:J140 C51:E54 B63:G68 C57:F59 B40:B48 C143:J151 D31:O37" xr:uid="{300E9C58-8FFA-4993-95DE-DC7295702BB8}">
      <formula1>0</formula1>
    </dataValidation>
    <dataValidation type="whole" allowBlank="1" showInputMessage="1" showErrorMessage="1" sqref="B56 C115:D115 A71:A76 E70:H70 B69:G71 C62:D62 A69 C60:D60 E61:F61 H72:I76" xr:uid="{BE2C6412-F33F-4326-8757-E386D733BE28}">
      <formula1>0</formula1>
      <formula2>1E+27</formula2>
    </dataValidation>
    <dataValidation type="whole" allowBlank="1" showInputMessage="1" showErrorMessage="1" sqref="D102:Q102" xr:uid="{E0F4B51C-3269-40E5-A82B-99596B8146FB}">
      <formula1>0</formula1>
      <formula2>10000000</formula2>
    </dataValidation>
    <dataValidation allowBlank="1" showInputMessage="1" showErrorMessage="1" error="Valor no Permitido" sqref="A118 A115:A116 B115:B119 C115:E115" xr:uid="{75790A7C-7F1E-4FD3-827C-DF2B42D57376}"/>
    <dataValidation type="decimal" operator="greaterThanOrEqual" allowBlank="1" showInputMessage="1" showErrorMessage="1" sqref="AD14:AE17 AA14:AB17 H14:J17 L14:O17 Q14:T17 V14:Y17 C14:F17 B122 B123:H124" xr:uid="{D0095CA6-AB27-4515-807D-B0BFE02E7EFD}">
      <formula1>0</formula1>
    </dataValidation>
    <dataValidation allowBlank="1" showInputMessage="1" showErrorMessage="1" sqref="A70" xr:uid="{BE85727B-6C18-401F-ABBD-B237D4DCEC92}"/>
    <dataValidation type="whole" allowBlank="1" showInputMessage="1" showErrorMessage="1" sqref="B127:I138" xr:uid="{16D2989F-800D-45DE-B57C-6C99FEA83F24}">
      <formula1>0</formula1>
      <formula2>9.99999999999999E+37</formula2>
    </dataValidation>
    <dataValidation type="whole" allowBlank="1" showInputMessage="1" showErrorMessage="1" sqref="B72:I76 D80:I84 B89:Q101" xr:uid="{52F6CFE9-57B7-4669-A2C1-D4A884C95898}">
      <formula1>0</formula1>
      <formula2>9.99999999999999E+34</formula2>
    </dataValidation>
    <dataValidation type="whole" allowBlank="1" showInputMessage="1" showErrorMessage="1" sqref="C106:G113 C118:G119" xr:uid="{1939E9F0-31E2-45A1-8691-C118E9C59514}">
      <formula1>0</formula1>
      <formula2>9.99999999999999E+35</formula2>
    </dataValidation>
  </dataValidation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CI215"/>
  <sheetViews>
    <sheetView showGridLines="0" zoomScaleNormal="100" workbookViewId="0"/>
  </sheetViews>
  <sheetFormatPr baseColWidth="10" defaultColWidth="11.44140625" defaultRowHeight="14.4" x14ac:dyDescent="0.3"/>
  <cols>
    <col min="1" max="1" width="56.109375" customWidth="1"/>
    <col min="2" max="2" width="32.6640625" customWidth="1"/>
    <col min="3" max="3" width="19.88671875" customWidth="1"/>
    <col min="4" max="4" width="15.6640625" customWidth="1"/>
    <col min="5" max="5" width="13.44140625" customWidth="1"/>
    <col min="38" max="38" width="11.88671875" customWidth="1"/>
    <col min="41" max="41" width="14.33203125" customWidth="1"/>
    <col min="76" max="78" width="0" hidden="1" customWidth="1"/>
    <col min="79" max="87" width="11.44140625" hidden="1" customWidth="1"/>
    <col min="88" max="89" width="0" hidden="1" customWidth="1"/>
  </cols>
  <sheetData>
    <row r="1" spans="1:86" x14ac:dyDescent="0.3">
      <c r="A1" s="50" t="s">
        <v>23</v>
      </c>
    </row>
    <row r="2" spans="1:86" x14ac:dyDescent="0.3">
      <c r="A2" s="50" t="str">
        <f>CONCATENATE("COMUNA: ",NOMBRE!B2, " (",NOMBRE!C2,NOMBRE!D2,NOMBRE!E2,NOMBRE!F2,NOMBRE!G2,")")</f>
        <v>COMUNA:  ()</v>
      </c>
    </row>
    <row r="3" spans="1:86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86" x14ac:dyDescent="0.3">
      <c r="A4" s="50" t="str">
        <f>CONCATENATE("MES: ",NOMBRE!B6, " (",NOMBRE!C6,NOMBRE!D6,")")</f>
        <v>MES:  ()</v>
      </c>
    </row>
    <row r="5" spans="1:86" x14ac:dyDescent="0.3">
      <c r="A5" s="50" t="str">
        <f>CONCATENATE("AÑO: ",NOMBRE!B7)</f>
        <v>AÑO: 2025</v>
      </c>
    </row>
    <row r="6" spans="1:86" ht="18" customHeight="1" x14ac:dyDescent="0.3">
      <c r="A6" s="5819" t="s">
        <v>2443</v>
      </c>
      <c r="B6" s="5819"/>
      <c r="C6" s="5819"/>
      <c r="D6" s="5819"/>
      <c r="E6" s="5819"/>
      <c r="F6" s="5819"/>
      <c r="G6" s="5819"/>
      <c r="H6" s="5819"/>
      <c r="I6" s="5819"/>
      <c r="J6" s="5819"/>
      <c r="K6" s="5819"/>
      <c r="L6" s="5819"/>
      <c r="M6" s="5819"/>
      <c r="N6" s="5819"/>
      <c r="O6" s="5819"/>
      <c r="P6" s="5819"/>
      <c r="Q6" s="5819"/>
      <c r="R6" s="5819"/>
      <c r="S6" s="5819"/>
      <c r="T6" s="5819"/>
      <c r="U6" s="5819"/>
      <c r="V6" s="5819"/>
    </row>
    <row r="7" spans="1:86" ht="15" customHeight="1" x14ac:dyDescent="0.3"/>
    <row r="8" spans="1:86" s="25" customFormat="1" ht="18" customHeight="1" x14ac:dyDescent="0.2">
      <c r="A8" s="1" t="s">
        <v>2444</v>
      </c>
      <c r="B8" s="8"/>
    </row>
    <row r="9" spans="1:86" s="19" customFormat="1" ht="15" customHeight="1" x14ac:dyDescent="0.2">
      <c r="A9" s="7022" t="s">
        <v>2445</v>
      </c>
      <c r="B9" s="7059" t="s">
        <v>77</v>
      </c>
      <c r="C9" s="6493"/>
      <c r="D9" s="7051"/>
      <c r="E9" s="7062" t="s">
        <v>101</v>
      </c>
      <c r="F9" s="7098"/>
      <c r="G9" s="7098"/>
      <c r="H9" s="7098"/>
      <c r="I9" s="7098"/>
      <c r="J9" s="7098"/>
      <c r="K9" s="7098"/>
      <c r="L9" s="7098"/>
      <c r="M9" s="7098"/>
      <c r="N9" s="7098"/>
      <c r="O9" s="7098"/>
      <c r="P9" s="7098"/>
      <c r="Q9" s="7098"/>
      <c r="R9" s="7098"/>
      <c r="S9" s="7098"/>
      <c r="T9" s="7098"/>
      <c r="U9" s="7098"/>
      <c r="V9" s="7098"/>
      <c r="W9" s="7098"/>
      <c r="X9" s="7098"/>
      <c r="Y9" s="7098"/>
      <c r="Z9" s="7098"/>
      <c r="AA9" s="7098"/>
      <c r="AB9" s="7098"/>
      <c r="AC9" s="7098"/>
      <c r="AD9" s="7098"/>
      <c r="AE9" s="7098"/>
      <c r="AF9" s="7098"/>
      <c r="AG9" s="7098"/>
      <c r="AH9" s="7098"/>
      <c r="AI9" s="7098"/>
      <c r="AJ9" s="7098"/>
      <c r="AK9" s="7098"/>
      <c r="AL9" s="7098"/>
      <c r="AM9" s="7098"/>
      <c r="AN9" s="7099"/>
      <c r="AO9" s="7038" t="s">
        <v>36</v>
      </c>
      <c r="AP9" s="7037" t="s">
        <v>37</v>
      </c>
      <c r="AQ9" s="6969" t="s">
        <v>473</v>
      </c>
    </row>
    <row r="10" spans="1:86" s="19" customFormat="1" ht="15" customHeight="1" x14ac:dyDescent="0.2">
      <c r="A10" s="6063"/>
      <c r="B10" s="6632"/>
      <c r="C10" s="6496"/>
      <c r="D10" s="7000"/>
      <c r="E10" s="7021" t="s">
        <v>4407</v>
      </c>
      <c r="F10" s="7022"/>
      <c r="G10" s="7031" t="s">
        <v>2446</v>
      </c>
      <c r="H10" s="7022"/>
      <c r="I10" s="7031" t="s">
        <v>2447</v>
      </c>
      <c r="J10" s="7022"/>
      <c r="K10" s="6242" t="s">
        <v>94</v>
      </c>
      <c r="L10" s="6223"/>
      <c r="M10" s="7021" t="s">
        <v>44</v>
      </c>
      <c r="N10" s="7022"/>
      <c r="O10" s="6242" t="s">
        <v>45</v>
      </c>
      <c r="P10" s="6223"/>
      <c r="Q10" s="7031" t="s">
        <v>46</v>
      </c>
      <c r="R10" s="7022"/>
      <c r="S10" s="7031" t="s">
        <v>47</v>
      </c>
      <c r="T10" s="7022"/>
      <c r="U10" s="7031" t="s">
        <v>48</v>
      </c>
      <c r="V10" s="7022"/>
      <c r="W10" s="6223" t="s">
        <v>49</v>
      </c>
      <c r="X10" s="6223"/>
      <c r="Y10" s="7031" t="s">
        <v>50</v>
      </c>
      <c r="Z10" s="7022"/>
      <c r="AA10" s="6223" t="s">
        <v>51</v>
      </c>
      <c r="AB10" s="6223"/>
      <c r="AC10" s="7031" t="s">
        <v>52</v>
      </c>
      <c r="AD10" s="7022"/>
      <c r="AE10" s="6223" t="s">
        <v>53</v>
      </c>
      <c r="AF10" s="6223"/>
      <c r="AG10" s="7031" t="s">
        <v>54</v>
      </c>
      <c r="AH10" s="7022"/>
      <c r="AI10" s="6223" t="s">
        <v>55</v>
      </c>
      <c r="AJ10" s="6223"/>
      <c r="AK10" s="7031" t="s">
        <v>56</v>
      </c>
      <c r="AL10" s="7022"/>
      <c r="AM10" s="6223" t="s">
        <v>57</v>
      </c>
      <c r="AN10" s="7035"/>
      <c r="AO10" s="5766"/>
      <c r="AP10" s="6118"/>
      <c r="AQ10" s="5759"/>
    </row>
    <row r="11" spans="1:86" s="19" customFormat="1" ht="15" customHeight="1" x14ac:dyDescent="0.2">
      <c r="A11" s="6645"/>
      <c r="B11" s="947" t="s">
        <v>79</v>
      </c>
      <c r="C11" s="132" t="s">
        <v>58</v>
      </c>
      <c r="D11" s="23" t="s">
        <v>59</v>
      </c>
      <c r="E11" s="947" t="s">
        <v>58</v>
      </c>
      <c r="F11" s="940" t="s">
        <v>59</v>
      </c>
      <c r="G11" s="947" t="s">
        <v>58</v>
      </c>
      <c r="H11" s="940" t="s">
        <v>59</v>
      </c>
      <c r="I11" s="947" t="s">
        <v>58</v>
      </c>
      <c r="J11" s="940" t="s">
        <v>59</v>
      </c>
      <c r="K11" s="948" t="s">
        <v>58</v>
      </c>
      <c r="L11" s="737" t="s">
        <v>59</v>
      </c>
      <c r="M11" s="947" t="s">
        <v>58</v>
      </c>
      <c r="N11" s="940" t="s">
        <v>59</v>
      </c>
      <c r="O11" s="948" t="s">
        <v>58</v>
      </c>
      <c r="P11" s="737" t="s">
        <v>59</v>
      </c>
      <c r="Q11" s="947" t="s">
        <v>58</v>
      </c>
      <c r="R11" s="940" t="s">
        <v>59</v>
      </c>
      <c r="S11" s="947" t="s">
        <v>58</v>
      </c>
      <c r="T11" s="940" t="s">
        <v>59</v>
      </c>
      <c r="U11" s="947" t="s">
        <v>58</v>
      </c>
      <c r="V11" s="940" t="s">
        <v>59</v>
      </c>
      <c r="W11" s="948" t="s">
        <v>58</v>
      </c>
      <c r="X11" s="737" t="s">
        <v>59</v>
      </c>
      <c r="Y11" s="947" t="s">
        <v>58</v>
      </c>
      <c r="Z11" s="940" t="s">
        <v>59</v>
      </c>
      <c r="AA11" s="948" t="s">
        <v>58</v>
      </c>
      <c r="AB11" s="737" t="s">
        <v>59</v>
      </c>
      <c r="AC11" s="947" t="s">
        <v>58</v>
      </c>
      <c r="AD11" s="940" t="s">
        <v>59</v>
      </c>
      <c r="AE11" s="948" t="s">
        <v>58</v>
      </c>
      <c r="AF11" s="737" t="s">
        <v>59</v>
      </c>
      <c r="AG11" s="947" t="s">
        <v>58</v>
      </c>
      <c r="AH11" s="940" t="s">
        <v>59</v>
      </c>
      <c r="AI11" s="948" t="s">
        <v>58</v>
      </c>
      <c r="AJ11" s="737" t="s">
        <v>59</v>
      </c>
      <c r="AK11" s="947" t="s">
        <v>58</v>
      </c>
      <c r="AL11" s="940" t="s">
        <v>59</v>
      </c>
      <c r="AM11" s="948" t="s">
        <v>58</v>
      </c>
      <c r="AN11" s="949" t="s">
        <v>59</v>
      </c>
      <c r="AO11" s="5767"/>
      <c r="AP11" s="5818"/>
      <c r="AQ11" s="6687"/>
    </row>
    <row r="12" spans="1:86" s="19" customFormat="1" ht="15" customHeight="1" x14ac:dyDescent="0.2">
      <c r="A12" s="950" t="s">
        <v>2448</v>
      </c>
      <c r="B12" s="951">
        <f>SUM(C12+D12)</f>
        <v>0</v>
      </c>
      <c r="C12" s="952">
        <f>SUM(E12+G12+I12+K12+M12+O12+Q12+S12+U12+W12+Y12+AA12+AC12+AE12+AG12+AI12+AK12+AM12)</f>
        <v>0</v>
      </c>
      <c r="D12" s="953">
        <f>SUM(F12+H12+J12+L12+N12+P12+R12+T12+V12+X12+Z12+AB12+AD12+AF12+AH12+AJ12+AL12+AN12)</f>
        <v>0</v>
      </c>
      <c r="E12" s="954"/>
      <c r="F12" s="955"/>
      <c r="G12" s="954"/>
      <c r="H12" s="890"/>
      <c r="I12" s="954"/>
      <c r="J12" s="890"/>
      <c r="K12" s="956"/>
      <c r="L12" s="957"/>
      <c r="M12" s="954"/>
      <c r="N12" s="890"/>
      <c r="O12" s="956"/>
      <c r="P12" s="957"/>
      <c r="Q12" s="954"/>
      <c r="R12" s="890"/>
      <c r="S12" s="954"/>
      <c r="T12" s="890"/>
      <c r="U12" s="954"/>
      <c r="V12" s="890"/>
      <c r="W12" s="956"/>
      <c r="X12" s="957"/>
      <c r="Y12" s="954"/>
      <c r="Z12" s="890"/>
      <c r="AA12" s="956"/>
      <c r="AB12" s="957"/>
      <c r="AC12" s="954"/>
      <c r="AD12" s="890"/>
      <c r="AE12" s="956"/>
      <c r="AF12" s="957"/>
      <c r="AG12" s="954"/>
      <c r="AH12" s="890"/>
      <c r="AI12" s="956"/>
      <c r="AJ12" s="957"/>
      <c r="AK12" s="954"/>
      <c r="AL12" s="890"/>
      <c r="AM12" s="958"/>
      <c r="AN12" s="892"/>
      <c r="AO12" s="959"/>
      <c r="AP12" s="960"/>
      <c r="AQ12" s="955"/>
      <c r="AR12" s="19" t="str">
        <f>CA12&amp;CB12&amp;CC12</f>
        <v/>
      </c>
      <c r="CA12" s="135" t="str">
        <f t="shared" ref="CA12:CA22" si="0">IF(AND(B12&gt;0,AO12="")," * No olvide digitar la variable Pueblos Originarios. Digite Cero si no tiene.",IF(AO12&gt;B12," * La variable Pueblos Originarios no puede ser mayor al Total Ambos Sexos.",""))</f>
        <v/>
      </c>
      <c r="CB12" s="135" t="str">
        <f t="shared" ref="CB12:CB22" si="1">IF(AND(B12&gt;0,AP12="")," * No olvide digitar la variable Migrantes. Digite Cero si no tiene.",IF(AP12&gt;B12," * La variable Migrantes no puede ser mayor al Total Ambos Sexos.",""))</f>
        <v/>
      </c>
      <c r="CC12" s="135" t="str">
        <f t="shared" ref="CC12:CC22" si="2">IF(AND(B12&gt;0,AQ12="")," * No olvide digitar la variable Por Campaña de Invierno. Digite Cero si no tiene.",IF(AQ12&gt;B12," * La variable Por Campaña de Invierno no puede ser mayor al Total Ambos Sexos.",""))</f>
        <v/>
      </c>
      <c r="CF12" s="84">
        <f t="shared" ref="CF12:CF22" si="3">IF(AND(B12&gt;0,AO12=""),1,IF(AO12&gt;B12,1,0))</f>
        <v>0</v>
      </c>
      <c r="CG12" s="84">
        <f t="shared" ref="CG12:CG22" si="4">IF(AND(B12&gt;0,AP12=""),1,IF(AP12&gt;B12,1,0))</f>
        <v>0</v>
      </c>
      <c r="CH12" s="84">
        <f t="shared" ref="CH12:CH22" si="5">IF(AND(B12&gt;0,AQ12=""),1,IF(AQ12&gt;B12,1,0))</f>
        <v>0</v>
      </c>
    </row>
    <row r="13" spans="1:86" s="19" customFormat="1" ht="15" customHeight="1" x14ac:dyDescent="0.2">
      <c r="A13" s="961" t="s">
        <v>2449</v>
      </c>
      <c r="B13" s="962">
        <f t="shared" ref="B13:B22" si="6">SUM(C13+D13)</f>
        <v>0</v>
      </c>
      <c r="C13" s="963">
        <f t="shared" ref="C13:C22" si="7">SUM(E13+G13+I13+K13+M13+O13+Q13+S13+U13+W13+Y13+AA13+AC13+AE13+AG13+AI13+AK13+AM13)</f>
        <v>0</v>
      </c>
      <c r="D13" s="964">
        <f t="shared" ref="D13:D22" si="8">SUM(F13+H13+J13+L13+N13+P13+R13+T13+V13+X13+Z13+AB13+AD13+AF13+AH13+AJ13+AL13+AN13)</f>
        <v>0</v>
      </c>
      <c r="E13" s="965"/>
      <c r="F13" s="966"/>
      <c r="G13" s="965"/>
      <c r="H13" s="967"/>
      <c r="I13" s="965"/>
      <c r="J13" s="967"/>
      <c r="K13" s="968"/>
      <c r="L13" s="969"/>
      <c r="M13" s="965"/>
      <c r="N13" s="967"/>
      <c r="O13" s="968"/>
      <c r="P13" s="969"/>
      <c r="Q13" s="965"/>
      <c r="R13" s="967"/>
      <c r="S13" s="965"/>
      <c r="T13" s="967"/>
      <c r="U13" s="965"/>
      <c r="V13" s="967"/>
      <c r="W13" s="968"/>
      <c r="X13" s="969"/>
      <c r="Y13" s="965"/>
      <c r="Z13" s="967"/>
      <c r="AA13" s="968"/>
      <c r="AB13" s="969"/>
      <c r="AC13" s="965"/>
      <c r="AD13" s="967"/>
      <c r="AE13" s="968"/>
      <c r="AF13" s="969"/>
      <c r="AG13" s="965"/>
      <c r="AH13" s="967"/>
      <c r="AI13" s="968"/>
      <c r="AJ13" s="969"/>
      <c r="AK13" s="965"/>
      <c r="AL13" s="967"/>
      <c r="AM13" s="970"/>
      <c r="AN13" s="971"/>
      <c r="AO13" s="972"/>
      <c r="AP13" s="973"/>
      <c r="AQ13" s="966"/>
      <c r="AR13" s="19" t="str">
        <f t="shared" ref="AR13:AR22" si="9">CA13&amp;CB13&amp;CC13</f>
        <v/>
      </c>
      <c r="CA13" s="135" t="str">
        <f t="shared" si="0"/>
        <v/>
      </c>
      <c r="CB13" s="135" t="str">
        <f t="shared" si="1"/>
        <v/>
      </c>
      <c r="CC13" s="135" t="str">
        <f t="shared" si="2"/>
        <v/>
      </c>
      <c r="CF13" s="84">
        <f t="shared" si="3"/>
        <v>0</v>
      </c>
      <c r="CG13" s="84">
        <f t="shared" si="4"/>
        <v>0</v>
      </c>
      <c r="CH13" s="84">
        <f t="shared" si="5"/>
        <v>0</v>
      </c>
    </row>
    <row r="14" spans="1:86" s="19" customFormat="1" ht="15" customHeight="1" x14ac:dyDescent="0.2">
      <c r="A14" s="961" t="s">
        <v>479</v>
      </c>
      <c r="B14" s="962">
        <f t="shared" si="6"/>
        <v>0</v>
      </c>
      <c r="C14" s="963">
        <f t="shared" si="7"/>
        <v>0</v>
      </c>
      <c r="D14" s="964">
        <f t="shared" si="8"/>
        <v>0</v>
      </c>
      <c r="E14" s="965"/>
      <c r="F14" s="966"/>
      <c r="G14" s="965"/>
      <c r="H14" s="967"/>
      <c r="I14" s="965"/>
      <c r="J14" s="967"/>
      <c r="K14" s="968"/>
      <c r="L14" s="969"/>
      <c r="M14" s="965"/>
      <c r="N14" s="967"/>
      <c r="O14" s="968"/>
      <c r="P14" s="969"/>
      <c r="Q14" s="965"/>
      <c r="R14" s="967"/>
      <c r="S14" s="965"/>
      <c r="T14" s="967"/>
      <c r="U14" s="965"/>
      <c r="V14" s="967"/>
      <c r="W14" s="968"/>
      <c r="X14" s="969"/>
      <c r="Y14" s="965"/>
      <c r="Z14" s="967"/>
      <c r="AA14" s="968"/>
      <c r="AB14" s="969"/>
      <c r="AC14" s="965"/>
      <c r="AD14" s="967"/>
      <c r="AE14" s="968"/>
      <c r="AF14" s="969"/>
      <c r="AG14" s="965"/>
      <c r="AH14" s="967"/>
      <c r="AI14" s="968"/>
      <c r="AJ14" s="969"/>
      <c r="AK14" s="965"/>
      <c r="AL14" s="967"/>
      <c r="AM14" s="970"/>
      <c r="AN14" s="971"/>
      <c r="AO14" s="972"/>
      <c r="AP14" s="973"/>
      <c r="AQ14" s="966"/>
      <c r="AR14" s="19" t="str">
        <f t="shared" si="9"/>
        <v/>
      </c>
      <c r="CA14" s="135" t="str">
        <f t="shared" si="0"/>
        <v/>
      </c>
      <c r="CB14" s="135" t="str">
        <f t="shared" si="1"/>
        <v/>
      </c>
      <c r="CC14" s="135" t="str">
        <f t="shared" si="2"/>
        <v/>
      </c>
      <c r="CF14" s="84">
        <f t="shared" si="3"/>
        <v>0</v>
      </c>
      <c r="CG14" s="84">
        <f t="shared" si="4"/>
        <v>0</v>
      </c>
      <c r="CH14" s="84">
        <f t="shared" si="5"/>
        <v>0</v>
      </c>
    </row>
    <row r="15" spans="1:86" s="19" customFormat="1" ht="15" customHeight="1" x14ac:dyDescent="0.2">
      <c r="A15" s="961" t="s">
        <v>2450</v>
      </c>
      <c r="B15" s="962">
        <f t="shared" si="6"/>
        <v>0</v>
      </c>
      <c r="C15" s="963">
        <f t="shared" si="7"/>
        <v>0</v>
      </c>
      <c r="D15" s="964">
        <f t="shared" si="8"/>
        <v>0</v>
      </c>
      <c r="E15" s="965"/>
      <c r="F15" s="966"/>
      <c r="G15" s="965"/>
      <c r="H15" s="967"/>
      <c r="I15" s="965"/>
      <c r="J15" s="967"/>
      <c r="K15" s="968"/>
      <c r="L15" s="969"/>
      <c r="M15" s="965"/>
      <c r="N15" s="967"/>
      <c r="O15" s="968"/>
      <c r="P15" s="969"/>
      <c r="Q15" s="965"/>
      <c r="R15" s="967"/>
      <c r="S15" s="965"/>
      <c r="T15" s="967"/>
      <c r="U15" s="965"/>
      <c r="V15" s="967"/>
      <c r="W15" s="968"/>
      <c r="X15" s="969"/>
      <c r="Y15" s="965"/>
      <c r="Z15" s="967"/>
      <c r="AA15" s="968"/>
      <c r="AB15" s="969"/>
      <c r="AC15" s="965"/>
      <c r="AD15" s="967"/>
      <c r="AE15" s="968"/>
      <c r="AF15" s="969"/>
      <c r="AG15" s="965"/>
      <c r="AH15" s="967"/>
      <c r="AI15" s="968"/>
      <c r="AJ15" s="969"/>
      <c r="AK15" s="965"/>
      <c r="AL15" s="967"/>
      <c r="AM15" s="970"/>
      <c r="AN15" s="971"/>
      <c r="AO15" s="972"/>
      <c r="AP15" s="973"/>
      <c r="AQ15" s="966"/>
      <c r="AR15" s="19" t="str">
        <f t="shared" si="9"/>
        <v/>
      </c>
      <c r="CA15" s="135" t="str">
        <f t="shared" si="0"/>
        <v/>
      </c>
      <c r="CB15" s="135" t="str">
        <f t="shared" si="1"/>
        <v/>
      </c>
      <c r="CC15" s="135" t="str">
        <f t="shared" si="2"/>
        <v/>
      </c>
      <c r="CF15" s="84">
        <f t="shared" si="3"/>
        <v>0</v>
      </c>
      <c r="CG15" s="84">
        <f t="shared" si="4"/>
        <v>0</v>
      </c>
      <c r="CH15" s="84">
        <f t="shared" si="5"/>
        <v>0</v>
      </c>
    </row>
    <row r="16" spans="1:86" s="19" customFormat="1" ht="15" customHeight="1" x14ac:dyDescent="0.2">
      <c r="A16" s="974" t="s">
        <v>2451</v>
      </c>
      <c r="B16" s="975">
        <f t="shared" si="6"/>
        <v>0</v>
      </c>
      <c r="C16" s="976">
        <f t="shared" si="7"/>
        <v>0</v>
      </c>
      <c r="D16" s="964">
        <f t="shared" si="8"/>
        <v>0</v>
      </c>
      <c r="E16" s="965"/>
      <c r="F16" s="966"/>
      <c r="G16" s="965"/>
      <c r="H16" s="967"/>
      <c r="I16" s="965"/>
      <c r="J16" s="967"/>
      <c r="K16" s="968"/>
      <c r="L16" s="969"/>
      <c r="M16" s="965"/>
      <c r="N16" s="967"/>
      <c r="O16" s="968"/>
      <c r="P16" s="969"/>
      <c r="Q16" s="965"/>
      <c r="R16" s="967"/>
      <c r="S16" s="965"/>
      <c r="T16" s="967"/>
      <c r="U16" s="965"/>
      <c r="V16" s="967"/>
      <c r="W16" s="968"/>
      <c r="X16" s="969"/>
      <c r="Y16" s="965"/>
      <c r="Z16" s="967"/>
      <c r="AA16" s="968"/>
      <c r="AB16" s="969"/>
      <c r="AC16" s="965"/>
      <c r="AD16" s="967"/>
      <c r="AE16" s="968"/>
      <c r="AF16" s="969"/>
      <c r="AG16" s="965"/>
      <c r="AH16" s="967"/>
      <c r="AI16" s="968"/>
      <c r="AJ16" s="969"/>
      <c r="AK16" s="965"/>
      <c r="AL16" s="967"/>
      <c r="AM16" s="970"/>
      <c r="AN16" s="971"/>
      <c r="AO16" s="972"/>
      <c r="AP16" s="973"/>
      <c r="AQ16" s="966"/>
      <c r="AR16" s="19" t="str">
        <f t="shared" si="9"/>
        <v/>
      </c>
      <c r="CA16" s="135" t="str">
        <f t="shared" si="0"/>
        <v/>
      </c>
      <c r="CB16" s="135" t="str">
        <f t="shared" si="1"/>
        <v/>
      </c>
      <c r="CC16" s="135" t="str">
        <f t="shared" si="2"/>
        <v/>
      </c>
      <c r="CF16" s="84">
        <f t="shared" si="3"/>
        <v>0</v>
      </c>
      <c r="CG16" s="84">
        <f t="shared" si="4"/>
        <v>0</v>
      </c>
      <c r="CH16" s="84">
        <f t="shared" si="5"/>
        <v>0</v>
      </c>
    </row>
    <row r="17" spans="1:86" s="19" customFormat="1" ht="15" customHeight="1" x14ac:dyDescent="0.2">
      <c r="A17" s="977" t="s">
        <v>2452</v>
      </c>
      <c r="B17" s="962">
        <f t="shared" si="6"/>
        <v>0</v>
      </c>
      <c r="C17" s="963">
        <f t="shared" si="7"/>
        <v>0</v>
      </c>
      <c r="D17" s="964">
        <f t="shared" si="8"/>
        <v>0</v>
      </c>
      <c r="E17" s="965"/>
      <c r="F17" s="966"/>
      <c r="G17" s="965"/>
      <c r="H17" s="967"/>
      <c r="I17" s="965"/>
      <c r="J17" s="967"/>
      <c r="K17" s="968"/>
      <c r="L17" s="969"/>
      <c r="M17" s="965"/>
      <c r="N17" s="967"/>
      <c r="O17" s="968"/>
      <c r="P17" s="969"/>
      <c r="Q17" s="965"/>
      <c r="R17" s="967"/>
      <c r="S17" s="965"/>
      <c r="T17" s="967"/>
      <c r="U17" s="965"/>
      <c r="V17" s="967"/>
      <c r="W17" s="968"/>
      <c r="X17" s="969"/>
      <c r="Y17" s="965"/>
      <c r="Z17" s="967"/>
      <c r="AA17" s="968"/>
      <c r="AB17" s="969"/>
      <c r="AC17" s="965"/>
      <c r="AD17" s="967"/>
      <c r="AE17" s="968"/>
      <c r="AF17" s="969"/>
      <c r="AG17" s="965"/>
      <c r="AH17" s="967"/>
      <c r="AI17" s="968"/>
      <c r="AJ17" s="969"/>
      <c r="AK17" s="965"/>
      <c r="AL17" s="967"/>
      <c r="AM17" s="970"/>
      <c r="AN17" s="971"/>
      <c r="AO17" s="972"/>
      <c r="AP17" s="973"/>
      <c r="AQ17" s="966"/>
      <c r="AR17" s="19" t="str">
        <f t="shared" si="9"/>
        <v/>
      </c>
      <c r="CA17" s="135" t="str">
        <f t="shared" si="0"/>
        <v/>
      </c>
      <c r="CB17" s="135" t="str">
        <f t="shared" si="1"/>
        <v/>
      </c>
      <c r="CC17" s="135" t="str">
        <f t="shared" si="2"/>
        <v/>
      </c>
      <c r="CF17" s="84">
        <f t="shared" si="3"/>
        <v>0</v>
      </c>
      <c r="CG17" s="84">
        <f t="shared" si="4"/>
        <v>0</v>
      </c>
      <c r="CH17" s="84">
        <f t="shared" si="5"/>
        <v>0</v>
      </c>
    </row>
    <row r="18" spans="1:86" s="19" customFormat="1" ht="15" customHeight="1" x14ac:dyDescent="0.2">
      <c r="A18" s="978" t="s">
        <v>2453</v>
      </c>
      <c r="B18" s="975">
        <f t="shared" si="6"/>
        <v>0</v>
      </c>
      <c r="C18" s="976">
        <f>SUM(E18+G18)</f>
        <v>0</v>
      </c>
      <c r="D18" s="964">
        <f>SUM(F18+H18)</f>
        <v>0</v>
      </c>
      <c r="E18" s="965"/>
      <c r="F18" s="966"/>
      <c r="G18" s="965"/>
      <c r="H18" s="967"/>
      <c r="I18" s="979"/>
      <c r="J18" s="980"/>
      <c r="K18" s="981"/>
      <c r="L18" s="982"/>
      <c r="M18" s="979"/>
      <c r="N18" s="980"/>
      <c r="O18" s="981"/>
      <c r="P18" s="982"/>
      <c r="Q18" s="979"/>
      <c r="R18" s="980"/>
      <c r="S18" s="979"/>
      <c r="T18" s="980"/>
      <c r="U18" s="979"/>
      <c r="V18" s="980"/>
      <c r="W18" s="981"/>
      <c r="X18" s="982"/>
      <c r="Y18" s="979"/>
      <c r="Z18" s="980"/>
      <c r="AA18" s="981"/>
      <c r="AB18" s="982"/>
      <c r="AC18" s="979"/>
      <c r="AD18" s="980"/>
      <c r="AE18" s="981"/>
      <c r="AF18" s="982"/>
      <c r="AG18" s="979"/>
      <c r="AH18" s="980"/>
      <c r="AI18" s="981"/>
      <c r="AJ18" s="982"/>
      <c r="AK18" s="979"/>
      <c r="AL18" s="980"/>
      <c r="AM18" s="983"/>
      <c r="AN18" s="984"/>
      <c r="AO18" s="972"/>
      <c r="AP18" s="973"/>
      <c r="AQ18" s="966"/>
      <c r="AR18" s="19" t="str">
        <f t="shared" si="9"/>
        <v/>
      </c>
      <c r="CA18" s="135" t="str">
        <f t="shared" si="0"/>
        <v/>
      </c>
      <c r="CB18" s="135" t="str">
        <f t="shared" si="1"/>
        <v/>
      </c>
      <c r="CC18" s="135" t="str">
        <f t="shared" si="2"/>
        <v/>
      </c>
      <c r="CF18" s="84">
        <f t="shared" si="3"/>
        <v>0</v>
      </c>
      <c r="CG18" s="84">
        <f t="shared" si="4"/>
        <v>0</v>
      </c>
      <c r="CH18" s="84">
        <f t="shared" si="5"/>
        <v>0</v>
      </c>
    </row>
    <row r="19" spans="1:86" s="19" customFormat="1" ht="15" customHeight="1" x14ac:dyDescent="0.2">
      <c r="A19" s="977" t="s">
        <v>2454</v>
      </c>
      <c r="B19" s="962">
        <f t="shared" si="6"/>
        <v>0</v>
      </c>
      <c r="C19" s="963">
        <f>SUM(G19+I19+K19+M19+O19+Q19+S19+U19+W19+Y19+AA19+AC19+AE19+AG19+AI19+AK19+AM19)</f>
        <v>0</v>
      </c>
      <c r="D19" s="964">
        <f>SUM(H19+J19+L19+N19+P19+R19+T19+V19+X19+Z19+AB19+AD19+AF19+AH19+AJ19+AL19+AN19)</f>
        <v>0</v>
      </c>
      <c r="E19" s="979"/>
      <c r="F19" s="985"/>
      <c r="G19" s="965"/>
      <c r="H19" s="967"/>
      <c r="I19" s="965"/>
      <c r="J19" s="967"/>
      <c r="K19" s="968"/>
      <c r="L19" s="969"/>
      <c r="M19" s="965"/>
      <c r="N19" s="967"/>
      <c r="O19" s="968"/>
      <c r="P19" s="969"/>
      <c r="Q19" s="965"/>
      <c r="R19" s="967"/>
      <c r="S19" s="965"/>
      <c r="T19" s="967"/>
      <c r="U19" s="965"/>
      <c r="V19" s="967"/>
      <c r="W19" s="968"/>
      <c r="X19" s="969"/>
      <c r="Y19" s="965"/>
      <c r="Z19" s="967"/>
      <c r="AA19" s="968"/>
      <c r="AB19" s="969"/>
      <c r="AC19" s="965"/>
      <c r="AD19" s="967"/>
      <c r="AE19" s="968"/>
      <c r="AF19" s="969"/>
      <c r="AG19" s="965"/>
      <c r="AH19" s="967"/>
      <c r="AI19" s="968"/>
      <c r="AJ19" s="969"/>
      <c r="AK19" s="965"/>
      <c r="AL19" s="967"/>
      <c r="AM19" s="970"/>
      <c r="AN19" s="971"/>
      <c r="AO19" s="972"/>
      <c r="AP19" s="973"/>
      <c r="AQ19" s="966"/>
      <c r="AR19" s="19" t="str">
        <f t="shared" si="9"/>
        <v/>
      </c>
      <c r="CA19" s="135" t="str">
        <f t="shared" si="0"/>
        <v/>
      </c>
      <c r="CB19" s="135" t="str">
        <f t="shared" si="1"/>
        <v/>
      </c>
      <c r="CC19" s="135" t="str">
        <f t="shared" si="2"/>
        <v/>
      </c>
      <c r="CF19" s="84">
        <f t="shared" si="3"/>
        <v>0</v>
      </c>
      <c r="CG19" s="84">
        <f t="shared" si="4"/>
        <v>0</v>
      </c>
      <c r="CH19" s="84">
        <f t="shared" si="5"/>
        <v>0</v>
      </c>
    </row>
    <row r="20" spans="1:86" s="19" customFormat="1" ht="15" customHeight="1" x14ac:dyDescent="0.2">
      <c r="A20" s="978" t="s">
        <v>2455</v>
      </c>
      <c r="B20" s="975">
        <f t="shared" si="6"/>
        <v>0</v>
      </c>
      <c r="C20" s="976">
        <f>SUM(W20+Y20+AA20+AC20+AE20+AG20+AI20+AK20+AM20)</f>
        <v>0</v>
      </c>
      <c r="D20" s="964">
        <f>SUM(X20+Z20+AB20+AD20+AF20+AH20+AJ20+AL20+AN20)</f>
        <v>0</v>
      </c>
      <c r="E20" s="979"/>
      <c r="F20" s="985"/>
      <c r="G20" s="979"/>
      <c r="H20" s="980"/>
      <c r="I20" s="979"/>
      <c r="J20" s="980"/>
      <c r="K20" s="981"/>
      <c r="L20" s="982"/>
      <c r="M20" s="979"/>
      <c r="N20" s="980"/>
      <c r="O20" s="981"/>
      <c r="P20" s="982"/>
      <c r="Q20" s="979"/>
      <c r="R20" s="980"/>
      <c r="S20" s="979"/>
      <c r="T20" s="980"/>
      <c r="U20" s="979"/>
      <c r="V20" s="980"/>
      <c r="W20" s="968"/>
      <c r="X20" s="969"/>
      <c r="Y20" s="965"/>
      <c r="Z20" s="967"/>
      <c r="AA20" s="968"/>
      <c r="AB20" s="969"/>
      <c r="AC20" s="965"/>
      <c r="AD20" s="967"/>
      <c r="AE20" s="968"/>
      <c r="AF20" s="969"/>
      <c r="AG20" s="965"/>
      <c r="AH20" s="967"/>
      <c r="AI20" s="968"/>
      <c r="AJ20" s="969"/>
      <c r="AK20" s="965"/>
      <c r="AL20" s="967"/>
      <c r="AM20" s="970"/>
      <c r="AN20" s="971"/>
      <c r="AO20" s="972"/>
      <c r="AP20" s="973"/>
      <c r="AQ20" s="966"/>
      <c r="AR20" s="19" t="str">
        <f t="shared" si="9"/>
        <v/>
      </c>
      <c r="CA20" s="135" t="str">
        <f t="shared" si="0"/>
        <v/>
      </c>
      <c r="CB20" s="135" t="str">
        <f t="shared" si="1"/>
        <v/>
      </c>
      <c r="CC20" s="135" t="str">
        <f t="shared" si="2"/>
        <v/>
      </c>
      <c r="CF20" s="84">
        <f t="shared" si="3"/>
        <v>0</v>
      </c>
      <c r="CG20" s="84">
        <f t="shared" si="4"/>
        <v>0</v>
      </c>
      <c r="CH20" s="84">
        <f t="shared" si="5"/>
        <v>0</v>
      </c>
    </row>
    <row r="21" spans="1:86" s="19" customFormat="1" ht="15" customHeight="1" x14ac:dyDescent="0.2">
      <c r="A21" s="977" t="s">
        <v>2456</v>
      </c>
      <c r="B21" s="962">
        <f t="shared" si="6"/>
        <v>0</v>
      </c>
      <c r="C21" s="963">
        <f t="shared" si="7"/>
        <v>0</v>
      </c>
      <c r="D21" s="964">
        <f t="shared" si="8"/>
        <v>0</v>
      </c>
      <c r="E21" s="965"/>
      <c r="F21" s="966"/>
      <c r="G21" s="965"/>
      <c r="H21" s="967"/>
      <c r="I21" s="965"/>
      <c r="J21" s="967"/>
      <c r="K21" s="968"/>
      <c r="L21" s="969"/>
      <c r="M21" s="965"/>
      <c r="N21" s="967"/>
      <c r="O21" s="968"/>
      <c r="P21" s="969"/>
      <c r="Q21" s="965"/>
      <c r="R21" s="967"/>
      <c r="S21" s="965"/>
      <c r="T21" s="967"/>
      <c r="U21" s="965"/>
      <c r="V21" s="967"/>
      <c r="W21" s="968"/>
      <c r="X21" s="969"/>
      <c r="Y21" s="965"/>
      <c r="Z21" s="967"/>
      <c r="AA21" s="968"/>
      <c r="AB21" s="969"/>
      <c r="AC21" s="965"/>
      <c r="AD21" s="967"/>
      <c r="AE21" s="968"/>
      <c r="AF21" s="969"/>
      <c r="AG21" s="965"/>
      <c r="AH21" s="967"/>
      <c r="AI21" s="968"/>
      <c r="AJ21" s="969"/>
      <c r="AK21" s="965"/>
      <c r="AL21" s="967"/>
      <c r="AM21" s="970"/>
      <c r="AN21" s="971"/>
      <c r="AO21" s="972"/>
      <c r="AP21" s="973"/>
      <c r="AQ21" s="966"/>
      <c r="AR21" s="19" t="str">
        <f t="shared" si="9"/>
        <v/>
      </c>
      <c r="CA21" s="135" t="str">
        <f t="shared" si="0"/>
        <v/>
      </c>
      <c r="CB21" s="135" t="str">
        <f t="shared" si="1"/>
        <v/>
      </c>
      <c r="CC21" s="135" t="str">
        <f t="shared" si="2"/>
        <v/>
      </c>
      <c r="CF21" s="84">
        <f t="shared" si="3"/>
        <v>0</v>
      </c>
      <c r="CG21" s="84">
        <f t="shared" si="4"/>
        <v>0</v>
      </c>
      <c r="CH21" s="84">
        <f t="shared" si="5"/>
        <v>0</v>
      </c>
    </row>
    <row r="22" spans="1:86" s="19" customFormat="1" ht="15" customHeight="1" x14ac:dyDescent="0.2">
      <c r="A22" s="986" t="s">
        <v>2457</v>
      </c>
      <c r="B22" s="987">
        <f t="shared" si="6"/>
        <v>0</v>
      </c>
      <c r="C22" s="988">
        <f t="shared" si="7"/>
        <v>0</v>
      </c>
      <c r="D22" s="414">
        <f t="shared" si="8"/>
        <v>0</v>
      </c>
      <c r="E22" s="989"/>
      <c r="F22" s="877"/>
      <c r="G22" s="989"/>
      <c r="H22" s="990"/>
      <c r="I22" s="989"/>
      <c r="J22" s="990"/>
      <c r="K22" s="991"/>
      <c r="L22" s="992"/>
      <c r="M22" s="989"/>
      <c r="N22" s="990"/>
      <c r="O22" s="991"/>
      <c r="P22" s="992"/>
      <c r="Q22" s="989"/>
      <c r="R22" s="990"/>
      <c r="S22" s="989"/>
      <c r="T22" s="990"/>
      <c r="U22" s="989"/>
      <c r="V22" s="990"/>
      <c r="W22" s="991"/>
      <c r="X22" s="992"/>
      <c r="Y22" s="989"/>
      <c r="Z22" s="990"/>
      <c r="AA22" s="991"/>
      <c r="AB22" s="992"/>
      <c r="AC22" s="989"/>
      <c r="AD22" s="990"/>
      <c r="AE22" s="991"/>
      <c r="AF22" s="992"/>
      <c r="AG22" s="989"/>
      <c r="AH22" s="990"/>
      <c r="AI22" s="991"/>
      <c r="AJ22" s="992"/>
      <c r="AK22" s="989"/>
      <c r="AL22" s="990"/>
      <c r="AM22" s="993"/>
      <c r="AN22" s="994"/>
      <c r="AO22" s="972"/>
      <c r="AP22" s="973"/>
      <c r="AQ22" s="966"/>
      <c r="AR22" s="19" t="str">
        <f t="shared" si="9"/>
        <v/>
      </c>
      <c r="CA22" s="135" t="str">
        <f t="shared" si="0"/>
        <v/>
      </c>
      <c r="CB22" s="135" t="str">
        <f t="shared" si="1"/>
        <v/>
      </c>
      <c r="CC22" s="135" t="str">
        <f t="shared" si="2"/>
        <v/>
      </c>
      <c r="CF22" s="84">
        <f t="shared" si="3"/>
        <v>0</v>
      </c>
      <c r="CG22" s="84">
        <f t="shared" si="4"/>
        <v>0</v>
      </c>
      <c r="CH22" s="84">
        <f t="shared" si="5"/>
        <v>0</v>
      </c>
    </row>
    <row r="23" spans="1:86" ht="15" customHeight="1" x14ac:dyDescent="0.3">
      <c r="A23" s="888" t="s">
        <v>77</v>
      </c>
      <c r="B23" s="995">
        <f>SUM(B12:B22)</f>
        <v>0</v>
      </c>
      <c r="C23" s="996">
        <f>SUM(C12:C22)</f>
        <v>0</v>
      </c>
      <c r="D23" s="997">
        <f>SUM(D12:D22)</f>
        <v>0</v>
      </c>
      <c r="E23" s="998">
        <f>SUM(E12:E22)</f>
        <v>0</v>
      </c>
      <c r="F23" s="999">
        <f t="shared" ref="F23:AQ23" si="10">SUM(F12:F22)</f>
        <v>0</v>
      </c>
      <c r="G23" s="998">
        <f t="shared" si="10"/>
        <v>0</v>
      </c>
      <c r="H23" s="1000">
        <f t="shared" si="10"/>
        <v>0</v>
      </c>
      <c r="I23" s="998">
        <f t="shared" si="10"/>
        <v>0</v>
      </c>
      <c r="J23" s="1000">
        <f t="shared" si="10"/>
        <v>0</v>
      </c>
      <c r="K23" s="1001">
        <f t="shared" si="10"/>
        <v>0</v>
      </c>
      <c r="L23" s="1002">
        <f t="shared" si="10"/>
        <v>0</v>
      </c>
      <c r="M23" s="998">
        <f t="shared" si="10"/>
        <v>0</v>
      </c>
      <c r="N23" s="1000">
        <f t="shared" si="10"/>
        <v>0</v>
      </c>
      <c r="O23" s="1001">
        <f t="shared" si="10"/>
        <v>0</v>
      </c>
      <c r="P23" s="1002">
        <f t="shared" si="10"/>
        <v>0</v>
      </c>
      <c r="Q23" s="998">
        <f t="shared" si="10"/>
        <v>0</v>
      </c>
      <c r="R23" s="1000">
        <f t="shared" si="10"/>
        <v>0</v>
      </c>
      <c r="S23" s="998">
        <f t="shared" ref="S23:T23" si="11">SUM(S12:S22)</f>
        <v>0</v>
      </c>
      <c r="T23" s="1000">
        <f t="shared" si="11"/>
        <v>0</v>
      </c>
      <c r="U23" s="998">
        <f t="shared" ref="U23:V23" si="12">SUM(U12:U22)</f>
        <v>0</v>
      </c>
      <c r="V23" s="1000">
        <f t="shared" si="12"/>
        <v>0</v>
      </c>
      <c r="W23" s="1001">
        <f t="shared" si="10"/>
        <v>0</v>
      </c>
      <c r="X23" s="1002">
        <f t="shared" si="10"/>
        <v>0</v>
      </c>
      <c r="Y23" s="998">
        <f t="shared" si="10"/>
        <v>0</v>
      </c>
      <c r="Z23" s="1000">
        <f t="shared" si="10"/>
        <v>0</v>
      </c>
      <c r="AA23" s="1001">
        <f t="shared" si="10"/>
        <v>0</v>
      </c>
      <c r="AB23" s="1002">
        <f t="shared" si="10"/>
        <v>0</v>
      </c>
      <c r="AC23" s="998">
        <f t="shared" si="10"/>
        <v>0</v>
      </c>
      <c r="AD23" s="1000">
        <f t="shared" si="10"/>
        <v>0</v>
      </c>
      <c r="AE23" s="1001">
        <f t="shared" si="10"/>
        <v>0</v>
      </c>
      <c r="AF23" s="1002">
        <f t="shared" si="10"/>
        <v>0</v>
      </c>
      <c r="AG23" s="998">
        <f t="shared" si="10"/>
        <v>0</v>
      </c>
      <c r="AH23" s="1000">
        <f t="shared" si="10"/>
        <v>0</v>
      </c>
      <c r="AI23" s="1001">
        <f t="shared" si="10"/>
        <v>0</v>
      </c>
      <c r="AJ23" s="1002">
        <f t="shared" si="10"/>
        <v>0</v>
      </c>
      <c r="AK23" s="998">
        <f t="shared" si="10"/>
        <v>0</v>
      </c>
      <c r="AL23" s="1000">
        <f t="shared" si="10"/>
        <v>0</v>
      </c>
      <c r="AM23" s="1001">
        <f t="shared" si="10"/>
        <v>0</v>
      </c>
      <c r="AN23" s="1003">
        <f t="shared" si="10"/>
        <v>0</v>
      </c>
      <c r="AO23" s="1004">
        <f t="shared" si="10"/>
        <v>0</v>
      </c>
      <c r="AP23" s="1005">
        <f t="shared" si="10"/>
        <v>0</v>
      </c>
      <c r="AQ23" s="999">
        <f t="shared" si="10"/>
        <v>0</v>
      </c>
    </row>
    <row r="24" spans="1:86" s="25" customFormat="1" ht="18" customHeight="1" x14ac:dyDescent="0.2">
      <c r="A24" s="1" t="s">
        <v>2458</v>
      </c>
    </row>
    <row r="25" spans="1:86" s="19" customFormat="1" ht="15" customHeight="1" x14ac:dyDescent="0.2">
      <c r="A25" s="6223" t="s">
        <v>2459</v>
      </c>
      <c r="B25" s="7022"/>
      <c r="C25" s="7059" t="s">
        <v>77</v>
      </c>
      <c r="D25" s="6493"/>
      <c r="E25" s="7051"/>
      <c r="F25" s="7027" t="s">
        <v>101</v>
      </c>
      <c r="G25" s="7028"/>
      <c r="H25" s="7028"/>
      <c r="I25" s="7028"/>
      <c r="J25" s="7028"/>
      <c r="K25" s="7028"/>
      <c r="L25" s="7028"/>
      <c r="M25" s="7028"/>
      <c r="N25" s="7028"/>
      <c r="O25" s="7028"/>
      <c r="P25" s="7028"/>
      <c r="Q25" s="7028"/>
      <c r="R25" s="7028"/>
      <c r="S25" s="7028"/>
      <c r="T25" s="7028"/>
      <c r="U25" s="7028"/>
      <c r="V25" s="7028"/>
      <c r="W25" s="7028"/>
      <c r="X25" s="7028"/>
      <c r="Y25" s="7028"/>
      <c r="Z25" s="7028"/>
      <c r="AA25" s="7028"/>
      <c r="AB25" s="7028"/>
      <c r="AC25" s="7028"/>
      <c r="AD25" s="7028"/>
      <c r="AE25" s="7028"/>
      <c r="AF25" s="7028"/>
      <c r="AG25" s="7028"/>
      <c r="AH25" s="7028"/>
      <c r="AI25" s="7028"/>
      <c r="AJ25" s="7028"/>
      <c r="AK25" s="7028"/>
      <c r="AL25" s="7028"/>
      <c r="AM25" s="7028"/>
      <c r="AN25" s="7028"/>
      <c r="AO25" s="7036"/>
      <c r="AP25" s="7038" t="s">
        <v>2460</v>
      </c>
      <c r="AQ25" s="7037" t="s">
        <v>36</v>
      </c>
      <c r="AR25" s="6969" t="s">
        <v>37</v>
      </c>
    </row>
    <row r="26" spans="1:86" s="19" customFormat="1" ht="15" customHeight="1" x14ac:dyDescent="0.2">
      <c r="A26" s="6686"/>
      <c r="B26" s="6063"/>
      <c r="C26" s="7100"/>
      <c r="D26" s="7058"/>
      <c r="E26" s="6999"/>
      <c r="F26" s="7021" t="s">
        <v>4407</v>
      </c>
      <c r="G26" s="7022"/>
      <c r="H26" s="7031" t="s">
        <v>2446</v>
      </c>
      <c r="I26" s="7022"/>
      <c r="J26" s="7031" t="s">
        <v>2447</v>
      </c>
      <c r="K26" s="7022"/>
      <c r="L26" s="7021" t="s">
        <v>94</v>
      </c>
      <c r="M26" s="7022"/>
      <c r="N26" s="7021" t="s">
        <v>44</v>
      </c>
      <c r="O26" s="7022"/>
      <c r="P26" s="7021" t="s">
        <v>45</v>
      </c>
      <c r="Q26" s="7022"/>
      <c r="R26" s="7031" t="s">
        <v>46</v>
      </c>
      <c r="S26" s="7022"/>
      <c r="T26" s="7031" t="s">
        <v>47</v>
      </c>
      <c r="U26" s="7022"/>
      <c r="V26" s="7031" t="s">
        <v>48</v>
      </c>
      <c r="W26" s="7022"/>
      <c r="X26" s="7031" t="s">
        <v>49</v>
      </c>
      <c r="Y26" s="7022"/>
      <c r="Z26" s="7031" t="s">
        <v>50</v>
      </c>
      <c r="AA26" s="7022"/>
      <c r="AB26" s="7031" t="s">
        <v>51</v>
      </c>
      <c r="AC26" s="7022"/>
      <c r="AD26" s="7031" t="s">
        <v>52</v>
      </c>
      <c r="AE26" s="7022"/>
      <c r="AF26" s="7031" t="s">
        <v>53</v>
      </c>
      <c r="AG26" s="7022"/>
      <c r="AH26" s="7031" t="s">
        <v>54</v>
      </c>
      <c r="AI26" s="7022"/>
      <c r="AJ26" s="7031" t="s">
        <v>55</v>
      </c>
      <c r="AK26" s="7022"/>
      <c r="AL26" s="7031" t="s">
        <v>56</v>
      </c>
      <c r="AM26" s="7022"/>
      <c r="AN26" s="6223" t="s">
        <v>57</v>
      </c>
      <c r="AO26" s="7035"/>
      <c r="AP26" s="5766"/>
      <c r="AQ26" s="6118"/>
      <c r="AR26" s="5759"/>
    </row>
    <row r="27" spans="1:86" s="19" customFormat="1" ht="15" customHeight="1" x14ac:dyDescent="0.2">
      <c r="A27" s="6481"/>
      <c r="B27" s="6645"/>
      <c r="C27" s="1006" t="s">
        <v>79</v>
      </c>
      <c r="D27" s="1007" t="s">
        <v>58</v>
      </c>
      <c r="E27" s="1008" t="s">
        <v>59</v>
      </c>
      <c r="F27" s="1006" t="s">
        <v>58</v>
      </c>
      <c r="G27" s="1008" t="s">
        <v>59</v>
      </c>
      <c r="H27" s="1006" t="s">
        <v>58</v>
      </c>
      <c r="I27" s="1008" t="s">
        <v>59</v>
      </c>
      <c r="J27" s="1006" t="s">
        <v>58</v>
      </c>
      <c r="K27" s="1008" t="s">
        <v>59</v>
      </c>
      <c r="L27" s="1006" t="s">
        <v>58</v>
      </c>
      <c r="M27" s="1008" t="s">
        <v>59</v>
      </c>
      <c r="N27" s="1006" t="s">
        <v>58</v>
      </c>
      <c r="O27" s="1008" t="s">
        <v>59</v>
      </c>
      <c r="P27" s="1006" t="s">
        <v>58</v>
      </c>
      <c r="Q27" s="1008" t="s">
        <v>59</v>
      </c>
      <c r="R27" s="947" t="s">
        <v>58</v>
      </c>
      <c r="S27" s="940" t="s">
        <v>59</v>
      </c>
      <c r="T27" s="947" t="s">
        <v>58</v>
      </c>
      <c r="U27" s="940" t="s">
        <v>59</v>
      </c>
      <c r="V27" s="947" t="s">
        <v>58</v>
      </c>
      <c r="W27" s="940" t="s">
        <v>59</v>
      </c>
      <c r="X27" s="1006" t="s">
        <v>58</v>
      </c>
      <c r="Y27" s="1008" t="s">
        <v>59</v>
      </c>
      <c r="Z27" s="1006" t="s">
        <v>58</v>
      </c>
      <c r="AA27" s="1008" t="s">
        <v>59</v>
      </c>
      <c r="AB27" s="1006" t="s">
        <v>58</v>
      </c>
      <c r="AC27" s="1008" t="s">
        <v>59</v>
      </c>
      <c r="AD27" s="1006" t="s">
        <v>58</v>
      </c>
      <c r="AE27" s="1008" t="s">
        <v>59</v>
      </c>
      <c r="AF27" s="1006" t="s">
        <v>58</v>
      </c>
      <c r="AG27" s="1008" t="s">
        <v>59</v>
      </c>
      <c r="AH27" s="1006" t="s">
        <v>58</v>
      </c>
      <c r="AI27" s="1008" t="s">
        <v>59</v>
      </c>
      <c r="AJ27" s="1006" t="s">
        <v>58</v>
      </c>
      <c r="AK27" s="1008" t="s">
        <v>59</v>
      </c>
      <c r="AL27" s="1006" t="s">
        <v>58</v>
      </c>
      <c r="AM27" s="1008" t="s">
        <v>59</v>
      </c>
      <c r="AN27" s="1006" t="s">
        <v>58</v>
      </c>
      <c r="AO27" s="1009" t="s">
        <v>59</v>
      </c>
      <c r="AP27" s="5767"/>
      <c r="AQ27" s="5818"/>
      <c r="AR27" s="6687"/>
    </row>
    <row r="28" spans="1:86" s="19" customFormat="1" ht="15" customHeight="1" x14ac:dyDescent="0.2">
      <c r="A28" s="7060" t="s">
        <v>2461</v>
      </c>
      <c r="B28" s="1010" t="s">
        <v>887</v>
      </c>
      <c r="C28" s="308">
        <f t="shared" ref="C28:C40" si="13">SUM(D28+E28)</f>
        <v>0</v>
      </c>
      <c r="D28" s="1011">
        <f>SUM(F28+H28)</f>
        <v>0</v>
      </c>
      <c r="E28" s="204">
        <f>SUM(G28+I28)</f>
        <v>0</v>
      </c>
      <c r="F28" s="327"/>
      <c r="G28" s="142"/>
      <c r="H28" s="327"/>
      <c r="I28" s="905"/>
      <c r="J28" s="334"/>
      <c r="K28" s="1012"/>
      <c r="L28" s="334"/>
      <c r="M28" s="1012"/>
      <c r="N28" s="334"/>
      <c r="O28" s="1012"/>
      <c r="P28" s="334"/>
      <c r="Q28" s="1012"/>
      <c r="R28" s="334"/>
      <c r="S28" s="1012"/>
      <c r="T28" s="334"/>
      <c r="U28" s="1012"/>
      <c r="V28" s="334"/>
      <c r="W28" s="1012"/>
      <c r="X28" s="334"/>
      <c r="Y28" s="1012"/>
      <c r="Z28" s="334"/>
      <c r="AA28" s="1012"/>
      <c r="AB28" s="334"/>
      <c r="AC28" s="1012"/>
      <c r="AD28" s="334"/>
      <c r="AE28" s="1012"/>
      <c r="AF28" s="334"/>
      <c r="AG28" s="1012"/>
      <c r="AH28" s="334"/>
      <c r="AI28" s="1012"/>
      <c r="AJ28" s="334"/>
      <c r="AK28" s="1012"/>
      <c r="AL28" s="1013"/>
      <c r="AM28" s="1012"/>
      <c r="AN28" s="251"/>
      <c r="AO28" s="1014"/>
      <c r="AP28" s="959"/>
      <c r="AQ28" s="960"/>
      <c r="AR28" s="955"/>
      <c r="AS28" s="19" t="str">
        <f>CA28&amp;CB28&amp;CC28</f>
        <v/>
      </c>
      <c r="CA28" s="135" t="str">
        <f t="shared" ref="CA28:CA40" si="14">IF(AND(C28&gt;0,AP28="")," * No olvide digitar la variable Reingresos. Digite Cero si no tiene.",IF(AP28&gt;C28," * La variable Reingresos no puede ser mayor al Total Ambos Sexos.",""))</f>
        <v/>
      </c>
      <c r="CB28" s="135" t="str">
        <f t="shared" ref="CB28:CB40" si="15">IF(AND(C28&gt;0,AQ28="")," * No olvide digitar la variable Pueblos Originarios.  Digite Cero si no tiene.",IF(AQ28&gt;C28," * La variable Pueblos originarios no puede ser mayor al Total Ambos Sexos.",""))</f>
        <v/>
      </c>
      <c r="CC28" s="135" t="str">
        <f t="shared" ref="CC28:CC40" si="16">IF(AND(C28&gt;0,AR28="")," * No olvide digitar la variable Migrantes. Digite Cero si no tiene.",IF(AR28&gt;C28," * La variable Migrantes no puede ser mayor al Total Ambos Sexos.",""))</f>
        <v/>
      </c>
      <c r="CD28" s="151"/>
      <c r="CF28" s="84">
        <f t="shared" ref="CF28:CF40" si="17">IF(AND(C28&gt;0,AP28=""),1,IF(AP28&gt;C28,1,0))</f>
        <v>0</v>
      </c>
      <c r="CG28" s="84">
        <f t="shared" ref="CG28:CG40" si="18">IF(AND(C28&gt;0,AQ28=""),1,IF(AQ28&gt;C28,1,0))</f>
        <v>0</v>
      </c>
      <c r="CH28" s="84">
        <f t="shared" ref="CH28:CH40" si="19">IF(AND(C28&gt;0,AR28=""),1,IF(AR28&gt;C28,1,0))</f>
        <v>0</v>
      </c>
    </row>
    <row r="29" spans="1:86" s="19" customFormat="1" ht="15" customHeight="1" x14ac:dyDescent="0.2">
      <c r="A29" s="5790"/>
      <c r="B29" s="1015" t="s">
        <v>888</v>
      </c>
      <c r="C29" s="308">
        <f t="shared" si="13"/>
        <v>0</v>
      </c>
      <c r="D29" s="1011">
        <f t="shared" ref="D29:E30" si="20">SUM(F29+H29)</f>
        <v>0</v>
      </c>
      <c r="E29" s="204">
        <f t="shared" si="20"/>
        <v>0</v>
      </c>
      <c r="F29" s="327"/>
      <c r="G29" s="142"/>
      <c r="H29" s="327"/>
      <c r="I29" s="905"/>
      <c r="J29" s="334"/>
      <c r="K29" s="1012"/>
      <c r="L29" s="334"/>
      <c r="M29" s="1012"/>
      <c r="N29" s="334"/>
      <c r="O29" s="1012"/>
      <c r="P29" s="334"/>
      <c r="Q29" s="1012"/>
      <c r="R29" s="334"/>
      <c r="S29" s="1012"/>
      <c r="T29" s="334"/>
      <c r="U29" s="1012"/>
      <c r="V29" s="334"/>
      <c r="W29" s="1012"/>
      <c r="X29" s="334"/>
      <c r="Y29" s="1012"/>
      <c r="Z29" s="334"/>
      <c r="AA29" s="1012"/>
      <c r="AB29" s="334"/>
      <c r="AC29" s="1012"/>
      <c r="AD29" s="334"/>
      <c r="AE29" s="1012"/>
      <c r="AF29" s="334"/>
      <c r="AG29" s="1012"/>
      <c r="AH29" s="334"/>
      <c r="AI29" s="1012"/>
      <c r="AJ29" s="334"/>
      <c r="AK29" s="1012"/>
      <c r="AL29" s="979"/>
      <c r="AM29" s="1012"/>
      <c r="AN29" s="251"/>
      <c r="AO29" s="1016"/>
      <c r="AP29" s="972"/>
      <c r="AQ29" s="973"/>
      <c r="AR29" s="966"/>
      <c r="AS29" s="19" t="str">
        <f t="shared" ref="AS29:AS40" si="21">CA29&amp;CB29&amp;CC29</f>
        <v/>
      </c>
      <c r="CA29" s="135" t="str">
        <f t="shared" si="14"/>
        <v/>
      </c>
      <c r="CB29" s="135" t="str">
        <f t="shared" si="15"/>
        <v/>
      </c>
      <c r="CC29" s="135" t="str">
        <f t="shared" si="16"/>
        <v/>
      </c>
      <c r="CD29" s="151"/>
      <c r="CF29" s="84">
        <f t="shared" si="17"/>
        <v>0</v>
      </c>
      <c r="CG29" s="84">
        <f t="shared" si="18"/>
        <v>0</v>
      </c>
      <c r="CH29" s="84">
        <f t="shared" si="19"/>
        <v>0</v>
      </c>
    </row>
    <row r="30" spans="1:86" s="19" customFormat="1" ht="15" customHeight="1" x14ac:dyDescent="0.2">
      <c r="A30" s="5790"/>
      <c r="B30" s="205" t="s">
        <v>2462</v>
      </c>
      <c r="C30" s="26">
        <f t="shared" si="13"/>
        <v>0</v>
      </c>
      <c r="D30" s="27">
        <f t="shared" si="20"/>
        <v>0</v>
      </c>
      <c r="E30" s="28">
        <f t="shared" si="20"/>
        <v>0</v>
      </c>
      <c r="F30" s="20"/>
      <c r="G30" s="29"/>
      <c r="H30" s="20"/>
      <c r="I30" s="30"/>
      <c r="J30" s="31"/>
      <c r="K30" s="32"/>
      <c r="L30" s="31"/>
      <c r="M30" s="32"/>
      <c r="N30" s="31"/>
      <c r="O30" s="32"/>
      <c r="P30" s="31"/>
      <c r="Q30" s="32"/>
      <c r="R30" s="31"/>
      <c r="S30" s="32"/>
      <c r="T30" s="31"/>
      <c r="U30" s="32"/>
      <c r="V30" s="31"/>
      <c r="W30" s="32"/>
      <c r="X30" s="31"/>
      <c r="Y30" s="32"/>
      <c r="Z30" s="31"/>
      <c r="AA30" s="32"/>
      <c r="AB30" s="31"/>
      <c r="AC30" s="32"/>
      <c r="AD30" s="31"/>
      <c r="AE30" s="32"/>
      <c r="AF30" s="31"/>
      <c r="AG30" s="32"/>
      <c r="AH30" s="31"/>
      <c r="AI30" s="32"/>
      <c r="AJ30" s="31"/>
      <c r="AK30" s="32"/>
      <c r="AL30" s="31"/>
      <c r="AM30" s="32"/>
      <c r="AN30" s="335"/>
      <c r="AO30" s="33"/>
      <c r="AP30" s="1017"/>
      <c r="AQ30" s="1018"/>
      <c r="AR30" s="34"/>
      <c r="AS30" s="19" t="str">
        <f t="shared" si="21"/>
        <v/>
      </c>
      <c r="CA30" s="135" t="str">
        <f t="shared" si="14"/>
        <v/>
      </c>
      <c r="CB30" s="135" t="str">
        <f t="shared" si="15"/>
        <v/>
      </c>
      <c r="CC30" s="135" t="str">
        <f t="shared" si="16"/>
        <v/>
      </c>
      <c r="CD30" s="151"/>
      <c r="CF30" s="84">
        <f t="shared" si="17"/>
        <v>0</v>
      </c>
      <c r="CG30" s="84">
        <f t="shared" si="18"/>
        <v>0</v>
      </c>
      <c r="CH30" s="84">
        <f t="shared" si="19"/>
        <v>0</v>
      </c>
    </row>
    <row r="31" spans="1:86" s="19" customFormat="1" ht="15" customHeight="1" x14ac:dyDescent="0.2">
      <c r="A31" s="7090" t="s">
        <v>2463</v>
      </c>
      <c r="B31" s="1010" t="s">
        <v>887</v>
      </c>
      <c r="C31" s="1019">
        <f t="shared" si="13"/>
        <v>0</v>
      </c>
      <c r="D31" s="1020">
        <f>SUM(H31+J31+L31+N31+P31+R31+T31+V31+X31+Z31+AB31+AD31+AF31+AH31+AJ31+AL31+AN31)</f>
        <v>0</v>
      </c>
      <c r="E31" s="953">
        <f>SUM(I31+K31+M31+O31+Q31+S31+U31+W31+Y31+AA31+AC31+AE31+AG31+AI31+AK31+AM31+AO31)</f>
        <v>0</v>
      </c>
      <c r="F31" s="1021"/>
      <c r="G31" s="1022"/>
      <c r="H31" s="954"/>
      <c r="I31" s="890"/>
      <c r="J31" s="954"/>
      <c r="K31" s="955"/>
      <c r="L31" s="954"/>
      <c r="M31" s="955"/>
      <c r="N31" s="954"/>
      <c r="O31" s="890"/>
      <c r="P31" s="954"/>
      <c r="Q31" s="955"/>
      <c r="R31" s="954"/>
      <c r="S31" s="955"/>
      <c r="T31" s="954"/>
      <c r="U31" s="955"/>
      <c r="V31" s="954"/>
      <c r="W31" s="955"/>
      <c r="X31" s="954"/>
      <c r="Y31" s="955"/>
      <c r="Z31" s="954"/>
      <c r="AA31" s="890"/>
      <c r="AB31" s="954"/>
      <c r="AC31" s="955"/>
      <c r="AD31" s="954"/>
      <c r="AE31" s="955"/>
      <c r="AF31" s="954"/>
      <c r="AG31" s="890"/>
      <c r="AH31" s="954"/>
      <c r="AI31" s="955"/>
      <c r="AJ31" s="954"/>
      <c r="AK31" s="955"/>
      <c r="AL31" s="954"/>
      <c r="AM31" s="890"/>
      <c r="AN31" s="1023"/>
      <c r="AO31" s="892"/>
      <c r="AP31" s="959"/>
      <c r="AQ31" s="960"/>
      <c r="AR31" s="955"/>
      <c r="AS31" s="19" t="str">
        <f t="shared" si="21"/>
        <v/>
      </c>
      <c r="CA31" s="135" t="str">
        <f t="shared" si="14"/>
        <v/>
      </c>
      <c r="CB31" s="135" t="str">
        <f t="shared" si="15"/>
        <v/>
      </c>
      <c r="CC31" s="135" t="str">
        <f t="shared" si="16"/>
        <v/>
      </c>
      <c r="CD31" s="151"/>
      <c r="CF31" s="84">
        <f t="shared" si="17"/>
        <v>0</v>
      </c>
      <c r="CG31" s="84">
        <f t="shared" si="18"/>
        <v>0</v>
      </c>
      <c r="CH31" s="84">
        <f t="shared" si="19"/>
        <v>0</v>
      </c>
    </row>
    <row r="32" spans="1:86" s="19" customFormat="1" ht="15" customHeight="1" x14ac:dyDescent="0.2">
      <c r="A32" s="5820"/>
      <c r="B32" s="1015" t="s">
        <v>888</v>
      </c>
      <c r="C32" s="308">
        <f t="shared" si="13"/>
        <v>0</v>
      </c>
      <c r="D32" s="1011">
        <f t="shared" ref="D32:D33" si="22">SUM(H32+J32+L32+N32+P32+R32+T32+V32+X32+Z32+AB32+AD32+AF32+AH32+AJ32+AL32+AN32)</f>
        <v>0</v>
      </c>
      <c r="E32" s="204">
        <f t="shared" ref="E32" si="23">SUM(I32+K32+M32+O32+Q32+S32+U32+W32+Y32+AA32+AC32+AE32+AG32+AI32+AK32+AM32+AO32)</f>
        <v>0</v>
      </c>
      <c r="F32" s="1024"/>
      <c r="G32" s="1025"/>
      <c r="H32" s="965"/>
      <c r="I32" s="905"/>
      <c r="J32" s="327"/>
      <c r="K32" s="142"/>
      <c r="L32" s="327"/>
      <c r="M32" s="142"/>
      <c r="N32" s="327"/>
      <c r="O32" s="905"/>
      <c r="P32" s="327"/>
      <c r="Q32" s="142"/>
      <c r="R32" s="327"/>
      <c r="S32" s="142"/>
      <c r="T32" s="327"/>
      <c r="U32" s="142"/>
      <c r="V32" s="327"/>
      <c r="W32" s="142"/>
      <c r="X32" s="327"/>
      <c r="Y32" s="142"/>
      <c r="Z32" s="327"/>
      <c r="AA32" s="905"/>
      <c r="AB32" s="327"/>
      <c r="AC32" s="142"/>
      <c r="AD32" s="327"/>
      <c r="AE32" s="142"/>
      <c r="AF32" s="327"/>
      <c r="AG32" s="905"/>
      <c r="AH32" s="327"/>
      <c r="AI32" s="142"/>
      <c r="AJ32" s="327"/>
      <c r="AK32" s="142"/>
      <c r="AL32" s="327"/>
      <c r="AM32" s="905"/>
      <c r="AN32" s="252"/>
      <c r="AO32" s="1026"/>
      <c r="AP32" s="972"/>
      <c r="AQ32" s="973"/>
      <c r="AR32" s="966"/>
      <c r="AS32" s="19" t="str">
        <f t="shared" si="21"/>
        <v/>
      </c>
      <c r="CA32" s="135" t="str">
        <f t="shared" si="14"/>
        <v/>
      </c>
      <c r="CB32" s="135" t="str">
        <f t="shared" si="15"/>
        <v/>
      </c>
      <c r="CC32" s="135" t="str">
        <f t="shared" si="16"/>
        <v/>
      </c>
      <c r="CD32" s="151"/>
      <c r="CF32" s="84">
        <f t="shared" si="17"/>
        <v>0</v>
      </c>
      <c r="CG32" s="84">
        <f t="shared" si="18"/>
        <v>0</v>
      </c>
      <c r="CH32" s="84">
        <f t="shared" si="19"/>
        <v>0</v>
      </c>
    </row>
    <row r="33" spans="1:86" s="19" customFormat="1" ht="15" customHeight="1" x14ac:dyDescent="0.2">
      <c r="A33" s="7091"/>
      <c r="B33" s="1028" t="s">
        <v>2462</v>
      </c>
      <c r="C33" s="26">
        <f t="shared" si="13"/>
        <v>0</v>
      </c>
      <c r="D33" s="27">
        <f t="shared" si="22"/>
        <v>0</v>
      </c>
      <c r="E33" s="204">
        <f>SUM(I33+K33+M33+O33+Q33+S33+U33+W33+Y33+AA33+AC33+AE33+AG33+AI33+AK33+AM33+AO33)</f>
        <v>0</v>
      </c>
      <c r="F33" s="1024"/>
      <c r="G33" s="35"/>
      <c r="H33" s="989"/>
      <c r="I33" s="990"/>
      <c r="J33" s="989"/>
      <c r="K33" s="990"/>
      <c r="L33" s="989"/>
      <c r="M33" s="990"/>
      <c r="N33" s="989"/>
      <c r="O33" s="990"/>
      <c r="P33" s="989"/>
      <c r="Q33" s="990"/>
      <c r="R33" s="989"/>
      <c r="S33" s="990"/>
      <c r="T33" s="989"/>
      <c r="U33" s="990"/>
      <c r="V33" s="989"/>
      <c r="W33" s="990"/>
      <c r="X33" s="989"/>
      <c r="Y33" s="990"/>
      <c r="Z33" s="989"/>
      <c r="AA33" s="990"/>
      <c r="AB33" s="989"/>
      <c r="AC33" s="990"/>
      <c r="AD33" s="989"/>
      <c r="AE33" s="990"/>
      <c r="AF33" s="989"/>
      <c r="AG33" s="990"/>
      <c r="AH33" s="989"/>
      <c r="AI33" s="990"/>
      <c r="AJ33" s="989"/>
      <c r="AK33" s="990"/>
      <c r="AL33" s="989"/>
      <c r="AM33" s="990"/>
      <c r="AN33" s="1029"/>
      <c r="AO33" s="994"/>
      <c r="AP33" s="1030"/>
      <c r="AQ33" s="1031"/>
      <c r="AR33" s="877"/>
      <c r="AS33" s="19" t="str">
        <f t="shared" si="21"/>
        <v/>
      </c>
      <c r="CA33" s="135" t="str">
        <f t="shared" si="14"/>
        <v/>
      </c>
      <c r="CB33" s="135" t="str">
        <f t="shared" si="15"/>
        <v/>
      </c>
      <c r="CC33" s="135" t="str">
        <f t="shared" si="16"/>
        <v/>
      </c>
      <c r="CD33" s="151"/>
      <c r="CF33" s="84">
        <f t="shared" si="17"/>
        <v>0</v>
      </c>
      <c r="CG33" s="84">
        <f t="shared" si="18"/>
        <v>0</v>
      </c>
      <c r="CH33" s="84">
        <f t="shared" si="19"/>
        <v>0</v>
      </c>
    </row>
    <row r="34" spans="1:86" s="19" customFormat="1" ht="15" customHeight="1" x14ac:dyDescent="0.2">
      <c r="A34" s="7092" t="s">
        <v>2464</v>
      </c>
      <c r="B34" s="1010" t="s">
        <v>2465</v>
      </c>
      <c r="C34" s="1019">
        <f t="shared" si="13"/>
        <v>0</v>
      </c>
      <c r="D34" s="1020">
        <f>SUM(X34+Z34+AB34+AD34+AF34+AH34+AJ34+AL34+AN34)</f>
        <v>0</v>
      </c>
      <c r="E34" s="953">
        <f>SUM(Y34+AA34+AC34+AE34+AG34+AI34+AK34+AM34+AO34)</f>
        <v>0</v>
      </c>
      <c r="F34" s="1032"/>
      <c r="G34" s="1033"/>
      <c r="H34" s="1032"/>
      <c r="I34" s="1033"/>
      <c r="J34" s="1032"/>
      <c r="K34" s="1033"/>
      <c r="L34" s="1032"/>
      <c r="M34" s="1033"/>
      <c r="N34" s="1032"/>
      <c r="O34" s="1033"/>
      <c r="P34" s="1032"/>
      <c r="Q34" s="1033"/>
      <c r="R34" s="1032"/>
      <c r="S34" s="1033"/>
      <c r="T34" s="1032"/>
      <c r="U34" s="1033"/>
      <c r="V34" s="1032"/>
      <c r="W34" s="1033"/>
      <c r="X34" s="954"/>
      <c r="Y34" s="890"/>
      <c r="Z34" s="954"/>
      <c r="AA34" s="890"/>
      <c r="AB34" s="954"/>
      <c r="AC34" s="890"/>
      <c r="AD34" s="954"/>
      <c r="AE34" s="890"/>
      <c r="AF34" s="954"/>
      <c r="AG34" s="890"/>
      <c r="AH34" s="954"/>
      <c r="AI34" s="890"/>
      <c r="AJ34" s="954"/>
      <c r="AK34" s="890"/>
      <c r="AL34" s="954"/>
      <c r="AM34" s="890"/>
      <c r="AN34" s="1023"/>
      <c r="AO34" s="892"/>
      <c r="AP34" s="959"/>
      <c r="AQ34" s="960"/>
      <c r="AR34" s="955"/>
      <c r="AS34" s="19" t="str">
        <f t="shared" si="21"/>
        <v/>
      </c>
      <c r="CA34" s="135" t="str">
        <f t="shared" si="14"/>
        <v/>
      </c>
      <c r="CB34" s="135" t="str">
        <f t="shared" si="15"/>
        <v/>
      </c>
      <c r="CC34" s="135" t="str">
        <f t="shared" si="16"/>
        <v/>
      </c>
      <c r="CD34" s="151"/>
      <c r="CF34" s="84">
        <f t="shared" si="17"/>
        <v>0</v>
      </c>
      <c r="CG34" s="84">
        <f t="shared" si="18"/>
        <v>0</v>
      </c>
      <c r="CH34" s="84">
        <f t="shared" si="19"/>
        <v>0</v>
      </c>
    </row>
    <row r="35" spans="1:86" s="19" customFormat="1" ht="15" customHeight="1" x14ac:dyDescent="0.2">
      <c r="A35" s="6638"/>
      <c r="B35" s="1028" t="s">
        <v>2466</v>
      </c>
      <c r="C35" s="987">
        <f t="shared" si="13"/>
        <v>0</v>
      </c>
      <c r="D35" s="1034">
        <f t="shared" ref="D35:E35" si="24">SUM(F35+H35+J35+L35+N35+P35+R35+X35+Z35+AB35+AD35+AF35+AH35+AJ35+AL35+AN35)</f>
        <v>0</v>
      </c>
      <c r="E35" s="414">
        <f t="shared" si="24"/>
        <v>0</v>
      </c>
      <c r="F35" s="1035"/>
      <c r="G35" s="1036"/>
      <c r="H35" s="1035"/>
      <c r="I35" s="1036"/>
      <c r="J35" s="1035"/>
      <c r="K35" s="1036"/>
      <c r="L35" s="1035"/>
      <c r="M35" s="1036"/>
      <c r="N35" s="1035"/>
      <c r="O35" s="1036"/>
      <c r="P35" s="1035"/>
      <c r="Q35" s="1036"/>
      <c r="R35" s="1035"/>
      <c r="S35" s="1036"/>
      <c r="T35" s="1035"/>
      <c r="U35" s="1036"/>
      <c r="V35" s="1035"/>
      <c r="W35" s="1036"/>
      <c r="X35" s="989"/>
      <c r="Y35" s="990"/>
      <c r="Z35" s="989"/>
      <c r="AA35" s="990"/>
      <c r="AB35" s="989"/>
      <c r="AC35" s="990"/>
      <c r="AD35" s="989"/>
      <c r="AE35" s="990"/>
      <c r="AF35" s="989"/>
      <c r="AG35" s="990"/>
      <c r="AH35" s="989"/>
      <c r="AI35" s="990"/>
      <c r="AJ35" s="989"/>
      <c r="AK35" s="990"/>
      <c r="AL35" s="989"/>
      <c r="AM35" s="990"/>
      <c r="AN35" s="1029"/>
      <c r="AO35" s="994"/>
      <c r="AP35" s="1030"/>
      <c r="AQ35" s="1031"/>
      <c r="AR35" s="877"/>
      <c r="AS35" s="19" t="str">
        <f t="shared" si="21"/>
        <v/>
      </c>
      <c r="CA35" s="135" t="str">
        <f t="shared" si="14"/>
        <v/>
      </c>
      <c r="CB35" s="135" t="str">
        <f t="shared" si="15"/>
        <v/>
      </c>
      <c r="CC35" s="135" t="str">
        <f t="shared" si="16"/>
        <v/>
      </c>
      <c r="CD35" s="151"/>
      <c r="CF35" s="84">
        <f t="shared" si="17"/>
        <v>0</v>
      </c>
      <c r="CG35" s="84">
        <f t="shared" si="18"/>
        <v>0</v>
      </c>
      <c r="CH35" s="84">
        <f t="shared" si="19"/>
        <v>0</v>
      </c>
    </row>
    <row r="36" spans="1:86" s="19" customFormat="1" ht="15" customHeight="1" x14ac:dyDescent="0.2">
      <c r="A36" s="7093" t="s">
        <v>2467</v>
      </c>
      <c r="B36" s="7094"/>
      <c r="C36" s="336">
        <f t="shared" si="13"/>
        <v>0</v>
      </c>
      <c r="D36" s="1038">
        <f>SUM(F36+H36+J36+L36+N36+P36+R36+T36+V36+X36+Z36+AB36+AD36+AF36+AH36+AJ36+AL36+AN36)</f>
        <v>0</v>
      </c>
      <c r="E36" s="204">
        <f>SUM(G36+I36+K36+M36+O36+Q36+S36+U36+W36+Y36+AA36+AC36+AE36+AG36+AI36+AK36+AM36+AO36)</f>
        <v>0</v>
      </c>
      <c r="F36" s="327"/>
      <c r="G36" s="142"/>
      <c r="H36" s="327"/>
      <c r="I36" s="905"/>
      <c r="J36" s="327"/>
      <c r="K36" s="905"/>
      <c r="L36" s="327"/>
      <c r="M36" s="905"/>
      <c r="N36" s="327"/>
      <c r="O36" s="905"/>
      <c r="P36" s="327"/>
      <c r="Q36" s="905"/>
      <c r="R36" s="327"/>
      <c r="S36" s="905"/>
      <c r="T36" s="327"/>
      <c r="U36" s="905"/>
      <c r="V36" s="327"/>
      <c r="W36" s="905"/>
      <c r="X36" s="327"/>
      <c r="Y36" s="905"/>
      <c r="Z36" s="327"/>
      <c r="AA36" s="905"/>
      <c r="AB36" s="327"/>
      <c r="AC36" s="905"/>
      <c r="AD36" s="327"/>
      <c r="AE36" s="905"/>
      <c r="AF36" s="327"/>
      <c r="AG36" s="905"/>
      <c r="AH36" s="327"/>
      <c r="AI36" s="905"/>
      <c r="AJ36" s="327"/>
      <c r="AK36" s="905"/>
      <c r="AL36" s="327"/>
      <c r="AM36" s="905"/>
      <c r="AN36" s="252"/>
      <c r="AO36" s="1026"/>
      <c r="AP36" s="337"/>
      <c r="AQ36" s="1039"/>
      <c r="AR36" s="142"/>
      <c r="AS36" s="19" t="str">
        <f t="shared" si="21"/>
        <v/>
      </c>
      <c r="CA36" s="135" t="str">
        <f t="shared" si="14"/>
        <v/>
      </c>
      <c r="CB36" s="135" t="str">
        <f t="shared" si="15"/>
        <v/>
      </c>
      <c r="CC36" s="135" t="str">
        <f t="shared" si="16"/>
        <v/>
      </c>
      <c r="CD36" s="151"/>
      <c r="CF36" s="84">
        <f t="shared" si="17"/>
        <v>0</v>
      </c>
      <c r="CG36" s="84">
        <f t="shared" si="18"/>
        <v>0</v>
      </c>
      <c r="CH36" s="84">
        <f t="shared" si="19"/>
        <v>0</v>
      </c>
    </row>
    <row r="37" spans="1:86" s="19" customFormat="1" ht="15" customHeight="1" x14ac:dyDescent="0.2">
      <c r="A37" s="7095" t="s">
        <v>2468</v>
      </c>
      <c r="B37" s="7096"/>
      <c r="C37" s="962">
        <f t="shared" si="13"/>
        <v>0</v>
      </c>
      <c r="D37" s="1041">
        <f t="shared" ref="D37:D39" si="25">SUM(F37+H37+J37+L37+N37+P37+R37+T37+V37+X37+Z37+AB37+AD37+AF37+AH37+AJ37+AL37+AN37)</f>
        <v>0</v>
      </c>
      <c r="E37" s="964">
        <f t="shared" ref="E37:E40" si="26">SUM(G37+I37+K37+M37+O37+Q37+S37+U37+W37+Y37+AA37+AC37+AE37+AG37+AI37+AK37+AM37+AO37)</f>
        <v>0</v>
      </c>
      <c r="F37" s="965"/>
      <c r="G37" s="966"/>
      <c r="H37" s="965"/>
      <c r="I37" s="967"/>
      <c r="J37" s="965"/>
      <c r="K37" s="967"/>
      <c r="L37" s="965"/>
      <c r="M37" s="967"/>
      <c r="N37" s="965"/>
      <c r="O37" s="967"/>
      <c r="P37" s="965"/>
      <c r="Q37" s="967"/>
      <c r="R37" s="965"/>
      <c r="S37" s="967"/>
      <c r="T37" s="965"/>
      <c r="U37" s="967"/>
      <c r="V37" s="965"/>
      <c r="W37" s="967"/>
      <c r="X37" s="965"/>
      <c r="Y37" s="967"/>
      <c r="Z37" s="965"/>
      <c r="AA37" s="967"/>
      <c r="AB37" s="965"/>
      <c r="AC37" s="967"/>
      <c r="AD37" s="965"/>
      <c r="AE37" s="967"/>
      <c r="AF37" s="965"/>
      <c r="AG37" s="967"/>
      <c r="AH37" s="965"/>
      <c r="AI37" s="967"/>
      <c r="AJ37" s="965"/>
      <c r="AK37" s="967"/>
      <c r="AL37" s="965"/>
      <c r="AM37" s="967"/>
      <c r="AN37" s="1042"/>
      <c r="AO37" s="971"/>
      <c r="AP37" s="972"/>
      <c r="AQ37" s="973"/>
      <c r="AR37" s="966"/>
      <c r="AS37" s="19" t="str">
        <f t="shared" si="21"/>
        <v/>
      </c>
      <c r="CA37" s="135" t="str">
        <f t="shared" si="14"/>
        <v/>
      </c>
      <c r="CB37" s="135" t="str">
        <f t="shared" si="15"/>
        <v/>
      </c>
      <c r="CC37" s="135" t="str">
        <f t="shared" si="16"/>
        <v/>
      </c>
      <c r="CD37" s="151"/>
      <c r="CF37" s="84">
        <f t="shared" si="17"/>
        <v>0</v>
      </c>
      <c r="CG37" s="84">
        <f t="shared" si="18"/>
        <v>0</v>
      </c>
      <c r="CH37" s="84">
        <f t="shared" si="19"/>
        <v>0</v>
      </c>
    </row>
    <row r="38" spans="1:86" s="19" customFormat="1" ht="15" customHeight="1" x14ac:dyDescent="0.2">
      <c r="A38" s="7073" t="s">
        <v>2469</v>
      </c>
      <c r="B38" s="7074"/>
      <c r="C38" s="975">
        <f t="shared" si="13"/>
        <v>0</v>
      </c>
      <c r="D38" s="1044">
        <f t="shared" si="25"/>
        <v>0</v>
      </c>
      <c r="E38" s="964">
        <f t="shared" si="26"/>
        <v>0</v>
      </c>
      <c r="F38" s="965"/>
      <c r="G38" s="966"/>
      <c r="H38" s="965"/>
      <c r="I38" s="967"/>
      <c r="J38" s="965"/>
      <c r="K38" s="967"/>
      <c r="L38" s="965"/>
      <c r="M38" s="967"/>
      <c r="N38" s="965"/>
      <c r="O38" s="967"/>
      <c r="P38" s="965"/>
      <c r="Q38" s="967"/>
      <c r="R38" s="965"/>
      <c r="S38" s="967"/>
      <c r="T38" s="965"/>
      <c r="U38" s="967"/>
      <c r="V38" s="965"/>
      <c r="W38" s="967"/>
      <c r="X38" s="965"/>
      <c r="Y38" s="967"/>
      <c r="Z38" s="965"/>
      <c r="AA38" s="967"/>
      <c r="AB38" s="965"/>
      <c r="AC38" s="967"/>
      <c r="AD38" s="965"/>
      <c r="AE38" s="967"/>
      <c r="AF38" s="965"/>
      <c r="AG38" s="967"/>
      <c r="AH38" s="965"/>
      <c r="AI38" s="967"/>
      <c r="AJ38" s="965"/>
      <c r="AK38" s="967"/>
      <c r="AL38" s="965"/>
      <c r="AM38" s="967"/>
      <c r="AN38" s="1042"/>
      <c r="AO38" s="971"/>
      <c r="AP38" s="972"/>
      <c r="AQ38" s="973"/>
      <c r="AR38" s="966"/>
      <c r="AS38" s="19" t="str">
        <f t="shared" si="21"/>
        <v/>
      </c>
      <c r="CA38" s="135" t="str">
        <f t="shared" si="14"/>
        <v/>
      </c>
      <c r="CB38" s="135" t="str">
        <f t="shared" si="15"/>
        <v/>
      </c>
      <c r="CC38" s="135" t="str">
        <f t="shared" si="16"/>
        <v/>
      </c>
      <c r="CD38" s="151"/>
      <c r="CF38" s="84">
        <f t="shared" si="17"/>
        <v>0</v>
      </c>
      <c r="CG38" s="84">
        <f t="shared" si="18"/>
        <v>0</v>
      </c>
      <c r="CH38" s="84">
        <f t="shared" si="19"/>
        <v>0</v>
      </c>
    </row>
    <row r="39" spans="1:86" s="19" customFormat="1" ht="15" customHeight="1" x14ac:dyDescent="0.2">
      <c r="A39" s="7097" t="s">
        <v>2470</v>
      </c>
      <c r="B39" s="7096"/>
      <c r="C39" s="962">
        <f t="shared" si="13"/>
        <v>0</v>
      </c>
      <c r="D39" s="1041">
        <f t="shared" si="25"/>
        <v>0</v>
      </c>
      <c r="E39" s="964">
        <f t="shared" si="26"/>
        <v>0</v>
      </c>
      <c r="F39" s="965"/>
      <c r="G39" s="966"/>
      <c r="H39" s="965"/>
      <c r="I39" s="967"/>
      <c r="J39" s="965"/>
      <c r="K39" s="967"/>
      <c r="L39" s="965"/>
      <c r="M39" s="967"/>
      <c r="N39" s="965"/>
      <c r="O39" s="967"/>
      <c r="P39" s="965"/>
      <c r="Q39" s="967"/>
      <c r="R39" s="965"/>
      <c r="S39" s="967"/>
      <c r="T39" s="965"/>
      <c r="U39" s="967"/>
      <c r="V39" s="965"/>
      <c r="W39" s="967"/>
      <c r="X39" s="965"/>
      <c r="Y39" s="967"/>
      <c r="Z39" s="965"/>
      <c r="AA39" s="967"/>
      <c r="AB39" s="965"/>
      <c r="AC39" s="967"/>
      <c r="AD39" s="965"/>
      <c r="AE39" s="967"/>
      <c r="AF39" s="965"/>
      <c r="AG39" s="967"/>
      <c r="AH39" s="965"/>
      <c r="AI39" s="967"/>
      <c r="AJ39" s="965"/>
      <c r="AK39" s="967"/>
      <c r="AL39" s="965"/>
      <c r="AM39" s="967"/>
      <c r="AN39" s="1042"/>
      <c r="AO39" s="971"/>
      <c r="AP39" s="972"/>
      <c r="AQ39" s="973"/>
      <c r="AR39" s="966"/>
      <c r="AS39" s="19" t="str">
        <f t="shared" si="21"/>
        <v/>
      </c>
      <c r="CA39" s="135" t="str">
        <f t="shared" si="14"/>
        <v/>
      </c>
      <c r="CB39" s="135" t="str">
        <f t="shared" si="15"/>
        <v/>
      </c>
      <c r="CC39" s="135" t="str">
        <f t="shared" si="16"/>
        <v/>
      </c>
      <c r="CD39" s="151"/>
      <c r="CF39" s="84">
        <f t="shared" si="17"/>
        <v>0</v>
      </c>
      <c r="CG39" s="84">
        <f t="shared" si="18"/>
        <v>0</v>
      </c>
      <c r="CH39" s="84">
        <f t="shared" si="19"/>
        <v>0</v>
      </c>
    </row>
    <row r="40" spans="1:86" s="19" customFormat="1" ht="15" customHeight="1" x14ac:dyDescent="0.2">
      <c r="A40" s="7075" t="s">
        <v>2471</v>
      </c>
      <c r="B40" s="6570"/>
      <c r="C40" s="1045">
        <f t="shared" si="13"/>
        <v>0</v>
      </c>
      <c r="D40" s="1046">
        <f>SUM(F40+H40+J40+L40+N40+P40+R40+T40+V40+X40+Z40+AB40+AD40+AF40+AH40+AJ40+AL40+AN40)</f>
        <v>0</v>
      </c>
      <c r="E40" s="964">
        <f t="shared" si="26"/>
        <v>0</v>
      </c>
      <c r="F40" s="989"/>
      <c r="G40" s="877"/>
      <c r="H40" s="989"/>
      <c r="I40" s="990"/>
      <c r="J40" s="989"/>
      <c r="K40" s="990"/>
      <c r="L40" s="989"/>
      <c r="M40" s="990"/>
      <c r="N40" s="989"/>
      <c r="O40" s="990"/>
      <c r="P40" s="989"/>
      <c r="Q40" s="990"/>
      <c r="R40" s="989"/>
      <c r="S40" s="990"/>
      <c r="T40" s="989"/>
      <c r="U40" s="990"/>
      <c r="V40" s="989"/>
      <c r="W40" s="990"/>
      <c r="X40" s="989"/>
      <c r="Y40" s="990"/>
      <c r="Z40" s="989"/>
      <c r="AA40" s="990"/>
      <c r="AB40" s="989"/>
      <c r="AC40" s="990"/>
      <c r="AD40" s="989"/>
      <c r="AE40" s="990"/>
      <c r="AF40" s="989"/>
      <c r="AG40" s="990"/>
      <c r="AH40" s="989"/>
      <c r="AI40" s="990"/>
      <c r="AJ40" s="989"/>
      <c r="AK40" s="990"/>
      <c r="AL40" s="989"/>
      <c r="AM40" s="990"/>
      <c r="AN40" s="1029"/>
      <c r="AO40" s="994"/>
      <c r="AP40" s="1030"/>
      <c r="AQ40" s="1031"/>
      <c r="AR40" s="877"/>
      <c r="AS40" s="19" t="str">
        <f t="shared" si="21"/>
        <v/>
      </c>
      <c r="CA40" s="135" t="str">
        <f t="shared" si="14"/>
        <v/>
      </c>
      <c r="CB40" s="135" t="str">
        <f t="shared" si="15"/>
        <v/>
      </c>
      <c r="CC40" s="135" t="str">
        <f t="shared" si="16"/>
        <v/>
      </c>
      <c r="CD40" s="151"/>
      <c r="CF40" s="84">
        <f t="shared" si="17"/>
        <v>0</v>
      </c>
      <c r="CG40" s="84">
        <f t="shared" si="18"/>
        <v>0</v>
      </c>
      <c r="CH40" s="84">
        <f t="shared" si="19"/>
        <v>0</v>
      </c>
    </row>
    <row r="41" spans="1:86" s="19" customFormat="1" ht="15" customHeight="1" x14ac:dyDescent="0.2">
      <c r="A41" s="7072" t="s">
        <v>77</v>
      </c>
      <c r="B41" s="7072"/>
      <c r="C41" s="998">
        <f t="shared" ref="C41:AP41" si="27">SUM(C28:C40)</f>
        <v>0</v>
      </c>
      <c r="D41" s="1005">
        <f t="shared" si="27"/>
        <v>0</v>
      </c>
      <c r="E41" s="999">
        <f t="shared" si="27"/>
        <v>0</v>
      </c>
      <c r="F41" s="998">
        <f t="shared" si="27"/>
        <v>0</v>
      </c>
      <c r="G41" s="999">
        <f t="shared" si="27"/>
        <v>0</v>
      </c>
      <c r="H41" s="998">
        <f>SUM(H28:H40)</f>
        <v>0</v>
      </c>
      <c r="I41" s="999">
        <f t="shared" si="27"/>
        <v>0</v>
      </c>
      <c r="J41" s="998">
        <f t="shared" si="27"/>
        <v>0</v>
      </c>
      <c r="K41" s="999">
        <f t="shared" si="27"/>
        <v>0</v>
      </c>
      <c r="L41" s="1047">
        <f t="shared" si="27"/>
        <v>0</v>
      </c>
      <c r="M41" s="1000">
        <f t="shared" si="27"/>
        <v>0</v>
      </c>
      <c r="N41" s="1047">
        <f t="shared" si="27"/>
        <v>0</v>
      </c>
      <c r="O41" s="1000">
        <f t="shared" si="27"/>
        <v>0</v>
      </c>
      <c r="P41" s="1048">
        <f t="shared" si="27"/>
        <v>0</v>
      </c>
      <c r="Q41" s="1000">
        <f t="shared" si="27"/>
        <v>0</v>
      </c>
      <c r="R41" s="1047">
        <f t="shared" si="27"/>
        <v>0</v>
      </c>
      <c r="S41" s="1000">
        <f t="shared" si="27"/>
        <v>0</v>
      </c>
      <c r="T41" s="1047">
        <f t="shared" ref="T41:U41" si="28">SUM(T28:T40)</f>
        <v>0</v>
      </c>
      <c r="U41" s="1000">
        <f t="shared" si="28"/>
        <v>0</v>
      </c>
      <c r="V41" s="1047">
        <f t="shared" ref="V41:W41" si="29">SUM(V28:V40)</f>
        <v>0</v>
      </c>
      <c r="W41" s="1000">
        <f t="shared" si="29"/>
        <v>0</v>
      </c>
      <c r="X41" s="998">
        <f t="shared" si="27"/>
        <v>0</v>
      </c>
      <c r="Y41" s="1049">
        <f t="shared" si="27"/>
        <v>0</v>
      </c>
      <c r="Z41" s="998">
        <f t="shared" si="27"/>
        <v>0</v>
      </c>
      <c r="AA41" s="1049">
        <f t="shared" si="27"/>
        <v>0</v>
      </c>
      <c r="AB41" s="998">
        <f t="shared" si="27"/>
        <v>0</v>
      </c>
      <c r="AC41" s="1049">
        <f t="shared" si="27"/>
        <v>0</v>
      </c>
      <c r="AD41" s="1047">
        <f t="shared" si="27"/>
        <v>0</v>
      </c>
      <c r="AE41" s="1000">
        <f t="shared" si="27"/>
        <v>0</v>
      </c>
      <c r="AF41" s="1047">
        <f t="shared" si="27"/>
        <v>0</v>
      </c>
      <c r="AG41" s="1000">
        <f t="shared" si="27"/>
        <v>0</v>
      </c>
      <c r="AH41" s="1048">
        <f t="shared" si="27"/>
        <v>0</v>
      </c>
      <c r="AI41" s="1000">
        <f t="shared" si="27"/>
        <v>0</v>
      </c>
      <c r="AJ41" s="1047">
        <f t="shared" si="27"/>
        <v>0</v>
      </c>
      <c r="AK41" s="1000">
        <f t="shared" si="27"/>
        <v>0</v>
      </c>
      <c r="AL41" s="1047">
        <f t="shared" si="27"/>
        <v>0</v>
      </c>
      <c r="AM41" s="1000">
        <f t="shared" si="27"/>
        <v>0</v>
      </c>
      <c r="AN41" s="1047">
        <f t="shared" si="27"/>
        <v>0</v>
      </c>
      <c r="AO41" s="1003">
        <f t="shared" si="27"/>
        <v>0</v>
      </c>
      <c r="AP41" s="1004">
        <f t="shared" si="27"/>
        <v>0</v>
      </c>
      <c r="AQ41" s="1005">
        <f>SUM(AQ28:AQ40)</f>
        <v>0</v>
      </c>
      <c r="AR41" s="999">
        <f>SUM(AR28:AR40)</f>
        <v>0</v>
      </c>
    </row>
    <row r="42" spans="1:86" s="25" customFormat="1" ht="18" customHeight="1" x14ac:dyDescent="0.2">
      <c r="A42" s="3" t="s">
        <v>2472</v>
      </c>
    </row>
    <row r="43" spans="1:86" s="19" customFormat="1" ht="15" customHeight="1" x14ac:dyDescent="0.2">
      <c r="A43" s="7079" t="s">
        <v>2459</v>
      </c>
      <c r="B43" s="7082" t="s">
        <v>77</v>
      </c>
      <c r="C43" s="7083"/>
      <c r="D43" s="7079"/>
      <c r="E43" s="7024" t="s">
        <v>101</v>
      </c>
      <c r="F43" s="7025"/>
      <c r="G43" s="7025"/>
      <c r="H43" s="7025"/>
      <c r="I43" s="7025"/>
      <c r="J43" s="7025"/>
      <c r="K43" s="7025"/>
      <c r="L43" s="7025"/>
      <c r="M43" s="7025"/>
      <c r="N43" s="7025"/>
      <c r="O43" s="7025"/>
      <c r="P43" s="7025"/>
      <c r="Q43" s="7025"/>
      <c r="R43" s="7025"/>
      <c r="S43" s="7025"/>
      <c r="T43" s="7025"/>
      <c r="U43" s="7025"/>
      <c r="V43" s="7025"/>
      <c r="W43" s="7025"/>
      <c r="X43" s="7025"/>
      <c r="Y43" s="7025"/>
      <c r="Z43" s="7025"/>
      <c r="AA43" s="7025"/>
      <c r="AB43" s="7025"/>
      <c r="AC43" s="7025"/>
      <c r="AD43" s="7025"/>
      <c r="AE43" s="7025"/>
      <c r="AF43" s="7025"/>
      <c r="AG43" s="7025"/>
      <c r="AH43" s="7025"/>
      <c r="AI43" s="7025"/>
      <c r="AJ43" s="7025"/>
      <c r="AK43" s="7025"/>
      <c r="AL43" s="7025"/>
      <c r="AM43" s="7025"/>
      <c r="AN43" s="7034"/>
      <c r="AO43" s="7086" t="s">
        <v>2473</v>
      </c>
      <c r="AP43" s="7087"/>
      <c r="AQ43" s="7032" t="s">
        <v>36</v>
      </c>
      <c r="AR43" s="6969" t="s">
        <v>37</v>
      </c>
    </row>
    <row r="44" spans="1:86" s="19" customFormat="1" ht="15" customHeight="1" x14ac:dyDescent="0.2">
      <c r="A44" s="7080"/>
      <c r="B44" s="7084"/>
      <c r="C44" s="7085"/>
      <c r="D44" s="7081"/>
      <c r="E44" s="7021" t="s">
        <v>4407</v>
      </c>
      <c r="F44" s="7022"/>
      <c r="G44" s="7031" t="s">
        <v>2446</v>
      </c>
      <c r="H44" s="7022"/>
      <c r="I44" s="7031" t="s">
        <v>2447</v>
      </c>
      <c r="J44" s="7022"/>
      <c r="K44" s="7031" t="s">
        <v>94</v>
      </c>
      <c r="L44" s="7022"/>
      <c r="M44" s="7031" t="s">
        <v>44</v>
      </c>
      <c r="N44" s="7022"/>
      <c r="O44" s="7031" t="s">
        <v>45</v>
      </c>
      <c r="P44" s="7022"/>
      <c r="Q44" s="7031" t="s">
        <v>46</v>
      </c>
      <c r="R44" s="7022"/>
      <c r="S44" s="7031" t="s">
        <v>47</v>
      </c>
      <c r="T44" s="7022"/>
      <c r="U44" s="7031" t="s">
        <v>48</v>
      </c>
      <c r="V44" s="7022"/>
      <c r="W44" s="7023" t="s">
        <v>49</v>
      </c>
      <c r="X44" s="6976"/>
      <c r="Y44" s="7031" t="s">
        <v>50</v>
      </c>
      <c r="Z44" s="7022"/>
      <c r="AA44" s="7031" t="s">
        <v>51</v>
      </c>
      <c r="AB44" s="7022"/>
      <c r="AC44" s="7031" t="s">
        <v>52</v>
      </c>
      <c r="AD44" s="7022"/>
      <c r="AE44" s="7031" t="s">
        <v>53</v>
      </c>
      <c r="AF44" s="7022"/>
      <c r="AG44" s="7031" t="s">
        <v>54</v>
      </c>
      <c r="AH44" s="7022"/>
      <c r="AI44" s="7031" t="s">
        <v>55</v>
      </c>
      <c r="AJ44" s="7022"/>
      <c r="AK44" s="7031" t="s">
        <v>56</v>
      </c>
      <c r="AL44" s="7022"/>
      <c r="AM44" s="6223" t="s">
        <v>57</v>
      </c>
      <c r="AN44" s="6223"/>
      <c r="AO44" s="7088"/>
      <c r="AP44" s="7089"/>
      <c r="AQ44" s="6850"/>
      <c r="AR44" s="5759"/>
    </row>
    <row r="45" spans="1:86" s="19" customFormat="1" ht="15" customHeight="1" x14ac:dyDescent="0.2">
      <c r="A45" s="7081"/>
      <c r="B45" s="1052" t="s">
        <v>79</v>
      </c>
      <c r="C45" s="134" t="s">
        <v>58</v>
      </c>
      <c r="D45" s="85" t="s">
        <v>59</v>
      </c>
      <c r="E45" s="1006" t="s">
        <v>58</v>
      </c>
      <c r="F45" s="1008" t="s">
        <v>59</v>
      </c>
      <c r="G45" s="1006" t="s">
        <v>58</v>
      </c>
      <c r="H45" s="1008" t="s">
        <v>59</v>
      </c>
      <c r="I45" s="1006" t="s">
        <v>58</v>
      </c>
      <c r="J45" s="1008" t="s">
        <v>59</v>
      </c>
      <c r="K45" s="1006" t="s">
        <v>58</v>
      </c>
      <c r="L45" s="1008" t="s">
        <v>59</v>
      </c>
      <c r="M45" s="1006" t="s">
        <v>58</v>
      </c>
      <c r="N45" s="1008" t="s">
        <v>59</v>
      </c>
      <c r="O45" s="1006" t="s">
        <v>58</v>
      </c>
      <c r="P45" s="1008" t="s">
        <v>59</v>
      </c>
      <c r="Q45" s="947" t="s">
        <v>58</v>
      </c>
      <c r="R45" s="940" t="s">
        <v>59</v>
      </c>
      <c r="S45" s="947" t="s">
        <v>58</v>
      </c>
      <c r="T45" s="940" t="s">
        <v>59</v>
      </c>
      <c r="U45" s="947" t="s">
        <v>58</v>
      </c>
      <c r="V45" s="940" t="s">
        <v>59</v>
      </c>
      <c r="W45" s="1006" t="s">
        <v>58</v>
      </c>
      <c r="X45" s="1008" t="s">
        <v>59</v>
      </c>
      <c r="Y45" s="1006" t="s">
        <v>58</v>
      </c>
      <c r="Z45" s="1008" t="s">
        <v>59</v>
      </c>
      <c r="AA45" s="1006" t="s">
        <v>58</v>
      </c>
      <c r="AB45" s="1008" t="s">
        <v>59</v>
      </c>
      <c r="AC45" s="1006" t="s">
        <v>58</v>
      </c>
      <c r="AD45" s="1008" t="s">
        <v>59</v>
      </c>
      <c r="AE45" s="1006" t="s">
        <v>58</v>
      </c>
      <c r="AF45" s="1008" t="s">
        <v>59</v>
      </c>
      <c r="AG45" s="1006" t="s">
        <v>58</v>
      </c>
      <c r="AH45" s="1008" t="s">
        <v>59</v>
      </c>
      <c r="AI45" s="1006" t="s">
        <v>58</v>
      </c>
      <c r="AJ45" s="1008" t="s">
        <v>59</v>
      </c>
      <c r="AK45" s="1006" t="s">
        <v>58</v>
      </c>
      <c r="AL45" s="1008" t="s">
        <v>59</v>
      </c>
      <c r="AM45" s="1006" t="s">
        <v>58</v>
      </c>
      <c r="AN45" s="1053" t="s">
        <v>59</v>
      </c>
      <c r="AO45" s="1054" t="s">
        <v>811</v>
      </c>
      <c r="AP45" s="1055" t="s">
        <v>813</v>
      </c>
      <c r="AQ45" s="6626"/>
      <c r="AR45" s="6687"/>
    </row>
    <row r="46" spans="1:86" s="19" customFormat="1" ht="15" customHeight="1" x14ac:dyDescent="0.2">
      <c r="A46" s="1056" t="s">
        <v>2474</v>
      </c>
      <c r="B46" s="1057">
        <f t="shared" ref="B46:B53" si="30">SUM(C46+D46)</f>
        <v>0</v>
      </c>
      <c r="C46" s="1058">
        <f>SUM(E46+G46)</f>
        <v>0</v>
      </c>
      <c r="D46" s="1059">
        <f>SUM(F46+H46)</f>
        <v>0</v>
      </c>
      <c r="E46" s="1060"/>
      <c r="F46" s="1061"/>
      <c r="G46" s="1060"/>
      <c r="H46" s="1061"/>
      <c r="I46" s="1021"/>
      <c r="J46" s="206"/>
      <c r="K46" s="1021"/>
      <c r="L46" s="1022"/>
      <c r="M46" s="1021"/>
      <c r="N46" s="1022"/>
      <c r="O46" s="1021"/>
      <c r="P46" s="1022"/>
      <c r="Q46" s="1021"/>
      <c r="R46" s="1022"/>
      <c r="S46" s="1021"/>
      <c r="T46" s="1022"/>
      <c r="U46" s="1021"/>
      <c r="V46" s="1022"/>
      <c r="W46" s="1021"/>
      <c r="X46" s="1022"/>
      <c r="Y46" s="1021"/>
      <c r="Z46" s="1022"/>
      <c r="AA46" s="1021"/>
      <c r="AB46" s="1022"/>
      <c r="AC46" s="1021"/>
      <c r="AD46" s="1022"/>
      <c r="AE46" s="1021"/>
      <c r="AF46" s="1022"/>
      <c r="AG46" s="1021"/>
      <c r="AH46" s="1022"/>
      <c r="AI46" s="1021"/>
      <c r="AJ46" s="1022"/>
      <c r="AK46" s="1021"/>
      <c r="AL46" s="1022"/>
      <c r="AM46" s="1021"/>
      <c r="AN46" s="1062"/>
      <c r="AO46" s="338"/>
      <c r="AP46" s="1063"/>
      <c r="AQ46" s="159"/>
      <c r="AR46" s="1063"/>
      <c r="AS46" s="19" t="str">
        <f>CA46&amp;CB46&amp;CC46</f>
        <v/>
      </c>
      <c r="CA46" s="135" t="str">
        <f t="shared" ref="CA46:CA53" si="31">IF(AND(B46&gt;0,AO46="",AP46="")," * No olvide registrar Causal de egresos (Abandono/Fallecimiento). Digite Cero si no tiene",IF((AO46+AP46)&gt;B46," * Egresos según causal no debe ser mayor que el Total Ambos Sexos",""))</f>
        <v/>
      </c>
      <c r="CB46" s="135" t="str">
        <f t="shared" ref="CB46:CB53" si="32">IF(AND(B46&gt;0,AQ46="")," * No olvide digitar la variable Pueblos Originarios. Digite Cero si no tiene.",IF(AQ46&gt;B46," * La variable Pueblos originarios no puede ser mayor al Total Ambos Sexos.",""))</f>
        <v/>
      </c>
      <c r="CC46" s="135" t="str">
        <f t="shared" ref="CC46:CC53" si="33">IF(AND(B46&gt;0,AR46="")," * No olvide digitar la variable Migrantes. Digite Cero si no tiene.",IF(AR46&gt;B46," * La variable Migrantes no puede ser mayor al Total Ambos Sexos.",""))</f>
        <v/>
      </c>
      <c r="CF46" s="182">
        <f>IF(AND($B46&gt;0,AO46="",AP46=""),1,IF((AO46+AP46)&gt;$B46,1,0))</f>
        <v>0</v>
      </c>
      <c r="CG46" s="182">
        <f>IF(AND($B46&gt;0,AQ46=""),1,IF((AQ46)&gt;$B46,1,0))</f>
        <v>0</v>
      </c>
      <c r="CH46" s="182">
        <f>IF(AND($B46&gt;0,AR46=""),1,IF((AR46)&gt;$B46,1,0))</f>
        <v>0</v>
      </c>
    </row>
    <row r="47" spans="1:86" s="19" customFormat="1" ht="15" customHeight="1" x14ac:dyDescent="0.2">
      <c r="A47" s="1064" t="s">
        <v>2463</v>
      </c>
      <c r="B47" s="1065">
        <f t="shared" si="30"/>
        <v>0</v>
      </c>
      <c r="C47" s="1066">
        <f>SUM(G47+I47+K47+M47+O47+S47+U47+Q47+W47+Y47+AA47+AC47+AE47+AG47+AI47+AK47+AM47)</f>
        <v>0</v>
      </c>
      <c r="D47" s="1067">
        <f>SUM(H47+J47+L47+N47+P47+R47+T47+V47+X47+Z47+AB47+AD47+AF47+AH47+AJ47+AL47+AN47)</f>
        <v>0</v>
      </c>
      <c r="E47" s="1024"/>
      <c r="F47" s="36"/>
      <c r="G47" s="37"/>
      <c r="H47" s="38"/>
      <c r="I47" s="207"/>
      <c r="J47" s="39"/>
      <c r="K47" s="207"/>
      <c r="L47" s="39"/>
      <c r="M47" s="207"/>
      <c r="N47" s="39"/>
      <c r="O47" s="207"/>
      <c r="P47" s="39"/>
      <c r="Q47" s="207"/>
      <c r="R47" s="39"/>
      <c r="S47" s="207"/>
      <c r="T47" s="39"/>
      <c r="U47" s="207"/>
      <c r="V47" s="39"/>
      <c r="W47" s="1068"/>
      <c r="X47" s="1069"/>
      <c r="Y47" s="1068"/>
      <c r="Z47" s="1069"/>
      <c r="AA47" s="1068"/>
      <c r="AB47" s="1069"/>
      <c r="AC47" s="1068"/>
      <c r="AD47" s="1069"/>
      <c r="AE47" s="1068"/>
      <c r="AF47" s="1069"/>
      <c r="AG47" s="1068"/>
      <c r="AH47" s="1069"/>
      <c r="AI47" s="1068"/>
      <c r="AJ47" s="1069"/>
      <c r="AK47" s="1068"/>
      <c r="AL47" s="1069"/>
      <c r="AM47" s="1068"/>
      <c r="AN47" s="1070"/>
      <c r="AO47" s="1071"/>
      <c r="AP47" s="1072"/>
      <c r="AQ47" s="1073"/>
      <c r="AR47" s="1072"/>
      <c r="AS47" s="19" t="str">
        <f t="shared" ref="AS47:AS53" si="34">CA47&amp;CB47&amp;CC47</f>
        <v/>
      </c>
      <c r="CA47" s="135" t="str">
        <f t="shared" si="31"/>
        <v/>
      </c>
      <c r="CB47" s="135" t="str">
        <f t="shared" si="32"/>
        <v/>
      </c>
      <c r="CC47" s="135" t="str">
        <f t="shared" si="33"/>
        <v/>
      </c>
      <c r="CF47" s="182">
        <f t="shared" ref="CF47:CF53" si="35">IF(AND($B47&gt;0,AO47="",AP47=""),1,IF((AO47+AP47)&gt;$B47,1,0))</f>
        <v>0</v>
      </c>
      <c r="CG47" s="182">
        <f t="shared" ref="CG47:CG53" si="36">IF(AND($B47&gt;0,AQ47=""),1,IF((AQ47)&gt;$B47,1,0))</f>
        <v>0</v>
      </c>
      <c r="CH47" s="182">
        <f t="shared" ref="CH47:CH53" si="37">IF(AND($B47&gt;0,AR47=""),1,IF((AR47)&gt;$B47,1,0))</f>
        <v>0</v>
      </c>
    </row>
    <row r="48" spans="1:86" s="19" customFormat="1" ht="15" customHeight="1" x14ac:dyDescent="0.2">
      <c r="A48" s="1064" t="s">
        <v>2464</v>
      </c>
      <c r="B48" s="339">
        <f t="shared" si="30"/>
        <v>0</v>
      </c>
      <c r="C48" s="40">
        <f>SUM(W48+Y48+AA48+AC48+AE48+AG48+AI48+AK48+AM48)</f>
        <v>0</v>
      </c>
      <c r="D48" s="208">
        <f>SUM(X48+Z48+AB48+AD48+AF48+AH48+AJ48+AL48+AN48)</f>
        <v>0</v>
      </c>
      <c r="E48" s="1024"/>
      <c r="F48" s="1025"/>
      <c r="G48" s="1024"/>
      <c r="H48" s="1025"/>
      <c r="I48" s="1024"/>
      <c r="J48" s="1025"/>
      <c r="K48" s="1024"/>
      <c r="L48" s="1025"/>
      <c r="M48" s="1024"/>
      <c r="N48" s="1025"/>
      <c r="O48" s="1024"/>
      <c r="P48" s="206"/>
      <c r="Q48" s="340"/>
      <c r="R48" s="206"/>
      <c r="S48" s="340"/>
      <c r="T48" s="206"/>
      <c r="U48" s="340"/>
      <c r="V48" s="206"/>
      <c r="W48" s="341"/>
      <c r="X48" s="209"/>
      <c r="Y48" s="341"/>
      <c r="Z48" s="209"/>
      <c r="AA48" s="341"/>
      <c r="AB48" s="209"/>
      <c r="AC48" s="341"/>
      <c r="AD48" s="209"/>
      <c r="AE48" s="341"/>
      <c r="AF48" s="209"/>
      <c r="AG48" s="341"/>
      <c r="AH48" s="209"/>
      <c r="AI48" s="341"/>
      <c r="AJ48" s="209"/>
      <c r="AK48" s="341"/>
      <c r="AL48" s="209"/>
      <c r="AM48" s="341"/>
      <c r="AN48" s="133"/>
      <c r="AO48" s="1071"/>
      <c r="AP48" s="1072"/>
      <c r="AQ48" s="1073"/>
      <c r="AR48" s="1072"/>
      <c r="AS48" s="19" t="str">
        <f t="shared" si="34"/>
        <v/>
      </c>
      <c r="CA48" s="135" t="str">
        <f t="shared" si="31"/>
        <v/>
      </c>
      <c r="CB48" s="135" t="str">
        <f t="shared" si="32"/>
        <v/>
      </c>
      <c r="CC48" s="135" t="str">
        <f t="shared" si="33"/>
        <v/>
      </c>
      <c r="CF48" s="182">
        <f t="shared" si="35"/>
        <v>0</v>
      </c>
      <c r="CG48" s="182">
        <f t="shared" si="36"/>
        <v>0</v>
      </c>
      <c r="CH48" s="182">
        <f t="shared" si="37"/>
        <v>0</v>
      </c>
    </row>
    <row r="49" spans="1:86" s="19" customFormat="1" ht="15" customHeight="1" x14ac:dyDescent="0.2">
      <c r="A49" s="253" t="s">
        <v>2467</v>
      </c>
      <c r="B49" s="303">
        <f t="shared" si="30"/>
        <v>0</v>
      </c>
      <c r="C49" s="41">
        <f>SUM(E49+G49+I49+K49+M49+O49+Q49+S49+U49+W49+Y49+AA49+AC49+AE49+AG49+AI49+AK49+AM49)</f>
        <v>0</v>
      </c>
      <c r="D49" s="141">
        <f>SUM(F49+H49+J49+L49+N49+P49+R49+T49+V49+X49+Z49+AB49+AD49+AF49+AH49+AJ49+AL49+AN49)</f>
        <v>0</v>
      </c>
      <c r="E49" s="327"/>
      <c r="F49" s="142"/>
      <c r="G49" s="327"/>
      <c r="H49" s="142"/>
      <c r="I49" s="327"/>
      <c r="J49" s="142"/>
      <c r="K49" s="327"/>
      <c r="L49" s="142"/>
      <c r="M49" s="327"/>
      <c r="N49" s="142"/>
      <c r="O49" s="327"/>
      <c r="P49" s="142"/>
      <c r="Q49" s="327"/>
      <c r="R49" s="142"/>
      <c r="S49" s="327"/>
      <c r="T49" s="142"/>
      <c r="U49" s="327"/>
      <c r="V49" s="142"/>
      <c r="W49" s="327"/>
      <c r="X49" s="142"/>
      <c r="Y49" s="327"/>
      <c r="Z49" s="142"/>
      <c r="AA49" s="327"/>
      <c r="AB49" s="142"/>
      <c r="AC49" s="327"/>
      <c r="AD49" s="142"/>
      <c r="AE49" s="327"/>
      <c r="AF49" s="142"/>
      <c r="AG49" s="327"/>
      <c r="AH49" s="142"/>
      <c r="AI49" s="327"/>
      <c r="AJ49" s="142"/>
      <c r="AK49" s="327"/>
      <c r="AL49" s="142"/>
      <c r="AM49" s="327"/>
      <c r="AN49" s="45"/>
      <c r="AO49" s="1071"/>
      <c r="AP49" s="1072"/>
      <c r="AQ49" s="1073"/>
      <c r="AR49" s="1072"/>
      <c r="AS49" s="19" t="str">
        <f t="shared" si="34"/>
        <v/>
      </c>
      <c r="CA49" s="135" t="str">
        <f t="shared" si="31"/>
        <v/>
      </c>
      <c r="CB49" s="135" t="str">
        <f t="shared" si="32"/>
        <v/>
      </c>
      <c r="CC49" s="135" t="str">
        <f t="shared" si="33"/>
        <v/>
      </c>
      <c r="CF49" s="182">
        <f t="shared" si="35"/>
        <v>0</v>
      </c>
      <c r="CG49" s="182">
        <f t="shared" si="36"/>
        <v>0</v>
      </c>
      <c r="CH49" s="182">
        <f t="shared" si="37"/>
        <v>0</v>
      </c>
    </row>
    <row r="50" spans="1:86" s="19" customFormat="1" ht="15" customHeight="1" x14ac:dyDescent="0.2">
      <c r="A50" s="1074" t="s">
        <v>2468</v>
      </c>
      <c r="B50" s="1075">
        <f t="shared" si="30"/>
        <v>0</v>
      </c>
      <c r="C50" s="1076">
        <f t="shared" ref="C50:C53" si="38">SUM(E50+G50+I50+K50+M50+O50+Q50+S50+U50+W50+Y50+AA50+AC50+AE50+AG50+AI50+AK50+AM50)</f>
        <v>0</v>
      </c>
      <c r="D50" s="1067">
        <f t="shared" ref="D50:D53" si="39">SUM(F50+H50+J50+L50+N50+P50+R50+T50+V50+X50+Z50+AB50+AD50+AF50+AH50+AJ50+AL50+AN50)</f>
        <v>0</v>
      </c>
      <c r="E50" s="1068"/>
      <c r="F50" s="1069"/>
      <c r="G50" s="1068"/>
      <c r="H50" s="1069"/>
      <c r="I50" s="1068"/>
      <c r="J50" s="1069"/>
      <c r="K50" s="1068"/>
      <c r="L50" s="209"/>
      <c r="M50" s="341"/>
      <c r="N50" s="209"/>
      <c r="O50" s="341"/>
      <c r="P50" s="209"/>
      <c r="Q50" s="341"/>
      <c r="R50" s="209"/>
      <c r="S50" s="341"/>
      <c r="T50" s="209"/>
      <c r="U50" s="341"/>
      <c r="V50" s="209"/>
      <c r="W50" s="341"/>
      <c r="X50" s="209"/>
      <c r="Y50" s="341"/>
      <c r="Z50" s="209"/>
      <c r="AA50" s="341"/>
      <c r="AB50" s="209"/>
      <c r="AC50" s="341"/>
      <c r="AD50" s="209"/>
      <c r="AE50" s="341"/>
      <c r="AF50" s="209"/>
      <c r="AG50" s="341"/>
      <c r="AH50" s="209"/>
      <c r="AI50" s="341"/>
      <c r="AJ50" s="209"/>
      <c r="AK50" s="341"/>
      <c r="AL50" s="209"/>
      <c r="AM50" s="341"/>
      <c r="AN50" s="133"/>
      <c r="AO50" s="1071"/>
      <c r="AP50" s="1072"/>
      <c r="AQ50" s="1073"/>
      <c r="AR50" s="1072"/>
      <c r="AS50" s="19" t="str">
        <f t="shared" si="34"/>
        <v/>
      </c>
      <c r="CA50" s="135" t="str">
        <f t="shared" si="31"/>
        <v/>
      </c>
      <c r="CB50" s="135" t="str">
        <f t="shared" si="32"/>
        <v/>
      </c>
      <c r="CC50" s="135" t="str">
        <f t="shared" si="33"/>
        <v/>
      </c>
      <c r="CF50" s="182">
        <f t="shared" si="35"/>
        <v>0</v>
      </c>
      <c r="CG50" s="182">
        <f t="shared" si="36"/>
        <v>0</v>
      </c>
      <c r="CH50" s="182">
        <f t="shared" si="37"/>
        <v>0</v>
      </c>
    </row>
    <row r="51" spans="1:86" s="19" customFormat="1" ht="15" customHeight="1" x14ac:dyDescent="0.2">
      <c r="A51" s="1077" t="s">
        <v>2469</v>
      </c>
      <c r="B51" s="231">
        <f t="shared" si="30"/>
        <v>0</v>
      </c>
      <c r="C51" s="210">
        <f t="shared" si="38"/>
        <v>0</v>
      </c>
      <c r="D51" s="208">
        <f t="shared" si="39"/>
        <v>0</v>
      </c>
      <c r="E51" s="1068"/>
      <c r="F51" s="1069"/>
      <c r="G51" s="1068"/>
      <c r="H51" s="1069"/>
      <c r="I51" s="1068"/>
      <c r="J51" s="1069"/>
      <c r="K51" s="1068"/>
      <c r="L51" s="1069"/>
      <c r="M51" s="1068"/>
      <c r="N51" s="1069"/>
      <c r="O51" s="1068"/>
      <c r="P51" s="1069"/>
      <c r="Q51" s="1068"/>
      <c r="R51" s="1069"/>
      <c r="S51" s="1068"/>
      <c r="T51" s="1069"/>
      <c r="U51" s="1068"/>
      <c r="V51" s="1069"/>
      <c r="W51" s="1068"/>
      <c r="X51" s="1069"/>
      <c r="Y51" s="1068"/>
      <c r="Z51" s="1069"/>
      <c r="AA51" s="1068"/>
      <c r="AB51" s="1069"/>
      <c r="AC51" s="1068"/>
      <c r="AD51" s="1069"/>
      <c r="AE51" s="1068"/>
      <c r="AF51" s="1069"/>
      <c r="AG51" s="1068"/>
      <c r="AH51" s="1069"/>
      <c r="AI51" s="1068"/>
      <c r="AJ51" s="1069"/>
      <c r="AK51" s="1068"/>
      <c r="AL51" s="1069"/>
      <c r="AM51" s="1068"/>
      <c r="AN51" s="1070"/>
      <c r="AO51" s="1078"/>
      <c r="AP51" s="1079"/>
      <c r="AQ51" s="1080"/>
      <c r="AR51" s="1079"/>
      <c r="AS51" s="19" t="str">
        <f t="shared" si="34"/>
        <v/>
      </c>
      <c r="CA51" s="135" t="str">
        <f t="shared" si="31"/>
        <v/>
      </c>
      <c r="CB51" s="135" t="str">
        <f t="shared" si="32"/>
        <v/>
      </c>
      <c r="CC51" s="135" t="str">
        <f t="shared" si="33"/>
        <v/>
      </c>
      <c r="CF51" s="182">
        <f t="shared" si="35"/>
        <v>0</v>
      </c>
      <c r="CG51" s="182">
        <f t="shared" si="36"/>
        <v>0</v>
      </c>
      <c r="CH51" s="182">
        <f t="shared" si="37"/>
        <v>0</v>
      </c>
    </row>
    <row r="52" spans="1:86" s="19" customFormat="1" ht="15" customHeight="1" x14ac:dyDescent="0.2">
      <c r="A52" s="1081" t="s">
        <v>2470</v>
      </c>
      <c r="B52" s="1075">
        <f t="shared" si="30"/>
        <v>0</v>
      </c>
      <c r="C52" s="1076">
        <f>SUM(E52+G52+I52+K52+M52+O52+Q52+S52+U52+W52+Y52+AA52+AC52+AE52+AG52+AI52+AK52+AM52)</f>
        <v>0</v>
      </c>
      <c r="D52" s="1067">
        <f t="shared" si="39"/>
        <v>0</v>
      </c>
      <c r="E52" s="1068"/>
      <c r="F52" s="1069"/>
      <c r="G52" s="1068"/>
      <c r="H52" s="1069"/>
      <c r="I52" s="1068"/>
      <c r="J52" s="1069"/>
      <c r="K52" s="1068"/>
      <c r="L52" s="1069"/>
      <c r="M52" s="1068"/>
      <c r="N52" s="1069"/>
      <c r="O52" s="1068"/>
      <c r="P52" s="1069"/>
      <c r="Q52" s="1068"/>
      <c r="R52" s="1069"/>
      <c r="S52" s="1068"/>
      <c r="T52" s="1069"/>
      <c r="U52" s="1068"/>
      <c r="V52" s="1069"/>
      <c r="W52" s="1068"/>
      <c r="X52" s="1069"/>
      <c r="Y52" s="1068"/>
      <c r="Z52" s="1069"/>
      <c r="AA52" s="1068"/>
      <c r="AB52" s="1069"/>
      <c r="AC52" s="1068"/>
      <c r="AD52" s="1069"/>
      <c r="AE52" s="1068"/>
      <c r="AF52" s="1069"/>
      <c r="AG52" s="1068"/>
      <c r="AH52" s="1069"/>
      <c r="AI52" s="1068"/>
      <c r="AJ52" s="1069"/>
      <c r="AK52" s="1068"/>
      <c r="AL52" s="1069"/>
      <c r="AM52" s="1068"/>
      <c r="AN52" s="1070"/>
      <c r="AO52" s="1078"/>
      <c r="AP52" s="1079"/>
      <c r="AQ52" s="1080"/>
      <c r="AR52" s="1079"/>
      <c r="AS52" s="19" t="str">
        <f t="shared" si="34"/>
        <v/>
      </c>
      <c r="CA52" s="135" t="str">
        <f t="shared" si="31"/>
        <v/>
      </c>
      <c r="CB52" s="135" t="str">
        <f t="shared" si="32"/>
        <v/>
      </c>
      <c r="CC52" s="135" t="str">
        <f t="shared" si="33"/>
        <v/>
      </c>
      <c r="CF52" s="182">
        <f t="shared" si="35"/>
        <v>0</v>
      </c>
      <c r="CG52" s="182">
        <f t="shared" si="36"/>
        <v>0</v>
      </c>
      <c r="CH52" s="182">
        <f t="shared" si="37"/>
        <v>0</v>
      </c>
    </row>
    <row r="53" spans="1:86" s="19" customFormat="1" ht="15" customHeight="1" x14ac:dyDescent="0.2">
      <c r="A53" s="1082" t="s">
        <v>2471</v>
      </c>
      <c r="B53" s="1083">
        <f t="shared" si="30"/>
        <v>0</v>
      </c>
      <c r="C53" s="1084">
        <f t="shared" si="38"/>
        <v>0</v>
      </c>
      <c r="D53" s="1085">
        <f t="shared" si="39"/>
        <v>0</v>
      </c>
      <c r="E53" s="1086"/>
      <c r="F53" s="1087"/>
      <c r="G53" s="1086"/>
      <c r="H53" s="1087"/>
      <c r="I53" s="1086"/>
      <c r="J53" s="1087"/>
      <c r="K53" s="1086"/>
      <c r="L53" s="1087"/>
      <c r="M53" s="1086"/>
      <c r="N53" s="1087"/>
      <c r="O53" s="1086"/>
      <c r="P53" s="1087"/>
      <c r="Q53" s="1086"/>
      <c r="R53" s="1087"/>
      <c r="S53" s="1086"/>
      <c r="T53" s="1087"/>
      <c r="U53" s="1086"/>
      <c r="V53" s="1087"/>
      <c r="W53" s="1086"/>
      <c r="X53" s="1087"/>
      <c r="Y53" s="1086"/>
      <c r="Z53" s="1087"/>
      <c r="AA53" s="1086"/>
      <c r="AB53" s="1087"/>
      <c r="AC53" s="1086"/>
      <c r="AD53" s="1087"/>
      <c r="AE53" s="1086"/>
      <c r="AF53" s="1087"/>
      <c r="AG53" s="1086"/>
      <c r="AH53" s="1087"/>
      <c r="AI53" s="1086"/>
      <c r="AJ53" s="1087"/>
      <c r="AK53" s="1086"/>
      <c r="AL53" s="1087"/>
      <c r="AM53" s="1086"/>
      <c r="AN53" s="1088"/>
      <c r="AO53" s="1089"/>
      <c r="AP53" s="1090"/>
      <c r="AQ53" s="1091"/>
      <c r="AR53" s="1090"/>
      <c r="AS53" s="19" t="str">
        <f t="shared" si="34"/>
        <v/>
      </c>
      <c r="CA53" s="135" t="str">
        <f t="shared" si="31"/>
        <v/>
      </c>
      <c r="CB53" s="135" t="str">
        <f t="shared" si="32"/>
        <v/>
      </c>
      <c r="CC53" s="135" t="str">
        <f t="shared" si="33"/>
        <v/>
      </c>
      <c r="CF53" s="182">
        <f t="shared" si="35"/>
        <v>0</v>
      </c>
      <c r="CG53" s="182">
        <f t="shared" si="36"/>
        <v>0</v>
      </c>
      <c r="CH53" s="182">
        <f t="shared" si="37"/>
        <v>0</v>
      </c>
    </row>
    <row r="54" spans="1:86" s="25" customFormat="1" ht="18" customHeight="1" x14ac:dyDescent="0.2">
      <c r="A54" s="3" t="s">
        <v>2475</v>
      </c>
    </row>
    <row r="55" spans="1:86" s="19" customFormat="1" ht="15" customHeight="1" x14ac:dyDescent="0.2">
      <c r="A55" s="7022" t="s">
        <v>27</v>
      </c>
      <c r="B55" s="7031" t="s">
        <v>77</v>
      </c>
      <c r="C55" s="6223"/>
      <c r="D55" s="6223"/>
      <c r="E55" s="7024" t="s">
        <v>101</v>
      </c>
      <c r="F55" s="7025"/>
      <c r="G55" s="7025"/>
      <c r="H55" s="7025"/>
      <c r="I55" s="7025"/>
      <c r="J55" s="7025"/>
      <c r="K55" s="7025"/>
      <c r="L55" s="7025"/>
      <c r="M55" s="7025"/>
      <c r="N55" s="7025"/>
      <c r="O55" s="7025"/>
      <c r="P55" s="7025"/>
      <c r="Q55" s="7025"/>
      <c r="R55" s="7025"/>
      <c r="S55" s="7025"/>
      <c r="T55" s="7025"/>
      <c r="U55" s="7025"/>
      <c r="V55" s="7025"/>
      <c r="W55" s="7025"/>
      <c r="X55" s="7025"/>
      <c r="Y55" s="7025"/>
      <c r="Z55" s="7025"/>
      <c r="AA55" s="7025"/>
      <c r="AB55" s="7025"/>
      <c r="AC55" s="7025"/>
      <c r="AD55" s="7025"/>
      <c r="AE55" s="7025"/>
      <c r="AF55" s="7025"/>
      <c r="AG55" s="7025"/>
      <c r="AH55" s="7025"/>
      <c r="AI55" s="7025"/>
      <c r="AJ55" s="7025"/>
      <c r="AK55" s="7025"/>
      <c r="AL55" s="7025"/>
      <c r="AM55" s="7025"/>
      <c r="AN55" s="7034"/>
      <c r="AO55" s="7078" t="s">
        <v>597</v>
      </c>
    </row>
    <row r="56" spans="1:86" s="19" customFormat="1" ht="15" customHeight="1" x14ac:dyDescent="0.2">
      <c r="A56" s="6063"/>
      <c r="B56" s="6559"/>
      <c r="C56" s="6686"/>
      <c r="D56" s="6063"/>
      <c r="E56" s="7021" t="s">
        <v>4407</v>
      </c>
      <c r="F56" s="7022"/>
      <c r="G56" s="6223" t="s">
        <v>2446</v>
      </c>
      <c r="H56" s="6223"/>
      <c r="I56" s="7031" t="s">
        <v>2447</v>
      </c>
      <c r="J56" s="7022"/>
      <c r="K56" s="6223" t="s">
        <v>94</v>
      </c>
      <c r="L56" s="6223"/>
      <c r="M56" s="7031" t="s">
        <v>44</v>
      </c>
      <c r="N56" s="7022"/>
      <c r="O56" s="7031" t="s">
        <v>45</v>
      </c>
      <c r="P56" s="7022"/>
      <c r="Q56" s="7031" t="s">
        <v>46</v>
      </c>
      <c r="R56" s="7022"/>
      <c r="S56" s="7031" t="s">
        <v>47</v>
      </c>
      <c r="T56" s="7022"/>
      <c r="U56" s="6223" t="s">
        <v>48</v>
      </c>
      <c r="V56" s="7022"/>
      <c r="W56" s="7031" t="s">
        <v>49</v>
      </c>
      <c r="X56" s="7022"/>
      <c r="Y56" s="6223" t="s">
        <v>50</v>
      </c>
      <c r="Z56" s="6223"/>
      <c r="AA56" s="7031" t="s">
        <v>51</v>
      </c>
      <c r="AB56" s="7022"/>
      <c r="AC56" s="6223" t="s">
        <v>52</v>
      </c>
      <c r="AD56" s="6223"/>
      <c r="AE56" s="7031" t="s">
        <v>53</v>
      </c>
      <c r="AF56" s="7022"/>
      <c r="AG56" s="6223" t="s">
        <v>54</v>
      </c>
      <c r="AH56" s="6223"/>
      <c r="AI56" s="7031" t="s">
        <v>55</v>
      </c>
      <c r="AJ56" s="7022"/>
      <c r="AK56" s="6223" t="s">
        <v>56</v>
      </c>
      <c r="AL56" s="6223"/>
      <c r="AM56" s="7031" t="s">
        <v>57</v>
      </c>
      <c r="AN56" s="7035"/>
      <c r="AO56" s="7078"/>
    </row>
    <row r="57" spans="1:86" s="19" customFormat="1" ht="15" customHeight="1" x14ac:dyDescent="0.2">
      <c r="A57" s="6645"/>
      <c r="B57" s="1006" t="s">
        <v>79</v>
      </c>
      <c r="C57" s="1093" t="s">
        <v>58</v>
      </c>
      <c r="D57" s="1008" t="s">
        <v>59</v>
      </c>
      <c r="E57" s="1006" t="s">
        <v>58</v>
      </c>
      <c r="F57" s="1008" t="s">
        <v>59</v>
      </c>
      <c r="G57" s="1093" t="s">
        <v>58</v>
      </c>
      <c r="H57" s="1053" t="s">
        <v>59</v>
      </c>
      <c r="I57" s="1006" t="s">
        <v>58</v>
      </c>
      <c r="J57" s="1008" t="s">
        <v>59</v>
      </c>
      <c r="K57" s="1093" t="s">
        <v>58</v>
      </c>
      <c r="L57" s="1053" t="s">
        <v>59</v>
      </c>
      <c r="M57" s="1006" t="s">
        <v>58</v>
      </c>
      <c r="N57" s="1008" t="s">
        <v>59</v>
      </c>
      <c r="O57" s="1006" t="s">
        <v>58</v>
      </c>
      <c r="P57" s="1008" t="s">
        <v>59</v>
      </c>
      <c r="Q57" s="947" t="s">
        <v>58</v>
      </c>
      <c r="R57" s="940" t="s">
        <v>59</v>
      </c>
      <c r="S57" s="947" t="s">
        <v>58</v>
      </c>
      <c r="T57" s="940" t="s">
        <v>59</v>
      </c>
      <c r="U57" s="948" t="s">
        <v>58</v>
      </c>
      <c r="V57" s="940" t="s">
        <v>59</v>
      </c>
      <c r="W57" s="1006" t="s">
        <v>58</v>
      </c>
      <c r="X57" s="1008" t="s">
        <v>59</v>
      </c>
      <c r="Y57" s="1093" t="s">
        <v>58</v>
      </c>
      <c r="Z57" s="1053" t="s">
        <v>59</v>
      </c>
      <c r="AA57" s="1006" t="s">
        <v>58</v>
      </c>
      <c r="AB57" s="1008" t="s">
        <v>59</v>
      </c>
      <c r="AC57" s="1093" t="s">
        <v>58</v>
      </c>
      <c r="AD57" s="1053" t="s">
        <v>59</v>
      </c>
      <c r="AE57" s="1006" t="s">
        <v>58</v>
      </c>
      <c r="AF57" s="1008" t="s">
        <v>59</v>
      </c>
      <c r="AG57" s="1093" t="s">
        <v>58</v>
      </c>
      <c r="AH57" s="1053" t="s">
        <v>59</v>
      </c>
      <c r="AI57" s="1006" t="s">
        <v>58</v>
      </c>
      <c r="AJ57" s="1008" t="s">
        <v>59</v>
      </c>
      <c r="AK57" s="1093" t="s">
        <v>58</v>
      </c>
      <c r="AL57" s="1053" t="s">
        <v>59</v>
      </c>
      <c r="AM57" s="1006" t="s">
        <v>58</v>
      </c>
      <c r="AN57" s="1009" t="s">
        <v>59</v>
      </c>
      <c r="AO57" s="7078"/>
    </row>
    <row r="58" spans="1:86" s="19" customFormat="1" ht="15" customHeight="1" x14ac:dyDescent="0.2">
      <c r="A58" s="1094" t="s">
        <v>64</v>
      </c>
      <c r="B58" s="998">
        <f>SUM(C58+D58)</f>
        <v>0</v>
      </c>
      <c r="C58" s="1001">
        <f>SUM(E58+G58+I58+K58+M58+O58+Q58+S58+U58+W58+Y58+AA58+AC58+AE58+AG58+AI58+AK58+AM58)</f>
        <v>0</v>
      </c>
      <c r="D58" s="999">
        <f>SUM(F58+H58+J58+L58+N58+P58+R58+T58+V58+X58+Z58+AB58+AD58+AF58+AH58+AJ58+AL58+AN58)</f>
        <v>0</v>
      </c>
      <c r="E58" s="1095"/>
      <c r="F58" s="1096"/>
      <c r="G58" s="1097"/>
      <c r="H58" s="1098"/>
      <c r="I58" s="1095"/>
      <c r="J58" s="1099"/>
      <c r="K58" s="1097"/>
      <c r="L58" s="1098"/>
      <c r="M58" s="1095"/>
      <c r="N58" s="1099"/>
      <c r="O58" s="1095"/>
      <c r="P58" s="1099"/>
      <c r="Q58" s="1095"/>
      <c r="R58" s="1099"/>
      <c r="S58" s="1095"/>
      <c r="T58" s="1099"/>
      <c r="U58" s="1097"/>
      <c r="V58" s="1098"/>
      <c r="W58" s="1095"/>
      <c r="X58" s="1099"/>
      <c r="Y58" s="1097"/>
      <c r="Z58" s="1098"/>
      <c r="AA58" s="1095"/>
      <c r="AB58" s="1099"/>
      <c r="AC58" s="1097"/>
      <c r="AD58" s="1098"/>
      <c r="AE58" s="1095"/>
      <c r="AF58" s="1099"/>
      <c r="AG58" s="1097"/>
      <c r="AH58" s="1098"/>
      <c r="AI58" s="1095"/>
      <c r="AJ58" s="1099"/>
      <c r="AK58" s="1097"/>
      <c r="AL58" s="1098"/>
      <c r="AM58" s="1095"/>
      <c r="AN58" s="1100"/>
      <c r="AO58" s="1096"/>
      <c r="AP58" s="19" t="str">
        <f>CA58</f>
        <v/>
      </c>
      <c r="CA58" s="135" t="str">
        <f>IF(AND(AO58="",B58&gt;0)," * No olvide digitar la variable Beneficiarios. Digite cero si no tiene.",IF(AO58&gt;B58," * El campo Beneficiario No puede ser mayor al Total Ambos Sexos",""))</f>
        <v/>
      </c>
      <c r="CF58" s="182">
        <f>IF(AND(AO58="",B58&gt;0),1,IF(AO58&gt;B58,1,0))</f>
        <v>0</v>
      </c>
    </row>
    <row r="59" spans="1:86" s="25" customFormat="1" ht="18" customHeight="1" x14ac:dyDescent="0.2">
      <c r="A59" s="3" t="s">
        <v>2476</v>
      </c>
    </row>
    <row r="60" spans="1:86" s="19" customFormat="1" ht="15" customHeight="1" x14ac:dyDescent="0.2">
      <c r="A60" s="7022" t="s">
        <v>27</v>
      </c>
      <c r="B60" s="7031" t="s">
        <v>77</v>
      </c>
      <c r="C60" s="6223"/>
      <c r="D60" s="7022"/>
      <c r="E60" s="7024" t="s">
        <v>101</v>
      </c>
      <c r="F60" s="7025"/>
      <c r="G60" s="7025"/>
      <c r="H60" s="7025"/>
      <c r="I60" s="7025"/>
      <c r="J60" s="7025"/>
      <c r="K60" s="7025"/>
      <c r="L60" s="7025"/>
      <c r="M60" s="7025"/>
      <c r="N60" s="7025"/>
      <c r="O60" s="7025"/>
      <c r="P60" s="7025"/>
      <c r="Q60" s="7025"/>
      <c r="R60" s="7025"/>
      <c r="S60" s="7025"/>
      <c r="T60" s="7025"/>
      <c r="U60" s="7025"/>
      <c r="V60" s="7025"/>
      <c r="W60" s="7025"/>
      <c r="X60" s="7025"/>
      <c r="Y60" s="7025"/>
      <c r="Z60" s="7025"/>
      <c r="AA60" s="7025"/>
      <c r="AB60" s="7025"/>
      <c r="AC60" s="7025"/>
      <c r="AD60" s="7025"/>
      <c r="AE60" s="7025"/>
      <c r="AF60" s="7025"/>
      <c r="AG60" s="7025"/>
      <c r="AH60" s="7025"/>
      <c r="AI60" s="7025"/>
      <c r="AJ60" s="7025"/>
      <c r="AK60" s="7025"/>
      <c r="AL60" s="7025"/>
      <c r="AM60" s="7025"/>
      <c r="AN60" s="7034"/>
      <c r="AO60" s="6969" t="s">
        <v>597</v>
      </c>
    </row>
    <row r="61" spans="1:86" s="19" customFormat="1" ht="15" customHeight="1" x14ac:dyDescent="0.2">
      <c r="A61" s="6063"/>
      <c r="B61" s="6559"/>
      <c r="C61" s="6686"/>
      <c r="D61" s="6063"/>
      <c r="E61" s="7021" t="s">
        <v>4407</v>
      </c>
      <c r="F61" s="7022"/>
      <c r="G61" s="7030" t="s">
        <v>2446</v>
      </c>
      <c r="H61" s="7030"/>
      <c r="I61" s="7023" t="s">
        <v>2447</v>
      </c>
      <c r="J61" s="6976"/>
      <c r="K61" s="7030" t="s">
        <v>94</v>
      </c>
      <c r="L61" s="7030"/>
      <c r="M61" s="7023" t="s">
        <v>44</v>
      </c>
      <c r="N61" s="6976"/>
      <c r="O61" s="6990" t="s">
        <v>45</v>
      </c>
      <c r="P61" s="7030"/>
      <c r="Q61" s="7031" t="s">
        <v>46</v>
      </c>
      <c r="R61" s="7022"/>
      <c r="S61" s="7031" t="s">
        <v>47</v>
      </c>
      <c r="T61" s="7022"/>
      <c r="U61" s="6223" t="s">
        <v>48</v>
      </c>
      <c r="V61" s="7022"/>
      <c r="W61" s="7030" t="s">
        <v>49</v>
      </c>
      <c r="X61" s="7030"/>
      <c r="Y61" s="7023" t="s">
        <v>50</v>
      </c>
      <c r="Z61" s="6976"/>
      <c r="AA61" s="7030" t="s">
        <v>51</v>
      </c>
      <c r="AB61" s="7030"/>
      <c r="AC61" s="7023" t="s">
        <v>52</v>
      </c>
      <c r="AD61" s="6976"/>
      <c r="AE61" s="7030" t="s">
        <v>53</v>
      </c>
      <c r="AF61" s="7030"/>
      <c r="AG61" s="7023" t="s">
        <v>54</v>
      </c>
      <c r="AH61" s="6976"/>
      <c r="AI61" s="7030" t="s">
        <v>55</v>
      </c>
      <c r="AJ61" s="7030"/>
      <c r="AK61" s="7023" t="s">
        <v>56</v>
      </c>
      <c r="AL61" s="6976"/>
      <c r="AM61" s="7023" t="s">
        <v>57</v>
      </c>
      <c r="AN61" s="7071"/>
      <c r="AO61" s="5759"/>
    </row>
    <row r="62" spans="1:86" s="19" customFormat="1" ht="15" customHeight="1" x14ac:dyDescent="0.2">
      <c r="A62" s="6645"/>
      <c r="B62" s="1006" t="s">
        <v>79</v>
      </c>
      <c r="C62" s="1093" t="s">
        <v>58</v>
      </c>
      <c r="D62" s="1008" t="s">
        <v>59</v>
      </c>
      <c r="E62" s="947" t="s">
        <v>58</v>
      </c>
      <c r="F62" s="940" t="s">
        <v>59</v>
      </c>
      <c r="G62" s="948" t="s">
        <v>58</v>
      </c>
      <c r="H62" s="737" t="s">
        <v>59</v>
      </c>
      <c r="I62" s="947" t="s">
        <v>58</v>
      </c>
      <c r="J62" s="940" t="s">
        <v>59</v>
      </c>
      <c r="K62" s="948" t="s">
        <v>58</v>
      </c>
      <c r="L62" s="737" t="s">
        <v>59</v>
      </c>
      <c r="M62" s="947" t="s">
        <v>58</v>
      </c>
      <c r="N62" s="940" t="s">
        <v>59</v>
      </c>
      <c r="O62" s="948" t="s">
        <v>58</v>
      </c>
      <c r="P62" s="737" t="s">
        <v>59</v>
      </c>
      <c r="Q62" s="947" t="s">
        <v>58</v>
      </c>
      <c r="R62" s="940" t="s">
        <v>59</v>
      </c>
      <c r="S62" s="947" t="s">
        <v>58</v>
      </c>
      <c r="T62" s="940" t="s">
        <v>59</v>
      </c>
      <c r="U62" s="948" t="s">
        <v>58</v>
      </c>
      <c r="V62" s="940" t="s">
        <v>59</v>
      </c>
      <c r="W62" s="948" t="s">
        <v>58</v>
      </c>
      <c r="X62" s="737" t="s">
        <v>59</v>
      </c>
      <c r="Y62" s="947" t="s">
        <v>58</v>
      </c>
      <c r="Z62" s="940" t="s">
        <v>59</v>
      </c>
      <c r="AA62" s="948" t="s">
        <v>58</v>
      </c>
      <c r="AB62" s="737" t="s">
        <v>59</v>
      </c>
      <c r="AC62" s="947" t="s">
        <v>58</v>
      </c>
      <c r="AD62" s="940" t="s">
        <v>59</v>
      </c>
      <c r="AE62" s="948" t="s">
        <v>58</v>
      </c>
      <c r="AF62" s="737" t="s">
        <v>59</v>
      </c>
      <c r="AG62" s="947" t="s">
        <v>58</v>
      </c>
      <c r="AH62" s="940" t="s">
        <v>59</v>
      </c>
      <c r="AI62" s="948" t="s">
        <v>58</v>
      </c>
      <c r="AJ62" s="737" t="s">
        <v>59</v>
      </c>
      <c r="AK62" s="947" t="s">
        <v>58</v>
      </c>
      <c r="AL62" s="940" t="s">
        <v>59</v>
      </c>
      <c r="AM62" s="947" t="s">
        <v>58</v>
      </c>
      <c r="AN62" s="945" t="s">
        <v>59</v>
      </c>
      <c r="AO62" s="6687"/>
    </row>
    <row r="63" spans="1:86" s="19" customFormat="1" ht="15" customHeight="1" x14ac:dyDescent="0.2">
      <c r="A63" s="1102" t="s">
        <v>64</v>
      </c>
      <c r="B63" s="1103">
        <f>SUM(C63+D63)</f>
        <v>0</v>
      </c>
      <c r="C63" s="1104">
        <f>SUM(E63+G63+I63+K63+M63+O63+Q63+S63+U63+W63+Y63+AA63+AC63+AE63+AG63+AI63+AK63+AM63)</f>
        <v>0</v>
      </c>
      <c r="D63" s="1105">
        <f>SUM(F63+H63+J63+L63+N63+P63+R63+T63+V63+X63+Z63+AB63+AD63+AF63+AH63+AJ63+AL63+AN63)</f>
        <v>0</v>
      </c>
      <c r="E63" s="1106"/>
      <c r="F63" s="1107"/>
      <c r="G63" s="1108"/>
      <c r="H63" s="1109"/>
      <c r="I63" s="1106"/>
      <c r="J63" s="771"/>
      <c r="K63" s="1108"/>
      <c r="L63" s="1109"/>
      <c r="M63" s="1106"/>
      <c r="N63" s="771"/>
      <c r="O63" s="1108"/>
      <c r="P63" s="1109"/>
      <c r="Q63" s="1106"/>
      <c r="R63" s="771"/>
      <c r="S63" s="1106"/>
      <c r="T63" s="771"/>
      <c r="U63" s="1106"/>
      <c r="V63" s="771"/>
      <c r="W63" s="1108"/>
      <c r="X63" s="1109"/>
      <c r="Y63" s="1106"/>
      <c r="Z63" s="771"/>
      <c r="AA63" s="1108"/>
      <c r="AB63" s="1109"/>
      <c r="AC63" s="1106"/>
      <c r="AD63" s="771"/>
      <c r="AE63" s="1108"/>
      <c r="AF63" s="1109"/>
      <c r="AG63" s="1106"/>
      <c r="AH63" s="771"/>
      <c r="AI63" s="1108"/>
      <c r="AJ63" s="1109"/>
      <c r="AK63" s="1106"/>
      <c r="AL63" s="771"/>
      <c r="AM63" s="1110"/>
      <c r="AN63" s="759"/>
      <c r="AO63" s="1111"/>
      <c r="AP63" s="19" t="str">
        <f>CA63</f>
        <v/>
      </c>
      <c r="CA63" s="135" t="str">
        <f>IF(AND(AO63="",B63&gt;0)," * No olvide digitar la variable Beneficiarios. Digite cero si no tiene.",IF(AO63&gt;B63," * El campo Beneficiario No puede ser mayor al Total Ambos Sexos",""))</f>
        <v/>
      </c>
      <c r="CF63" s="182">
        <f>IF(AND(AO63="",B63&gt;0),1,IF(AO63&gt;B63,1,0))</f>
        <v>0</v>
      </c>
    </row>
    <row r="64" spans="1:86" s="19" customFormat="1" ht="15" customHeight="1" x14ac:dyDescent="0.2">
      <c r="A64" s="1112" t="s">
        <v>98</v>
      </c>
      <c r="B64" s="1075">
        <f>SUM(C64+D64)</f>
        <v>0</v>
      </c>
      <c r="C64" s="1076">
        <f t="shared" ref="C64" si="40">SUM(E64+G64+I64+K64+M64+O64+Q64+S64+U64+W64+Y64+AA64+AC64+AE64+AG64+AI64+AK64+AM64)</f>
        <v>0</v>
      </c>
      <c r="D64" s="1113">
        <f t="shared" ref="D64:D65" si="41">SUM(F64+H64+J64+L64+N64+P64+R64+T64+V64+X64+Z64+AB64+AD64+AF64+AH64+AJ64+AL64+AN64)</f>
        <v>0</v>
      </c>
      <c r="E64" s="1114"/>
      <c r="F64" s="1115"/>
      <c r="G64" s="1116"/>
      <c r="H64" s="1117"/>
      <c r="I64" s="1114"/>
      <c r="J64" s="1118"/>
      <c r="K64" s="1116"/>
      <c r="L64" s="1117"/>
      <c r="M64" s="1114"/>
      <c r="N64" s="1118"/>
      <c r="O64" s="1116"/>
      <c r="P64" s="1117"/>
      <c r="Q64" s="1114"/>
      <c r="R64" s="1118"/>
      <c r="S64" s="1114"/>
      <c r="T64" s="1118"/>
      <c r="U64" s="1114"/>
      <c r="V64" s="1118"/>
      <c r="W64" s="1116"/>
      <c r="X64" s="1117"/>
      <c r="Y64" s="1114"/>
      <c r="Z64" s="1118"/>
      <c r="AA64" s="1116"/>
      <c r="AB64" s="1117"/>
      <c r="AC64" s="1114"/>
      <c r="AD64" s="1118"/>
      <c r="AE64" s="1116"/>
      <c r="AF64" s="1117"/>
      <c r="AG64" s="1114"/>
      <c r="AH64" s="1118"/>
      <c r="AI64" s="1116"/>
      <c r="AJ64" s="1117"/>
      <c r="AK64" s="1114"/>
      <c r="AL64" s="1118"/>
      <c r="AM64" s="1119"/>
      <c r="AN64" s="1120"/>
      <c r="AO64" s="1115"/>
      <c r="AP64" s="19" t="str">
        <f t="shared" ref="AP64:AP65" si="42">CA64</f>
        <v/>
      </c>
      <c r="CA64" s="135" t="str">
        <f>IF(AND(AO64="",B64&gt;0)," * No olvide digitar la variable Beneficiarios. Digite cero si no tiene.",IF(AO64&gt;B64," * El campo Beneficiario No puede ser mayor al Total Ambos Sexos",""))</f>
        <v/>
      </c>
      <c r="CF64" s="182">
        <f>IF(AND(AO64="",B64&gt;0),1,IF(AO64&gt;B64,1,0))</f>
        <v>0</v>
      </c>
    </row>
    <row r="65" spans="1:85" s="19" customFormat="1" ht="15" customHeight="1" x14ac:dyDescent="0.2">
      <c r="A65" s="353" t="s">
        <v>1406</v>
      </c>
      <c r="B65" s="1121">
        <f>SUM(C65+D65)</f>
        <v>0</v>
      </c>
      <c r="C65" s="1122">
        <f>SUM(E65+G65+I65+K65+M65+O65+Q65+S65+U65+W65+Y65+AA65+AC65+AE65+AG65+AI65+AK65+AM65)</f>
        <v>0</v>
      </c>
      <c r="D65" s="640">
        <f t="shared" si="41"/>
        <v>0</v>
      </c>
      <c r="E65" s="192"/>
      <c r="F65" s="2"/>
      <c r="G65" s="482"/>
      <c r="H65" s="1123"/>
      <c r="I65" s="192"/>
      <c r="J65" s="383"/>
      <c r="K65" s="482"/>
      <c r="L65" s="1123"/>
      <c r="M65" s="192"/>
      <c r="N65" s="383"/>
      <c r="O65" s="482"/>
      <c r="P65" s="1123"/>
      <c r="Q65" s="192"/>
      <c r="R65" s="383"/>
      <c r="S65" s="192"/>
      <c r="T65" s="383"/>
      <c r="U65" s="192"/>
      <c r="V65" s="383"/>
      <c r="W65" s="482"/>
      <c r="X65" s="1123"/>
      <c r="Y65" s="192"/>
      <c r="Z65" s="383"/>
      <c r="AA65" s="482"/>
      <c r="AB65" s="1123"/>
      <c r="AC65" s="192"/>
      <c r="AD65" s="383"/>
      <c r="AE65" s="482"/>
      <c r="AF65" s="1123"/>
      <c r="AG65" s="192"/>
      <c r="AH65" s="383"/>
      <c r="AI65" s="482"/>
      <c r="AJ65" s="1123"/>
      <c r="AK65" s="192"/>
      <c r="AL65" s="383"/>
      <c r="AM65" s="776"/>
      <c r="AN65" s="384"/>
      <c r="AO65" s="42"/>
      <c r="AP65" s="19" t="str">
        <f t="shared" si="42"/>
        <v/>
      </c>
      <c r="CA65" s="135" t="str">
        <f>IF(AND(AO65="",B65&gt;0)," * No olvide digitar la variable Beneficiarios. Digite cero si no tiene.",IF(AO65&gt;B65," * El campo Beneficiario No puede ser mayor al Total Ambos Sexos",""))</f>
        <v/>
      </c>
      <c r="CF65" s="182">
        <f t="shared" ref="CF65" si="43">IF(AND(AO65="",B65&gt;0),1,IF(AO65&gt;B65,1,0))</f>
        <v>0</v>
      </c>
    </row>
    <row r="66" spans="1:85" s="19" customFormat="1" ht="15" customHeight="1" x14ac:dyDescent="0.2">
      <c r="A66" s="1124" t="s">
        <v>77</v>
      </c>
      <c r="B66" s="998">
        <f t="shared" ref="B66:K66" si="44">SUM(B63:B65)</f>
        <v>0</v>
      </c>
      <c r="C66" s="1001">
        <f t="shared" si="44"/>
        <v>0</v>
      </c>
      <c r="D66" s="999">
        <f t="shared" si="44"/>
        <v>0</v>
      </c>
      <c r="E66" s="1125">
        <f t="shared" si="44"/>
        <v>0</v>
      </c>
      <c r="F66" s="1126">
        <f t="shared" si="44"/>
        <v>0</v>
      </c>
      <c r="G66" s="1127">
        <f t="shared" si="44"/>
        <v>0</v>
      </c>
      <c r="H66" s="1128">
        <f t="shared" si="44"/>
        <v>0</v>
      </c>
      <c r="I66" s="1125">
        <f t="shared" si="44"/>
        <v>0</v>
      </c>
      <c r="J66" s="1129">
        <f t="shared" si="44"/>
        <v>0</v>
      </c>
      <c r="K66" s="1127">
        <f t="shared" si="44"/>
        <v>0</v>
      </c>
      <c r="L66" s="1128">
        <f t="shared" ref="L66:AO66" si="45">SUM(L63:L65)</f>
        <v>0</v>
      </c>
      <c r="M66" s="1125">
        <f t="shared" si="45"/>
        <v>0</v>
      </c>
      <c r="N66" s="1129">
        <f t="shared" si="45"/>
        <v>0</v>
      </c>
      <c r="O66" s="1127">
        <f t="shared" si="45"/>
        <v>0</v>
      </c>
      <c r="P66" s="1128">
        <f t="shared" si="45"/>
        <v>0</v>
      </c>
      <c r="Q66" s="1125">
        <f t="shared" si="45"/>
        <v>0</v>
      </c>
      <c r="R66" s="1129">
        <f t="shared" si="45"/>
        <v>0</v>
      </c>
      <c r="S66" s="1125">
        <f t="shared" ref="S66:T66" si="46">SUM(S63:S65)</f>
        <v>0</v>
      </c>
      <c r="T66" s="1129">
        <f t="shared" si="46"/>
        <v>0</v>
      </c>
      <c r="U66" s="1125">
        <f t="shared" ref="U66:V66" si="47">SUM(U63:U65)</f>
        <v>0</v>
      </c>
      <c r="V66" s="1129">
        <f t="shared" si="47"/>
        <v>0</v>
      </c>
      <c r="W66" s="1127">
        <f t="shared" si="45"/>
        <v>0</v>
      </c>
      <c r="X66" s="1128">
        <f t="shared" si="45"/>
        <v>0</v>
      </c>
      <c r="Y66" s="1125">
        <f t="shared" si="45"/>
        <v>0</v>
      </c>
      <c r="Z66" s="1129">
        <f t="shared" si="45"/>
        <v>0</v>
      </c>
      <c r="AA66" s="1127">
        <f t="shared" si="45"/>
        <v>0</v>
      </c>
      <c r="AB66" s="1128">
        <f t="shared" si="45"/>
        <v>0</v>
      </c>
      <c r="AC66" s="1125">
        <f t="shared" si="45"/>
        <v>0</v>
      </c>
      <c r="AD66" s="1129">
        <f t="shared" si="45"/>
        <v>0</v>
      </c>
      <c r="AE66" s="1127">
        <f t="shared" si="45"/>
        <v>0</v>
      </c>
      <c r="AF66" s="1128">
        <f t="shared" si="45"/>
        <v>0</v>
      </c>
      <c r="AG66" s="1125">
        <f t="shared" si="45"/>
        <v>0</v>
      </c>
      <c r="AH66" s="1129">
        <f t="shared" si="45"/>
        <v>0</v>
      </c>
      <c r="AI66" s="1127">
        <f t="shared" si="45"/>
        <v>0</v>
      </c>
      <c r="AJ66" s="1128">
        <f t="shared" si="45"/>
        <v>0</v>
      </c>
      <c r="AK66" s="1125">
        <f t="shared" si="45"/>
        <v>0</v>
      </c>
      <c r="AL66" s="1129">
        <f t="shared" si="45"/>
        <v>0</v>
      </c>
      <c r="AM66" s="1130">
        <f t="shared" si="45"/>
        <v>0</v>
      </c>
      <c r="AN66" s="1131">
        <f t="shared" si="45"/>
        <v>0</v>
      </c>
      <c r="AO66" s="1126">
        <f t="shared" si="45"/>
        <v>0</v>
      </c>
    </row>
    <row r="67" spans="1:85" s="25" customFormat="1" ht="18" customHeight="1" x14ac:dyDescent="0.2">
      <c r="A67" s="3" t="s">
        <v>2477</v>
      </c>
    </row>
    <row r="68" spans="1:85" s="19" customFormat="1" ht="15" customHeight="1" x14ac:dyDescent="0.2">
      <c r="A68" s="7022" t="s">
        <v>27</v>
      </c>
      <c r="B68" s="7031" t="s">
        <v>77</v>
      </c>
      <c r="C68" s="6223"/>
      <c r="D68" s="7022"/>
      <c r="E68" s="7023" t="s">
        <v>101</v>
      </c>
      <c r="F68" s="7030"/>
      <c r="G68" s="7030"/>
      <c r="H68" s="7030"/>
      <c r="I68" s="7030"/>
      <c r="J68" s="7030"/>
      <c r="K68" s="7030"/>
      <c r="L68" s="7030"/>
      <c r="M68" s="7030"/>
      <c r="N68" s="7030"/>
      <c r="O68" s="7030"/>
      <c r="P68" s="7030"/>
      <c r="Q68" s="7030"/>
      <c r="R68" s="7030"/>
      <c r="S68" s="7030"/>
      <c r="T68" s="7030"/>
      <c r="U68" s="7030"/>
      <c r="V68" s="7030"/>
      <c r="W68" s="7030"/>
      <c r="X68" s="7030"/>
      <c r="Y68" s="7030"/>
      <c r="Z68" s="7030"/>
      <c r="AA68" s="7030"/>
      <c r="AB68" s="7030"/>
      <c r="AC68" s="7030"/>
      <c r="AD68" s="7030"/>
      <c r="AE68" s="7030"/>
      <c r="AF68" s="7030"/>
      <c r="AG68" s="7030"/>
      <c r="AH68" s="7030"/>
      <c r="AI68" s="7030"/>
      <c r="AJ68" s="7030"/>
      <c r="AK68" s="7030"/>
      <c r="AL68" s="7030"/>
      <c r="AM68" s="7030"/>
      <c r="AN68" s="7071"/>
      <c r="AO68" s="7033" t="s">
        <v>597</v>
      </c>
      <c r="AP68" s="6988" t="s">
        <v>473</v>
      </c>
    </row>
    <row r="69" spans="1:85" s="19" customFormat="1" ht="15" customHeight="1" x14ac:dyDescent="0.2">
      <c r="A69" s="6063"/>
      <c r="B69" s="6482"/>
      <c r="C69" s="6481"/>
      <c r="D69" s="6645"/>
      <c r="E69" s="7021" t="s">
        <v>4407</v>
      </c>
      <c r="F69" s="7022"/>
      <c r="G69" s="7023" t="s">
        <v>2446</v>
      </c>
      <c r="H69" s="6976"/>
      <c r="I69" s="7023" t="s">
        <v>2447</v>
      </c>
      <c r="J69" s="6976"/>
      <c r="K69" s="6989" t="s">
        <v>94</v>
      </c>
      <c r="L69" s="6976"/>
      <c r="M69" s="7023" t="s">
        <v>44</v>
      </c>
      <c r="N69" s="6976"/>
      <c r="O69" s="7023" t="s">
        <v>45</v>
      </c>
      <c r="P69" s="6976"/>
      <c r="Q69" s="7031" t="s">
        <v>46</v>
      </c>
      <c r="R69" s="7022"/>
      <c r="S69" s="7031" t="s">
        <v>47</v>
      </c>
      <c r="T69" s="7022"/>
      <c r="U69" s="6223" t="s">
        <v>48</v>
      </c>
      <c r="V69" s="7022"/>
      <c r="W69" s="7023" t="s">
        <v>49</v>
      </c>
      <c r="X69" s="6976"/>
      <c r="Y69" s="7023" t="s">
        <v>50</v>
      </c>
      <c r="Z69" s="6976"/>
      <c r="AA69" s="7023" t="s">
        <v>51</v>
      </c>
      <c r="AB69" s="6976"/>
      <c r="AC69" s="7023" t="s">
        <v>52</v>
      </c>
      <c r="AD69" s="6976"/>
      <c r="AE69" s="7023" t="s">
        <v>53</v>
      </c>
      <c r="AF69" s="6976"/>
      <c r="AG69" s="7023" t="s">
        <v>54</v>
      </c>
      <c r="AH69" s="6976"/>
      <c r="AI69" s="7023" t="s">
        <v>55</v>
      </c>
      <c r="AJ69" s="6976"/>
      <c r="AK69" s="7023" t="s">
        <v>56</v>
      </c>
      <c r="AL69" s="6976"/>
      <c r="AM69" s="7023" t="s">
        <v>57</v>
      </c>
      <c r="AN69" s="7071"/>
      <c r="AO69" s="6938"/>
      <c r="AP69" s="5755"/>
    </row>
    <row r="70" spans="1:85" s="19" customFormat="1" ht="15" customHeight="1" x14ac:dyDescent="0.2">
      <c r="A70" s="6645"/>
      <c r="B70" s="1006" t="s">
        <v>79</v>
      </c>
      <c r="C70" s="1093" t="s">
        <v>58</v>
      </c>
      <c r="D70" s="1008" t="s">
        <v>59</v>
      </c>
      <c r="E70" s="1134" t="s">
        <v>58</v>
      </c>
      <c r="F70" s="1092" t="s">
        <v>59</v>
      </c>
      <c r="G70" s="1135" t="s">
        <v>58</v>
      </c>
      <c r="H70" s="1101" t="s">
        <v>59</v>
      </c>
      <c r="I70" s="1134" t="s">
        <v>58</v>
      </c>
      <c r="J70" s="1092" t="s">
        <v>59</v>
      </c>
      <c r="K70" s="1134" t="s">
        <v>58</v>
      </c>
      <c r="L70" s="1092" t="s">
        <v>59</v>
      </c>
      <c r="M70" s="1135" t="s">
        <v>58</v>
      </c>
      <c r="N70" s="1101" t="s">
        <v>59</v>
      </c>
      <c r="O70" s="1134" t="s">
        <v>58</v>
      </c>
      <c r="P70" s="1092" t="s">
        <v>59</v>
      </c>
      <c r="Q70" s="1006" t="s">
        <v>58</v>
      </c>
      <c r="R70" s="1008" t="s">
        <v>59</v>
      </c>
      <c r="S70" s="1006" t="s">
        <v>58</v>
      </c>
      <c r="T70" s="1008" t="s">
        <v>59</v>
      </c>
      <c r="U70" s="1093" t="s">
        <v>58</v>
      </c>
      <c r="V70" s="1008" t="s">
        <v>59</v>
      </c>
      <c r="W70" s="1134" t="s">
        <v>58</v>
      </c>
      <c r="X70" s="1092" t="s">
        <v>59</v>
      </c>
      <c r="Y70" s="1135" t="s">
        <v>58</v>
      </c>
      <c r="Z70" s="1101" t="s">
        <v>59</v>
      </c>
      <c r="AA70" s="1134" t="s">
        <v>58</v>
      </c>
      <c r="AB70" s="1092" t="s">
        <v>59</v>
      </c>
      <c r="AC70" s="1135" t="s">
        <v>58</v>
      </c>
      <c r="AD70" s="1101" t="s">
        <v>59</v>
      </c>
      <c r="AE70" s="1134" t="s">
        <v>58</v>
      </c>
      <c r="AF70" s="1092" t="s">
        <v>59</v>
      </c>
      <c r="AG70" s="1135" t="s">
        <v>58</v>
      </c>
      <c r="AH70" s="1101" t="s">
        <v>59</v>
      </c>
      <c r="AI70" s="1134" t="s">
        <v>58</v>
      </c>
      <c r="AJ70" s="1092" t="s">
        <v>59</v>
      </c>
      <c r="AK70" s="1135" t="s">
        <v>58</v>
      </c>
      <c r="AL70" s="1101" t="s">
        <v>59</v>
      </c>
      <c r="AM70" s="1134" t="s">
        <v>58</v>
      </c>
      <c r="AN70" s="1136" t="s">
        <v>59</v>
      </c>
      <c r="AO70" s="6669"/>
      <c r="AP70" s="6471"/>
    </row>
    <row r="71" spans="1:85" s="19" customFormat="1" ht="15" customHeight="1" x14ac:dyDescent="0.2">
      <c r="A71" s="1137" t="s">
        <v>98</v>
      </c>
      <c r="B71" s="303">
        <f>SUM(C71+D71)</f>
        <v>0</v>
      </c>
      <c r="C71" s="41">
        <f>SUM(E71+G71+I71+K71+M71+O71+Q71+S71+U71+W71+Y71+AA71+AC71+AE71+AG71+AI71+AK71+AM71)</f>
        <v>0</v>
      </c>
      <c r="D71" s="141">
        <f>SUM(F71+H71+J71+L71+N71+P71+R71+T71+V71+X71+Z71+AB71+AD71+AF71+AH71+AJ71+AL71+AN71)</f>
        <v>0</v>
      </c>
      <c r="E71" s="290"/>
      <c r="F71" s="107"/>
      <c r="G71" s="22"/>
      <c r="H71" s="735"/>
      <c r="I71" s="290"/>
      <c r="J71" s="637"/>
      <c r="K71" s="290"/>
      <c r="L71" s="637"/>
      <c r="M71" s="22"/>
      <c r="N71" s="735"/>
      <c r="O71" s="290"/>
      <c r="P71" s="637"/>
      <c r="Q71" s="290"/>
      <c r="R71" s="637"/>
      <c r="S71" s="290"/>
      <c r="T71" s="637"/>
      <c r="U71" s="22"/>
      <c r="V71" s="735"/>
      <c r="W71" s="290"/>
      <c r="X71" s="637"/>
      <c r="Y71" s="22"/>
      <c r="Z71" s="735"/>
      <c r="AA71" s="290"/>
      <c r="AB71" s="637"/>
      <c r="AC71" s="22"/>
      <c r="AD71" s="735"/>
      <c r="AE71" s="290"/>
      <c r="AF71" s="637"/>
      <c r="AG71" s="22"/>
      <c r="AH71" s="735"/>
      <c r="AI71" s="290"/>
      <c r="AJ71" s="637"/>
      <c r="AK71" s="22"/>
      <c r="AL71" s="735"/>
      <c r="AM71" s="245"/>
      <c r="AN71" s="431"/>
      <c r="AO71" s="107"/>
      <c r="AP71" s="354"/>
      <c r="AQ71" s="19" t="str">
        <f>CA71</f>
        <v/>
      </c>
      <c r="CA71" s="135" t="str">
        <f>IF(AND(AO71="",B71&gt;0)," * No olvide digitar la variable Beneficiarios. Digite cero si no tiene.",IF(AO71&gt;B71," * El campo Beneficiario No puede ser mayor al Total Ambos Sexos",""))</f>
        <v/>
      </c>
      <c r="CF71" s="182">
        <f>IF(AND(AO71="",B71&gt;0),1,IF(AO71&gt;B71,1,0))</f>
        <v>0</v>
      </c>
    </row>
    <row r="72" spans="1:85" s="19" customFormat="1" ht="15" customHeight="1" x14ac:dyDescent="0.2">
      <c r="A72" s="1138" t="s">
        <v>1406</v>
      </c>
      <c r="B72" s="231">
        <f>SUM(C72+D72)</f>
        <v>0</v>
      </c>
      <c r="C72" s="210">
        <f>SUM(E72+G72+I72+K72+M72+O72+Q72+S72+U72+W72+Y72+AA72+AC72+AE72+AG72+AI72+AK72+AM72)</f>
        <v>0</v>
      </c>
      <c r="D72" s="43">
        <f>SUM(F72+H72+J72+L72+N72+P72+R72+T72+V72+X72+Z72+AB72+AD72+AF72+AH72+AJ72+AL72+AN72)</f>
        <v>0</v>
      </c>
      <c r="E72" s="192"/>
      <c r="F72" s="2"/>
      <c r="G72" s="482"/>
      <c r="H72" s="1123"/>
      <c r="I72" s="192"/>
      <c r="J72" s="383"/>
      <c r="K72" s="192"/>
      <c r="L72" s="383"/>
      <c r="M72" s="482"/>
      <c r="N72" s="1123"/>
      <c r="O72" s="192"/>
      <c r="P72" s="383"/>
      <c r="Q72" s="192"/>
      <c r="R72" s="383"/>
      <c r="S72" s="192"/>
      <c r="T72" s="383"/>
      <c r="U72" s="482"/>
      <c r="V72" s="1123"/>
      <c r="W72" s="192"/>
      <c r="X72" s="383"/>
      <c r="Y72" s="482"/>
      <c r="Z72" s="1123"/>
      <c r="AA72" s="192"/>
      <c r="AB72" s="383"/>
      <c r="AC72" s="482"/>
      <c r="AD72" s="1123"/>
      <c r="AE72" s="192"/>
      <c r="AF72" s="383"/>
      <c r="AG72" s="482"/>
      <c r="AH72" s="1123"/>
      <c r="AI72" s="1139"/>
      <c r="AJ72" s="1140"/>
      <c r="AK72" s="482"/>
      <c r="AL72" s="1123"/>
      <c r="AM72" s="776"/>
      <c r="AN72" s="384"/>
      <c r="AO72" s="42"/>
      <c r="AP72" s="355"/>
      <c r="AQ72" s="19" t="str">
        <f>CA72&amp;CB72</f>
        <v/>
      </c>
      <c r="CA72" s="135" t="str">
        <f>IF(AND(AO72="",B72&gt;0)," * No olvide digitar la variable Beneficiarios. Digite cero si no tiene.",IF(AO72&gt;B72," * El campo Beneficiario No puede ser mayor al Total Ambos Sexos",""))</f>
        <v/>
      </c>
      <c r="CB72" s="135" t="str">
        <f>IF(AND(AP72="",B72&gt;0)," * No olvide digitar la variable Por campaña de Invierno. Digite CERO si no tiene.",IF(AP72&gt;B72," * La variable Por campaña de Invierno no puede ser mayor que el Total Ambos Sexos.",""))</f>
        <v/>
      </c>
      <c r="CE72" s="151"/>
      <c r="CF72" s="182">
        <f>IF(AND(AO72="",B72&gt;0),1,IF(AO72&gt;B72,1,0))</f>
        <v>0</v>
      </c>
      <c r="CG72" s="84" t="str">
        <f>IF(AND(AP72="",B72&gt;0),1,IF(AP72&gt;B72,1,""))</f>
        <v/>
      </c>
    </row>
    <row r="73" spans="1:85" s="19" customFormat="1" ht="15" customHeight="1" x14ac:dyDescent="0.2">
      <c r="A73" s="1050" t="s">
        <v>77</v>
      </c>
      <c r="B73" s="998">
        <f t="shared" ref="B73:AO73" si="48">SUM(B71:B72)</f>
        <v>0</v>
      </c>
      <c r="C73" s="1001">
        <f>SUM(C71:C72)</f>
        <v>0</v>
      </c>
      <c r="D73" s="999">
        <f t="shared" si="48"/>
        <v>0</v>
      </c>
      <c r="E73" s="1125">
        <f>SUM(E71:E72)</f>
        <v>0</v>
      </c>
      <c r="F73" s="1126">
        <f t="shared" si="48"/>
        <v>0</v>
      </c>
      <c r="G73" s="1127">
        <f t="shared" si="48"/>
        <v>0</v>
      </c>
      <c r="H73" s="1128">
        <f t="shared" si="48"/>
        <v>0</v>
      </c>
      <c r="I73" s="1125">
        <f t="shared" si="48"/>
        <v>0</v>
      </c>
      <c r="J73" s="1129">
        <f t="shared" si="48"/>
        <v>0</v>
      </c>
      <c r="K73" s="1125">
        <f t="shared" si="48"/>
        <v>0</v>
      </c>
      <c r="L73" s="1129">
        <f t="shared" si="48"/>
        <v>0</v>
      </c>
      <c r="M73" s="1127">
        <f t="shared" si="48"/>
        <v>0</v>
      </c>
      <c r="N73" s="1128">
        <f t="shared" si="48"/>
        <v>0</v>
      </c>
      <c r="O73" s="1125">
        <f t="shared" si="48"/>
        <v>0</v>
      </c>
      <c r="P73" s="1129">
        <f t="shared" si="48"/>
        <v>0</v>
      </c>
      <c r="Q73" s="1125">
        <f t="shared" si="48"/>
        <v>0</v>
      </c>
      <c r="R73" s="1129">
        <f t="shared" si="48"/>
        <v>0</v>
      </c>
      <c r="S73" s="1125">
        <f t="shared" si="48"/>
        <v>0</v>
      </c>
      <c r="T73" s="1129">
        <f t="shared" si="48"/>
        <v>0</v>
      </c>
      <c r="U73" s="1127">
        <f t="shared" ref="U73:V73" si="49">SUM(U71:U72)</f>
        <v>0</v>
      </c>
      <c r="V73" s="1128">
        <f t="shared" si="49"/>
        <v>0</v>
      </c>
      <c r="W73" s="1125">
        <f t="shared" si="48"/>
        <v>0</v>
      </c>
      <c r="X73" s="1129">
        <f t="shared" si="48"/>
        <v>0</v>
      </c>
      <c r="Y73" s="1127">
        <f t="shared" si="48"/>
        <v>0</v>
      </c>
      <c r="Z73" s="1128">
        <f t="shared" si="48"/>
        <v>0</v>
      </c>
      <c r="AA73" s="1125">
        <f t="shared" si="48"/>
        <v>0</v>
      </c>
      <c r="AB73" s="1129">
        <f t="shared" si="48"/>
        <v>0</v>
      </c>
      <c r="AC73" s="1127">
        <f t="shared" si="48"/>
        <v>0</v>
      </c>
      <c r="AD73" s="1128">
        <f t="shared" si="48"/>
        <v>0</v>
      </c>
      <c r="AE73" s="1125">
        <f t="shared" si="48"/>
        <v>0</v>
      </c>
      <c r="AF73" s="1129">
        <f t="shared" si="48"/>
        <v>0</v>
      </c>
      <c r="AG73" s="1127">
        <f t="shared" si="48"/>
        <v>0</v>
      </c>
      <c r="AH73" s="1141">
        <f t="shared" si="48"/>
        <v>0</v>
      </c>
      <c r="AI73" s="1141">
        <f t="shared" si="48"/>
        <v>0</v>
      </c>
      <c r="AJ73" s="1141">
        <f t="shared" si="48"/>
        <v>0</v>
      </c>
      <c r="AK73" s="1141">
        <f t="shared" si="48"/>
        <v>0</v>
      </c>
      <c r="AL73" s="1128">
        <f t="shared" si="48"/>
        <v>0</v>
      </c>
      <c r="AM73" s="1130">
        <f t="shared" si="48"/>
        <v>0</v>
      </c>
      <c r="AN73" s="1131">
        <f t="shared" si="48"/>
        <v>0</v>
      </c>
      <c r="AO73" s="1126">
        <f t="shared" si="48"/>
        <v>0</v>
      </c>
      <c r="AP73" s="1094">
        <f>SUM(AP71:AP72)</f>
        <v>0</v>
      </c>
    </row>
    <row r="74" spans="1:85" s="25" customFormat="1" ht="18" customHeight="1" x14ac:dyDescent="0.2">
      <c r="A74" s="3" t="s">
        <v>2478</v>
      </c>
    </row>
    <row r="75" spans="1:85" s="19" customFormat="1" ht="15" customHeight="1" x14ac:dyDescent="0.2">
      <c r="A75" s="7022" t="s">
        <v>2445</v>
      </c>
      <c r="B75" s="7031" t="s">
        <v>77</v>
      </c>
      <c r="C75" s="6223"/>
      <c r="D75" s="7022"/>
      <c r="E75" s="7024" t="s">
        <v>101</v>
      </c>
      <c r="F75" s="7025"/>
      <c r="G75" s="7025"/>
      <c r="H75" s="7025"/>
      <c r="I75" s="7025"/>
      <c r="J75" s="7025"/>
      <c r="K75" s="7025"/>
      <c r="L75" s="7025"/>
      <c r="M75" s="7025"/>
      <c r="N75" s="7025"/>
      <c r="O75" s="7025"/>
      <c r="P75" s="7025"/>
      <c r="Q75" s="7025"/>
      <c r="R75" s="7025"/>
      <c r="S75" s="7025"/>
      <c r="T75" s="7025"/>
      <c r="U75" s="7025"/>
      <c r="V75" s="7025"/>
      <c r="W75" s="7025"/>
      <c r="X75" s="7025"/>
      <c r="Y75" s="7025"/>
      <c r="Z75" s="7025"/>
      <c r="AA75" s="7025"/>
      <c r="AB75" s="7025"/>
      <c r="AC75" s="7025"/>
      <c r="AD75" s="7025"/>
      <c r="AE75" s="7025"/>
      <c r="AF75" s="7025"/>
      <c r="AG75" s="7025"/>
      <c r="AH75" s="7025"/>
      <c r="AI75" s="7025"/>
      <c r="AJ75" s="7025"/>
      <c r="AK75" s="7025"/>
      <c r="AL75" s="7025"/>
      <c r="AM75" s="7025"/>
      <c r="AN75" s="7026"/>
    </row>
    <row r="76" spans="1:85" s="19" customFormat="1" ht="15" customHeight="1" x14ac:dyDescent="0.2">
      <c r="A76" s="6063"/>
      <c r="B76" s="6482"/>
      <c r="C76" s="6481"/>
      <c r="D76" s="6645"/>
      <c r="E76" s="7021" t="s">
        <v>4407</v>
      </c>
      <c r="F76" s="7022"/>
      <c r="G76" s="7030" t="s">
        <v>2446</v>
      </c>
      <c r="H76" s="7030"/>
      <c r="I76" s="7023" t="s">
        <v>2447</v>
      </c>
      <c r="J76" s="6976"/>
      <c r="K76" s="7030" t="s">
        <v>94</v>
      </c>
      <c r="L76" s="7030"/>
      <c r="M76" s="7023" t="s">
        <v>44</v>
      </c>
      <c r="N76" s="6976"/>
      <c r="O76" s="6223" t="s">
        <v>45</v>
      </c>
      <c r="P76" s="6223"/>
      <c r="Q76" s="7031" t="s">
        <v>46</v>
      </c>
      <c r="R76" s="7022"/>
      <c r="S76" s="7031" t="s">
        <v>47</v>
      </c>
      <c r="T76" s="7022"/>
      <c r="U76" s="6223" t="s">
        <v>48</v>
      </c>
      <c r="V76" s="7022"/>
      <c r="W76" s="7031" t="s">
        <v>49</v>
      </c>
      <c r="X76" s="7022"/>
      <c r="Y76" s="6223" t="s">
        <v>50</v>
      </c>
      <c r="Z76" s="6223"/>
      <c r="AA76" s="7031" t="s">
        <v>51</v>
      </c>
      <c r="AB76" s="7022"/>
      <c r="AC76" s="6223" t="s">
        <v>52</v>
      </c>
      <c r="AD76" s="6223"/>
      <c r="AE76" s="7031" t="s">
        <v>53</v>
      </c>
      <c r="AF76" s="7022"/>
      <c r="AG76" s="6223" t="s">
        <v>54</v>
      </c>
      <c r="AH76" s="6223"/>
      <c r="AI76" s="7031" t="s">
        <v>55</v>
      </c>
      <c r="AJ76" s="7022"/>
      <c r="AK76" s="6223" t="s">
        <v>56</v>
      </c>
      <c r="AL76" s="6223"/>
      <c r="AM76" s="7023" t="s">
        <v>57</v>
      </c>
      <c r="AN76" s="6976"/>
    </row>
    <row r="77" spans="1:85" s="19" customFormat="1" ht="15" customHeight="1" x14ac:dyDescent="0.2">
      <c r="A77" s="6645"/>
      <c r="B77" s="1006" t="s">
        <v>79</v>
      </c>
      <c r="C77" s="1093" t="s">
        <v>58</v>
      </c>
      <c r="D77" s="946" t="s">
        <v>59</v>
      </c>
      <c r="E77" s="1006" t="s">
        <v>58</v>
      </c>
      <c r="F77" s="1008" t="s">
        <v>59</v>
      </c>
      <c r="G77" s="1093" t="s">
        <v>58</v>
      </c>
      <c r="H77" s="1053" t="s">
        <v>59</v>
      </c>
      <c r="I77" s="1006" t="s">
        <v>58</v>
      </c>
      <c r="J77" s="1008" t="s">
        <v>59</v>
      </c>
      <c r="K77" s="1093" t="s">
        <v>58</v>
      </c>
      <c r="L77" s="1053" t="s">
        <v>59</v>
      </c>
      <c r="M77" s="1006" t="s">
        <v>58</v>
      </c>
      <c r="N77" s="1008" t="s">
        <v>59</v>
      </c>
      <c r="O77" s="1093" t="s">
        <v>58</v>
      </c>
      <c r="P77" s="1053" t="s">
        <v>59</v>
      </c>
      <c r="Q77" s="1006" t="s">
        <v>58</v>
      </c>
      <c r="R77" s="1008" t="s">
        <v>59</v>
      </c>
      <c r="S77" s="1006" t="s">
        <v>58</v>
      </c>
      <c r="T77" s="1008" t="s">
        <v>59</v>
      </c>
      <c r="U77" s="1093" t="s">
        <v>58</v>
      </c>
      <c r="V77" s="1008" t="s">
        <v>59</v>
      </c>
      <c r="W77" s="1006" t="s">
        <v>58</v>
      </c>
      <c r="X77" s="1008" t="s">
        <v>59</v>
      </c>
      <c r="Y77" s="1093" t="s">
        <v>58</v>
      </c>
      <c r="Z77" s="1053" t="s">
        <v>59</v>
      </c>
      <c r="AA77" s="1006" t="s">
        <v>58</v>
      </c>
      <c r="AB77" s="1008" t="s">
        <v>59</v>
      </c>
      <c r="AC77" s="1093" t="s">
        <v>58</v>
      </c>
      <c r="AD77" s="1053" t="s">
        <v>59</v>
      </c>
      <c r="AE77" s="1006" t="s">
        <v>58</v>
      </c>
      <c r="AF77" s="1008" t="s">
        <v>59</v>
      </c>
      <c r="AG77" s="1093" t="s">
        <v>58</v>
      </c>
      <c r="AH77" s="1053" t="s">
        <v>59</v>
      </c>
      <c r="AI77" s="1006" t="s">
        <v>58</v>
      </c>
      <c r="AJ77" s="1008" t="s">
        <v>59</v>
      </c>
      <c r="AK77" s="1093" t="s">
        <v>58</v>
      </c>
      <c r="AL77" s="1053" t="s">
        <v>59</v>
      </c>
      <c r="AM77" s="1006" t="s">
        <v>58</v>
      </c>
      <c r="AN77" s="1008" t="s">
        <v>59</v>
      </c>
    </row>
    <row r="78" spans="1:85" s="19" customFormat="1" ht="15" customHeight="1" x14ac:dyDescent="0.2">
      <c r="A78" s="1142" t="s">
        <v>2479</v>
      </c>
      <c r="B78" s="303">
        <f t="shared" ref="B78:B83" si="50">SUM(C78+D78)</f>
        <v>0</v>
      </c>
      <c r="C78" s="41">
        <f>SUM(E78+G78)</f>
        <v>0</v>
      </c>
      <c r="D78" s="1113">
        <f>SUM(F78+H78)</f>
        <v>0</v>
      </c>
      <c r="E78" s="1106"/>
      <c r="F78" s="1107"/>
      <c r="G78" s="1108"/>
      <c r="H78" s="1109"/>
      <c r="I78" s="1021"/>
      <c r="J78" s="1143"/>
      <c r="K78" s="1144"/>
      <c r="L78" s="1145"/>
      <c r="M78" s="1021"/>
      <c r="N78" s="1143"/>
      <c r="O78" s="1144"/>
      <c r="P78" s="1145"/>
      <c r="Q78" s="1021"/>
      <c r="R78" s="1143"/>
      <c r="S78" s="1021"/>
      <c r="T78" s="1143"/>
      <c r="U78" s="1021"/>
      <c r="V78" s="1143"/>
      <c r="W78" s="1021"/>
      <c r="X78" s="1143"/>
      <c r="Y78" s="1144"/>
      <c r="Z78" s="1145"/>
      <c r="AA78" s="1021"/>
      <c r="AB78" s="1143"/>
      <c r="AC78" s="1144"/>
      <c r="AD78" s="1145"/>
      <c r="AE78" s="1021"/>
      <c r="AF78" s="1143"/>
      <c r="AG78" s="1144"/>
      <c r="AH78" s="1145"/>
      <c r="AI78" s="1021"/>
      <c r="AJ78" s="1143"/>
      <c r="AK78" s="1144"/>
      <c r="AL78" s="1145"/>
      <c r="AM78" s="1146"/>
      <c r="AN78" s="1143"/>
    </row>
    <row r="79" spans="1:85" s="19" customFormat="1" ht="15" customHeight="1" x14ac:dyDescent="0.2">
      <c r="A79" s="961" t="s">
        <v>2467</v>
      </c>
      <c r="B79" s="1075">
        <f t="shared" si="50"/>
        <v>0</v>
      </c>
      <c r="C79" s="1076">
        <f>SUM(E79+G79+I79+K79+M79+O79+Q79+S79+U79+W79+Y79+AA79+AC79+AE79+AG79+AI79+AK79+AM79)</f>
        <v>0</v>
      </c>
      <c r="D79" s="1113">
        <f>SUM(F79+H79+J79+L79+N79+P79+R79+T79+V79+X79+Z79+AB79+AD79+AF79+AH79+AJ79+AL79+AN79)</f>
        <v>0</v>
      </c>
      <c r="E79" s="1114"/>
      <c r="F79" s="1115"/>
      <c r="G79" s="1116"/>
      <c r="H79" s="1117"/>
      <c r="I79" s="1114"/>
      <c r="J79" s="1118"/>
      <c r="K79" s="1116"/>
      <c r="L79" s="1117"/>
      <c r="M79" s="1114"/>
      <c r="N79" s="1118"/>
      <c r="O79" s="1116"/>
      <c r="P79" s="1117"/>
      <c r="Q79" s="1114"/>
      <c r="R79" s="1118"/>
      <c r="S79" s="1114"/>
      <c r="T79" s="1118"/>
      <c r="U79" s="1114"/>
      <c r="V79" s="1118"/>
      <c r="W79" s="1114"/>
      <c r="X79" s="1118"/>
      <c r="Y79" s="1116"/>
      <c r="Z79" s="1117"/>
      <c r="AA79" s="1114"/>
      <c r="AB79" s="1118"/>
      <c r="AC79" s="1116"/>
      <c r="AD79" s="1117"/>
      <c r="AE79" s="1114"/>
      <c r="AF79" s="1118"/>
      <c r="AG79" s="1116"/>
      <c r="AH79" s="1117"/>
      <c r="AI79" s="1114"/>
      <c r="AJ79" s="1118"/>
      <c r="AK79" s="1116"/>
      <c r="AL79" s="1117"/>
      <c r="AM79" s="1119"/>
      <c r="AN79" s="1118"/>
    </row>
    <row r="80" spans="1:85" s="19" customFormat="1" ht="15" customHeight="1" x14ac:dyDescent="0.2">
      <c r="A80" s="961" t="s">
        <v>2468</v>
      </c>
      <c r="B80" s="1075">
        <f t="shared" si="50"/>
        <v>0</v>
      </c>
      <c r="C80" s="1076">
        <f>SUM(E80+G80+I80+K80+M80+O80+Q80+S80+U80+W80+Y80+AA80+AC80+AE80+AG80+AI80+AK80+AM80)</f>
        <v>0</v>
      </c>
      <c r="D80" s="1113">
        <f>SUM(F80+H80+J80+L80+N80+P80+R80+T80+V80+X80+Z80+AB80+AD80+AF80+AH80+AJ80+AL80+AN80)</f>
        <v>0</v>
      </c>
      <c r="E80" s="1114"/>
      <c r="F80" s="1115"/>
      <c r="G80" s="1116"/>
      <c r="H80" s="1117"/>
      <c r="I80" s="1114"/>
      <c r="J80" s="1118"/>
      <c r="K80" s="1116"/>
      <c r="L80" s="1117"/>
      <c r="M80" s="1114"/>
      <c r="N80" s="1118"/>
      <c r="O80" s="1116"/>
      <c r="P80" s="1117"/>
      <c r="Q80" s="1114"/>
      <c r="R80" s="1118"/>
      <c r="S80" s="1114"/>
      <c r="T80" s="1118"/>
      <c r="U80" s="1114"/>
      <c r="V80" s="1118"/>
      <c r="W80" s="1114"/>
      <c r="X80" s="1118"/>
      <c r="Y80" s="1116"/>
      <c r="Z80" s="1117"/>
      <c r="AA80" s="1114"/>
      <c r="AB80" s="1118"/>
      <c r="AC80" s="1116"/>
      <c r="AD80" s="1117"/>
      <c r="AE80" s="1114"/>
      <c r="AF80" s="1118"/>
      <c r="AG80" s="1116"/>
      <c r="AH80" s="1117"/>
      <c r="AI80" s="1114"/>
      <c r="AJ80" s="1118"/>
      <c r="AK80" s="1116"/>
      <c r="AL80" s="1117"/>
      <c r="AM80" s="1119"/>
      <c r="AN80" s="1118"/>
    </row>
    <row r="81" spans="1:40" s="19" customFormat="1" ht="15" customHeight="1" x14ac:dyDescent="0.2">
      <c r="A81" s="961" t="s">
        <v>2480</v>
      </c>
      <c r="B81" s="1075">
        <f t="shared" si="50"/>
        <v>0</v>
      </c>
      <c r="C81" s="1076">
        <f>SUM(G81+I81+K81+M81+O81+Q81+S81+U81+W81+Y81+AA81+AC81+AE81+AG81+AI81+AK81+AM81)</f>
        <v>0</v>
      </c>
      <c r="D81" s="1113">
        <f>SUM(H81+J81+L81+N81+P81+R81+T81+V81+X81+Z81+AB81+AD81+AF81+AH81+AJ81+AL81+AN81)</f>
        <v>0</v>
      </c>
      <c r="E81" s="1024"/>
      <c r="F81" s="1025"/>
      <c r="G81" s="1116"/>
      <c r="H81" s="1117"/>
      <c r="I81" s="1114"/>
      <c r="J81" s="1118"/>
      <c r="K81" s="1116"/>
      <c r="L81" s="1117"/>
      <c r="M81" s="1114"/>
      <c r="N81" s="1118"/>
      <c r="O81" s="1116"/>
      <c r="P81" s="1117"/>
      <c r="Q81" s="1114"/>
      <c r="R81" s="1118"/>
      <c r="S81" s="1114"/>
      <c r="T81" s="1118"/>
      <c r="U81" s="1114"/>
      <c r="V81" s="1118"/>
      <c r="W81" s="1114"/>
      <c r="X81" s="1118"/>
      <c r="Y81" s="1116"/>
      <c r="Z81" s="1117"/>
      <c r="AA81" s="1114"/>
      <c r="AB81" s="1118"/>
      <c r="AC81" s="1116"/>
      <c r="AD81" s="1117"/>
      <c r="AE81" s="1114"/>
      <c r="AF81" s="1118"/>
      <c r="AG81" s="1116"/>
      <c r="AH81" s="1117"/>
      <c r="AI81" s="1114"/>
      <c r="AJ81" s="1118"/>
      <c r="AK81" s="1116"/>
      <c r="AL81" s="1117"/>
      <c r="AM81" s="1119"/>
      <c r="AN81" s="1118"/>
    </row>
    <row r="82" spans="1:40" s="19" customFormat="1" ht="15" customHeight="1" x14ac:dyDescent="0.2">
      <c r="A82" s="961" t="s">
        <v>2481</v>
      </c>
      <c r="B82" s="1075">
        <f t="shared" si="50"/>
        <v>0</v>
      </c>
      <c r="C82" s="1076">
        <f>SUM(W82+Y82+AA82+AC82+AE82+AG82+AI82+AK82+AM82)</f>
        <v>0</v>
      </c>
      <c r="D82" s="1113">
        <f>SUM(X82+Z82+AB82+AD82+AF82+AH82+AJ82+AL82+AN82)</f>
        <v>0</v>
      </c>
      <c r="E82" s="1024"/>
      <c r="F82" s="1025"/>
      <c r="G82" s="1147"/>
      <c r="H82" s="1148"/>
      <c r="I82" s="1024"/>
      <c r="J82" s="1149"/>
      <c r="K82" s="1147"/>
      <c r="L82" s="1148"/>
      <c r="M82" s="1024"/>
      <c r="N82" s="1149"/>
      <c r="O82" s="1147"/>
      <c r="P82" s="1148"/>
      <c r="Q82" s="1024"/>
      <c r="R82" s="1149"/>
      <c r="S82" s="1024"/>
      <c r="T82" s="1149"/>
      <c r="U82" s="1024"/>
      <c r="V82" s="1149"/>
      <c r="W82" s="1114"/>
      <c r="X82" s="1118"/>
      <c r="Y82" s="1116"/>
      <c r="Z82" s="1117"/>
      <c r="AA82" s="1114"/>
      <c r="AB82" s="1118"/>
      <c r="AC82" s="1116"/>
      <c r="AD82" s="1117"/>
      <c r="AE82" s="1114"/>
      <c r="AF82" s="1118"/>
      <c r="AG82" s="1116"/>
      <c r="AH82" s="1117"/>
      <c r="AI82" s="1114"/>
      <c r="AJ82" s="1118"/>
      <c r="AK82" s="1116"/>
      <c r="AL82" s="1117"/>
      <c r="AM82" s="1119"/>
      <c r="AN82" s="1118"/>
    </row>
    <row r="83" spans="1:40" s="19" customFormat="1" ht="15" customHeight="1" x14ac:dyDescent="0.2">
      <c r="A83" s="1150" t="s">
        <v>2471</v>
      </c>
      <c r="B83" s="199">
        <f t="shared" si="50"/>
        <v>0</v>
      </c>
      <c r="C83" s="1151">
        <f>SUM(E83+G83+I83+K83+M83+O83+Q83+S83+U83+W83+Y83+AA83+AC83+AE83+AG83+AI83+AK83+AM83)</f>
        <v>0</v>
      </c>
      <c r="D83" s="1113">
        <f>SUM(F83+H83+J83+L83+N83+P83+R83+T83+V83+X83+Z83+AB83+AD83+AF83+AH83+AJ83+AL83+AN83)</f>
        <v>0</v>
      </c>
      <c r="E83" s="1139"/>
      <c r="F83" s="388"/>
      <c r="G83" s="1152"/>
      <c r="H83" s="1153"/>
      <c r="I83" s="1139"/>
      <c r="J83" s="1140"/>
      <c r="K83" s="1152"/>
      <c r="L83" s="1153"/>
      <c r="M83" s="1139"/>
      <c r="N83" s="1140"/>
      <c r="O83" s="1152"/>
      <c r="P83" s="1153"/>
      <c r="Q83" s="1139"/>
      <c r="R83" s="1140"/>
      <c r="S83" s="1139"/>
      <c r="T83" s="1140"/>
      <c r="U83" s="1139"/>
      <c r="V83" s="1140"/>
      <c r="W83" s="1139"/>
      <c r="X83" s="1140"/>
      <c r="Y83" s="1152"/>
      <c r="Z83" s="1153"/>
      <c r="AA83" s="1139"/>
      <c r="AB83" s="1140"/>
      <c r="AC83" s="1152"/>
      <c r="AD83" s="1153"/>
      <c r="AE83" s="1139"/>
      <c r="AF83" s="1140"/>
      <c r="AG83" s="1152"/>
      <c r="AH83" s="1153"/>
      <c r="AI83" s="1139"/>
      <c r="AJ83" s="1140"/>
      <c r="AK83" s="1152"/>
      <c r="AL83" s="1153"/>
      <c r="AM83" s="1154"/>
      <c r="AN83" s="1140"/>
    </row>
    <row r="84" spans="1:40" s="19" customFormat="1" ht="15" customHeight="1" x14ac:dyDescent="0.2">
      <c r="A84" s="1050" t="s">
        <v>77</v>
      </c>
      <c r="B84" s="998">
        <f t="shared" ref="B84:AN84" si="51">SUM(B78:B83)</f>
        <v>0</v>
      </c>
      <c r="C84" s="1001">
        <f t="shared" si="51"/>
        <v>0</v>
      </c>
      <c r="D84" s="999">
        <f t="shared" si="51"/>
        <v>0</v>
      </c>
      <c r="E84" s="1125">
        <f>SUM(E78:E83)</f>
        <v>0</v>
      </c>
      <c r="F84" s="1126">
        <f t="shared" si="51"/>
        <v>0</v>
      </c>
      <c r="G84" s="1127">
        <f t="shared" si="51"/>
        <v>0</v>
      </c>
      <c r="H84" s="1128">
        <f t="shared" si="51"/>
        <v>0</v>
      </c>
      <c r="I84" s="1125">
        <f t="shared" si="51"/>
        <v>0</v>
      </c>
      <c r="J84" s="1129">
        <f t="shared" si="51"/>
        <v>0</v>
      </c>
      <c r="K84" s="1127">
        <f t="shared" si="51"/>
        <v>0</v>
      </c>
      <c r="L84" s="1128">
        <f t="shared" si="51"/>
        <v>0</v>
      </c>
      <c r="M84" s="1125">
        <f t="shared" si="51"/>
        <v>0</v>
      </c>
      <c r="N84" s="1129">
        <f t="shared" si="51"/>
        <v>0</v>
      </c>
      <c r="O84" s="1127">
        <f t="shared" si="51"/>
        <v>0</v>
      </c>
      <c r="P84" s="1128">
        <f t="shared" si="51"/>
        <v>0</v>
      </c>
      <c r="Q84" s="1125">
        <f t="shared" si="51"/>
        <v>0</v>
      </c>
      <c r="R84" s="1129">
        <f t="shared" si="51"/>
        <v>0</v>
      </c>
      <c r="S84" s="1125">
        <f t="shared" ref="S84:T84" si="52">SUM(S78:S83)</f>
        <v>0</v>
      </c>
      <c r="T84" s="1129">
        <f t="shared" si="52"/>
        <v>0</v>
      </c>
      <c r="U84" s="1125">
        <f t="shared" ref="U84:V84" si="53">SUM(U78:U83)</f>
        <v>0</v>
      </c>
      <c r="V84" s="1129">
        <f t="shared" si="53"/>
        <v>0</v>
      </c>
      <c r="W84" s="1125">
        <f t="shared" si="51"/>
        <v>0</v>
      </c>
      <c r="X84" s="1129">
        <f t="shared" si="51"/>
        <v>0</v>
      </c>
      <c r="Y84" s="1127">
        <f t="shared" si="51"/>
        <v>0</v>
      </c>
      <c r="Z84" s="1128">
        <f t="shared" si="51"/>
        <v>0</v>
      </c>
      <c r="AA84" s="1125">
        <f t="shared" si="51"/>
        <v>0</v>
      </c>
      <c r="AB84" s="1129">
        <f t="shared" si="51"/>
        <v>0</v>
      </c>
      <c r="AC84" s="1127">
        <f t="shared" si="51"/>
        <v>0</v>
      </c>
      <c r="AD84" s="1128">
        <f t="shared" si="51"/>
        <v>0</v>
      </c>
      <c r="AE84" s="1125">
        <f t="shared" si="51"/>
        <v>0</v>
      </c>
      <c r="AF84" s="1129">
        <f t="shared" si="51"/>
        <v>0</v>
      </c>
      <c r="AG84" s="1127">
        <f t="shared" si="51"/>
        <v>0</v>
      </c>
      <c r="AH84" s="1128">
        <f t="shared" si="51"/>
        <v>0</v>
      </c>
      <c r="AI84" s="1125">
        <f t="shared" si="51"/>
        <v>0</v>
      </c>
      <c r="AJ84" s="1129">
        <f t="shared" si="51"/>
        <v>0</v>
      </c>
      <c r="AK84" s="1127">
        <f t="shared" si="51"/>
        <v>0</v>
      </c>
      <c r="AL84" s="1128">
        <f t="shared" si="51"/>
        <v>0</v>
      </c>
      <c r="AM84" s="1130">
        <f t="shared" si="51"/>
        <v>0</v>
      </c>
      <c r="AN84" s="1129">
        <f t="shared" si="51"/>
        <v>0</v>
      </c>
    </row>
    <row r="85" spans="1:40" s="25" customFormat="1" ht="18" customHeight="1" x14ac:dyDescent="0.2">
      <c r="A85" s="1" t="s">
        <v>2482</v>
      </c>
    </row>
    <row r="86" spans="1:40" s="19" customFormat="1" ht="20.399999999999999" x14ac:dyDescent="0.2">
      <c r="A86" s="7072" t="s">
        <v>27</v>
      </c>
      <c r="B86" s="7072"/>
      <c r="C86" s="1006" t="s">
        <v>77</v>
      </c>
      <c r="D86" s="1135" t="s">
        <v>705</v>
      </c>
      <c r="E86" s="1092" t="s">
        <v>2483</v>
      </c>
    </row>
    <row r="87" spans="1:40" s="19" customFormat="1" ht="15" customHeight="1" x14ac:dyDescent="0.2">
      <c r="A87" s="7076" t="s">
        <v>64</v>
      </c>
      <c r="B87" s="7077"/>
      <c r="C87" s="962">
        <f>SUM(D87+E87)</f>
        <v>0</v>
      </c>
      <c r="D87" s="44"/>
      <c r="E87" s="905"/>
    </row>
    <row r="88" spans="1:40" s="19" customFormat="1" ht="15" customHeight="1" x14ac:dyDescent="0.2">
      <c r="A88" s="7073" t="s">
        <v>1406</v>
      </c>
      <c r="B88" s="7074"/>
      <c r="C88" s="962">
        <f>SUM(D88+E88)</f>
        <v>0</v>
      </c>
      <c r="D88" s="968"/>
      <c r="E88" s="967"/>
    </row>
    <row r="89" spans="1:40" s="19" customFormat="1" ht="15" customHeight="1" x14ac:dyDescent="0.2">
      <c r="A89" s="7075" t="s">
        <v>98</v>
      </c>
      <c r="B89" s="6570"/>
      <c r="C89" s="962">
        <f>SUM(D89+E89)</f>
        <v>0</v>
      </c>
      <c r="D89" s="968"/>
      <c r="E89" s="967"/>
    </row>
    <row r="90" spans="1:40" s="19" customFormat="1" ht="15" customHeight="1" x14ac:dyDescent="0.2">
      <c r="A90" s="7024" t="s">
        <v>77</v>
      </c>
      <c r="B90" s="7026"/>
      <c r="C90" s="1155">
        <f>SUM(C87:C89)</f>
        <v>0</v>
      </c>
      <c r="D90" s="1001">
        <f>SUM(D87:D89)</f>
        <v>0</v>
      </c>
      <c r="E90" s="1000">
        <f>SUM(E87:E89)</f>
        <v>0</v>
      </c>
    </row>
    <row r="91" spans="1:40" s="25" customFormat="1" ht="18" customHeight="1" x14ac:dyDescent="0.2">
      <c r="A91" s="3352" t="s">
        <v>2484</v>
      </c>
    </row>
    <row r="92" spans="1:40" s="19" customFormat="1" ht="15" customHeight="1" x14ac:dyDescent="0.2">
      <c r="A92" s="7022" t="s">
        <v>2485</v>
      </c>
      <c r="B92" s="7059" t="s">
        <v>77</v>
      </c>
      <c r="C92" s="6493"/>
      <c r="D92" s="7051"/>
      <c r="E92" s="7027" t="s">
        <v>101</v>
      </c>
      <c r="F92" s="7028"/>
      <c r="G92" s="7028"/>
      <c r="H92" s="7028"/>
      <c r="I92" s="7028"/>
      <c r="J92" s="7028"/>
      <c r="K92" s="7028"/>
      <c r="L92" s="7028"/>
      <c r="M92" s="7028"/>
      <c r="N92" s="7028"/>
      <c r="O92" s="7028"/>
      <c r="P92" s="7028"/>
      <c r="Q92" s="7028"/>
      <c r="R92" s="7028"/>
      <c r="S92" s="7028"/>
      <c r="T92" s="7028"/>
      <c r="U92" s="7028"/>
      <c r="V92" s="7028"/>
      <c r="W92" s="7028"/>
      <c r="X92" s="7028"/>
      <c r="Y92" s="7028"/>
      <c r="Z92" s="7028"/>
      <c r="AA92" s="7028"/>
      <c r="AB92" s="7028"/>
      <c r="AC92" s="7028"/>
      <c r="AD92" s="7028"/>
      <c r="AE92" s="7028"/>
      <c r="AF92" s="7028"/>
      <c r="AG92" s="7028"/>
      <c r="AH92" s="7028"/>
      <c r="AI92" s="7028"/>
      <c r="AJ92" s="7028"/>
      <c r="AK92" s="7028"/>
      <c r="AL92" s="7028"/>
      <c r="AM92" s="7028"/>
      <c r="AN92" s="7029"/>
    </row>
    <row r="93" spans="1:40" s="19" customFormat="1" ht="15" customHeight="1" x14ac:dyDescent="0.2">
      <c r="A93" s="6063"/>
      <c r="B93" s="6632"/>
      <c r="C93" s="6496"/>
      <c r="D93" s="7000"/>
      <c r="E93" s="7021" t="s">
        <v>4407</v>
      </c>
      <c r="F93" s="7022"/>
      <c r="G93" s="7023" t="s">
        <v>2446</v>
      </c>
      <c r="H93" s="6976"/>
      <c r="I93" s="7023" t="s">
        <v>2447</v>
      </c>
      <c r="J93" s="6976"/>
      <c r="K93" s="7030" t="s">
        <v>94</v>
      </c>
      <c r="L93" s="7030"/>
      <c r="M93" s="7023" t="s">
        <v>44</v>
      </c>
      <c r="N93" s="6976"/>
      <c r="O93" s="7030" t="s">
        <v>45</v>
      </c>
      <c r="P93" s="7030"/>
      <c r="Q93" s="7031" t="s">
        <v>46</v>
      </c>
      <c r="R93" s="7022"/>
      <c r="S93" s="7031" t="s">
        <v>47</v>
      </c>
      <c r="T93" s="7022"/>
      <c r="U93" s="6223" t="s">
        <v>48</v>
      </c>
      <c r="V93" s="7022"/>
      <c r="W93" s="7030" t="s">
        <v>49</v>
      </c>
      <c r="X93" s="7030"/>
      <c r="Y93" s="7023" t="s">
        <v>50</v>
      </c>
      <c r="Z93" s="6976"/>
      <c r="AA93" s="7030" t="s">
        <v>51</v>
      </c>
      <c r="AB93" s="7030"/>
      <c r="AC93" s="7023" t="s">
        <v>52</v>
      </c>
      <c r="AD93" s="6976"/>
      <c r="AE93" s="7030" t="s">
        <v>53</v>
      </c>
      <c r="AF93" s="7030"/>
      <c r="AG93" s="7023" t="s">
        <v>54</v>
      </c>
      <c r="AH93" s="6976"/>
      <c r="AI93" s="7030" t="s">
        <v>55</v>
      </c>
      <c r="AJ93" s="7030"/>
      <c r="AK93" s="7023" t="s">
        <v>56</v>
      </c>
      <c r="AL93" s="6976"/>
      <c r="AM93" s="7023" t="s">
        <v>57</v>
      </c>
      <c r="AN93" s="6976"/>
    </row>
    <row r="94" spans="1:40" s="19" customFormat="1" ht="15" customHeight="1" x14ac:dyDescent="0.2">
      <c r="A94" s="6645"/>
      <c r="B94" s="1006" t="s">
        <v>79</v>
      </c>
      <c r="C94" s="1093" t="s">
        <v>58</v>
      </c>
      <c r="D94" s="1008" t="s">
        <v>59</v>
      </c>
      <c r="E94" s="1006" t="s">
        <v>58</v>
      </c>
      <c r="F94" s="1008" t="s">
        <v>59</v>
      </c>
      <c r="G94" s="1006" t="s">
        <v>58</v>
      </c>
      <c r="H94" s="1008" t="s">
        <v>59</v>
      </c>
      <c r="I94" s="1006" t="s">
        <v>58</v>
      </c>
      <c r="J94" s="1008" t="s">
        <v>59</v>
      </c>
      <c r="K94" s="1093" t="s">
        <v>58</v>
      </c>
      <c r="L94" s="1053" t="s">
        <v>59</v>
      </c>
      <c r="M94" s="1006" t="s">
        <v>58</v>
      </c>
      <c r="N94" s="1008" t="s">
        <v>59</v>
      </c>
      <c r="O94" s="1093" t="s">
        <v>58</v>
      </c>
      <c r="P94" s="1053" t="s">
        <v>59</v>
      </c>
      <c r="Q94" s="1006" t="s">
        <v>58</v>
      </c>
      <c r="R94" s="1008" t="s">
        <v>59</v>
      </c>
      <c r="S94" s="1006" t="s">
        <v>58</v>
      </c>
      <c r="T94" s="1008" t="s">
        <v>59</v>
      </c>
      <c r="U94" s="1093" t="s">
        <v>58</v>
      </c>
      <c r="V94" s="1008" t="s">
        <v>59</v>
      </c>
      <c r="W94" s="1093" t="s">
        <v>58</v>
      </c>
      <c r="X94" s="1053" t="s">
        <v>59</v>
      </c>
      <c r="Y94" s="1006" t="s">
        <v>58</v>
      </c>
      <c r="Z94" s="1008" t="s">
        <v>59</v>
      </c>
      <c r="AA94" s="1093" t="s">
        <v>58</v>
      </c>
      <c r="AB94" s="1053" t="s">
        <v>59</v>
      </c>
      <c r="AC94" s="1006" t="s">
        <v>58</v>
      </c>
      <c r="AD94" s="1008" t="s">
        <v>59</v>
      </c>
      <c r="AE94" s="1093" t="s">
        <v>58</v>
      </c>
      <c r="AF94" s="1053" t="s">
        <v>59</v>
      </c>
      <c r="AG94" s="1006" t="s">
        <v>58</v>
      </c>
      <c r="AH94" s="1008" t="s">
        <v>59</v>
      </c>
      <c r="AI94" s="1093" t="s">
        <v>58</v>
      </c>
      <c r="AJ94" s="1053" t="s">
        <v>59</v>
      </c>
      <c r="AK94" s="1006" t="s">
        <v>58</v>
      </c>
      <c r="AL94" s="1008" t="s">
        <v>59</v>
      </c>
      <c r="AM94" s="1006" t="s">
        <v>58</v>
      </c>
      <c r="AN94" s="1008" t="s">
        <v>59</v>
      </c>
    </row>
    <row r="95" spans="1:40" s="19" customFormat="1" ht="15" customHeight="1" x14ac:dyDescent="0.2">
      <c r="A95" s="1142" t="s">
        <v>2486</v>
      </c>
      <c r="B95" s="1103">
        <f t="shared" ref="B95:B103" si="54">SUM(C95+D95)</f>
        <v>0</v>
      </c>
      <c r="C95" s="1104">
        <f>SUM(I95+K95+M95+O95+Q95+S95+U95+W95+Y95+AA95+AC95+AE95+AG95+AI95+AK95+AM95)</f>
        <v>0</v>
      </c>
      <c r="D95" s="1105">
        <f>SUM(J95+L95+N95+P95+R95+T95+V95+X95+Z95+AB95+AD95+AF95+AH95+AJ95+AL95+AN95)</f>
        <v>0</v>
      </c>
      <c r="E95" s="1032"/>
      <c r="F95" s="1157"/>
      <c r="G95" s="1032"/>
      <c r="H95" s="1157"/>
      <c r="I95" s="954"/>
      <c r="J95" s="890"/>
      <c r="K95" s="956"/>
      <c r="L95" s="957"/>
      <c r="M95" s="954"/>
      <c r="N95" s="890"/>
      <c r="O95" s="956"/>
      <c r="P95" s="957"/>
      <c r="Q95" s="954"/>
      <c r="R95" s="890"/>
      <c r="S95" s="954"/>
      <c r="T95" s="890"/>
      <c r="U95" s="954"/>
      <c r="V95" s="890"/>
      <c r="W95" s="956"/>
      <c r="X95" s="957"/>
      <c r="Y95" s="954"/>
      <c r="Z95" s="890"/>
      <c r="AA95" s="956"/>
      <c r="AB95" s="957"/>
      <c r="AC95" s="954"/>
      <c r="AD95" s="890"/>
      <c r="AE95" s="956"/>
      <c r="AF95" s="957"/>
      <c r="AG95" s="954"/>
      <c r="AH95" s="890"/>
      <c r="AI95" s="956"/>
      <c r="AJ95" s="957"/>
      <c r="AK95" s="954"/>
      <c r="AL95" s="890"/>
      <c r="AM95" s="958"/>
      <c r="AN95" s="890"/>
    </row>
    <row r="96" spans="1:40" s="19" customFormat="1" ht="15" customHeight="1" x14ac:dyDescent="0.2">
      <c r="A96" s="961" t="s">
        <v>2487</v>
      </c>
      <c r="B96" s="303">
        <f t="shared" si="54"/>
        <v>0</v>
      </c>
      <c r="C96" s="41">
        <f t="shared" ref="C96:C101" si="55">SUM(I96+K96+M96+O96+Q96+S96+U96+W96+Y96+AA96+AC96+AE96+AG96+AI96+AK96+AM96)</f>
        <v>0</v>
      </c>
      <c r="D96" s="141">
        <f t="shared" ref="D96:D100" si="56">SUM(J96+L96+N96+P96+R96+T96+V96+X96+Z96+AB96+AD96+AF96+AH96+AJ96+AL96+AN96)</f>
        <v>0</v>
      </c>
      <c r="E96" s="334"/>
      <c r="F96" s="211"/>
      <c r="G96" s="334"/>
      <c r="H96" s="211"/>
      <c r="I96" s="327"/>
      <c r="J96" s="905"/>
      <c r="K96" s="44"/>
      <c r="L96" s="1158"/>
      <c r="M96" s="327"/>
      <c r="N96" s="905"/>
      <c r="O96" s="44"/>
      <c r="P96" s="1158"/>
      <c r="Q96" s="327"/>
      <c r="R96" s="905"/>
      <c r="S96" s="327"/>
      <c r="T96" s="905"/>
      <c r="U96" s="327"/>
      <c r="V96" s="905"/>
      <c r="W96" s="44"/>
      <c r="X96" s="1158"/>
      <c r="Y96" s="327"/>
      <c r="Z96" s="905"/>
      <c r="AA96" s="44"/>
      <c r="AB96" s="1158"/>
      <c r="AC96" s="327"/>
      <c r="AD96" s="905"/>
      <c r="AE96" s="44"/>
      <c r="AF96" s="1158"/>
      <c r="AG96" s="327"/>
      <c r="AH96" s="905"/>
      <c r="AI96" s="44"/>
      <c r="AJ96" s="1158"/>
      <c r="AK96" s="327"/>
      <c r="AL96" s="905"/>
      <c r="AM96" s="45"/>
      <c r="AN96" s="905"/>
    </row>
    <row r="97" spans="1:40" s="19" customFormat="1" ht="15" customHeight="1" x14ac:dyDescent="0.2">
      <c r="A97" s="961" t="s">
        <v>2488</v>
      </c>
      <c r="B97" s="1075">
        <f t="shared" si="54"/>
        <v>0</v>
      </c>
      <c r="C97" s="1076">
        <f t="shared" si="55"/>
        <v>0</v>
      </c>
      <c r="D97" s="1113">
        <f t="shared" si="56"/>
        <v>0</v>
      </c>
      <c r="E97" s="334"/>
      <c r="F97" s="211"/>
      <c r="G97" s="334"/>
      <c r="H97" s="211"/>
      <c r="I97" s="327"/>
      <c r="J97" s="905"/>
      <c r="K97" s="44"/>
      <c r="L97" s="1158"/>
      <c r="M97" s="327"/>
      <c r="N97" s="905"/>
      <c r="O97" s="44"/>
      <c r="P97" s="1158"/>
      <c r="Q97" s="327"/>
      <c r="R97" s="905"/>
      <c r="S97" s="327"/>
      <c r="T97" s="905"/>
      <c r="U97" s="327"/>
      <c r="V97" s="905"/>
      <c r="W97" s="44"/>
      <c r="X97" s="1158"/>
      <c r="Y97" s="327"/>
      <c r="Z97" s="905"/>
      <c r="AA97" s="44"/>
      <c r="AB97" s="1158"/>
      <c r="AC97" s="327"/>
      <c r="AD97" s="905"/>
      <c r="AE97" s="44"/>
      <c r="AF97" s="1158"/>
      <c r="AG97" s="327"/>
      <c r="AH97" s="905"/>
      <c r="AI97" s="44"/>
      <c r="AJ97" s="1158"/>
      <c r="AK97" s="327"/>
      <c r="AL97" s="905"/>
      <c r="AM97" s="45"/>
      <c r="AN97" s="905"/>
    </row>
    <row r="98" spans="1:40" s="19" customFormat="1" ht="15" customHeight="1" x14ac:dyDescent="0.2">
      <c r="A98" s="961" t="s">
        <v>2489</v>
      </c>
      <c r="B98" s="1075">
        <f t="shared" si="54"/>
        <v>0</v>
      </c>
      <c r="C98" s="1076">
        <f t="shared" si="55"/>
        <v>0</v>
      </c>
      <c r="D98" s="1113">
        <f t="shared" si="56"/>
        <v>0</v>
      </c>
      <c r="E98" s="334"/>
      <c r="F98" s="211"/>
      <c r="G98" s="334"/>
      <c r="H98" s="211"/>
      <c r="I98" s="327"/>
      <c r="J98" s="905"/>
      <c r="K98" s="44"/>
      <c r="L98" s="1158"/>
      <c r="M98" s="327"/>
      <c r="N98" s="905"/>
      <c r="O98" s="44"/>
      <c r="P98" s="1158"/>
      <c r="Q98" s="327"/>
      <c r="R98" s="905"/>
      <c r="S98" s="327"/>
      <c r="T98" s="905"/>
      <c r="U98" s="327"/>
      <c r="V98" s="905"/>
      <c r="W98" s="44"/>
      <c r="X98" s="1158"/>
      <c r="Y98" s="327"/>
      <c r="Z98" s="905"/>
      <c r="AA98" s="44"/>
      <c r="AB98" s="1158"/>
      <c r="AC98" s="327"/>
      <c r="AD98" s="905"/>
      <c r="AE98" s="44"/>
      <c r="AF98" s="1158"/>
      <c r="AG98" s="327"/>
      <c r="AH98" s="905"/>
      <c r="AI98" s="44"/>
      <c r="AJ98" s="1158"/>
      <c r="AK98" s="327"/>
      <c r="AL98" s="905"/>
      <c r="AM98" s="45"/>
      <c r="AN98" s="905"/>
    </row>
    <row r="99" spans="1:40" s="19" customFormat="1" ht="15" customHeight="1" x14ac:dyDescent="0.2">
      <c r="A99" s="961" t="s">
        <v>2490</v>
      </c>
      <c r="B99" s="1075">
        <f t="shared" si="54"/>
        <v>0</v>
      </c>
      <c r="C99" s="1076">
        <f t="shared" si="55"/>
        <v>0</v>
      </c>
      <c r="D99" s="1113">
        <f t="shared" si="56"/>
        <v>0</v>
      </c>
      <c r="E99" s="979"/>
      <c r="F99" s="985"/>
      <c r="G99" s="979"/>
      <c r="H99" s="985"/>
      <c r="I99" s="965"/>
      <c r="J99" s="967"/>
      <c r="K99" s="968"/>
      <c r="L99" s="969"/>
      <c r="M99" s="965"/>
      <c r="N99" s="967"/>
      <c r="O99" s="968"/>
      <c r="P99" s="969"/>
      <c r="Q99" s="965"/>
      <c r="R99" s="967"/>
      <c r="S99" s="965"/>
      <c r="T99" s="967"/>
      <c r="U99" s="965"/>
      <c r="V99" s="967"/>
      <c r="W99" s="968"/>
      <c r="X99" s="969"/>
      <c r="Y99" s="965"/>
      <c r="Z99" s="967"/>
      <c r="AA99" s="968"/>
      <c r="AB99" s="969"/>
      <c r="AC99" s="965"/>
      <c r="AD99" s="967"/>
      <c r="AE99" s="968"/>
      <c r="AF99" s="969"/>
      <c r="AG99" s="965"/>
      <c r="AH99" s="967"/>
      <c r="AI99" s="968"/>
      <c r="AJ99" s="969"/>
      <c r="AK99" s="965"/>
      <c r="AL99" s="967"/>
      <c r="AM99" s="970"/>
      <c r="AN99" s="967"/>
    </row>
    <row r="100" spans="1:40" s="19" customFormat="1" ht="15" customHeight="1" x14ac:dyDescent="0.2">
      <c r="A100" s="961" t="s">
        <v>2491</v>
      </c>
      <c r="B100" s="1075">
        <f t="shared" si="54"/>
        <v>0</v>
      </c>
      <c r="C100" s="1076">
        <f>SUM(I100+K100+M100+O100+Q100+S100+U100+W100+Y100+AA100+AC100+AE100+AG100+AI100+AK100+AM100)</f>
        <v>0</v>
      </c>
      <c r="D100" s="1113">
        <f t="shared" si="56"/>
        <v>0</v>
      </c>
      <c r="E100" s="979"/>
      <c r="F100" s="985"/>
      <c r="G100" s="979"/>
      <c r="H100" s="985"/>
      <c r="I100" s="965"/>
      <c r="J100" s="967"/>
      <c r="K100" s="968"/>
      <c r="L100" s="969"/>
      <c r="M100" s="965"/>
      <c r="N100" s="967"/>
      <c r="O100" s="968"/>
      <c r="P100" s="969"/>
      <c r="Q100" s="965"/>
      <c r="R100" s="967"/>
      <c r="S100" s="965"/>
      <c r="T100" s="967"/>
      <c r="U100" s="965"/>
      <c r="V100" s="967"/>
      <c r="W100" s="968"/>
      <c r="X100" s="969"/>
      <c r="Y100" s="965"/>
      <c r="Z100" s="967"/>
      <c r="AA100" s="968"/>
      <c r="AB100" s="969"/>
      <c r="AC100" s="965"/>
      <c r="AD100" s="967"/>
      <c r="AE100" s="968"/>
      <c r="AF100" s="969"/>
      <c r="AG100" s="965"/>
      <c r="AH100" s="967"/>
      <c r="AI100" s="968"/>
      <c r="AJ100" s="969"/>
      <c r="AK100" s="965"/>
      <c r="AL100" s="967"/>
      <c r="AM100" s="970"/>
      <c r="AN100" s="967"/>
    </row>
    <row r="101" spans="1:40" s="19" customFormat="1" ht="15" customHeight="1" x14ac:dyDescent="0.2">
      <c r="A101" s="961" t="s">
        <v>2492</v>
      </c>
      <c r="B101" s="1075">
        <f t="shared" si="54"/>
        <v>0</v>
      </c>
      <c r="C101" s="1076">
        <f t="shared" si="55"/>
        <v>0</v>
      </c>
      <c r="D101" s="1113">
        <f>SUM(J101+L101+N101+P101+R101+T101+V101+X101+Z101+AB101+AD101+AF101+AH101+AJ101+AL101+AN101)</f>
        <v>0</v>
      </c>
      <c r="E101" s="979"/>
      <c r="F101" s="985"/>
      <c r="G101" s="979"/>
      <c r="H101" s="985"/>
      <c r="I101" s="965"/>
      <c r="J101" s="967"/>
      <c r="K101" s="968"/>
      <c r="L101" s="969"/>
      <c r="M101" s="965"/>
      <c r="N101" s="967"/>
      <c r="O101" s="968"/>
      <c r="P101" s="969"/>
      <c r="Q101" s="965"/>
      <c r="R101" s="967"/>
      <c r="S101" s="965"/>
      <c r="T101" s="967"/>
      <c r="U101" s="965"/>
      <c r="V101" s="967"/>
      <c r="W101" s="968"/>
      <c r="X101" s="969"/>
      <c r="Y101" s="965"/>
      <c r="Z101" s="967"/>
      <c r="AA101" s="968"/>
      <c r="AB101" s="969"/>
      <c r="AC101" s="965"/>
      <c r="AD101" s="967"/>
      <c r="AE101" s="968"/>
      <c r="AF101" s="969"/>
      <c r="AG101" s="965"/>
      <c r="AH101" s="967"/>
      <c r="AI101" s="968"/>
      <c r="AJ101" s="969"/>
      <c r="AK101" s="965"/>
      <c r="AL101" s="967"/>
      <c r="AM101" s="970"/>
      <c r="AN101" s="967"/>
    </row>
    <row r="102" spans="1:40" s="19" customFormat="1" ht="15" customHeight="1" x14ac:dyDescent="0.2">
      <c r="A102" s="1159" t="s">
        <v>2493</v>
      </c>
      <c r="B102" s="1075">
        <f t="shared" si="54"/>
        <v>0</v>
      </c>
      <c r="C102" s="1160">
        <f>SUM(E102+G102+I102+K102+M102+O102+Q102+S102+U102+W102+Y102+AA102+AC102+AE102+AG102+AI102+AK102+AM102)</f>
        <v>0</v>
      </c>
      <c r="D102" s="1113">
        <f>SUM(F102+H102+J102+L102+N102+P102+R102+T102+V102+X102+Z102+AB102+AD102+AF102+AH102+AJ102+AL102+AN102)</f>
        <v>0</v>
      </c>
      <c r="E102" s="212"/>
      <c r="F102" s="1161"/>
      <c r="G102" s="212"/>
      <c r="H102" s="1161"/>
      <c r="I102" s="212"/>
      <c r="J102" s="1161"/>
      <c r="K102" s="1162"/>
      <c r="L102" s="1163"/>
      <c r="M102" s="212"/>
      <c r="N102" s="1161"/>
      <c r="O102" s="1162"/>
      <c r="P102" s="1163"/>
      <c r="Q102" s="212"/>
      <c r="R102" s="1161"/>
      <c r="S102" s="212"/>
      <c r="T102" s="1161"/>
      <c r="U102" s="212"/>
      <c r="V102" s="1161"/>
      <c r="W102" s="1162"/>
      <c r="X102" s="1163"/>
      <c r="Y102" s="212"/>
      <c r="Z102" s="1161"/>
      <c r="AA102" s="1162"/>
      <c r="AB102" s="1163"/>
      <c r="AC102" s="212"/>
      <c r="AD102" s="1161"/>
      <c r="AE102" s="1162"/>
      <c r="AF102" s="1163"/>
      <c r="AG102" s="212"/>
      <c r="AH102" s="1161"/>
      <c r="AI102" s="1162"/>
      <c r="AJ102" s="1163"/>
      <c r="AK102" s="212"/>
      <c r="AL102" s="1161"/>
      <c r="AM102" s="46"/>
      <c r="AN102" s="1161"/>
    </row>
    <row r="103" spans="1:40" s="19" customFormat="1" ht="15" customHeight="1" x14ac:dyDescent="0.2">
      <c r="A103" s="1164" t="s">
        <v>2494</v>
      </c>
      <c r="B103" s="1165">
        <f t="shared" si="54"/>
        <v>0</v>
      </c>
      <c r="C103" s="1166">
        <f>SUM(E103+G103+I103+K103+M103+O103+Q103+S103+U103+W103+Y103+AA103+AC103+AE103+AG103+AI103+AK103+AM103)</f>
        <v>0</v>
      </c>
      <c r="D103" s="640">
        <f>SUM(F103+H103+J103+L103+N103+P103+R103+T103+V103+X103+Z103+AB103+AD103+AF103+AH103+AJ103+AL103+AN103)</f>
        <v>0</v>
      </c>
      <c r="E103" s="989"/>
      <c r="F103" s="990"/>
      <c r="G103" s="989"/>
      <c r="H103" s="990"/>
      <c r="I103" s="989"/>
      <c r="J103" s="990"/>
      <c r="K103" s="991"/>
      <c r="L103" s="992"/>
      <c r="M103" s="989"/>
      <c r="N103" s="990"/>
      <c r="O103" s="991"/>
      <c r="P103" s="992"/>
      <c r="Q103" s="989"/>
      <c r="R103" s="990"/>
      <c r="S103" s="989"/>
      <c r="T103" s="990"/>
      <c r="U103" s="989"/>
      <c r="V103" s="990"/>
      <c r="W103" s="991"/>
      <c r="X103" s="992"/>
      <c r="Y103" s="989"/>
      <c r="Z103" s="990"/>
      <c r="AA103" s="991"/>
      <c r="AB103" s="992"/>
      <c r="AC103" s="989"/>
      <c r="AD103" s="990"/>
      <c r="AE103" s="991"/>
      <c r="AF103" s="992"/>
      <c r="AG103" s="989"/>
      <c r="AH103" s="990"/>
      <c r="AI103" s="991"/>
      <c r="AJ103" s="992"/>
      <c r="AK103" s="989"/>
      <c r="AL103" s="990"/>
      <c r="AM103" s="993"/>
      <c r="AN103" s="990"/>
    </row>
    <row r="104" spans="1:40" s="25" customFormat="1" ht="18" customHeight="1" x14ac:dyDescent="0.2">
      <c r="A104" s="11" t="s">
        <v>2495</v>
      </c>
    </row>
    <row r="105" spans="1:40" s="19" customFormat="1" ht="15" customHeight="1" x14ac:dyDescent="0.2">
      <c r="A105" s="7022" t="s">
        <v>2496</v>
      </c>
      <c r="B105" s="7059" t="s">
        <v>77</v>
      </c>
      <c r="C105" s="6493"/>
      <c r="D105" s="7051"/>
      <c r="E105" s="7027" t="s">
        <v>101</v>
      </c>
      <c r="F105" s="7028"/>
      <c r="G105" s="7028"/>
      <c r="H105" s="7028"/>
      <c r="I105" s="7028"/>
      <c r="J105" s="7028"/>
      <c r="K105" s="7028"/>
      <c r="L105" s="7028"/>
      <c r="M105" s="7028"/>
      <c r="N105" s="7028"/>
      <c r="O105" s="7028"/>
      <c r="P105" s="7028"/>
      <c r="Q105" s="7028"/>
      <c r="R105" s="7028"/>
      <c r="S105" s="7028"/>
      <c r="T105" s="7028"/>
      <c r="U105" s="7028"/>
      <c r="V105" s="7028"/>
      <c r="W105" s="7028"/>
      <c r="X105" s="7028"/>
      <c r="Y105" s="7028"/>
      <c r="Z105" s="7028"/>
      <c r="AA105" s="7028"/>
      <c r="AB105" s="7028"/>
      <c r="AC105" s="7028"/>
      <c r="AD105" s="7028"/>
      <c r="AE105" s="7028"/>
      <c r="AF105" s="7028"/>
      <c r="AG105" s="7028"/>
      <c r="AH105" s="7028"/>
      <c r="AI105" s="7028"/>
      <c r="AJ105" s="7028"/>
      <c r="AK105" s="7028"/>
      <c r="AL105" s="7028"/>
      <c r="AM105" s="7028"/>
      <c r="AN105" s="7029"/>
    </row>
    <row r="106" spans="1:40" s="19" customFormat="1" ht="15" customHeight="1" x14ac:dyDescent="0.2">
      <c r="A106" s="6063"/>
      <c r="B106" s="6632"/>
      <c r="C106" s="6496"/>
      <c r="D106" s="7000"/>
      <c r="E106" s="7021" t="s">
        <v>4407</v>
      </c>
      <c r="F106" s="7022"/>
      <c r="G106" s="7023" t="s">
        <v>2446</v>
      </c>
      <c r="H106" s="6976"/>
      <c r="I106" s="7023" t="s">
        <v>2447</v>
      </c>
      <c r="J106" s="6976"/>
      <c r="K106" s="7030" t="s">
        <v>94</v>
      </c>
      <c r="L106" s="7030"/>
      <c r="M106" s="7023" t="s">
        <v>44</v>
      </c>
      <c r="N106" s="6976"/>
      <c r="O106" s="7030" t="s">
        <v>45</v>
      </c>
      <c r="P106" s="7030"/>
      <c r="Q106" s="7031" t="s">
        <v>46</v>
      </c>
      <c r="R106" s="7022"/>
      <c r="S106" s="7031" t="s">
        <v>47</v>
      </c>
      <c r="T106" s="7022"/>
      <c r="U106" s="6223" t="s">
        <v>48</v>
      </c>
      <c r="V106" s="7022"/>
      <c r="W106" s="7030" t="s">
        <v>49</v>
      </c>
      <c r="X106" s="7030"/>
      <c r="Y106" s="7023" t="s">
        <v>50</v>
      </c>
      <c r="Z106" s="6976"/>
      <c r="AA106" s="7030" t="s">
        <v>51</v>
      </c>
      <c r="AB106" s="7030"/>
      <c r="AC106" s="7023" t="s">
        <v>52</v>
      </c>
      <c r="AD106" s="6976"/>
      <c r="AE106" s="7030" t="s">
        <v>53</v>
      </c>
      <c r="AF106" s="7030"/>
      <c r="AG106" s="7023" t="s">
        <v>54</v>
      </c>
      <c r="AH106" s="6976"/>
      <c r="AI106" s="7030" t="s">
        <v>55</v>
      </c>
      <c r="AJ106" s="7030"/>
      <c r="AK106" s="7023" t="s">
        <v>56</v>
      </c>
      <c r="AL106" s="6976"/>
      <c r="AM106" s="7023" t="s">
        <v>57</v>
      </c>
      <c r="AN106" s="6976"/>
    </row>
    <row r="107" spans="1:40" s="19" customFormat="1" ht="15" customHeight="1" x14ac:dyDescent="0.2">
      <c r="A107" s="6645"/>
      <c r="B107" s="1006" t="s">
        <v>79</v>
      </c>
      <c r="C107" s="1093" t="s">
        <v>58</v>
      </c>
      <c r="D107" s="1008" t="s">
        <v>59</v>
      </c>
      <c r="E107" s="1006" t="s">
        <v>58</v>
      </c>
      <c r="F107" s="1008" t="s">
        <v>59</v>
      </c>
      <c r="G107" s="1006" t="s">
        <v>58</v>
      </c>
      <c r="H107" s="1008" t="s">
        <v>59</v>
      </c>
      <c r="I107" s="1006" t="s">
        <v>58</v>
      </c>
      <c r="J107" s="1008" t="s">
        <v>59</v>
      </c>
      <c r="K107" s="1093" t="s">
        <v>58</v>
      </c>
      <c r="L107" s="1053" t="s">
        <v>59</v>
      </c>
      <c r="M107" s="1006" t="s">
        <v>58</v>
      </c>
      <c r="N107" s="1008" t="s">
        <v>59</v>
      </c>
      <c r="O107" s="1093" t="s">
        <v>58</v>
      </c>
      <c r="P107" s="1053" t="s">
        <v>59</v>
      </c>
      <c r="Q107" s="1006" t="s">
        <v>58</v>
      </c>
      <c r="R107" s="1008" t="s">
        <v>59</v>
      </c>
      <c r="S107" s="1006" t="s">
        <v>58</v>
      </c>
      <c r="T107" s="1008" t="s">
        <v>59</v>
      </c>
      <c r="U107" s="1093" t="s">
        <v>58</v>
      </c>
      <c r="V107" s="1008" t="s">
        <v>59</v>
      </c>
      <c r="W107" s="1093" t="s">
        <v>58</v>
      </c>
      <c r="X107" s="1053" t="s">
        <v>59</v>
      </c>
      <c r="Y107" s="1006" t="s">
        <v>58</v>
      </c>
      <c r="Z107" s="1008" t="s">
        <v>59</v>
      </c>
      <c r="AA107" s="1093" t="s">
        <v>58</v>
      </c>
      <c r="AB107" s="1053" t="s">
        <v>59</v>
      </c>
      <c r="AC107" s="1006" t="s">
        <v>58</v>
      </c>
      <c r="AD107" s="1008" t="s">
        <v>59</v>
      </c>
      <c r="AE107" s="1093" t="s">
        <v>58</v>
      </c>
      <c r="AF107" s="1053" t="s">
        <v>59</v>
      </c>
      <c r="AG107" s="1006" t="s">
        <v>58</v>
      </c>
      <c r="AH107" s="1008" t="s">
        <v>59</v>
      </c>
      <c r="AI107" s="1093" t="s">
        <v>58</v>
      </c>
      <c r="AJ107" s="1053" t="s">
        <v>59</v>
      </c>
      <c r="AK107" s="1006" t="s">
        <v>58</v>
      </c>
      <c r="AL107" s="1008" t="s">
        <v>59</v>
      </c>
      <c r="AM107" s="1093" t="s">
        <v>58</v>
      </c>
      <c r="AN107" s="1008" t="s">
        <v>59</v>
      </c>
    </row>
    <row r="108" spans="1:40" s="19" customFormat="1" ht="15" customHeight="1" x14ac:dyDescent="0.2">
      <c r="A108" s="1167" t="s">
        <v>2497</v>
      </c>
      <c r="B108" s="951">
        <f>SUM(C108:D108)</f>
        <v>0</v>
      </c>
      <c r="C108" s="952">
        <f>+E108+G108+I108+K108+M108+O108+Q108+S108+U108+W108+Y108+AA108+AC108+AE108+AG108+AI108+AK108+AM108</f>
        <v>0</v>
      </c>
      <c r="D108" s="964">
        <f>+F108+H108+J108+L108+N108+P108+R108+T108+V108+X108+Z108+AB108+AD108+AF108+AH108+AJ108+AL108+AN108</f>
        <v>0</v>
      </c>
      <c r="E108" s="327"/>
      <c r="F108" s="905"/>
      <c r="G108" s="327"/>
      <c r="H108" s="905"/>
      <c r="I108" s="327"/>
      <c r="J108" s="905"/>
      <c r="K108" s="327"/>
      <c r="L108" s="905"/>
      <c r="M108" s="327"/>
      <c r="N108" s="905"/>
      <c r="O108" s="327"/>
      <c r="P108" s="905"/>
      <c r="Q108" s="327"/>
      <c r="R108" s="905"/>
      <c r="S108" s="327"/>
      <c r="T108" s="905"/>
      <c r="U108" s="327"/>
      <c r="V108" s="905"/>
      <c r="W108" s="327"/>
      <c r="X108" s="905"/>
      <c r="Y108" s="327"/>
      <c r="Z108" s="905"/>
      <c r="AA108" s="327"/>
      <c r="AB108" s="905"/>
      <c r="AC108" s="327"/>
      <c r="AD108" s="905"/>
      <c r="AE108" s="327"/>
      <c r="AF108" s="905"/>
      <c r="AG108" s="327"/>
      <c r="AH108" s="905"/>
      <c r="AI108" s="327"/>
      <c r="AJ108" s="905"/>
      <c r="AK108" s="327"/>
      <c r="AL108" s="905"/>
      <c r="AM108" s="327"/>
      <c r="AN108" s="905"/>
    </row>
    <row r="109" spans="1:40" s="19" customFormat="1" ht="15" customHeight="1" x14ac:dyDescent="0.2">
      <c r="A109" s="974" t="s">
        <v>2498</v>
      </c>
      <c r="B109" s="962">
        <f>SUM(C109:D109)</f>
        <v>0</v>
      </c>
      <c r="C109" s="963">
        <f t="shared" ref="C109:C110" si="57">+E109+G109+I109+K109+M109+O109+Q109+S109+U109+W109+Y109+AA109+AC109+AE109+AG109+AI109+AK109+AM109</f>
        <v>0</v>
      </c>
      <c r="D109" s="964">
        <f t="shared" ref="D109" si="58">+F109+H109+J109+L109+N109+P109+R109+T109+V109+X109+Z109+AB109+AD109+AF109+AH109+AJ109+AL109+AN109</f>
        <v>0</v>
      </c>
      <c r="E109" s="327"/>
      <c r="F109" s="905"/>
      <c r="G109" s="327"/>
      <c r="H109" s="905"/>
      <c r="I109" s="327"/>
      <c r="J109" s="905"/>
      <c r="K109" s="327"/>
      <c r="L109" s="905"/>
      <c r="M109" s="327"/>
      <c r="N109" s="905"/>
      <c r="O109" s="327"/>
      <c r="P109" s="905"/>
      <c r="Q109" s="327"/>
      <c r="R109" s="905"/>
      <c r="S109" s="327"/>
      <c r="T109" s="905"/>
      <c r="U109" s="327"/>
      <c r="V109" s="905"/>
      <c r="W109" s="327"/>
      <c r="X109" s="905"/>
      <c r="Y109" s="327"/>
      <c r="Z109" s="905"/>
      <c r="AA109" s="327"/>
      <c r="AB109" s="905"/>
      <c r="AC109" s="327"/>
      <c r="AD109" s="905"/>
      <c r="AE109" s="327"/>
      <c r="AF109" s="905"/>
      <c r="AG109" s="327"/>
      <c r="AH109" s="905"/>
      <c r="AI109" s="327"/>
      <c r="AJ109" s="905"/>
      <c r="AK109" s="327"/>
      <c r="AL109" s="905"/>
      <c r="AM109" s="327"/>
      <c r="AN109" s="905"/>
    </row>
    <row r="110" spans="1:40" s="19" customFormat="1" ht="15" customHeight="1" x14ac:dyDescent="0.2">
      <c r="A110" s="1138" t="s">
        <v>2499</v>
      </c>
      <c r="B110" s="1045">
        <f>SUM(C110:D110)</f>
        <v>0</v>
      </c>
      <c r="C110" s="1168">
        <f t="shared" si="57"/>
        <v>0</v>
      </c>
      <c r="D110" s="414">
        <f>+F110+H110+J110+L110+N110+P110+R110+T110+V110+X110+Z110+AB110+AD110+AF110+AH110+AJ110+AL110+AN110</f>
        <v>0</v>
      </c>
      <c r="E110" s="989"/>
      <c r="F110" s="990"/>
      <c r="G110" s="989"/>
      <c r="H110" s="990"/>
      <c r="I110" s="989"/>
      <c r="J110" s="990"/>
      <c r="K110" s="989"/>
      <c r="L110" s="990"/>
      <c r="M110" s="989"/>
      <c r="N110" s="990"/>
      <c r="O110" s="989"/>
      <c r="P110" s="990"/>
      <c r="Q110" s="989"/>
      <c r="R110" s="990"/>
      <c r="S110" s="989"/>
      <c r="T110" s="990"/>
      <c r="U110" s="989"/>
      <c r="V110" s="990"/>
      <c r="W110" s="989"/>
      <c r="X110" s="990"/>
      <c r="Y110" s="989"/>
      <c r="Z110" s="990"/>
      <c r="AA110" s="989"/>
      <c r="AB110" s="990"/>
      <c r="AC110" s="989"/>
      <c r="AD110" s="990"/>
      <c r="AE110" s="989"/>
      <c r="AF110" s="990"/>
      <c r="AG110" s="989"/>
      <c r="AH110" s="990"/>
      <c r="AI110" s="989"/>
      <c r="AJ110" s="990"/>
      <c r="AK110" s="989"/>
      <c r="AL110" s="990"/>
      <c r="AM110" s="989"/>
      <c r="AN110" s="990"/>
    </row>
    <row r="111" spans="1:40" s="25" customFormat="1" ht="18" customHeight="1" x14ac:dyDescent="0.2">
      <c r="A111" s="11" t="s">
        <v>2500</v>
      </c>
    </row>
    <row r="112" spans="1:40" s="19" customFormat="1" ht="15" customHeight="1" x14ac:dyDescent="0.2">
      <c r="A112" s="7022" t="s">
        <v>2496</v>
      </c>
      <c r="B112" s="7059" t="s">
        <v>77</v>
      </c>
      <c r="C112" s="6493"/>
      <c r="D112" s="7051"/>
      <c r="E112" s="7027" t="s">
        <v>101</v>
      </c>
      <c r="F112" s="7028"/>
      <c r="G112" s="7028"/>
      <c r="H112" s="7028"/>
      <c r="I112" s="7028"/>
      <c r="J112" s="7028"/>
      <c r="K112" s="7028"/>
      <c r="L112" s="7028"/>
      <c r="M112" s="7028"/>
      <c r="N112" s="7028"/>
      <c r="O112" s="7028"/>
      <c r="P112" s="7028"/>
      <c r="Q112" s="7028"/>
      <c r="R112" s="7028"/>
      <c r="S112" s="7028"/>
      <c r="T112" s="7028"/>
      <c r="U112" s="7028"/>
      <c r="V112" s="7028"/>
      <c r="W112" s="7028"/>
      <c r="X112" s="7028"/>
      <c r="Y112" s="7028"/>
      <c r="Z112" s="7028"/>
      <c r="AA112" s="7028"/>
      <c r="AB112" s="7028"/>
      <c r="AC112" s="7028"/>
      <c r="AD112" s="7028"/>
      <c r="AE112" s="7028"/>
      <c r="AF112" s="7028"/>
      <c r="AG112" s="7028"/>
      <c r="AH112" s="7028"/>
      <c r="AI112" s="7028"/>
      <c r="AJ112" s="7028"/>
      <c r="AK112" s="7028"/>
      <c r="AL112" s="7028"/>
      <c r="AM112" s="7028"/>
      <c r="AN112" s="7029"/>
    </row>
    <row r="113" spans="1:84" s="19" customFormat="1" ht="15" customHeight="1" x14ac:dyDescent="0.2">
      <c r="A113" s="6063"/>
      <c r="B113" s="6632"/>
      <c r="C113" s="6496"/>
      <c r="D113" s="7000"/>
      <c r="E113" s="7021" t="s">
        <v>4407</v>
      </c>
      <c r="F113" s="7022"/>
      <c r="G113" s="7023" t="s">
        <v>2446</v>
      </c>
      <c r="H113" s="6976"/>
      <c r="I113" s="7023" t="s">
        <v>2447</v>
      </c>
      <c r="J113" s="6976"/>
      <c r="K113" s="7023" t="s">
        <v>94</v>
      </c>
      <c r="L113" s="6976"/>
      <c r="M113" s="7023" t="s">
        <v>44</v>
      </c>
      <c r="N113" s="6976"/>
      <c r="O113" s="6990" t="s">
        <v>45</v>
      </c>
      <c r="P113" s="7030"/>
      <c r="Q113" s="7031" t="s">
        <v>46</v>
      </c>
      <c r="R113" s="7022"/>
      <c r="S113" s="7031" t="s">
        <v>47</v>
      </c>
      <c r="T113" s="7022"/>
      <c r="U113" s="6223" t="s">
        <v>48</v>
      </c>
      <c r="V113" s="7022"/>
      <c r="W113" s="7030" t="s">
        <v>49</v>
      </c>
      <c r="X113" s="7030"/>
      <c r="Y113" s="7023" t="s">
        <v>50</v>
      </c>
      <c r="Z113" s="6976"/>
      <c r="AA113" s="7030" t="s">
        <v>51</v>
      </c>
      <c r="AB113" s="7030"/>
      <c r="AC113" s="7023" t="s">
        <v>52</v>
      </c>
      <c r="AD113" s="6976"/>
      <c r="AE113" s="7023" t="s">
        <v>53</v>
      </c>
      <c r="AF113" s="6976"/>
      <c r="AG113" s="7023" t="s">
        <v>54</v>
      </c>
      <c r="AH113" s="6976"/>
      <c r="AI113" s="7030" t="s">
        <v>55</v>
      </c>
      <c r="AJ113" s="7030"/>
      <c r="AK113" s="7023" t="s">
        <v>56</v>
      </c>
      <c r="AL113" s="6976"/>
      <c r="AM113" s="7023" t="s">
        <v>57</v>
      </c>
      <c r="AN113" s="6976"/>
    </row>
    <row r="114" spans="1:84" s="19" customFormat="1" ht="15" customHeight="1" x14ac:dyDescent="0.2">
      <c r="A114" s="6645"/>
      <c r="B114" s="1006" t="s">
        <v>79</v>
      </c>
      <c r="C114" s="1093" t="s">
        <v>58</v>
      </c>
      <c r="D114" s="1008" t="s">
        <v>59</v>
      </c>
      <c r="E114" s="1006" t="s">
        <v>58</v>
      </c>
      <c r="F114" s="1008" t="s">
        <v>59</v>
      </c>
      <c r="G114" s="1006" t="s">
        <v>58</v>
      </c>
      <c r="H114" s="1008" t="s">
        <v>59</v>
      </c>
      <c r="I114" s="1006" t="s">
        <v>58</v>
      </c>
      <c r="J114" s="1008" t="s">
        <v>59</v>
      </c>
      <c r="K114" s="1093" t="s">
        <v>58</v>
      </c>
      <c r="L114" s="1053" t="s">
        <v>59</v>
      </c>
      <c r="M114" s="1006" t="s">
        <v>58</v>
      </c>
      <c r="N114" s="1008" t="s">
        <v>59</v>
      </c>
      <c r="O114" s="1093" t="s">
        <v>58</v>
      </c>
      <c r="P114" s="1053" t="s">
        <v>59</v>
      </c>
      <c r="Q114" s="1006" t="s">
        <v>58</v>
      </c>
      <c r="R114" s="1008" t="s">
        <v>59</v>
      </c>
      <c r="S114" s="1006" t="s">
        <v>58</v>
      </c>
      <c r="T114" s="1008" t="s">
        <v>59</v>
      </c>
      <c r="U114" s="1093" t="s">
        <v>58</v>
      </c>
      <c r="V114" s="1008" t="s">
        <v>59</v>
      </c>
      <c r="W114" s="1006" t="s">
        <v>58</v>
      </c>
      <c r="X114" s="1008" t="s">
        <v>59</v>
      </c>
      <c r="Y114" s="1006" t="s">
        <v>58</v>
      </c>
      <c r="Z114" s="1008" t="s">
        <v>59</v>
      </c>
      <c r="AA114" s="1006" t="s">
        <v>58</v>
      </c>
      <c r="AB114" s="1008" t="s">
        <v>59</v>
      </c>
      <c r="AC114" s="1093" t="s">
        <v>58</v>
      </c>
      <c r="AD114" s="1053" t="s">
        <v>59</v>
      </c>
      <c r="AE114" s="1006" t="s">
        <v>58</v>
      </c>
      <c r="AF114" s="1008" t="s">
        <v>59</v>
      </c>
      <c r="AG114" s="1093" t="s">
        <v>58</v>
      </c>
      <c r="AH114" s="1053" t="s">
        <v>59</v>
      </c>
      <c r="AI114" s="1006" t="s">
        <v>58</v>
      </c>
      <c r="AJ114" s="1008" t="s">
        <v>59</v>
      </c>
      <c r="AK114" s="1093" t="s">
        <v>58</v>
      </c>
      <c r="AL114" s="1053" t="s">
        <v>59</v>
      </c>
      <c r="AM114" s="1006" t="s">
        <v>58</v>
      </c>
      <c r="AN114" s="1008" t="s">
        <v>59</v>
      </c>
    </row>
    <row r="115" spans="1:84" s="19" customFormat="1" ht="15" customHeight="1" x14ac:dyDescent="0.2">
      <c r="A115" s="1167" t="s">
        <v>2497</v>
      </c>
      <c r="B115" s="336">
        <f>SUM(C115+D115)</f>
        <v>0</v>
      </c>
      <c r="C115" s="963">
        <f>+E115+G115+I115+K115+M115+O115+Q115+S115+U115+W115+Y115+AA115+AC115+AE115+AG115+AI115+AK115+AM115</f>
        <v>0</v>
      </c>
      <c r="D115" s="964">
        <f>+F115+H115+J115+L115+N115+P115+R115+T115+V115+X115+Z115+AB115+AD115+AF115+AH115+AJ115+AL115+AN115</f>
        <v>0</v>
      </c>
      <c r="E115" s="954"/>
      <c r="F115" s="955"/>
      <c r="G115" s="954"/>
      <c r="H115" s="955"/>
      <c r="I115" s="954"/>
      <c r="J115" s="955"/>
      <c r="K115" s="954"/>
      <c r="L115" s="955"/>
      <c r="M115" s="954"/>
      <c r="N115" s="955"/>
      <c r="O115" s="954"/>
      <c r="P115" s="955"/>
      <c r="Q115" s="954"/>
      <c r="R115" s="955"/>
      <c r="S115" s="954"/>
      <c r="T115" s="955"/>
      <c r="U115" s="954"/>
      <c r="V115" s="955"/>
      <c r="W115" s="954"/>
      <c r="X115" s="955"/>
      <c r="Y115" s="954"/>
      <c r="Z115" s="955"/>
      <c r="AA115" s="954"/>
      <c r="AB115" s="955"/>
      <c r="AC115" s="954"/>
      <c r="AD115" s="955"/>
      <c r="AE115" s="954"/>
      <c r="AF115" s="955"/>
      <c r="AG115" s="954"/>
      <c r="AH115" s="955"/>
      <c r="AI115" s="954"/>
      <c r="AJ115" s="955"/>
      <c r="AK115" s="954"/>
      <c r="AL115" s="955"/>
      <c r="AM115" s="954"/>
      <c r="AN115" s="955"/>
    </row>
    <row r="116" spans="1:84" s="19" customFormat="1" ht="15" customHeight="1" x14ac:dyDescent="0.2">
      <c r="A116" s="974" t="s">
        <v>2501</v>
      </c>
      <c r="B116" s="962">
        <f>SUM(C116+D116)</f>
        <v>0</v>
      </c>
      <c r="C116" s="963">
        <f t="shared" ref="C116:C119" si="59">+E116+G116+I116+K116+M116+O116+Q116+S116+U116+W116+Y116+AA116+AC116+AE116+AG116+AI116+AK116+AM116</f>
        <v>0</v>
      </c>
      <c r="D116" s="964">
        <f t="shared" ref="D116:D119" si="60">+F116+H116+J116+L116+N116+P116+R116+T116+V116+X116+Z116+AB116+AD116+AF116+AH116+AJ116+AL116+AN116</f>
        <v>0</v>
      </c>
      <c r="E116" s="965"/>
      <c r="F116" s="966"/>
      <c r="G116" s="965"/>
      <c r="H116" s="966"/>
      <c r="I116" s="965"/>
      <c r="J116" s="966"/>
      <c r="K116" s="965"/>
      <c r="L116" s="966"/>
      <c r="M116" s="965"/>
      <c r="N116" s="966"/>
      <c r="O116" s="965"/>
      <c r="P116" s="966"/>
      <c r="Q116" s="965"/>
      <c r="R116" s="966"/>
      <c r="S116" s="965"/>
      <c r="T116" s="966"/>
      <c r="U116" s="965"/>
      <c r="V116" s="966"/>
      <c r="W116" s="965"/>
      <c r="X116" s="966"/>
      <c r="Y116" s="965"/>
      <c r="Z116" s="966"/>
      <c r="AA116" s="965"/>
      <c r="AB116" s="966"/>
      <c r="AC116" s="965"/>
      <c r="AD116" s="966"/>
      <c r="AE116" s="965"/>
      <c r="AF116" s="966"/>
      <c r="AG116" s="965"/>
      <c r="AH116" s="966"/>
      <c r="AI116" s="965"/>
      <c r="AJ116" s="966"/>
      <c r="AK116" s="965"/>
      <c r="AL116" s="966"/>
      <c r="AM116" s="965"/>
      <c r="AN116" s="966"/>
    </row>
    <row r="117" spans="1:84" s="19" customFormat="1" ht="15" customHeight="1" x14ac:dyDescent="0.2">
      <c r="A117" s="974" t="s">
        <v>2502</v>
      </c>
      <c r="B117" s="962">
        <f>SUM(C117+D117)</f>
        <v>0</v>
      </c>
      <c r="C117" s="963">
        <f t="shared" si="59"/>
        <v>0</v>
      </c>
      <c r="D117" s="964">
        <f t="shared" si="60"/>
        <v>0</v>
      </c>
      <c r="E117" s="212"/>
      <c r="F117" s="34"/>
      <c r="G117" s="212"/>
      <c r="H117" s="34"/>
      <c r="I117" s="212"/>
      <c r="J117" s="34"/>
      <c r="K117" s="212"/>
      <c r="L117" s="34"/>
      <c r="M117" s="212"/>
      <c r="N117" s="34"/>
      <c r="O117" s="212"/>
      <c r="P117" s="34"/>
      <c r="Q117" s="212"/>
      <c r="R117" s="34"/>
      <c r="S117" s="212"/>
      <c r="T117" s="34"/>
      <c r="U117" s="212"/>
      <c r="V117" s="34"/>
      <c r="W117" s="212"/>
      <c r="X117" s="34"/>
      <c r="Y117" s="212"/>
      <c r="Z117" s="34"/>
      <c r="AA117" s="212"/>
      <c r="AB117" s="34"/>
      <c r="AC117" s="212"/>
      <c r="AD117" s="34"/>
      <c r="AE117" s="212"/>
      <c r="AF117" s="34"/>
      <c r="AG117" s="212"/>
      <c r="AH117" s="34"/>
      <c r="AI117" s="212"/>
      <c r="AJ117" s="34"/>
      <c r="AK117" s="212"/>
      <c r="AL117" s="34"/>
      <c r="AM117" s="212"/>
      <c r="AN117" s="34"/>
    </row>
    <row r="118" spans="1:84" s="19" customFormat="1" ht="15" customHeight="1" x14ac:dyDescent="0.2">
      <c r="A118" s="1169" t="s">
        <v>2499</v>
      </c>
      <c r="B118" s="962">
        <f>SUM(C118+D118)</f>
        <v>0</v>
      </c>
      <c r="C118" s="963">
        <f>+E118+G118+I118+K118+M118+O118+Q118+S118+U118+W118+Y118+AA118+AC118+AE118+AG118+AI118+AK118+AM118</f>
        <v>0</v>
      </c>
      <c r="D118" s="964">
        <f t="shared" si="60"/>
        <v>0</v>
      </c>
      <c r="E118" s="212"/>
      <c r="F118" s="34"/>
      <c r="G118" s="212"/>
      <c r="H118" s="34"/>
      <c r="I118" s="212"/>
      <c r="J118" s="34"/>
      <c r="K118" s="212"/>
      <c r="L118" s="34"/>
      <c r="M118" s="212"/>
      <c r="N118" s="34"/>
      <c r="O118" s="212"/>
      <c r="P118" s="34"/>
      <c r="Q118" s="212"/>
      <c r="R118" s="34"/>
      <c r="S118" s="212"/>
      <c r="T118" s="34"/>
      <c r="U118" s="212"/>
      <c r="V118" s="34"/>
      <c r="W118" s="212"/>
      <c r="X118" s="34"/>
      <c r="Y118" s="212"/>
      <c r="Z118" s="34"/>
      <c r="AA118" s="212"/>
      <c r="AB118" s="34"/>
      <c r="AC118" s="212"/>
      <c r="AD118" s="34"/>
      <c r="AE118" s="212"/>
      <c r="AF118" s="34"/>
      <c r="AG118" s="212"/>
      <c r="AH118" s="34"/>
      <c r="AI118" s="212"/>
      <c r="AJ118" s="34"/>
      <c r="AK118" s="212"/>
      <c r="AL118" s="34"/>
      <c r="AM118" s="212"/>
      <c r="AN118" s="34"/>
    </row>
    <row r="119" spans="1:84" s="19" customFormat="1" ht="15" customHeight="1" x14ac:dyDescent="0.2">
      <c r="A119" s="1170" t="s">
        <v>2503</v>
      </c>
      <c r="B119" s="1171">
        <f>SUM(C119+D119)</f>
        <v>0</v>
      </c>
      <c r="C119" s="1168">
        <f t="shared" si="59"/>
        <v>0</v>
      </c>
      <c r="D119" s="414">
        <f t="shared" si="60"/>
        <v>0</v>
      </c>
      <c r="E119" s="989"/>
      <c r="F119" s="877"/>
      <c r="G119" s="989"/>
      <c r="H119" s="877"/>
      <c r="I119" s="989"/>
      <c r="J119" s="877"/>
      <c r="K119" s="989"/>
      <c r="L119" s="877"/>
      <c r="M119" s="989"/>
      <c r="N119" s="877"/>
      <c r="O119" s="989"/>
      <c r="P119" s="877"/>
      <c r="Q119" s="989"/>
      <c r="R119" s="877"/>
      <c r="S119" s="989"/>
      <c r="T119" s="877"/>
      <c r="U119" s="989"/>
      <c r="V119" s="877"/>
      <c r="W119" s="989"/>
      <c r="X119" s="877"/>
      <c r="Y119" s="989"/>
      <c r="Z119" s="877"/>
      <c r="AA119" s="989"/>
      <c r="AB119" s="877"/>
      <c r="AC119" s="989"/>
      <c r="AD119" s="877"/>
      <c r="AE119" s="989"/>
      <c r="AF119" s="877"/>
      <c r="AG119" s="989"/>
      <c r="AH119" s="877"/>
      <c r="AI119" s="989"/>
      <c r="AJ119" s="877"/>
      <c r="AK119" s="989"/>
      <c r="AL119" s="877"/>
      <c r="AM119" s="989"/>
      <c r="AN119" s="877"/>
    </row>
    <row r="120" spans="1:84" s="25" customFormat="1" ht="18" customHeight="1" x14ac:dyDescent="0.2">
      <c r="A120" s="1" t="s">
        <v>2504</v>
      </c>
    </row>
    <row r="121" spans="1:84" s="19" customFormat="1" ht="15" customHeight="1" x14ac:dyDescent="0.2">
      <c r="A121" s="7061" t="s">
        <v>2445</v>
      </c>
      <c r="B121" s="6223" t="s">
        <v>77</v>
      </c>
      <c r="C121" s="6223"/>
      <c r="D121" s="7022"/>
      <c r="E121" s="7023" t="s">
        <v>101</v>
      </c>
      <c r="F121" s="7030"/>
      <c r="G121" s="7030"/>
      <c r="H121" s="7030"/>
      <c r="I121" s="7030"/>
      <c r="J121" s="7030"/>
      <c r="K121" s="7030"/>
      <c r="L121" s="7030"/>
      <c r="M121" s="7030"/>
      <c r="N121" s="7030"/>
      <c r="O121" s="7030"/>
      <c r="P121" s="7030"/>
      <c r="Q121" s="7030"/>
      <c r="R121" s="7030"/>
      <c r="S121" s="7030"/>
      <c r="T121" s="7030"/>
      <c r="U121" s="7030"/>
      <c r="V121" s="7030"/>
      <c r="W121" s="7030"/>
      <c r="X121" s="7030"/>
      <c r="Y121" s="7030"/>
      <c r="Z121" s="7030"/>
      <c r="AA121" s="7030"/>
      <c r="AB121" s="7030"/>
      <c r="AC121" s="7030"/>
      <c r="AD121" s="7030"/>
      <c r="AE121" s="7030"/>
      <c r="AF121" s="7030"/>
      <c r="AG121" s="7030"/>
      <c r="AH121" s="7030"/>
      <c r="AI121" s="7030"/>
      <c r="AJ121" s="7030"/>
      <c r="AK121" s="7030"/>
      <c r="AL121" s="7030"/>
      <c r="AM121" s="7030"/>
      <c r="AN121" s="7071"/>
      <c r="AO121" s="7033" t="s">
        <v>473</v>
      </c>
    </row>
    <row r="122" spans="1:84" s="19" customFormat="1" ht="15" customHeight="1" x14ac:dyDescent="0.2">
      <c r="A122" s="5771"/>
      <c r="B122" s="6481"/>
      <c r="C122" s="6481"/>
      <c r="D122" s="6645"/>
      <c r="E122" s="7021" t="s">
        <v>4407</v>
      </c>
      <c r="F122" s="7022"/>
      <c r="G122" s="7023" t="s">
        <v>2446</v>
      </c>
      <c r="H122" s="6976"/>
      <c r="I122" s="7030" t="s">
        <v>2447</v>
      </c>
      <c r="J122" s="7030"/>
      <c r="K122" s="7023" t="s">
        <v>94</v>
      </c>
      <c r="L122" s="6976"/>
      <c r="M122" s="7023" t="s">
        <v>44</v>
      </c>
      <c r="N122" s="6976"/>
      <c r="O122" s="7031" t="s">
        <v>45</v>
      </c>
      <c r="P122" s="7022"/>
      <c r="Q122" s="7031" t="s">
        <v>46</v>
      </c>
      <c r="R122" s="7022"/>
      <c r="S122" s="7031" t="s">
        <v>47</v>
      </c>
      <c r="T122" s="7022"/>
      <c r="U122" s="6223" t="s">
        <v>48</v>
      </c>
      <c r="V122" s="7022"/>
      <c r="W122" s="7031" t="s">
        <v>49</v>
      </c>
      <c r="X122" s="7022"/>
      <c r="Y122" s="6223" t="s">
        <v>50</v>
      </c>
      <c r="Z122" s="6223"/>
      <c r="AA122" s="7031" t="s">
        <v>51</v>
      </c>
      <c r="AB122" s="7022"/>
      <c r="AC122" s="6223" t="s">
        <v>52</v>
      </c>
      <c r="AD122" s="6223"/>
      <c r="AE122" s="7031" t="s">
        <v>53</v>
      </c>
      <c r="AF122" s="7022"/>
      <c r="AG122" s="6223" t="s">
        <v>54</v>
      </c>
      <c r="AH122" s="6223"/>
      <c r="AI122" s="7031" t="s">
        <v>55</v>
      </c>
      <c r="AJ122" s="7022"/>
      <c r="AK122" s="6223" t="s">
        <v>56</v>
      </c>
      <c r="AL122" s="6223"/>
      <c r="AM122" s="7023" t="s">
        <v>57</v>
      </c>
      <c r="AN122" s="7071"/>
      <c r="AO122" s="6938"/>
    </row>
    <row r="123" spans="1:84" s="19" customFormat="1" ht="15" customHeight="1" x14ac:dyDescent="0.2">
      <c r="A123" s="6465"/>
      <c r="B123" s="1006" t="s">
        <v>79</v>
      </c>
      <c r="C123" s="1093" t="s">
        <v>58</v>
      </c>
      <c r="D123" s="1008" t="s">
        <v>59</v>
      </c>
      <c r="E123" s="1006" t="s">
        <v>58</v>
      </c>
      <c r="F123" s="1008" t="s">
        <v>59</v>
      </c>
      <c r="G123" s="1006" t="s">
        <v>58</v>
      </c>
      <c r="H123" s="1008" t="s">
        <v>59</v>
      </c>
      <c r="I123" s="1093" t="s">
        <v>58</v>
      </c>
      <c r="J123" s="1053" t="s">
        <v>59</v>
      </c>
      <c r="K123" s="1006" t="s">
        <v>58</v>
      </c>
      <c r="L123" s="1008" t="s">
        <v>59</v>
      </c>
      <c r="M123" s="1093" t="s">
        <v>58</v>
      </c>
      <c r="N123" s="1053" t="s">
        <v>59</v>
      </c>
      <c r="O123" s="1006" t="s">
        <v>58</v>
      </c>
      <c r="P123" s="1008" t="s">
        <v>59</v>
      </c>
      <c r="Q123" s="1006" t="s">
        <v>58</v>
      </c>
      <c r="R123" s="1008" t="s">
        <v>59</v>
      </c>
      <c r="S123" s="1006" t="s">
        <v>58</v>
      </c>
      <c r="T123" s="1008" t="s">
        <v>59</v>
      </c>
      <c r="U123" s="1093" t="s">
        <v>58</v>
      </c>
      <c r="V123" s="1008" t="s">
        <v>59</v>
      </c>
      <c r="W123" s="1006" t="s">
        <v>58</v>
      </c>
      <c r="X123" s="1008" t="s">
        <v>59</v>
      </c>
      <c r="Y123" s="1093" t="s">
        <v>58</v>
      </c>
      <c r="Z123" s="1053" t="s">
        <v>59</v>
      </c>
      <c r="AA123" s="1006" t="s">
        <v>58</v>
      </c>
      <c r="AB123" s="1008" t="s">
        <v>59</v>
      </c>
      <c r="AC123" s="1093" t="s">
        <v>58</v>
      </c>
      <c r="AD123" s="1053" t="s">
        <v>59</v>
      </c>
      <c r="AE123" s="1006" t="s">
        <v>58</v>
      </c>
      <c r="AF123" s="1008" t="s">
        <v>59</v>
      </c>
      <c r="AG123" s="1093" t="s">
        <v>58</v>
      </c>
      <c r="AH123" s="1053" t="s">
        <v>59</v>
      </c>
      <c r="AI123" s="1006" t="s">
        <v>58</v>
      </c>
      <c r="AJ123" s="1008" t="s">
        <v>59</v>
      </c>
      <c r="AK123" s="1093" t="s">
        <v>58</v>
      </c>
      <c r="AL123" s="1053" t="s">
        <v>59</v>
      </c>
      <c r="AM123" s="1006" t="s">
        <v>58</v>
      </c>
      <c r="AN123" s="1053" t="s">
        <v>59</v>
      </c>
      <c r="AO123" s="6669"/>
    </row>
    <row r="124" spans="1:84" s="19" customFormat="1" ht="15" customHeight="1" x14ac:dyDescent="0.2">
      <c r="A124" s="1172" t="s">
        <v>2505</v>
      </c>
      <c r="B124" s="1173">
        <f t="shared" ref="B124:B129" si="61">SUM(C124+D124)</f>
        <v>0</v>
      </c>
      <c r="C124" s="1160">
        <f>SUM(E124+G124+I124+K124+M124+O124+Q124+S124+U124+W124+Y124+AA124+AC124+AE124+AG124+AI124+AK124+AM124)</f>
        <v>0</v>
      </c>
      <c r="D124" s="1174">
        <f>SUM(F124+H124+J124+L124+N124+P124+R124+T124+V124+X124+Z124+AB124+AD124+AF124+AH124+AJ124+AL124+AN124)</f>
        <v>0</v>
      </c>
      <c r="E124" s="954"/>
      <c r="F124" s="955"/>
      <c r="G124" s="954"/>
      <c r="H124" s="890"/>
      <c r="I124" s="956"/>
      <c r="J124" s="957"/>
      <c r="K124" s="954"/>
      <c r="L124" s="890"/>
      <c r="M124" s="956"/>
      <c r="N124" s="957"/>
      <c r="O124" s="954"/>
      <c r="P124" s="890"/>
      <c r="Q124" s="954"/>
      <c r="R124" s="890"/>
      <c r="S124" s="954"/>
      <c r="T124" s="890"/>
      <c r="U124" s="956"/>
      <c r="V124" s="957"/>
      <c r="W124" s="954"/>
      <c r="X124" s="890"/>
      <c r="Y124" s="956"/>
      <c r="Z124" s="957"/>
      <c r="AA124" s="954"/>
      <c r="AB124" s="890"/>
      <c r="AC124" s="956"/>
      <c r="AD124" s="957"/>
      <c r="AE124" s="954"/>
      <c r="AF124" s="890"/>
      <c r="AG124" s="956"/>
      <c r="AH124" s="957"/>
      <c r="AI124" s="1023"/>
      <c r="AJ124" s="890"/>
      <c r="AK124" s="956"/>
      <c r="AL124" s="957"/>
      <c r="AM124" s="1023"/>
      <c r="AN124" s="957"/>
      <c r="AO124" s="1175"/>
      <c r="AP124" s="19" t="str">
        <f>CA124</f>
        <v/>
      </c>
      <c r="CA124" s="135" t="str">
        <f>IF(AND(AO124="",B124&gt;0)," * No olvide digitar la variable Por campaña de Invierno. Digite CERO si no tiene.",IF(AO124&gt;B124," * La variable Por campaña de Invierno no puede ser mayor que el Total Ambos Sexos.",""))</f>
        <v/>
      </c>
      <c r="CF124" s="84">
        <f t="shared" ref="CF124:CF129" si="62">IF(AND(AO124="",B124&gt;0),1,IF(AO124&gt;B124,1,0))</f>
        <v>0</v>
      </c>
    </row>
    <row r="125" spans="1:84" s="19" customFormat="1" ht="15" customHeight="1" x14ac:dyDescent="0.2">
      <c r="A125" s="1176" t="s">
        <v>2506</v>
      </c>
      <c r="B125" s="1177">
        <f t="shared" si="61"/>
        <v>0</v>
      </c>
      <c r="C125" s="1178">
        <f>SUM(E125+G125)</f>
        <v>0</v>
      </c>
      <c r="D125" s="1174">
        <f>SUM(F125+H125)</f>
        <v>0</v>
      </c>
      <c r="E125" s="965"/>
      <c r="F125" s="966"/>
      <c r="G125" s="965"/>
      <c r="H125" s="967"/>
      <c r="I125" s="981"/>
      <c r="J125" s="982"/>
      <c r="K125" s="979"/>
      <c r="L125" s="980"/>
      <c r="M125" s="981"/>
      <c r="N125" s="982"/>
      <c r="O125" s="979"/>
      <c r="P125" s="980"/>
      <c r="Q125" s="979"/>
      <c r="R125" s="980"/>
      <c r="S125" s="979"/>
      <c r="T125" s="980"/>
      <c r="U125" s="981"/>
      <c r="V125" s="982"/>
      <c r="W125" s="979"/>
      <c r="X125" s="980"/>
      <c r="Y125" s="981"/>
      <c r="Z125" s="982"/>
      <c r="AA125" s="979"/>
      <c r="AB125" s="980"/>
      <c r="AC125" s="981"/>
      <c r="AD125" s="982"/>
      <c r="AE125" s="979"/>
      <c r="AF125" s="980"/>
      <c r="AG125" s="981"/>
      <c r="AH125" s="982"/>
      <c r="AI125" s="1179"/>
      <c r="AJ125" s="980"/>
      <c r="AK125" s="981"/>
      <c r="AL125" s="982"/>
      <c r="AM125" s="1179"/>
      <c r="AN125" s="982"/>
      <c r="AO125" s="1180"/>
      <c r="AP125" s="19" t="str">
        <f t="shared" ref="AP125:AP129" si="63">CA125</f>
        <v/>
      </c>
      <c r="CA125" s="135" t="str">
        <f t="shared" ref="CA125:CA129" si="64">IF(AND(AO125="",B125&gt;0)," * No olvide digitar la variable Por campaña de Invierno. Digite CERO si no tiene.",IF(AO125&gt;B125," * La variable Por campaña de Invierno no puede ser mayor que el Total Ambos Sexos.",""))</f>
        <v/>
      </c>
      <c r="CF125" s="84">
        <f t="shared" si="62"/>
        <v>0</v>
      </c>
    </row>
    <row r="126" spans="1:84" s="19" customFormat="1" ht="15" customHeight="1" x14ac:dyDescent="0.2">
      <c r="A126" s="1176" t="s">
        <v>2507</v>
      </c>
      <c r="B126" s="1177">
        <f t="shared" si="61"/>
        <v>0</v>
      </c>
      <c r="C126" s="1178">
        <f>SUM(G126+I126+K126+M126+O126+Q126+S126+U126+W126+Y126+AA126+AC126+AE126+AG126+AI126+AK126+AM126)</f>
        <v>0</v>
      </c>
      <c r="D126" s="1174">
        <f>SUM(H126+J126+L126+N126+P126+R126+T126+V126+X126+Z126+AB126+AD126+AF126+AH126+AJ126+AL126+AN126)</f>
        <v>0</v>
      </c>
      <c r="E126" s="1024"/>
      <c r="F126" s="1025"/>
      <c r="G126" s="965"/>
      <c r="H126" s="967"/>
      <c r="I126" s="968"/>
      <c r="J126" s="969"/>
      <c r="K126" s="965"/>
      <c r="L126" s="967"/>
      <c r="M126" s="968"/>
      <c r="N126" s="969"/>
      <c r="O126" s="965"/>
      <c r="P126" s="967"/>
      <c r="Q126" s="965"/>
      <c r="R126" s="967"/>
      <c r="S126" s="965"/>
      <c r="T126" s="967"/>
      <c r="U126" s="968"/>
      <c r="V126" s="969"/>
      <c r="W126" s="965"/>
      <c r="X126" s="967"/>
      <c r="Y126" s="968"/>
      <c r="Z126" s="969"/>
      <c r="AA126" s="965"/>
      <c r="AB126" s="967"/>
      <c r="AC126" s="968"/>
      <c r="AD126" s="969"/>
      <c r="AE126" s="965"/>
      <c r="AF126" s="967"/>
      <c r="AG126" s="968"/>
      <c r="AH126" s="969"/>
      <c r="AI126" s="1042"/>
      <c r="AJ126" s="967"/>
      <c r="AK126" s="968"/>
      <c r="AL126" s="969"/>
      <c r="AM126" s="1042"/>
      <c r="AN126" s="969"/>
      <c r="AO126" s="1180"/>
      <c r="AP126" s="19" t="str">
        <f t="shared" si="63"/>
        <v/>
      </c>
      <c r="CA126" s="135" t="str">
        <f t="shared" si="64"/>
        <v/>
      </c>
      <c r="CF126" s="84">
        <f t="shared" si="62"/>
        <v>0</v>
      </c>
    </row>
    <row r="127" spans="1:84" s="19" customFormat="1" ht="15" customHeight="1" x14ac:dyDescent="0.2">
      <c r="A127" s="1176" t="s">
        <v>2508</v>
      </c>
      <c r="B127" s="1177">
        <f t="shared" si="61"/>
        <v>0</v>
      </c>
      <c r="C127" s="1178">
        <f>SUM(E127+G127+I127+K127+M127+O127+Q127+S127+U127+W127+Y127+AA127+AC127+AE127+AG127+AI127+AK127+AM127)</f>
        <v>0</v>
      </c>
      <c r="D127" s="1174">
        <f>SUM(F127+H127+J127+L127+N127+P127+R127+T127+V127+X127+Z127+AB127+AD127+AF127+AH127+AJ127+AL127+AN127)</f>
        <v>0</v>
      </c>
      <c r="E127" s="965"/>
      <c r="F127" s="966"/>
      <c r="G127" s="965"/>
      <c r="H127" s="967"/>
      <c r="I127" s="968"/>
      <c r="J127" s="969"/>
      <c r="K127" s="965"/>
      <c r="L127" s="967"/>
      <c r="M127" s="968"/>
      <c r="N127" s="969"/>
      <c r="O127" s="965"/>
      <c r="P127" s="967"/>
      <c r="Q127" s="965"/>
      <c r="R127" s="967"/>
      <c r="S127" s="965"/>
      <c r="T127" s="967"/>
      <c r="U127" s="968"/>
      <c r="V127" s="969"/>
      <c r="W127" s="965"/>
      <c r="X127" s="967"/>
      <c r="Y127" s="968"/>
      <c r="Z127" s="969"/>
      <c r="AA127" s="965"/>
      <c r="AB127" s="967"/>
      <c r="AC127" s="968"/>
      <c r="AD127" s="969"/>
      <c r="AE127" s="965"/>
      <c r="AF127" s="967"/>
      <c r="AG127" s="968"/>
      <c r="AH127" s="969"/>
      <c r="AI127" s="1042"/>
      <c r="AJ127" s="967"/>
      <c r="AK127" s="968"/>
      <c r="AL127" s="969"/>
      <c r="AM127" s="1042"/>
      <c r="AN127" s="969"/>
      <c r="AO127" s="1180"/>
      <c r="AP127" s="19" t="str">
        <f t="shared" si="63"/>
        <v/>
      </c>
      <c r="CA127" s="135" t="str">
        <f t="shared" si="64"/>
        <v/>
      </c>
      <c r="CF127" s="84">
        <f t="shared" si="62"/>
        <v>0</v>
      </c>
    </row>
    <row r="128" spans="1:84" s="19" customFormat="1" ht="15" customHeight="1" x14ac:dyDescent="0.2">
      <c r="A128" s="1176" t="s">
        <v>2509</v>
      </c>
      <c r="B128" s="1177">
        <f t="shared" si="61"/>
        <v>0</v>
      </c>
      <c r="C128" s="1178">
        <f>SUM(W128+Y128+AA128+AC128+AE128+AG128+AI128+AK128+AM128)</f>
        <v>0</v>
      </c>
      <c r="D128" s="1174">
        <f>SUM(X128+Z128+AB128+AD128+AF128+AH128+AJ128+AL128+AN128)</f>
        <v>0</v>
      </c>
      <c r="E128" s="979"/>
      <c r="F128" s="985"/>
      <c r="G128" s="979"/>
      <c r="H128" s="980"/>
      <c r="I128" s="981"/>
      <c r="J128" s="982"/>
      <c r="K128" s="979"/>
      <c r="L128" s="980"/>
      <c r="M128" s="981"/>
      <c r="N128" s="982"/>
      <c r="O128" s="979"/>
      <c r="P128" s="980"/>
      <c r="Q128" s="979"/>
      <c r="R128" s="980"/>
      <c r="S128" s="979"/>
      <c r="T128" s="980"/>
      <c r="U128" s="981"/>
      <c r="V128" s="982"/>
      <c r="W128" s="965"/>
      <c r="X128" s="967"/>
      <c r="Y128" s="968"/>
      <c r="Z128" s="969"/>
      <c r="AA128" s="965"/>
      <c r="AB128" s="967"/>
      <c r="AC128" s="968"/>
      <c r="AD128" s="969"/>
      <c r="AE128" s="965"/>
      <c r="AF128" s="967"/>
      <c r="AG128" s="968"/>
      <c r="AH128" s="969"/>
      <c r="AI128" s="1042"/>
      <c r="AJ128" s="967"/>
      <c r="AK128" s="968"/>
      <c r="AL128" s="969"/>
      <c r="AM128" s="1042"/>
      <c r="AN128" s="969"/>
      <c r="AO128" s="1180"/>
      <c r="AP128" s="19" t="str">
        <f t="shared" si="63"/>
        <v/>
      </c>
      <c r="CA128" s="135" t="str">
        <f t="shared" si="64"/>
        <v/>
      </c>
      <c r="CF128" s="84">
        <f t="shared" si="62"/>
        <v>0</v>
      </c>
    </row>
    <row r="129" spans="1:84" s="19" customFormat="1" ht="15" customHeight="1" x14ac:dyDescent="0.2">
      <c r="A129" s="1181" t="s">
        <v>2510</v>
      </c>
      <c r="B129" s="1177">
        <f t="shared" si="61"/>
        <v>0</v>
      </c>
      <c r="C129" s="1178">
        <f>SUM(E129+G129+I129+K129+M129+O129+Q129+S129+U129+W129+Y129+AA129+AC129+AE129+AG129+AI129+AK129+AM129)</f>
        <v>0</v>
      </c>
      <c r="D129" s="1174">
        <f>SUM(F129+H129+J129+L129+N129+P129+R129+T129+V129+X129+Z129+AB129+AD129+AF129+AH129+AJ129+AL129+AN129)</f>
        <v>0</v>
      </c>
      <c r="E129" s="989"/>
      <c r="F129" s="877"/>
      <c r="G129" s="989"/>
      <c r="H129" s="990"/>
      <c r="I129" s="991"/>
      <c r="J129" s="992"/>
      <c r="K129" s="989"/>
      <c r="L129" s="990"/>
      <c r="M129" s="991"/>
      <c r="N129" s="992"/>
      <c r="O129" s="989"/>
      <c r="P129" s="990"/>
      <c r="Q129" s="989"/>
      <c r="R129" s="990"/>
      <c r="S129" s="989"/>
      <c r="T129" s="990"/>
      <c r="U129" s="991"/>
      <c r="V129" s="992"/>
      <c r="W129" s="989"/>
      <c r="X129" s="990"/>
      <c r="Y129" s="991"/>
      <c r="Z129" s="992"/>
      <c r="AA129" s="989"/>
      <c r="AB129" s="990"/>
      <c r="AC129" s="991"/>
      <c r="AD129" s="992"/>
      <c r="AE129" s="989"/>
      <c r="AF129" s="990"/>
      <c r="AG129" s="991"/>
      <c r="AH129" s="992"/>
      <c r="AI129" s="1029"/>
      <c r="AJ129" s="990"/>
      <c r="AK129" s="991"/>
      <c r="AL129" s="992"/>
      <c r="AM129" s="1029"/>
      <c r="AN129" s="992"/>
      <c r="AO129" s="1182"/>
      <c r="AP129" s="19" t="str">
        <f t="shared" si="63"/>
        <v/>
      </c>
      <c r="CA129" s="135" t="str">
        <f t="shared" si="64"/>
        <v/>
      </c>
      <c r="CF129" s="84">
        <f t="shared" si="62"/>
        <v>0</v>
      </c>
    </row>
    <row r="130" spans="1:84" s="19" customFormat="1" ht="15" customHeight="1" x14ac:dyDescent="0.2">
      <c r="A130" s="1051" t="s">
        <v>77</v>
      </c>
      <c r="B130" s="998">
        <f t="shared" ref="B130:AN130" si="65">SUM(B124:B129)</f>
        <v>0</v>
      </c>
      <c r="C130" s="1001">
        <f t="shared" si="65"/>
        <v>0</v>
      </c>
      <c r="D130" s="999">
        <f t="shared" si="65"/>
        <v>0</v>
      </c>
      <c r="E130" s="998">
        <f>SUM(E124:E129)</f>
        <v>0</v>
      </c>
      <c r="F130" s="999">
        <f t="shared" si="65"/>
        <v>0</v>
      </c>
      <c r="G130" s="998">
        <f>SUM(G124:G129)</f>
        <v>0</v>
      </c>
      <c r="H130" s="999">
        <f t="shared" si="65"/>
        <v>0</v>
      </c>
      <c r="I130" s="1001">
        <f t="shared" si="65"/>
        <v>0</v>
      </c>
      <c r="J130" s="1002">
        <f t="shared" si="65"/>
        <v>0</v>
      </c>
      <c r="K130" s="998">
        <f t="shared" si="65"/>
        <v>0</v>
      </c>
      <c r="L130" s="1000">
        <f t="shared" si="65"/>
        <v>0</v>
      </c>
      <c r="M130" s="1001">
        <f t="shared" si="65"/>
        <v>0</v>
      </c>
      <c r="N130" s="1000">
        <f t="shared" si="65"/>
        <v>0</v>
      </c>
      <c r="O130" s="1001">
        <f t="shared" si="65"/>
        <v>0</v>
      </c>
      <c r="P130" s="1000">
        <f t="shared" si="65"/>
        <v>0</v>
      </c>
      <c r="Q130" s="998">
        <f t="shared" si="65"/>
        <v>0</v>
      </c>
      <c r="R130" s="1000">
        <f t="shared" si="65"/>
        <v>0</v>
      </c>
      <c r="S130" s="998">
        <f t="shared" ref="S130:T130" si="66">SUM(S124:S129)</f>
        <v>0</v>
      </c>
      <c r="T130" s="1000">
        <f t="shared" si="66"/>
        <v>0</v>
      </c>
      <c r="U130" s="1001">
        <f t="shared" ref="U130:V130" si="67">SUM(U124:U129)</f>
        <v>0</v>
      </c>
      <c r="V130" s="1002">
        <f t="shared" si="67"/>
        <v>0</v>
      </c>
      <c r="W130" s="998">
        <f t="shared" si="65"/>
        <v>0</v>
      </c>
      <c r="X130" s="1000">
        <f t="shared" si="65"/>
        <v>0</v>
      </c>
      <c r="Y130" s="1001">
        <f t="shared" si="65"/>
        <v>0</v>
      </c>
      <c r="Z130" s="1002">
        <f t="shared" si="65"/>
        <v>0</v>
      </c>
      <c r="AA130" s="998">
        <f t="shared" si="65"/>
        <v>0</v>
      </c>
      <c r="AB130" s="1000">
        <f t="shared" si="65"/>
        <v>0</v>
      </c>
      <c r="AC130" s="1001">
        <f t="shared" si="65"/>
        <v>0</v>
      </c>
      <c r="AD130" s="1002">
        <f t="shared" si="65"/>
        <v>0</v>
      </c>
      <c r="AE130" s="998">
        <f t="shared" si="65"/>
        <v>0</v>
      </c>
      <c r="AF130" s="1000">
        <f t="shared" si="65"/>
        <v>0</v>
      </c>
      <c r="AG130" s="1001">
        <f t="shared" si="65"/>
        <v>0</v>
      </c>
      <c r="AH130" s="1002">
        <f t="shared" si="65"/>
        <v>0</v>
      </c>
      <c r="AI130" s="998">
        <f t="shared" si="65"/>
        <v>0</v>
      </c>
      <c r="AJ130" s="1000">
        <f t="shared" si="65"/>
        <v>0</v>
      </c>
      <c r="AK130" s="1001">
        <f t="shared" si="65"/>
        <v>0</v>
      </c>
      <c r="AL130" s="1002">
        <f t="shared" si="65"/>
        <v>0</v>
      </c>
      <c r="AM130" s="1047">
        <f t="shared" si="65"/>
        <v>0</v>
      </c>
      <c r="AN130" s="1002">
        <f t="shared" si="65"/>
        <v>0</v>
      </c>
      <c r="AO130" s="1183">
        <f>SUM(AO124:AO129)</f>
        <v>0</v>
      </c>
    </row>
    <row r="131" spans="1:84" s="25" customFormat="1" ht="18" customHeight="1" x14ac:dyDescent="0.2">
      <c r="A131" s="13" t="s">
        <v>2511</v>
      </c>
      <c r="B131" s="13"/>
      <c r="C131" s="13"/>
      <c r="D131" s="13"/>
      <c r="E131" s="86"/>
    </row>
    <row r="132" spans="1:84" s="25" customFormat="1" ht="18" customHeight="1" x14ac:dyDescent="0.2">
      <c r="A132" s="7065" t="s">
        <v>2512</v>
      </c>
      <c r="B132" s="7065"/>
      <c r="C132" s="7065"/>
      <c r="D132" s="7065"/>
      <c r="E132" s="7065"/>
    </row>
    <row r="133" spans="1:84" s="19" customFormat="1" ht="15" customHeight="1" x14ac:dyDescent="0.2">
      <c r="A133" s="7022" t="s">
        <v>2496</v>
      </c>
      <c r="B133" s="6493" t="s">
        <v>77</v>
      </c>
      <c r="C133" s="6493"/>
      <c r="D133" s="7051"/>
      <c r="E133" s="7023" t="s">
        <v>101</v>
      </c>
      <c r="F133" s="7030"/>
      <c r="G133" s="7030"/>
      <c r="H133" s="7030"/>
      <c r="I133" s="7030"/>
      <c r="J133" s="7030"/>
      <c r="K133" s="7030"/>
      <c r="L133" s="7030"/>
      <c r="M133" s="7030"/>
      <c r="N133" s="7030"/>
      <c r="O133" s="7030"/>
      <c r="P133" s="7030"/>
      <c r="Q133" s="7030"/>
      <c r="R133" s="7030"/>
      <c r="S133" s="7030"/>
      <c r="T133" s="7030"/>
      <c r="U133" s="7030"/>
      <c r="V133" s="7030"/>
      <c r="W133" s="7030"/>
      <c r="X133" s="7030"/>
      <c r="Y133" s="7030"/>
      <c r="Z133" s="7030"/>
      <c r="AA133" s="7030"/>
      <c r="AB133" s="7030"/>
      <c r="AC133" s="7030"/>
      <c r="AD133" s="7030"/>
      <c r="AE133" s="7030"/>
      <c r="AF133" s="7030"/>
      <c r="AG133" s="7030"/>
      <c r="AH133" s="7030"/>
      <c r="AI133" s="7030"/>
      <c r="AJ133" s="7030"/>
      <c r="AK133" s="7030"/>
      <c r="AL133" s="7030"/>
      <c r="AM133" s="7030"/>
      <c r="AN133" s="6976"/>
    </row>
    <row r="134" spans="1:84" s="19" customFormat="1" ht="15" customHeight="1" x14ac:dyDescent="0.2">
      <c r="A134" s="6063"/>
      <c r="B134" s="6496"/>
      <c r="C134" s="6496"/>
      <c r="D134" s="7000"/>
      <c r="E134" s="7021" t="s">
        <v>4407</v>
      </c>
      <c r="F134" s="7022"/>
      <c r="G134" s="7023" t="s">
        <v>2446</v>
      </c>
      <c r="H134" s="6976"/>
      <c r="I134" s="7030" t="s">
        <v>2447</v>
      </c>
      <c r="J134" s="7030"/>
      <c r="K134" s="7023" t="s">
        <v>94</v>
      </c>
      <c r="L134" s="6976"/>
      <c r="M134" s="7023" t="s">
        <v>44</v>
      </c>
      <c r="N134" s="6976"/>
      <c r="O134" s="7031" t="s">
        <v>45</v>
      </c>
      <c r="P134" s="7022"/>
      <c r="Q134" s="7031" t="s">
        <v>46</v>
      </c>
      <c r="R134" s="7022"/>
      <c r="S134" s="7031" t="s">
        <v>47</v>
      </c>
      <c r="T134" s="7022"/>
      <c r="U134" s="6223" t="s">
        <v>48</v>
      </c>
      <c r="V134" s="7022"/>
      <c r="W134" s="7031" t="s">
        <v>49</v>
      </c>
      <c r="X134" s="7022"/>
      <c r="Y134" s="6223" t="s">
        <v>50</v>
      </c>
      <c r="Z134" s="6223"/>
      <c r="AA134" s="7031" t="s">
        <v>51</v>
      </c>
      <c r="AB134" s="7022"/>
      <c r="AC134" s="6223" t="s">
        <v>52</v>
      </c>
      <c r="AD134" s="6223"/>
      <c r="AE134" s="7031" t="s">
        <v>53</v>
      </c>
      <c r="AF134" s="7022"/>
      <c r="AG134" s="6223" t="s">
        <v>54</v>
      </c>
      <c r="AH134" s="6223"/>
      <c r="AI134" s="7031" t="s">
        <v>55</v>
      </c>
      <c r="AJ134" s="7022"/>
      <c r="AK134" s="6223" t="s">
        <v>56</v>
      </c>
      <c r="AL134" s="6223"/>
      <c r="AM134" s="7023" t="s">
        <v>57</v>
      </c>
      <c r="AN134" s="6976"/>
    </row>
    <row r="135" spans="1:84" s="19" customFormat="1" ht="15" customHeight="1" x14ac:dyDescent="0.2">
      <c r="A135" s="6645"/>
      <c r="B135" s="1006" t="s">
        <v>79</v>
      </c>
      <c r="C135" s="1093" t="s">
        <v>58</v>
      </c>
      <c r="D135" s="1008" t="s">
        <v>59</v>
      </c>
      <c r="E135" s="1006" t="s">
        <v>58</v>
      </c>
      <c r="F135" s="1008" t="s">
        <v>59</v>
      </c>
      <c r="G135" s="1006" t="s">
        <v>58</v>
      </c>
      <c r="H135" s="1008" t="s">
        <v>59</v>
      </c>
      <c r="I135" s="1093" t="s">
        <v>58</v>
      </c>
      <c r="J135" s="1053" t="s">
        <v>59</v>
      </c>
      <c r="K135" s="1006" t="s">
        <v>58</v>
      </c>
      <c r="L135" s="1008" t="s">
        <v>59</v>
      </c>
      <c r="M135" s="1093" t="s">
        <v>58</v>
      </c>
      <c r="N135" s="1053" t="s">
        <v>59</v>
      </c>
      <c r="O135" s="1006" t="s">
        <v>58</v>
      </c>
      <c r="P135" s="1008" t="s">
        <v>59</v>
      </c>
      <c r="Q135" s="1006" t="s">
        <v>58</v>
      </c>
      <c r="R135" s="1008" t="s">
        <v>59</v>
      </c>
      <c r="S135" s="1006" t="s">
        <v>58</v>
      </c>
      <c r="T135" s="1008" t="s">
        <v>59</v>
      </c>
      <c r="U135" s="1093" t="s">
        <v>58</v>
      </c>
      <c r="V135" s="1008" t="s">
        <v>59</v>
      </c>
      <c r="W135" s="1006" t="s">
        <v>58</v>
      </c>
      <c r="X135" s="1008" t="s">
        <v>59</v>
      </c>
      <c r="Y135" s="1093" t="s">
        <v>58</v>
      </c>
      <c r="Z135" s="1053" t="s">
        <v>59</v>
      </c>
      <c r="AA135" s="1006" t="s">
        <v>58</v>
      </c>
      <c r="AB135" s="1008" t="s">
        <v>59</v>
      </c>
      <c r="AC135" s="1093" t="s">
        <v>58</v>
      </c>
      <c r="AD135" s="1053" t="s">
        <v>59</v>
      </c>
      <c r="AE135" s="1006" t="s">
        <v>58</v>
      </c>
      <c r="AF135" s="1008" t="s">
        <v>59</v>
      </c>
      <c r="AG135" s="1093" t="s">
        <v>58</v>
      </c>
      <c r="AH135" s="1053" t="s">
        <v>59</v>
      </c>
      <c r="AI135" s="1006" t="s">
        <v>58</v>
      </c>
      <c r="AJ135" s="1008" t="s">
        <v>59</v>
      </c>
      <c r="AK135" s="1093" t="s">
        <v>58</v>
      </c>
      <c r="AL135" s="1053" t="s">
        <v>59</v>
      </c>
      <c r="AM135" s="1006" t="s">
        <v>58</v>
      </c>
      <c r="AN135" s="1008" t="s">
        <v>59</v>
      </c>
    </row>
    <row r="136" spans="1:84" s="19" customFormat="1" ht="15" customHeight="1" x14ac:dyDescent="0.2">
      <c r="A136" s="1184" t="s">
        <v>2513</v>
      </c>
      <c r="B136" s="1185">
        <f t="shared" ref="B136:B141" si="68">SUM(C136+D136)</f>
        <v>0</v>
      </c>
      <c r="C136" s="1178">
        <f>SUM(E136+G136+I136+K136+M136+O136+Q136+S136+U136+W136+Y136+AA136+AC136+AE136+AG136+AI136+AK136+AM136)</f>
        <v>0</v>
      </c>
      <c r="D136" s="1174">
        <f>SUM(F136+H136+J136+L136+N136+P136+R136+T136+V136+X136+Z136+AB136+AD136+AF136+AH136+AJ136+AL136+AN136)</f>
        <v>0</v>
      </c>
      <c r="E136" s="47"/>
      <c r="F136" s="42"/>
      <c r="G136" s="47"/>
      <c r="H136" s="42"/>
      <c r="I136" s="47"/>
      <c r="J136" s="42"/>
      <c r="K136" s="47"/>
      <c r="L136" s="42"/>
      <c r="M136" s="47"/>
      <c r="N136" s="42"/>
      <c r="O136" s="47"/>
      <c r="P136" s="42"/>
      <c r="Q136" s="47"/>
      <c r="R136" s="42"/>
      <c r="S136" s="47"/>
      <c r="T136" s="42"/>
      <c r="U136" s="47"/>
      <c r="V136" s="42"/>
      <c r="W136" s="47"/>
      <c r="X136" s="42"/>
      <c r="Y136" s="47"/>
      <c r="Z136" s="42"/>
      <c r="AA136" s="47"/>
      <c r="AB136" s="42"/>
      <c r="AC136" s="47"/>
      <c r="AD136" s="42"/>
      <c r="AE136" s="47"/>
      <c r="AF136" s="42"/>
      <c r="AG136" s="47"/>
      <c r="AH136" s="42"/>
      <c r="AI136" s="47"/>
      <c r="AJ136" s="42"/>
      <c r="AK136" s="47"/>
      <c r="AL136" s="42"/>
      <c r="AM136" s="47"/>
      <c r="AN136" s="42"/>
    </row>
    <row r="137" spans="1:84" s="19" customFormat="1" ht="15" customHeight="1" x14ac:dyDescent="0.2">
      <c r="A137" s="1186" t="s">
        <v>2514</v>
      </c>
      <c r="B137" s="977">
        <f t="shared" si="68"/>
        <v>0</v>
      </c>
      <c r="C137" s="1178">
        <f t="shared" ref="C137:C141" si="69">SUM(E137+G137+I137+K137+M137+O137+Q137+S137+U137+W137+Y137+AA137+AC137+AE137+AG137+AI137+AK137+AM137)</f>
        <v>0</v>
      </c>
      <c r="D137" s="1174">
        <f t="shared" ref="D137:D141" si="70">SUM(F137+H137+J137+L137+N137+P137+R137+T137+V137+X137+Z137+AB137+AD137+AF137+AH137+AJ137+AL137+AN137)</f>
        <v>0</v>
      </c>
      <c r="E137" s="192"/>
      <c r="F137" s="2"/>
      <c r="G137" s="192"/>
      <c r="H137" s="2"/>
      <c r="I137" s="192"/>
      <c r="J137" s="2"/>
      <c r="K137" s="192"/>
      <c r="L137" s="2"/>
      <c r="M137" s="192"/>
      <c r="N137" s="2"/>
      <c r="O137" s="192"/>
      <c r="P137" s="2"/>
      <c r="Q137" s="192"/>
      <c r="R137" s="2"/>
      <c r="S137" s="192"/>
      <c r="T137" s="2"/>
      <c r="U137" s="192"/>
      <c r="V137" s="2"/>
      <c r="W137" s="192"/>
      <c r="X137" s="2"/>
      <c r="Y137" s="192"/>
      <c r="Z137" s="2"/>
      <c r="AA137" s="192"/>
      <c r="AB137" s="2"/>
      <c r="AC137" s="192"/>
      <c r="AD137" s="2"/>
      <c r="AE137" s="192"/>
      <c r="AF137" s="2"/>
      <c r="AG137" s="192"/>
      <c r="AH137" s="2"/>
      <c r="AI137" s="192"/>
      <c r="AJ137" s="2"/>
      <c r="AK137" s="192"/>
      <c r="AL137" s="2"/>
      <c r="AM137" s="192"/>
      <c r="AN137" s="2"/>
    </row>
    <row r="138" spans="1:84" s="19" customFormat="1" ht="15" customHeight="1" x14ac:dyDescent="0.2">
      <c r="A138" s="1187" t="s">
        <v>2515</v>
      </c>
      <c r="B138" s="977">
        <f t="shared" si="68"/>
        <v>0</v>
      </c>
      <c r="C138" s="1178">
        <f t="shared" si="69"/>
        <v>0</v>
      </c>
      <c r="D138" s="1174">
        <f t="shared" si="70"/>
        <v>0</v>
      </c>
      <c r="E138" s="192"/>
      <c r="F138" s="2"/>
      <c r="G138" s="192"/>
      <c r="H138" s="2"/>
      <c r="I138" s="192"/>
      <c r="J138" s="2"/>
      <c r="K138" s="192"/>
      <c r="L138" s="2"/>
      <c r="M138" s="192"/>
      <c r="N138" s="2"/>
      <c r="O138" s="192"/>
      <c r="P138" s="2"/>
      <c r="Q138" s="192"/>
      <c r="R138" s="2"/>
      <c r="S138" s="192"/>
      <c r="T138" s="2"/>
      <c r="U138" s="192"/>
      <c r="V138" s="2"/>
      <c r="W138" s="192"/>
      <c r="X138" s="2"/>
      <c r="Y138" s="192"/>
      <c r="Z138" s="2"/>
      <c r="AA138" s="192"/>
      <c r="AB138" s="2"/>
      <c r="AC138" s="192"/>
      <c r="AD138" s="2"/>
      <c r="AE138" s="192"/>
      <c r="AF138" s="2"/>
      <c r="AG138" s="192"/>
      <c r="AH138" s="2"/>
      <c r="AI138" s="192"/>
      <c r="AJ138" s="2"/>
      <c r="AK138" s="192"/>
      <c r="AL138" s="1118"/>
      <c r="AM138" s="192"/>
      <c r="AN138" s="2"/>
    </row>
    <row r="139" spans="1:84" s="19" customFormat="1" ht="15" customHeight="1" x14ac:dyDescent="0.2">
      <c r="A139" s="1186" t="s">
        <v>2516</v>
      </c>
      <c r="B139" s="977">
        <f t="shared" si="68"/>
        <v>0</v>
      </c>
      <c r="C139" s="1178">
        <f t="shared" si="69"/>
        <v>0</v>
      </c>
      <c r="D139" s="1174">
        <f t="shared" si="70"/>
        <v>0</v>
      </c>
      <c r="E139" s="192"/>
      <c r="F139" s="2"/>
      <c r="G139" s="192"/>
      <c r="H139" s="2"/>
      <c r="I139" s="192"/>
      <c r="J139" s="2"/>
      <c r="K139" s="192"/>
      <c r="L139" s="2"/>
      <c r="M139" s="192"/>
      <c r="N139" s="2"/>
      <c r="O139" s="192"/>
      <c r="P139" s="2"/>
      <c r="Q139" s="192"/>
      <c r="R139" s="2"/>
      <c r="S139" s="192"/>
      <c r="T139" s="2"/>
      <c r="U139" s="192"/>
      <c r="V139" s="2"/>
      <c r="W139" s="192"/>
      <c r="X139" s="2"/>
      <c r="Y139" s="192"/>
      <c r="Z139" s="2"/>
      <c r="AA139" s="192"/>
      <c r="AB139" s="2"/>
      <c r="AC139" s="192"/>
      <c r="AD139" s="2"/>
      <c r="AE139" s="192"/>
      <c r="AF139" s="2"/>
      <c r="AG139" s="192"/>
      <c r="AH139" s="2"/>
      <c r="AI139" s="192"/>
      <c r="AJ139" s="2"/>
      <c r="AK139" s="192"/>
      <c r="AL139" s="2"/>
      <c r="AM139" s="192"/>
      <c r="AN139" s="2"/>
    </row>
    <row r="140" spans="1:84" s="19" customFormat="1" ht="15" customHeight="1" x14ac:dyDescent="0.2">
      <c r="A140" s="1186" t="s">
        <v>2517</v>
      </c>
      <c r="B140" s="977">
        <f t="shared" si="68"/>
        <v>0</v>
      </c>
      <c r="C140" s="1178">
        <f t="shared" si="69"/>
        <v>0</v>
      </c>
      <c r="D140" s="1174">
        <f>SUM(F140+H140+J140+L140+N140+P140+R140+T140+V140+X140+Z140+AB140+AD140+AF140+AH140+AJ140+AL140+AN140)</f>
        <v>0</v>
      </c>
      <c r="E140" s="192"/>
      <c r="F140" s="2"/>
      <c r="G140" s="192"/>
      <c r="H140" s="2"/>
      <c r="I140" s="192"/>
      <c r="J140" s="2"/>
      <c r="K140" s="192"/>
      <c r="L140" s="2"/>
      <c r="M140" s="192"/>
      <c r="N140" s="2"/>
      <c r="O140" s="192"/>
      <c r="P140" s="2"/>
      <c r="Q140" s="192"/>
      <c r="R140" s="2"/>
      <c r="S140" s="192"/>
      <c r="T140" s="2"/>
      <c r="U140" s="192"/>
      <c r="V140" s="2"/>
      <c r="W140" s="192"/>
      <c r="X140" s="2"/>
      <c r="Y140" s="192"/>
      <c r="Z140" s="2"/>
      <c r="AA140" s="192"/>
      <c r="AB140" s="2"/>
      <c r="AC140" s="192"/>
      <c r="AD140" s="2"/>
      <c r="AE140" s="192"/>
      <c r="AF140" s="2"/>
      <c r="AG140" s="192"/>
      <c r="AH140" s="2"/>
      <c r="AI140" s="192"/>
      <c r="AJ140" s="2"/>
      <c r="AK140" s="192"/>
      <c r="AL140" s="2"/>
      <c r="AM140" s="192"/>
      <c r="AN140" s="2"/>
    </row>
    <row r="141" spans="1:84" s="19" customFormat="1" ht="15" customHeight="1" x14ac:dyDescent="0.2">
      <c r="A141" s="1188" t="s">
        <v>902</v>
      </c>
      <c r="B141" s="977">
        <f t="shared" si="68"/>
        <v>0</v>
      </c>
      <c r="C141" s="1178">
        <f t="shared" si="69"/>
        <v>0</v>
      </c>
      <c r="D141" s="1174">
        <f t="shared" si="70"/>
        <v>0</v>
      </c>
      <c r="E141" s="192"/>
      <c r="F141" s="2"/>
      <c r="G141" s="192"/>
      <c r="H141" s="2"/>
      <c r="I141" s="192"/>
      <c r="J141" s="2"/>
      <c r="K141" s="192"/>
      <c r="L141" s="2"/>
      <c r="M141" s="192"/>
      <c r="N141" s="2"/>
      <c r="O141" s="192"/>
      <c r="P141" s="2"/>
      <c r="Q141" s="192"/>
      <c r="R141" s="2"/>
      <c r="S141" s="192"/>
      <c r="T141" s="2"/>
      <c r="U141" s="192"/>
      <c r="V141" s="2"/>
      <c r="W141" s="192"/>
      <c r="X141" s="2"/>
      <c r="Y141" s="192"/>
      <c r="Z141" s="2"/>
      <c r="AA141" s="192"/>
      <c r="AB141" s="2"/>
      <c r="AC141" s="192"/>
      <c r="AD141" s="2"/>
      <c r="AE141" s="192"/>
      <c r="AF141" s="2"/>
      <c r="AG141" s="192"/>
      <c r="AH141" s="2"/>
      <c r="AI141" s="192"/>
      <c r="AJ141" s="2"/>
      <c r="AK141" s="192"/>
      <c r="AL141" s="2"/>
      <c r="AM141" s="192"/>
      <c r="AN141" s="2"/>
    </row>
    <row r="142" spans="1:84" s="19" customFormat="1" ht="15" customHeight="1" x14ac:dyDescent="0.2">
      <c r="A142" s="1124" t="s">
        <v>77</v>
      </c>
      <c r="B142" s="1125">
        <f>SUM(B136:B141)</f>
        <v>0</v>
      </c>
      <c r="C142" s="1127">
        <f>SUM(C136:C141)</f>
        <v>0</v>
      </c>
      <c r="D142" s="1126">
        <f>SUM(D136:D141)</f>
        <v>0</v>
      </c>
      <c r="E142" s="1125">
        <f>SUM(E136:E141)</f>
        <v>0</v>
      </c>
      <c r="F142" s="1129">
        <f t="shared" ref="F142:AN142" si="71">SUM(F136:F141)</f>
        <v>0</v>
      </c>
      <c r="G142" s="1125">
        <f t="shared" si="71"/>
        <v>0</v>
      </c>
      <c r="H142" s="1129">
        <f t="shared" si="71"/>
        <v>0</v>
      </c>
      <c r="I142" s="1125">
        <f t="shared" si="71"/>
        <v>0</v>
      </c>
      <c r="J142" s="1129">
        <f t="shared" si="71"/>
        <v>0</v>
      </c>
      <c r="K142" s="1125">
        <f t="shared" si="71"/>
        <v>0</v>
      </c>
      <c r="L142" s="1129">
        <f t="shared" si="71"/>
        <v>0</v>
      </c>
      <c r="M142" s="1125">
        <f t="shared" si="71"/>
        <v>0</v>
      </c>
      <c r="N142" s="1129">
        <f t="shared" si="71"/>
        <v>0</v>
      </c>
      <c r="O142" s="1125">
        <f t="shared" si="71"/>
        <v>0</v>
      </c>
      <c r="P142" s="1129">
        <f t="shared" si="71"/>
        <v>0</v>
      </c>
      <c r="Q142" s="1125">
        <f t="shared" si="71"/>
        <v>0</v>
      </c>
      <c r="R142" s="1129">
        <f t="shared" si="71"/>
        <v>0</v>
      </c>
      <c r="S142" s="1125">
        <f t="shared" ref="S142:T142" si="72">SUM(S136:S141)</f>
        <v>0</v>
      </c>
      <c r="T142" s="1129">
        <f t="shared" si="72"/>
        <v>0</v>
      </c>
      <c r="U142" s="1125">
        <f t="shared" ref="U142:V142" si="73">SUM(U136:U141)</f>
        <v>0</v>
      </c>
      <c r="V142" s="1129">
        <f t="shared" si="73"/>
        <v>0</v>
      </c>
      <c r="W142" s="1125">
        <f t="shared" si="71"/>
        <v>0</v>
      </c>
      <c r="X142" s="1129">
        <f t="shared" si="71"/>
        <v>0</v>
      </c>
      <c r="Y142" s="1125">
        <f t="shared" si="71"/>
        <v>0</v>
      </c>
      <c r="Z142" s="1129">
        <f t="shared" si="71"/>
        <v>0</v>
      </c>
      <c r="AA142" s="1125">
        <f t="shared" si="71"/>
        <v>0</v>
      </c>
      <c r="AB142" s="1129">
        <f t="shared" si="71"/>
        <v>0</v>
      </c>
      <c r="AC142" s="1125">
        <f t="shared" si="71"/>
        <v>0</v>
      </c>
      <c r="AD142" s="1129">
        <f t="shared" si="71"/>
        <v>0</v>
      </c>
      <c r="AE142" s="1125">
        <f t="shared" si="71"/>
        <v>0</v>
      </c>
      <c r="AF142" s="1129">
        <f t="shared" si="71"/>
        <v>0</v>
      </c>
      <c r="AG142" s="1125">
        <f t="shared" si="71"/>
        <v>0</v>
      </c>
      <c r="AH142" s="1129">
        <f t="shared" si="71"/>
        <v>0</v>
      </c>
      <c r="AI142" s="1125">
        <f t="shared" si="71"/>
        <v>0</v>
      </c>
      <c r="AJ142" s="1129">
        <f t="shared" si="71"/>
        <v>0</v>
      </c>
      <c r="AK142" s="1125">
        <f t="shared" si="71"/>
        <v>0</v>
      </c>
      <c r="AL142" s="1129">
        <f t="shared" si="71"/>
        <v>0</v>
      </c>
      <c r="AM142" s="1125">
        <f t="shared" si="71"/>
        <v>0</v>
      </c>
      <c r="AN142" s="1129">
        <f t="shared" si="71"/>
        <v>0</v>
      </c>
    </row>
    <row r="143" spans="1:84" s="25" customFormat="1" ht="18" customHeight="1" x14ac:dyDescent="0.2">
      <c r="A143" s="1" t="s">
        <v>2518</v>
      </c>
    </row>
    <row r="144" spans="1:84" s="19" customFormat="1" ht="15" customHeight="1" x14ac:dyDescent="0.2">
      <c r="A144" s="7066" t="s">
        <v>2519</v>
      </c>
      <c r="B144" s="7067"/>
      <c r="C144" s="1190" t="s">
        <v>2520</v>
      </c>
      <c r="D144" s="1191" t="s">
        <v>2521</v>
      </c>
    </row>
    <row r="145" spans="1:40" s="19" customFormat="1" ht="15" customHeight="1" x14ac:dyDescent="0.2">
      <c r="A145" s="7068" t="s">
        <v>2522</v>
      </c>
      <c r="B145" s="1193" t="s">
        <v>2523</v>
      </c>
      <c r="C145" s="954"/>
      <c r="D145" s="890"/>
    </row>
    <row r="146" spans="1:40" s="19" customFormat="1" ht="15" customHeight="1" x14ac:dyDescent="0.2">
      <c r="A146" s="7069"/>
      <c r="B146" s="1195" t="s">
        <v>2524</v>
      </c>
      <c r="C146" s="965"/>
      <c r="D146" s="967"/>
    </row>
    <row r="147" spans="1:40" s="19" customFormat="1" ht="15" customHeight="1" x14ac:dyDescent="0.2">
      <c r="A147" s="7069"/>
      <c r="B147" s="1195" t="s">
        <v>2141</v>
      </c>
      <c r="C147" s="965"/>
      <c r="D147" s="967"/>
    </row>
    <row r="148" spans="1:40" s="19" customFormat="1" ht="15" customHeight="1" x14ac:dyDescent="0.2">
      <c r="A148" s="7070"/>
      <c r="B148" s="1197" t="s">
        <v>2525</v>
      </c>
      <c r="C148" s="989"/>
      <c r="D148" s="990"/>
    </row>
    <row r="149" spans="1:40" s="19" customFormat="1" ht="15" customHeight="1" x14ac:dyDescent="0.2">
      <c r="A149" s="7068" t="s">
        <v>2526</v>
      </c>
      <c r="B149" s="1193" t="s">
        <v>2523</v>
      </c>
      <c r="C149" s="327"/>
      <c r="D149" s="905"/>
    </row>
    <row r="150" spans="1:40" s="19" customFormat="1" ht="15" customHeight="1" x14ac:dyDescent="0.2">
      <c r="A150" s="7069"/>
      <c r="B150" s="1195" t="s">
        <v>2524</v>
      </c>
      <c r="C150" s="965"/>
      <c r="D150" s="967"/>
    </row>
    <row r="151" spans="1:40" s="19" customFormat="1" ht="15" customHeight="1" x14ac:dyDescent="0.2">
      <c r="A151" s="7069"/>
      <c r="B151" s="1195" t="s">
        <v>2141</v>
      </c>
      <c r="C151" s="965"/>
      <c r="D151" s="967"/>
    </row>
    <row r="152" spans="1:40" s="19" customFormat="1" ht="15" customHeight="1" x14ac:dyDescent="0.2">
      <c r="A152" s="7070"/>
      <c r="B152" s="1197" t="s">
        <v>2525</v>
      </c>
      <c r="C152" s="989"/>
      <c r="D152" s="990"/>
    </row>
    <row r="153" spans="1:40" s="19" customFormat="1" ht="15" customHeight="1" x14ac:dyDescent="0.2">
      <c r="A153" s="7062" t="s">
        <v>77</v>
      </c>
      <c r="B153" s="7063"/>
      <c r="C153" s="1198">
        <f>SUM(C145:C152)</f>
        <v>0</v>
      </c>
      <c r="D153" s="254">
        <f>SUM(D145:D152)</f>
        <v>0</v>
      </c>
    </row>
    <row r="154" spans="1:40" s="25" customFormat="1" ht="18" customHeight="1" x14ac:dyDescent="0.2">
      <c r="A154" s="15" t="s">
        <v>2527</v>
      </c>
    </row>
    <row r="155" spans="1:40" s="19" customFormat="1" ht="15" customHeight="1" x14ac:dyDescent="0.2">
      <c r="A155" s="7064" t="s">
        <v>651</v>
      </c>
      <c r="B155" s="6493" t="s">
        <v>77</v>
      </c>
      <c r="C155" s="6493"/>
      <c r="D155" s="7051"/>
      <c r="E155" s="7027" t="s">
        <v>101</v>
      </c>
      <c r="F155" s="7028"/>
      <c r="G155" s="7028"/>
      <c r="H155" s="7028"/>
      <c r="I155" s="7028"/>
      <c r="J155" s="7028"/>
      <c r="K155" s="7028"/>
      <c r="L155" s="7028"/>
      <c r="M155" s="7028"/>
      <c r="N155" s="7028"/>
      <c r="O155" s="7028"/>
      <c r="P155" s="7028"/>
      <c r="Q155" s="7028"/>
      <c r="R155" s="7028"/>
      <c r="S155" s="7028"/>
      <c r="T155" s="7028"/>
      <c r="U155" s="7028"/>
      <c r="V155" s="7028"/>
      <c r="W155" s="7028"/>
      <c r="X155" s="7028"/>
      <c r="Y155" s="7028"/>
      <c r="Z155" s="7028"/>
      <c r="AA155" s="7028"/>
      <c r="AB155" s="7028"/>
      <c r="AC155" s="7028"/>
      <c r="AD155" s="7028"/>
      <c r="AE155" s="7028"/>
      <c r="AF155" s="7028"/>
      <c r="AG155" s="7028"/>
      <c r="AH155" s="7028"/>
      <c r="AI155" s="7028"/>
      <c r="AJ155" s="7028"/>
      <c r="AK155" s="7028"/>
      <c r="AL155" s="7028"/>
      <c r="AM155" s="7028"/>
      <c r="AN155" s="7029"/>
    </row>
    <row r="156" spans="1:40" s="19" customFormat="1" ht="15" customHeight="1" x14ac:dyDescent="0.2">
      <c r="A156" s="6757"/>
      <c r="B156" s="6496"/>
      <c r="C156" s="6496"/>
      <c r="D156" s="7000"/>
      <c r="E156" s="7021" t="s">
        <v>4407</v>
      </c>
      <c r="F156" s="7022"/>
      <c r="G156" s="7030" t="s">
        <v>2446</v>
      </c>
      <c r="H156" s="7030"/>
      <c r="I156" s="7023" t="s">
        <v>2447</v>
      </c>
      <c r="J156" s="6976"/>
      <c r="K156" s="7023" t="s">
        <v>94</v>
      </c>
      <c r="L156" s="6976"/>
      <c r="M156" s="7023" t="s">
        <v>44</v>
      </c>
      <c r="N156" s="6976"/>
      <c r="O156" s="6223" t="s">
        <v>45</v>
      </c>
      <c r="P156" s="6223"/>
      <c r="Q156" s="7031" t="s">
        <v>46</v>
      </c>
      <c r="R156" s="7022"/>
      <c r="S156" s="7031" t="s">
        <v>47</v>
      </c>
      <c r="T156" s="7022"/>
      <c r="U156" s="6223" t="s">
        <v>48</v>
      </c>
      <c r="V156" s="7022"/>
      <c r="W156" s="7031" t="s">
        <v>49</v>
      </c>
      <c r="X156" s="7022"/>
      <c r="Y156" s="6223" t="s">
        <v>50</v>
      </c>
      <c r="Z156" s="6223"/>
      <c r="AA156" s="7031" t="s">
        <v>51</v>
      </c>
      <c r="AB156" s="7022"/>
      <c r="AC156" s="6223" t="s">
        <v>52</v>
      </c>
      <c r="AD156" s="6223"/>
      <c r="AE156" s="7031" t="s">
        <v>53</v>
      </c>
      <c r="AF156" s="7022"/>
      <c r="AG156" s="6223" t="s">
        <v>54</v>
      </c>
      <c r="AH156" s="6223"/>
      <c r="AI156" s="7031" t="s">
        <v>55</v>
      </c>
      <c r="AJ156" s="7022"/>
      <c r="AK156" s="6223" t="s">
        <v>56</v>
      </c>
      <c r="AL156" s="6223"/>
      <c r="AM156" s="7023" t="s">
        <v>57</v>
      </c>
      <c r="AN156" s="6976"/>
    </row>
    <row r="157" spans="1:40" s="19" customFormat="1" ht="15" customHeight="1" x14ac:dyDescent="0.2">
      <c r="A157" s="6696"/>
      <c r="B157" s="1200" t="s">
        <v>79</v>
      </c>
      <c r="C157" s="1201" t="s">
        <v>58</v>
      </c>
      <c r="D157" s="1202" t="s">
        <v>59</v>
      </c>
      <c r="E157" s="1093" t="s">
        <v>58</v>
      </c>
      <c r="F157" s="1203" t="s">
        <v>59</v>
      </c>
      <c r="G157" s="1093" t="s">
        <v>58</v>
      </c>
      <c r="H157" s="1203" t="s">
        <v>59</v>
      </c>
      <c r="I157" s="1093" t="s">
        <v>58</v>
      </c>
      <c r="J157" s="1203" t="s">
        <v>59</v>
      </c>
      <c r="K157" s="1093" t="s">
        <v>58</v>
      </c>
      <c r="L157" s="1203" t="s">
        <v>59</v>
      </c>
      <c r="M157" s="1093" t="s">
        <v>58</v>
      </c>
      <c r="N157" s="1203" t="s">
        <v>59</v>
      </c>
      <c r="O157" s="1093" t="s">
        <v>58</v>
      </c>
      <c r="P157" s="1203" t="s">
        <v>59</v>
      </c>
      <c r="Q157" s="1006" t="s">
        <v>58</v>
      </c>
      <c r="R157" s="1008" t="s">
        <v>59</v>
      </c>
      <c r="S157" s="1006" t="s">
        <v>58</v>
      </c>
      <c r="T157" s="1008" t="s">
        <v>59</v>
      </c>
      <c r="U157" s="1093" t="s">
        <v>58</v>
      </c>
      <c r="V157" s="1008" t="s">
        <v>59</v>
      </c>
      <c r="W157" s="1093" t="s">
        <v>58</v>
      </c>
      <c r="X157" s="1203" t="s">
        <v>59</v>
      </c>
      <c r="Y157" s="1093" t="s">
        <v>58</v>
      </c>
      <c r="Z157" s="1203" t="s">
        <v>59</v>
      </c>
      <c r="AA157" s="1093" t="s">
        <v>58</v>
      </c>
      <c r="AB157" s="1203" t="s">
        <v>59</v>
      </c>
      <c r="AC157" s="1093" t="s">
        <v>58</v>
      </c>
      <c r="AD157" s="1203" t="s">
        <v>59</v>
      </c>
      <c r="AE157" s="1093" t="s">
        <v>58</v>
      </c>
      <c r="AF157" s="1203" t="s">
        <v>59</v>
      </c>
      <c r="AG157" s="1093" t="s">
        <v>58</v>
      </c>
      <c r="AH157" s="1203" t="s">
        <v>59</v>
      </c>
      <c r="AI157" s="1093" t="s">
        <v>58</v>
      </c>
      <c r="AJ157" s="1203" t="s">
        <v>59</v>
      </c>
      <c r="AK157" s="1093" t="s">
        <v>58</v>
      </c>
      <c r="AL157" s="1203" t="s">
        <v>59</v>
      </c>
      <c r="AM157" s="1093" t="s">
        <v>58</v>
      </c>
      <c r="AN157" s="1008" t="s">
        <v>59</v>
      </c>
    </row>
    <row r="158" spans="1:40" s="19" customFormat="1" ht="15" customHeight="1" x14ac:dyDescent="0.2">
      <c r="A158" s="1204" t="s">
        <v>2528</v>
      </c>
      <c r="B158" s="1205">
        <f>SUM(C158:D158)</f>
        <v>0</v>
      </c>
      <c r="C158" s="48">
        <f>+E158+G158+I158+K158+M158+O158+Q158+S158+U158+W158+Y158+AA158+AC158+AE158+AG158+AI158+AK158+AM158</f>
        <v>0</v>
      </c>
      <c r="D158" s="1206">
        <f>+F158+H158+J158+L158+N158+P158+R158+T158+V158+X158+Z158+AB158+AD158+AF158+AH158+AJ158+AL158+AN158</f>
        <v>0</v>
      </c>
      <c r="E158" s="956"/>
      <c r="F158" s="905"/>
      <c r="G158" s="956"/>
      <c r="H158" s="905"/>
      <c r="I158" s="956"/>
      <c r="J158" s="905"/>
      <c r="K158" s="956"/>
      <c r="L158" s="905"/>
      <c r="M158" s="956"/>
      <c r="N158" s="905"/>
      <c r="O158" s="956"/>
      <c r="P158" s="905"/>
      <c r="Q158" s="956"/>
      <c r="R158" s="905"/>
      <c r="S158" s="956"/>
      <c r="T158" s="905"/>
      <c r="U158" s="956"/>
      <c r="V158" s="905"/>
      <c r="W158" s="956"/>
      <c r="X158" s="905"/>
      <c r="Y158" s="956"/>
      <c r="Z158" s="905"/>
      <c r="AA158" s="956"/>
      <c r="AB158" s="905"/>
      <c r="AC158" s="956"/>
      <c r="AD158" s="905"/>
      <c r="AE158" s="956"/>
      <c r="AF158" s="905"/>
      <c r="AG158" s="956"/>
      <c r="AH158" s="905"/>
      <c r="AI158" s="956"/>
      <c r="AJ158" s="905"/>
      <c r="AK158" s="956"/>
      <c r="AL158" s="905"/>
      <c r="AM158" s="44"/>
      <c r="AN158" s="905"/>
    </row>
    <row r="159" spans="1:40" s="19" customFormat="1" ht="15" customHeight="1" x14ac:dyDescent="0.2">
      <c r="A159" s="255" t="s">
        <v>2529</v>
      </c>
      <c r="B159" s="359">
        <f>SUM(C159:D159)</f>
        <v>0</v>
      </c>
      <c r="C159" s="1207">
        <f t="shared" ref="C159:C162" si="74">+E159+G159+I159+K159+M159+O159+Q159+S159+U159+W159+Y159+AA159+AC159+AE159+AG159+AI159+AK159+AM159</f>
        <v>0</v>
      </c>
      <c r="D159" s="1208">
        <f t="shared" ref="D159:D162" si="75">+F159+H159+J159+L159+N159+P159+R159+T159+V159+X159+Z159+AB159+AD159+AF159+AH159+AJ159+AL159+AN159</f>
        <v>0</v>
      </c>
      <c r="E159" s="968"/>
      <c r="F159" s="967"/>
      <c r="G159" s="968"/>
      <c r="H159" s="967"/>
      <c r="I159" s="968"/>
      <c r="J159" s="967"/>
      <c r="K159" s="968"/>
      <c r="L159" s="967"/>
      <c r="M159" s="968"/>
      <c r="N159" s="967"/>
      <c r="O159" s="968"/>
      <c r="P159" s="967"/>
      <c r="Q159" s="968"/>
      <c r="R159" s="967"/>
      <c r="S159" s="968"/>
      <c r="T159" s="967"/>
      <c r="U159" s="968"/>
      <c r="V159" s="967"/>
      <c r="W159" s="968"/>
      <c r="X159" s="967"/>
      <c r="Y159" s="968"/>
      <c r="Z159" s="967"/>
      <c r="AA159" s="968"/>
      <c r="AB159" s="967"/>
      <c r="AC159" s="968"/>
      <c r="AD159" s="967"/>
      <c r="AE159" s="968"/>
      <c r="AF159" s="967"/>
      <c r="AG159" s="968"/>
      <c r="AH159" s="967"/>
      <c r="AI159" s="968"/>
      <c r="AJ159" s="967"/>
      <c r="AK159" s="968"/>
      <c r="AL159" s="967"/>
      <c r="AM159" s="968"/>
      <c r="AN159" s="967"/>
    </row>
    <row r="160" spans="1:40" s="19" customFormat="1" ht="15" customHeight="1" x14ac:dyDescent="0.2">
      <c r="A160" s="1159" t="s">
        <v>2530</v>
      </c>
      <c r="B160" s="359">
        <f>SUM(C160:D160)</f>
        <v>0</v>
      </c>
      <c r="C160" s="1209">
        <f>+E160+G160+I160+K160+M160+O160+Q160+S160+U160+W160+Y160+AA160+AC160+AE160+AG160+AI160+AK160+AM160</f>
        <v>0</v>
      </c>
      <c r="D160" s="1210">
        <f>+F160+H160+J160+L160+N160+P160+R160+T160+V160+X160+Z160+AB160+AD160+AF160+AH160+AJ160+AL160+AN160</f>
        <v>0</v>
      </c>
      <c r="E160" s="1162"/>
      <c r="F160" s="1161"/>
      <c r="G160" s="1162"/>
      <c r="H160" s="1161"/>
      <c r="I160" s="1162"/>
      <c r="J160" s="1161"/>
      <c r="K160" s="1162"/>
      <c r="L160" s="1161"/>
      <c r="M160" s="1162"/>
      <c r="N160" s="1161"/>
      <c r="O160" s="1162"/>
      <c r="P160" s="1161"/>
      <c r="Q160" s="1162"/>
      <c r="R160" s="1161"/>
      <c r="S160" s="1162"/>
      <c r="T160" s="1161"/>
      <c r="U160" s="1162"/>
      <c r="V160" s="1161"/>
      <c r="W160" s="1162"/>
      <c r="X160" s="1161"/>
      <c r="Y160" s="1162"/>
      <c r="Z160" s="1161"/>
      <c r="AA160" s="1162"/>
      <c r="AB160" s="1161"/>
      <c r="AC160" s="1162"/>
      <c r="AD160" s="1161"/>
      <c r="AE160" s="1162"/>
      <c r="AF160" s="1161"/>
      <c r="AG160" s="1162"/>
      <c r="AH160" s="1161"/>
      <c r="AI160" s="1162"/>
      <c r="AJ160" s="1161"/>
      <c r="AK160" s="1162"/>
      <c r="AL160" s="1161"/>
      <c r="AM160" s="1162"/>
      <c r="AN160" s="1161"/>
    </row>
    <row r="161" spans="1:40" s="19" customFormat="1" ht="15" customHeight="1" x14ac:dyDescent="0.2">
      <c r="A161" s="1159" t="s">
        <v>2531</v>
      </c>
      <c r="B161" s="359">
        <f>SUM(C161:D161)</f>
        <v>0</v>
      </c>
      <c r="C161" s="1209">
        <f t="shared" si="74"/>
        <v>0</v>
      </c>
      <c r="D161" s="1210">
        <f t="shared" si="75"/>
        <v>0</v>
      </c>
      <c r="E161" s="1162"/>
      <c r="F161" s="1161"/>
      <c r="G161" s="1162"/>
      <c r="H161" s="1161"/>
      <c r="I161" s="1162"/>
      <c r="J161" s="1161"/>
      <c r="K161" s="1162"/>
      <c r="L161" s="1161"/>
      <c r="M161" s="1162"/>
      <c r="N161" s="1161"/>
      <c r="O161" s="1162"/>
      <c r="P161" s="1161"/>
      <c r="Q161" s="1162"/>
      <c r="R161" s="1161"/>
      <c r="S161" s="1162"/>
      <c r="T161" s="1161"/>
      <c r="U161" s="1162"/>
      <c r="V161" s="1161"/>
      <c r="W161" s="1162"/>
      <c r="X161" s="1161"/>
      <c r="Y161" s="1162"/>
      <c r="Z161" s="1161"/>
      <c r="AA161" s="1162"/>
      <c r="AB161" s="1161"/>
      <c r="AC161" s="1162"/>
      <c r="AD161" s="1161"/>
      <c r="AE161" s="1162"/>
      <c r="AF161" s="1161"/>
      <c r="AG161" s="1162"/>
      <c r="AH161" s="1161"/>
      <c r="AI161" s="1162"/>
      <c r="AJ161" s="1161"/>
      <c r="AK161" s="1162"/>
      <c r="AL161" s="1161"/>
      <c r="AM161" s="1162"/>
      <c r="AN161" s="1161"/>
    </row>
    <row r="162" spans="1:40" s="19" customFormat="1" ht="15" customHeight="1" x14ac:dyDescent="0.2">
      <c r="A162" s="1170" t="s">
        <v>2532</v>
      </c>
      <c r="B162" s="1165">
        <f>SUM(C162:D162)</f>
        <v>0</v>
      </c>
      <c r="C162" s="1211">
        <f t="shared" si="74"/>
        <v>0</v>
      </c>
      <c r="D162" s="1212">
        <f t="shared" si="75"/>
        <v>0</v>
      </c>
      <c r="E162" s="991"/>
      <c r="F162" s="990"/>
      <c r="G162" s="991"/>
      <c r="H162" s="990"/>
      <c r="I162" s="991"/>
      <c r="J162" s="990"/>
      <c r="K162" s="991"/>
      <c r="L162" s="990"/>
      <c r="M162" s="991"/>
      <c r="N162" s="990"/>
      <c r="O162" s="991"/>
      <c r="P162" s="990"/>
      <c r="Q162" s="991"/>
      <c r="R162" s="990"/>
      <c r="S162" s="991"/>
      <c r="T162" s="990"/>
      <c r="U162" s="991"/>
      <c r="V162" s="990"/>
      <c r="W162" s="991"/>
      <c r="X162" s="990"/>
      <c r="Y162" s="991"/>
      <c r="Z162" s="990"/>
      <c r="AA162" s="991"/>
      <c r="AB162" s="990"/>
      <c r="AC162" s="991"/>
      <c r="AD162" s="990"/>
      <c r="AE162" s="991"/>
      <c r="AF162" s="990"/>
      <c r="AG162" s="991"/>
      <c r="AH162" s="990"/>
      <c r="AI162" s="991"/>
      <c r="AJ162" s="990"/>
      <c r="AK162" s="991"/>
      <c r="AL162" s="990"/>
      <c r="AM162" s="991"/>
      <c r="AN162" s="990"/>
    </row>
    <row r="163" spans="1:40" s="25" customFormat="1" ht="18" customHeight="1" x14ac:dyDescent="0.2">
      <c r="A163" s="7055" t="s">
        <v>2533</v>
      </c>
      <c r="B163" s="7055"/>
      <c r="C163" s="7055"/>
    </row>
    <row r="164" spans="1:40" s="19" customFormat="1" ht="10.199999999999999" x14ac:dyDescent="0.2">
      <c r="A164" s="7056" t="s">
        <v>1093</v>
      </c>
      <c r="B164" s="7056"/>
      <c r="C164" s="1199" t="s">
        <v>2534</v>
      </c>
      <c r="D164" s="1213" t="s">
        <v>2535</v>
      </c>
      <c r="E164" s="1214" t="s">
        <v>2536</v>
      </c>
      <c r="F164" s="1214" t="s">
        <v>2480</v>
      </c>
      <c r="G164" s="941" t="s">
        <v>591</v>
      </c>
    </row>
    <row r="165" spans="1:40" s="19" customFormat="1" ht="15" customHeight="1" x14ac:dyDescent="0.2">
      <c r="A165" s="7057" t="s">
        <v>2537</v>
      </c>
      <c r="B165" s="1192" t="s">
        <v>2538</v>
      </c>
      <c r="C165" s="1215">
        <f>SUM(D165:G165)</f>
        <v>0</v>
      </c>
      <c r="D165" s="1216"/>
      <c r="E165" s="1217"/>
      <c r="F165" s="1217"/>
      <c r="G165" s="1218"/>
    </row>
    <row r="166" spans="1:40" s="19" customFormat="1" ht="15" customHeight="1" x14ac:dyDescent="0.2">
      <c r="A166" s="6822"/>
      <c r="B166" s="1194" t="s">
        <v>2539</v>
      </c>
      <c r="C166" s="1219">
        <f t="shared" ref="C166:C170" si="76">SUM(D166:G166)</f>
        <v>0</v>
      </c>
      <c r="D166" s="212"/>
      <c r="E166" s="1018"/>
      <c r="F166" s="1018"/>
      <c r="G166" s="34"/>
    </row>
    <row r="167" spans="1:40" s="19" customFormat="1" ht="15" customHeight="1" x14ac:dyDescent="0.2">
      <c r="A167" s="6823"/>
      <c r="B167" s="1196" t="s">
        <v>2540</v>
      </c>
      <c r="C167" s="1221">
        <f t="shared" si="76"/>
        <v>0</v>
      </c>
      <c r="D167" s="989"/>
      <c r="E167" s="1031"/>
      <c r="F167" s="1031"/>
      <c r="G167" s="877"/>
    </row>
    <row r="168" spans="1:40" s="19" customFormat="1" ht="15" customHeight="1" x14ac:dyDescent="0.2">
      <c r="A168" s="7057" t="s">
        <v>2541</v>
      </c>
      <c r="B168" s="1192" t="s">
        <v>2542</v>
      </c>
      <c r="C168" s="360">
        <f t="shared" si="76"/>
        <v>0</v>
      </c>
      <c r="D168" s="20"/>
      <c r="E168" s="232"/>
      <c r="F168" s="232"/>
      <c r="G168" s="29"/>
    </row>
    <row r="169" spans="1:40" s="19" customFormat="1" ht="15" customHeight="1" x14ac:dyDescent="0.2">
      <c r="A169" s="6822"/>
      <c r="B169" s="1194" t="s">
        <v>2543</v>
      </c>
      <c r="C169" s="360">
        <f t="shared" si="76"/>
        <v>0</v>
      </c>
      <c r="D169" s="212"/>
      <c r="E169" s="1018"/>
      <c r="F169" s="1018"/>
      <c r="G169" s="34"/>
    </row>
    <row r="170" spans="1:40" s="19" customFormat="1" ht="15" customHeight="1" x14ac:dyDescent="0.2">
      <c r="A170" s="6823"/>
      <c r="B170" s="1220" t="s">
        <v>2544</v>
      </c>
      <c r="C170" s="1221">
        <f t="shared" si="76"/>
        <v>0</v>
      </c>
      <c r="D170" s="989"/>
      <c r="E170" s="1031"/>
      <c r="F170" s="1031"/>
      <c r="G170" s="877"/>
    </row>
    <row r="171" spans="1:40" s="25" customFormat="1" ht="18" customHeight="1" x14ac:dyDescent="0.2">
      <c r="A171" s="7055" t="s">
        <v>2545</v>
      </c>
      <c r="B171" s="7055"/>
      <c r="C171" s="6500"/>
    </row>
    <row r="172" spans="1:40" s="19" customFormat="1" ht="15" customHeight="1" x14ac:dyDescent="0.2">
      <c r="A172" s="6493" t="s">
        <v>1093</v>
      </c>
      <c r="B172" s="7051"/>
      <c r="C172" s="7059" t="s">
        <v>77</v>
      </c>
      <c r="D172" s="6493"/>
      <c r="E172" s="7051"/>
      <c r="F172" s="7023" t="s">
        <v>101</v>
      </c>
      <c r="G172" s="7030"/>
      <c r="H172" s="7030"/>
      <c r="I172" s="7030"/>
      <c r="J172" s="7030"/>
      <c r="K172" s="6976"/>
    </row>
    <row r="173" spans="1:40" s="19" customFormat="1" ht="15" customHeight="1" x14ac:dyDescent="0.2">
      <c r="A173" s="7058"/>
      <c r="B173" s="6999"/>
      <c r="C173" s="6632"/>
      <c r="D173" s="6496"/>
      <c r="E173" s="7000"/>
      <c r="F173" s="7030" t="s">
        <v>4405</v>
      </c>
      <c r="G173" s="6976"/>
      <c r="H173" s="7023" t="s">
        <v>2546</v>
      </c>
      <c r="I173" s="6976"/>
      <c r="J173" s="7028" t="s">
        <v>664</v>
      </c>
      <c r="K173" s="7029"/>
    </row>
    <row r="174" spans="1:40" s="19" customFormat="1" ht="15" customHeight="1" x14ac:dyDescent="0.2">
      <c r="A174" s="6496"/>
      <c r="B174" s="7000"/>
      <c r="C174" s="1190" t="s">
        <v>79</v>
      </c>
      <c r="D174" s="1222" t="s">
        <v>58</v>
      </c>
      <c r="E174" s="1189" t="s">
        <v>59</v>
      </c>
      <c r="F174" s="1200" t="s">
        <v>58</v>
      </c>
      <c r="G174" s="1156" t="s">
        <v>59</v>
      </c>
      <c r="H174" s="1200" t="s">
        <v>58</v>
      </c>
      <c r="I174" s="1156" t="s">
        <v>59</v>
      </c>
      <c r="J174" s="1201" t="s">
        <v>58</v>
      </c>
      <c r="K174" s="1156" t="s">
        <v>59</v>
      </c>
    </row>
    <row r="175" spans="1:40" s="19" customFormat="1" ht="15" customHeight="1" x14ac:dyDescent="0.2">
      <c r="A175" s="7060" t="s">
        <v>2547</v>
      </c>
      <c r="B175" s="1223" t="s">
        <v>2542</v>
      </c>
      <c r="C175" s="362">
        <f>SUM(D175:E175)</f>
        <v>0</v>
      </c>
      <c r="D175" s="48">
        <f>SUM(F175+H175+J175)</f>
        <v>0</v>
      </c>
      <c r="E175" s="213">
        <f t="shared" ref="D175:E178" si="77">SUM(G175+I175+K175)</f>
        <v>0</v>
      </c>
      <c r="F175" s="20"/>
      <c r="G175" s="29"/>
      <c r="H175" s="20"/>
      <c r="I175" s="29"/>
      <c r="J175" s="214"/>
      <c r="K175" s="29"/>
    </row>
    <row r="176" spans="1:40" s="19" customFormat="1" ht="15" customHeight="1" x14ac:dyDescent="0.2">
      <c r="A176" s="5790"/>
      <c r="B176" s="1223" t="s">
        <v>2538</v>
      </c>
      <c r="C176" s="362">
        <f>SUM(D176:E176)</f>
        <v>0</v>
      </c>
      <c r="D176" s="48">
        <f t="shared" si="77"/>
        <v>0</v>
      </c>
      <c r="E176" s="213">
        <f t="shared" si="77"/>
        <v>0</v>
      </c>
      <c r="F176" s="212"/>
      <c r="G176" s="34"/>
      <c r="H176" s="212"/>
      <c r="I176" s="34"/>
      <c r="J176" s="1162"/>
      <c r="K176" s="34"/>
    </row>
    <row r="177" spans="1:42" s="19" customFormat="1" ht="15" customHeight="1" x14ac:dyDescent="0.2">
      <c r="A177" s="5790"/>
      <c r="B177" s="1223" t="s">
        <v>2539</v>
      </c>
      <c r="C177" s="362">
        <f>SUM(D177:E177)</f>
        <v>0</v>
      </c>
      <c r="D177" s="48">
        <f t="shared" si="77"/>
        <v>0</v>
      </c>
      <c r="E177" s="213">
        <f t="shared" si="77"/>
        <v>0</v>
      </c>
      <c r="F177" s="212"/>
      <c r="G177" s="34"/>
      <c r="H177" s="212"/>
      <c r="I177" s="34"/>
      <c r="J177" s="1162"/>
      <c r="K177" s="34"/>
    </row>
    <row r="178" spans="1:42" s="19" customFormat="1" ht="15" customHeight="1" x14ac:dyDescent="0.2">
      <c r="A178" s="6574"/>
      <c r="B178" s="1224" t="s">
        <v>2548</v>
      </c>
      <c r="C178" s="1225">
        <f>SUM(D178:E178)</f>
        <v>0</v>
      </c>
      <c r="D178" s="1211">
        <f t="shared" si="77"/>
        <v>0</v>
      </c>
      <c r="E178" s="1226">
        <f t="shared" si="77"/>
        <v>0</v>
      </c>
      <c r="F178" s="989"/>
      <c r="G178" s="877"/>
      <c r="H178" s="989"/>
      <c r="I178" s="877"/>
      <c r="J178" s="991"/>
      <c r="K178" s="877"/>
    </row>
    <row r="179" spans="1:42" s="25" customFormat="1" ht="18" customHeight="1" x14ac:dyDescent="0.2">
      <c r="A179" s="13" t="s">
        <v>2549</v>
      </c>
    </row>
    <row r="180" spans="1:42" s="19" customFormat="1" ht="15" customHeight="1" x14ac:dyDescent="0.2">
      <c r="A180" s="7047" t="s">
        <v>2550</v>
      </c>
      <c r="B180" s="7047"/>
      <c r="C180" s="7050" t="s">
        <v>2551</v>
      </c>
      <c r="D180" s="6493" t="s">
        <v>77</v>
      </c>
      <c r="E180" s="6493"/>
      <c r="F180" s="7051"/>
      <c r="G180" s="7052" t="s">
        <v>101</v>
      </c>
      <c r="H180" s="7053"/>
      <c r="I180" s="7053"/>
      <c r="J180" s="7053"/>
      <c r="K180" s="7053"/>
      <c r="L180" s="7053"/>
      <c r="M180" s="7053"/>
      <c r="N180" s="7053"/>
      <c r="O180" s="7053"/>
      <c r="P180" s="7053"/>
      <c r="Q180" s="7053"/>
      <c r="R180" s="7053"/>
      <c r="S180" s="7053"/>
      <c r="T180" s="7053"/>
      <c r="U180" s="7053"/>
      <c r="V180" s="7053"/>
      <c r="W180" s="7053"/>
      <c r="X180" s="7053"/>
      <c r="Y180" s="7053"/>
      <c r="Z180" s="7053"/>
      <c r="AA180" s="7053"/>
      <c r="AB180" s="7053"/>
      <c r="AC180" s="7053"/>
      <c r="AD180" s="7053"/>
      <c r="AE180" s="7053"/>
      <c r="AF180" s="7053"/>
      <c r="AG180" s="7053"/>
      <c r="AH180" s="7053"/>
      <c r="AI180" s="7053"/>
      <c r="AJ180" s="7053"/>
      <c r="AK180" s="7053"/>
      <c r="AL180" s="7053"/>
      <c r="AM180" s="7053"/>
      <c r="AN180" s="7053"/>
      <c r="AO180" s="7053"/>
      <c r="AP180" s="7054"/>
    </row>
    <row r="181" spans="1:42" s="19" customFormat="1" ht="15" customHeight="1" x14ac:dyDescent="0.2">
      <c r="A181" s="7048"/>
      <c r="B181" s="7048"/>
      <c r="C181" s="7050"/>
      <c r="D181" s="6496"/>
      <c r="E181" s="6496"/>
      <c r="F181" s="7000"/>
      <c r="G181" s="7021" t="s">
        <v>4407</v>
      </c>
      <c r="H181" s="7022"/>
      <c r="I181" s="7030" t="s">
        <v>2446</v>
      </c>
      <c r="J181" s="7030"/>
      <c r="K181" s="7023" t="s">
        <v>2447</v>
      </c>
      <c r="L181" s="6976"/>
      <c r="M181" s="7023" t="s">
        <v>94</v>
      </c>
      <c r="N181" s="6976"/>
      <c r="O181" s="7023" t="s">
        <v>44</v>
      </c>
      <c r="P181" s="6976"/>
      <c r="Q181" s="6223" t="s">
        <v>45</v>
      </c>
      <c r="R181" s="6223"/>
      <c r="S181" s="7031" t="s">
        <v>46</v>
      </c>
      <c r="T181" s="7022"/>
      <c r="U181" s="7031" t="s">
        <v>47</v>
      </c>
      <c r="V181" s="7022"/>
      <c r="W181" s="6223" t="s">
        <v>48</v>
      </c>
      <c r="X181" s="7022"/>
      <c r="Y181" s="7031" t="s">
        <v>49</v>
      </c>
      <c r="Z181" s="7022"/>
      <c r="AA181" s="6223" t="s">
        <v>50</v>
      </c>
      <c r="AB181" s="6223"/>
      <c r="AC181" s="7031" t="s">
        <v>51</v>
      </c>
      <c r="AD181" s="7022"/>
      <c r="AE181" s="6223" t="s">
        <v>52</v>
      </c>
      <c r="AF181" s="6223"/>
      <c r="AG181" s="7031" t="s">
        <v>53</v>
      </c>
      <c r="AH181" s="7022"/>
      <c r="AI181" s="6223" t="s">
        <v>54</v>
      </c>
      <c r="AJ181" s="6223"/>
      <c r="AK181" s="7031" t="s">
        <v>55</v>
      </c>
      <c r="AL181" s="7022"/>
      <c r="AM181" s="6223" t="s">
        <v>56</v>
      </c>
      <c r="AN181" s="6223"/>
      <c r="AO181" s="7023" t="s">
        <v>57</v>
      </c>
      <c r="AP181" s="6976"/>
    </row>
    <row r="182" spans="1:42" s="19" customFormat="1" ht="15" customHeight="1" x14ac:dyDescent="0.2">
      <c r="A182" s="7049"/>
      <c r="B182" s="7049"/>
      <c r="C182" s="7050"/>
      <c r="D182" s="1200" t="s">
        <v>79</v>
      </c>
      <c r="E182" s="1201" t="s">
        <v>58</v>
      </c>
      <c r="F182" s="1156" t="s">
        <v>59</v>
      </c>
      <c r="G182" s="1093" t="s">
        <v>58</v>
      </c>
      <c r="H182" s="1203" t="s">
        <v>59</v>
      </c>
      <c r="I182" s="1093" t="s">
        <v>58</v>
      </c>
      <c r="J182" s="1203" t="s">
        <v>59</v>
      </c>
      <c r="K182" s="1093" t="s">
        <v>58</v>
      </c>
      <c r="L182" s="1203" t="s">
        <v>59</v>
      </c>
      <c r="M182" s="1093" t="s">
        <v>58</v>
      </c>
      <c r="N182" s="1203" t="s">
        <v>59</v>
      </c>
      <c r="O182" s="1093" t="s">
        <v>58</v>
      </c>
      <c r="P182" s="1203" t="s">
        <v>59</v>
      </c>
      <c r="Q182" s="1093" t="s">
        <v>58</v>
      </c>
      <c r="R182" s="1203" t="s">
        <v>59</v>
      </c>
      <c r="S182" s="1006" t="s">
        <v>58</v>
      </c>
      <c r="T182" s="1008" t="s">
        <v>59</v>
      </c>
      <c r="U182" s="1006" t="s">
        <v>58</v>
      </c>
      <c r="V182" s="1008" t="s">
        <v>59</v>
      </c>
      <c r="W182" s="1093" t="s">
        <v>58</v>
      </c>
      <c r="X182" s="1008" t="s">
        <v>59</v>
      </c>
      <c r="Y182" s="1093" t="s">
        <v>58</v>
      </c>
      <c r="Z182" s="1203" t="s">
        <v>59</v>
      </c>
      <c r="AA182" s="1093" t="s">
        <v>58</v>
      </c>
      <c r="AB182" s="1203" t="s">
        <v>59</v>
      </c>
      <c r="AC182" s="1093" t="s">
        <v>58</v>
      </c>
      <c r="AD182" s="1203" t="s">
        <v>59</v>
      </c>
      <c r="AE182" s="1093" t="s">
        <v>58</v>
      </c>
      <c r="AF182" s="1203" t="s">
        <v>59</v>
      </c>
      <c r="AG182" s="1093" t="s">
        <v>58</v>
      </c>
      <c r="AH182" s="1203" t="s">
        <v>59</v>
      </c>
      <c r="AI182" s="1093" t="s">
        <v>58</v>
      </c>
      <c r="AJ182" s="1203" t="s">
        <v>59</v>
      </c>
      <c r="AK182" s="1093" t="s">
        <v>58</v>
      </c>
      <c r="AL182" s="1203" t="s">
        <v>59</v>
      </c>
      <c r="AM182" s="1093" t="s">
        <v>58</v>
      </c>
      <c r="AN182" s="1203" t="s">
        <v>59</v>
      </c>
      <c r="AO182" s="1093" t="s">
        <v>58</v>
      </c>
      <c r="AP182" s="1008" t="s">
        <v>59</v>
      </c>
    </row>
    <row r="183" spans="1:42" s="19" customFormat="1" ht="15" customHeight="1" x14ac:dyDescent="0.2">
      <c r="A183" s="7045" t="s">
        <v>2552</v>
      </c>
      <c r="B183" s="7045"/>
      <c r="C183" s="1192" t="s">
        <v>838</v>
      </c>
      <c r="D183" s="1228">
        <f t="shared" ref="D183:D188" si="78">SUM(E183:F183)</f>
        <v>0</v>
      </c>
      <c r="E183" s="1193">
        <f>SUM(G183+I183+K183+M183+O183+Q183+S183+U183+W183+Y183+AA183+AC183+AE183+AG183+AI183+AK183+AM183+AO183)</f>
        <v>0</v>
      </c>
      <c r="F183" s="1229">
        <f>SUM(H183+J183+L183+N183+P183+R183+T183+V183+X183+Z183+AB183+AD183+AF183+AH183+AJ183+AL183+AN183+AP183)</f>
        <v>0</v>
      </c>
      <c r="G183" s="954"/>
      <c r="H183" s="890"/>
      <c r="I183" s="954"/>
      <c r="J183" s="890"/>
      <c r="K183" s="954"/>
      <c r="L183" s="890"/>
      <c r="M183" s="954"/>
      <c r="N183" s="890"/>
      <c r="O183" s="954"/>
      <c r="P183" s="890"/>
      <c r="Q183" s="954"/>
      <c r="R183" s="890"/>
      <c r="S183" s="954"/>
      <c r="T183" s="890"/>
      <c r="U183" s="954"/>
      <c r="V183" s="890"/>
      <c r="W183" s="954"/>
      <c r="X183" s="890"/>
      <c r="Y183" s="954"/>
      <c r="Z183" s="890"/>
      <c r="AA183" s="954"/>
      <c r="AB183" s="890"/>
      <c r="AC183" s="954"/>
      <c r="AD183" s="890"/>
      <c r="AE183" s="954"/>
      <c r="AF183" s="890"/>
      <c r="AG183" s="954"/>
      <c r="AH183" s="890"/>
      <c r="AI183" s="954"/>
      <c r="AJ183" s="890"/>
      <c r="AK183" s="954"/>
      <c r="AL183" s="890"/>
      <c r="AM183" s="954"/>
      <c r="AN183" s="890"/>
      <c r="AO183" s="954"/>
      <c r="AP183" s="890"/>
    </row>
    <row r="184" spans="1:42" s="19" customFormat="1" ht="15" customHeight="1" x14ac:dyDescent="0.2">
      <c r="A184" s="7046"/>
      <c r="B184" s="7046"/>
      <c r="C184" s="1196" t="s">
        <v>2553</v>
      </c>
      <c r="D184" s="1230">
        <f t="shared" si="78"/>
        <v>0</v>
      </c>
      <c r="E184" s="1197">
        <f t="shared" ref="E184:E188" si="79">SUM(G184+I184+K184+M184+O184+Q184+S184+U184+W184+Y184+AA184+AC184+AE184+AG184+AI184+AK184+AM184+AO184)</f>
        <v>0</v>
      </c>
      <c r="F184" s="1231">
        <f t="shared" ref="F184:F188" si="80">SUM(H184+J184+L184+N184+P184+R184+T184+V184+X184+Z184+AB184+AD184+AF184+AH184+AJ184+AL184+AN184+AP184)</f>
        <v>0</v>
      </c>
      <c r="G184" s="989"/>
      <c r="H184" s="990"/>
      <c r="I184" s="989"/>
      <c r="J184" s="990"/>
      <c r="K184" s="989"/>
      <c r="L184" s="990"/>
      <c r="M184" s="989"/>
      <c r="N184" s="990"/>
      <c r="O184" s="989"/>
      <c r="P184" s="990"/>
      <c r="Q184" s="989"/>
      <c r="R184" s="990"/>
      <c r="S184" s="989"/>
      <c r="T184" s="990"/>
      <c r="U184" s="989"/>
      <c r="V184" s="990"/>
      <c r="W184" s="989"/>
      <c r="X184" s="990"/>
      <c r="Y184" s="989"/>
      <c r="Z184" s="990"/>
      <c r="AA184" s="989"/>
      <c r="AB184" s="990"/>
      <c r="AC184" s="989"/>
      <c r="AD184" s="990"/>
      <c r="AE184" s="989"/>
      <c r="AF184" s="990"/>
      <c r="AG184" s="989"/>
      <c r="AH184" s="990"/>
      <c r="AI184" s="989"/>
      <c r="AJ184" s="990"/>
      <c r="AK184" s="989"/>
      <c r="AL184" s="990"/>
      <c r="AM184" s="989"/>
      <c r="AN184" s="990"/>
      <c r="AO184" s="989"/>
      <c r="AP184" s="990"/>
    </row>
    <row r="185" spans="1:42" s="19" customFormat="1" ht="15" customHeight="1" x14ac:dyDescent="0.2">
      <c r="A185" s="7039" t="s">
        <v>2480</v>
      </c>
      <c r="B185" s="7039"/>
      <c r="C185" s="1192" t="s">
        <v>838</v>
      </c>
      <c r="D185" s="1228">
        <f t="shared" si="78"/>
        <v>0</v>
      </c>
      <c r="E185" s="1193">
        <f t="shared" si="79"/>
        <v>0</v>
      </c>
      <c r="F185" s="1229">
        <f t="shared" si="80"/>
        <v>0</v>
      </c>
      <c r="G185" s="954"/>
      <c r="H185" s="890"/>
      <c r="I185" s="954"/>
      <c r="J185" s="890"/>
      <c r="K185" s="954"/>
      <c r="L185" s="890"/>
      <c r="M185" s="954"/>
      <c r="N185" s="890"/>
      <c r="O185" s="954"/>
      <c r="P185" s="890"/>
      <c r="Q185" s="954"/>
      <c r="R185" s="890"/>
      <c r="S185" s="954"/>
      <c r="T185" s="890"/>
      <c r="U185" s="954"/>
      <c r="V185" s="890"/>
      <c r="W185" s="954"/>
      <c r="X185" s="890"/>
      <c r="Y185" s="954"/>
      <c r="Z185" s="890"/>
      <c r="AA185" s="954"/>
      <c r="AB185" s="890"/>
      <c r="AC185" s="954"/>
      <c r="AD185" s="890"/>
      <c r="AE185" s="954"/>
      <c r="AF185" s="890"/>
      <c r="AG185" s="954"/>
      <c r="AH185" s="890"/>
      <c r="AI185" s="954"/>
      <c r="AJ185" s="890"/>
      <c r="AK185" s="954"/>
      <c r="AL185" s="890"/>
      <c r="AM185" s="954"/>
      <c r="AN185" s="890"/>
      <c r="AO185" s="954"/>
      <c r="AP185" s="890"/>
    </row>
    <row r="186" spans="1:42" s="19" customFormat="1" ht="15" customHeight="1" x14ac:dyDescent="0.2">
      <c r="A186" s="7040"/>
      <c r="B186" s="7040"/>
      <c r="C186" s="1196" t="s">
        <v>2553</v>
      </c>
      <c r="D186" s="1230">
        <f t="shared" si="78"/>
        <v>0</v>
      </c>
      <c r="E186" s="1197">
        <f t="shared" si="79"/>
        <v>0</v>
      </c>
      <c r="F186" s="1231">
        <f t="shared" si="80"/>
        <v>0</v>
      </c>
      <c r="G186" s="989"/>
      <c r="H186" s="990"/>
      <c r="I186" s="989"/>
      <c r="J186" s="990"/>
      <c r="K186" s="989"/>
      <c r="L186" s="990"/>
      <c r="M186" s="989"/>
      <c r="N186" s="990"/>
      <c r="O186" s="989"/>
      <c r="P186" s="990"/>
      <c r="Q186" s="989"/>
      <c r="R186" s="990"/>
      <c r="S186" s="989"/>
      <c r="T186" s="990"/>
      <c r="U186" s="989"/>
      <c r="V186" s="990"/>
      <c r="W186" s="989"/>
      <c r="X186" s="990"/>
      <c r="Y186" s="989"/>
      <c r="Z186" s="990"/>
      <c r="AA186" s="989"/>
      <c r="AB186" s="990"/>
      <c r="AC186" s="989"/>
      <c r="AD186" s="990"/>
      <c r="AE186" s="989"/>
      <c r="AF186" s="990"/>
      <c r="AG186" s="989"/>
      <c r="AH186" s="990"/>
      <c r="AI186" s="989"/>
      <c r="AJ186" s="990"/>
      <c r="AK186" s="989"/>
      <c r="AL186" s="990"/>
      <c r="AM186" s="989"/>
      <c r="AN186" s="990"/>
      <c r="AO186" s="989"/>
      <c r="AP186" s="990"/>
    </row>
    <row r="187" spans="1:42" s="19" customFormat="1" ht="15" customHeight="1" x14ac:dyDescent="0.2">
      <c r="A187" s="7041" t="s">
        <v>2554</v>
      </c>
      <c r="B187" s="7042"/>
      <c r="C187" s="363" t="s">
        <v>838</v>
      </c>
      <c r="D187" s="364">
        <f t="shared" si="78"/>
        <v>0</v>
      </c>
      <c r="E187" s="233">
        <f t="shared" si="79"/>
        <v>0</v>
      </c>
      <c r="F187" s="215">
        <f t="shared" si="80"/>
        <v>0</v>
      </c>
      <c r="G187" s="327"/>
      <c r="H187" s="905"/>
      <c r="I187" s="327"/>
      <c r="J187" s="905"/>
      <c r="K187" s="327"/>
      <c r="L187" s="905"/>
      <c r="M187" s="327"/>
      <c r="N187" s="905"/>
      <c r="O187" s="327"/>
      <c r="P187" s="905"/>
      <c r="Q187" s="327"/>
      <c r="R187" s="905"/>
      <c r="S187" s="327"/>
      <c r="T187" s="905"/>
      <c r="U187" s="327"/>
      <c r="V187" s="905"/>
      <c r="W187" s="327"/>
      <c r="X187" s="905"/>
      <c r="Y187" s="327"/>
      <c r="Z187" s="905"/>
      <c r="AA187" s="327"/>
      <c r="AB187" s="905"/>
      <c r="AC187" s="327"/>
      <c r="AD187" s="905"/>
      <c r="AE187" s="327"/>
      <c r="AF187" s="905"/>
      <c r="AG187" s="327"/>
      <c r="AH187" s="905"/>
      <c r="AI187" s="327"/>
      <c r="AJ187" s="905"/>
      <c r="AK187" s="327"/>
      <c r="AL187" s="905"/>
      <c r="AM187" s="327"/>
      <c r="AN187" s="905"/>
      <c r="AO187" s="327"/>
      <c r="AP187" s="905"/>
    </row>
    <row r="188" spans="1:42" s="19" customFormat="1" ht="15" customHeight="1" x14ac:dyDescent="0.2">
      <c r="A188" s="7043"/>
      <c r="B188" s="7044"/>
      <c r="C188" s="1196" t="s">
        <v>2553</v>
      </c>
      <c r="D188" s="1230">
        <f t="shared" si="78"/>
        <v>0</v>
      </c>
      <c r="E188" s="1197">
        <f t="shared" si="79"/>
        <v>0</v>
      </c>
      <c r="F188" s="1231">
        <f t="shared" si="80"/>
        <v>0</v>
      </c>
      <c r="G188" s="989"/>
      <c r="H188" s="990"/>
      <c r="I188" s="989"/>
      <c r="J188" s="990"/>
      <c r="K188" s="989"/>
      <c r="L188" s="990"/>
      <c r="M188" s="989"/>
      <c r="N188" s="990"/>
      <c r="O188" s="989"/>
      <c r="P188" s="990"/>
      <c r="Q188" s="989"/>
      <c r="R188" s="990"/>
      <c r="S188" s="989"/>
      <c r="T188" s="990"/>
      <c r="U188" s="989"/>
      <c r="V188" s="990"/>
      <c r="W188" s="989"/>
      <c r="X188" s="990"/>
      <c r="Y188" s="989"/>
      <c r="Z188" s="990"/>
      <c r="AA188" s="989"/>
      <c r="AB188" s="990"/>
      <c r="AC188" s="989"/>
      <c r="AD188" s="990"/>
      <c r="AE188" s="989"/>
      <c r="AF188" s="990"/>
      <c r="AG188" s="989"/>
      <c r="AH188" s="990"/>
      <c r="AI188" s="989"/>
      <c r="AJ188" s="990"/>
      <c r="AK188" s="989"/>
      <c r="AL188" s="990"/>
      <c r="AM188" s="989"/>
      <c r="AN188" s="990"/>
      <c r="AO188" s="989"/>
      <c r="AP188" s="990"/>
    </row>
    <row r="215" spans="1:2" hidden="1" x14ac:dyDescent="0.3">
      <c r="A215" s="4580">
        <f>SUM(B12:B23,C28:C41,B46:B53,B58,B63:B65,B71:B72,B78:B83,C87:C89,B95:B103,B108:B110,B115:B119,B124:B129,B136:B141,C153:D153,B158:B162,C165:C170,C175:C178,D183:D188)</f>
        <v>0</v>
      </c>
      <c r="B215" s="4581">
        <f>SUM(CF12:CH129)</f>
        <v>0</v>
      </c>
    </row>
  </sheetData>
  <sheetProtection algorithmName="SHA-512" hashValue="Dv5fgltXe8WwhMm8DoB62hkg6HYG+XcvmSE2t86P/y1CrAw3hKWKiSERLzhhTc/s5XM4dlb0O28kIITQfdVwNw==" saltValue="e2vXjOnajPZo8mg14abbOg==" spinCount="100000" sheet="1" objects="1" scenarios="1"/>
  <mergeCells count="344">
    <mergeCell ref="A6:V6"/>
    <mergeCell ref="A9:A11"/>
    <mergeCell ref="B9:D10"/>
    <mergeCell ref="A31:A33"/>
    <mergeCell ref="A34:A35"/>
    <mergeCell ref="A36:B36"/>
    <mergeCell ref="A37:B37"/>
    <mergeCell ref="A38:B38"/>
    <mergeCell ref="A39:B39"/>
    <mergeCell ref="O10:P10"/>
    <mergeCell ref="Q10:R10"/>
    <mergeCell ref="E9:AN9"/>
    <mergeCell ref="A28:A30"/>
    <mergeCell ref="A25:B27"/>
    <mergeCell ref="C25:E26"/>
    <mergeCell ref="F26:G26"/>
    <mergeCell ref="H26:I26"/>
    <mergeCell ref="J26:K26"/>
    <mergeCell ref="L26:M26"/>
    <mergeCell ref="N26:O26"/>
    <mergeCell ref="P26:Q26"/>
    <mergeCell ref="S10:T10"/>
    <mergeCell ref="U10:V10"/>
    <mergeCell ref="T26:U26"/>
    <mergeCell ref="A40:B40"/>
    <mergeCell ref="A41:B41"/>
    <mergeCell ref="A43:A45"/>
    <mergeCell ref="B43:D44"/>
    <mergeCell ref="AO43:AP44"/>
    <mergeCell ref="E44:F44"/>
    <mergeCell ref="G44:H44"/>
    <mergeCell ref="I44:J44"/>
    <mergeCell ref="K44:L44"/>
    <mergeCell ref="AC44:AD44"/>
    <mergeCell ref="AE44:AF44"/>
    <mergeCell ref="AG44:AH44"/>
    <mergeCell ref="AI44:AJ44"/>
    <mergeCell ref="AK44:AL44"/>
    <mergeCell ref="AM44:AN44"/>
    <mergeCell ref="M44:N44"/>
    <mergeCell ref="O44:P44"/>
    <mergeCell ref="Q44:R44"/>
    <mergeCell ref="W44:X44"/>
    <mergeCell ref="Y44:Z44"/>
    <mergeCell ref="AA44:AB44"/>
    <mergeCell ref="A55:A57"/>
    <mergeCell ref="B55:D56"/>
    <mergeCell ref="AO55:AO57"/>
    <mergeCell ref="E56:F56"/>
    <mergeCell ref="G56:H56"/>
    <mergeCell ref="I56:J56"/>
    <mergeCell ref="K56:L56"/>
    <mergeCell ref="AC56:AD56"/>
    <mergeCell ref="AE56:AF56"/>
    <mergeCell ref="AG56:AH56"/>
    <mergeCell ref="AI56:AJ56"/>
    <mergeCell ref="AK56:AL56"/>
    <mergeCell ref="AM56:AN56"/>
    <mergeCell ref="M56:N56"/>
    <mergeCell ref="O56:P56"/>
    <mergeCell ref="Q56:R56"/>
    <mergeCell ref="W56:X56"/>
    <mergeCell ref="Y56:Z56"/>
    <mergeCell ref="E55:AN55"/>
    <mergeCell ref="AA56:AB56"/>
    <mergeCell ref="A60:A62"/>
    <mergeCell ref="B60:D61"/>
    <mergeCell ref="AG61:AH61"/>
    <mergeCell ref="AI61:AJ61"/>
    <mergeCell ref="AK61:AL61"/>
    <mergeCell ref="AM61:AN61"/>
    <mergeCell ref="A87:B87"/>
    <mergeCell ref="U69:V69"/>
    <mergeCell ref="E61:F61"/>
    <mergeCell ref="G61:H61"/>
    <mergeCell ref="I61:J61"/>
    <mergeCell ref="K61:L61"/>
    <mergeCell ref="M61:N61"/>
    <mergeCell ref="S61:T61"/>
    <mergeCell ref="S69:T69"/>
    <mergeCell ref="O61:P61"/>
    <mergeCell ref="E68:AN68"/>
    <mergeCell ref="A88:B88"/>
    <mergeCell ref="A89:B89"/>
    <mergeCell ref="A90:B90"/>
    <mergeCell ref="AO68:AO70"/>
    <mergeCell ref="AP68:AP70"/>
    <mergeCell ref="E69:F69"/>
    <mergeCell ref="G69:H69"/>
    <mergeCell ref="I69:J69"/>
    <mergeCell ref="K69:L69"/>
    <mergeCell ref="M69:N69"/>
    <mergeCell ref="O69:P69"/>
    <mergeCell ref="Q69:R69"/>
    <mergeCell ref="W69:X69"/>
    <mergeCell ref="AE69:AF69"/>
    <mergeCell ref="AG69:AH69"/>
    <mergeCell ref="AI69:AJ69"/>
    <mergeCell ref="AK69:AL69"/>
    <mergeCell ref="AM69:AN69"/>
    <mergeCell ref="A68:A70"/>
    <mergeCell ref="B68:D69"/>
    <mergeCell ref="Y69:Z69"/>
    <mergeCell ref="AA69:AB69"/>
    <mergeCell ref="AC69:AD69"/>
    <mergeCell ref="U76:V76"/>
    <mergeCell ref="A92:A94"/>
    <mergeCell ref="B92:D93"/>
    <mergeCell ref="AK76:AL76"/>
    <mergeCell ref="AM76:AN76"/>
    <mergeCell ref="A86:B86"/>
    <mergeCell ref="Y76:Z76"/>
    <mergeCell ref="AA76:AB76"/>
    <mergeCell ref="AC76:AD76"/>
    <mergeCell ref="AE76:AF76"/>
    <mergeCell ref="AG76:AH76"/>
    <mergeCell ref="AI76:AJ76"/>
    <mergeCell ref="I76:J76"/>
    <mergeCell ref="K76:L76"/>
    <mergeCell ref="M76:N76"/>
    <mergeCell ref="O76:P76"/>
    <mergeCell ref="Q76:R76"/>
    <mergeCell ref="W76:X76"/>
    <mergeCell ref="E93:F93"/>
    <mergeCell ref="G93:H93"/>
    <mergeCell ref="I93:J93"/>
    <mergeCell ref="A75:A77"/>
    <mergeCell ref="B75:D76"/>
    <mergeCell ref="E76:F76"/>
    <mergeCell ref="G76:H76"/>
    <mergeCell ref="A105:A107"/>
    <mergeCell ref="B105:D106"/>
    <mergeCell ref="E106:F106"/>
    <mergeCell ref="G106:H106"/>
    <mergeCell ref="I106:J106"/>
    <mergeCell ref="K113:L113"/>
    <mergeCell ref="M113:N113"/>
    <mergeCell ref="O113:P113"/>
    <mergeCell ref="K106:L106"/>
    <mergeCell ref="M106:N106"/>
    <mergeCell ref="O106:P106"/>
    <mergeCell ref="E112:AN112"/>
    <mergeCell ref="AC113:AD113"/>
    <mergeCell ref="AE113:AF113"/>
    <mergeCell ref="AG113:AH113"/>
    <mergeCell ref="Q106:R106"/>
    <mergeCell ref="W106:X106"/>
    <mergeCell ref="Y106:Z106"/>
    <mergeCell ref="AA106:AB106"/>
    <mergeCell ref="B121:D122"/>
    <mergeCell ref="U122:V122"/>
    <mergeCell ref="E121:AN121"/>
    <mergeCell ref="A112:A114"/>
    <mergeCell ref="B112:D113"/>
    <mergeCell ref="E113:F113"/>
    <mergeCell ref="G113:H113"/>
    <mergeCell ref="I113:J113"/>
    <mergeCell ref="W113:X113"/>
    <mergeCell ref="Y113:Z113"/>
    <mergeCell ref="AE122:AF122"/>
    <mergeCell ref="AG122:AH122"/>
    <mergeCell ref="AI122:AJ122"/>
    <mergeCell ref="AK122:AL122"/>
    <mergeCell ref="AM122:AN122"/>
    <mergeCell ref="Q113:R113"/>
    <mergeCell ref="S113:T113"/>
    <mergeCell ref="U113:V113"/>
    <mergeCell ref="Y122:Z122"/>
    <mergeCell ref="AA122:AB122"/>
    <mergeCell ref="AC122:AD122"/>
    <mergeCell ref="AA113:AB113"/>
    <mergeCell ref="S122:T122"/>
    <mergeCell ref="W122:X122"/>
    <mergeCell ref="Y134:Z134"/>
    <mergeCell ref="AA134:AB134"/>
    <mergeCell ref="AC134:AD134"/>
    <mergeCell ref="AE134:AF134"/>
    <mergeCell ref="AG134:AH134"/>
    <mergeCell ref="A133:A135"/>
    <mergeCell ref="B133:D134"/>
    <mergeCell ref="E134:F134"/>
    <mergeCell ref="G134:H134"/>
    <mergeCell ref="I134:J134"/>
    <mergeCell ref="K134:L134"/>
    <mergeCell ref="M134:N134"/>
    <mergeCell ref="O134:P134"/>
    <mergeCell ref="Q134:R134"/>
    <mergeCell ref="S134:T134"/>
    <mergeCell ref="A121:A123"/>
    <mergeCell ref="U134:V134"/>
    <mergeCell ref="A153:B153"/>
    <mergeCell ref="A155:A157"/>
    <mergeCell ref="B155:D156"/>
    <mergeCell ref="E156:F156"/>
    <mergeCell ref="G156:H156"/>
    <mergeCell ref="I156:J156"/>
    <mergeCell ref="K156:L156"/>
    <mergeCell ref="M156:N156"/>
    <mergeCell ref="O156:P156"/>
    <mergeCell ref="E155:AN155"/>
    <mergeCell ref="AG156:AH156"/>
    <mergeCell ref="AI156:AJ156"/>
    <mergeCell ref="AK156:AL156"/>
    <mergeCell ref="AM156:AN156"/>
    <mergeCell ref="A132:E132"/>
    <mergeCell ref="AI134:AJ134"/>
    <mergeCell ref="AK134:AL134"/>
    <mergeCell ref="AM134:AN134"/>
    <mergeCell ref="A144:B144"/>
    <mergeCell ref="A145:A148"/>
    <mergeCell ref="A149:A152"/>
    <mergeCell ref="W134:X134"/>
    <mergeCell ref="G180:AP180"/>
    <mergeCell ref="A163:C163"/>
    <mergeCell ref="A164:B164"/>
    <mergeCell ref="Q156:R156"/>
    <mergeCell ref="W156:X156"/>
    <mergeCell ref="Y156:Z156"/>
    <mergeCell ref="AA156:AB156"/>
    <mergeCell ref="AC156:AD156"/>
    <mergeCell ref="AE156:AF156"/>
    <mergeCell ref="A165:A167"/>
    <mergeCell ref="S156:T156"/>
    <mergeCell ref="U156:V156"/>
    <mergeCell ref="A168:A170"/>
    <mergeCell ref="A171:C171"/>
    <mergeCell ref="A172:B174"/>
    <mergeCell ref="C172:E173"/>
    <mergeCell ref="F172:K172"/>
    <mergeCell ref="F173:G173"/>
    <mergeCell ref="H173:I173"/>
    <mergeCell ref="J173:K173"/>
    <mergeCell ref="A175:A178"/>
    <mergeCell ref="A185:B186"/>
    <mergeCell ref="A187:B188"/>
    <mergeCell ref="AG181:AH181"/>
    <mergeCell ref="AI181:AJ181"/>
    <mergeCell ref="AK181:AL181"/>
    <mergeCell ref="AM181:AN181"/>
    <mergeCell ref="AO181:AP181"/>
    <mergeCell ref="A183:B184"/>
    <mergeCell ref="Q181:R181"/>
    <mergeCell ref="S181:T181"/>
    <mergeCell ref="Y181:Z181"/>
    <mergeCell ref="AA181:AB181"/>
    <mergeCell ref="AC181:AD181"/>
    <mergeCell ref="AE181:AF181"/>
    <mergeCell ref="A180:B182"/>
    <mergeCell ref="C180:C182"/>
    <mergeCell ref="D180:F181"/>
    <mergeCell ref="G181:H181"/>
    <mergeCell ref="I181:J181"/>
    <mergeCell ref="K181:L181"/>
    <mergeCell ref="M181:N181"/>
    <mergeCell ref="O181:P181"/>
    <mergeCell ref="U181:V181"/>
    <mergeCell ref="W181:X181"/>
    <mergeCell ref="AQ25:AQ27"/>
    <mergeCell ref="AR25:AR27"/>
    <mergeCell ref="AL26:AM26"/>
    <mergeCell ref="AN26:AO26"/>
    <mergeCell ref="AQ9:AQ11"/>
    <mergeCell ref="E10:F10"/>
    <mergeCell ref="G10:H10"/>
    <mergeCell ref="I10:J10"/>
    <mergeCell ref="K10:L10"/>
    <mergeCell ref="M10:N10"/>
    <mergeCell ref="AF26:AG26"/>
    <mergeCell ref="AH26:AI26"/>
    <mergeCell ref="AJ26:AK26"/>
    <mergeCell ref="R26:S26"/>
    <mergeCell ref="X26:Y26"/>
    <mergeCell ref="Z26:AA26"/>
    <mergeCell ref="AB26:AC26"/>
    <mergeCell ref="AD26:AE26"/>
    <mergeCell ref="AO9:AO11"/>
    <mergeCell ref="AP9:AP11"/>
    <mergeCell ref="AA10:AB10"/>
    <mergeCell ref="AC10:AD10"/>
    <mergeCell ref="AE10:AF10"/>
    <mergeCell ref="AP25:AP27"/>
    <mergeCell ref="AO60:AO62"/>
    <mergeCell ref="E60:AN60"/>
    <mergeCell ref="S93:T93"/>
    <mergeCell ref="I122:J122"/>
    <mergeCell ref="K122:L122"/>
    <mergeCell ref="M122:N122"/>
    <mergeCell ref="O122:P122"/>
    <mergeCell ref="Q122:R122"/>
    <mergeCell ref="AG10:AH10"/>
    <mergeCell ref="W10:X10"/>
    <mergeCell ref="Y10:Z10"/>
    <mergeCell ref="AI10:AJ10"/>
    <mergeCell ref="AK10:AL10"/>
    <mergeCell ref="AM10:AN10"/>
    <mergeCell ref="U93:V93"/>
    <mergeCell ref="S106:T106"/>
    <mergeCell ref="U106:V106"/>
    <mergeCell ref="V26:W26"/>
    <mergeCell ref="S44:T44"/>
    <mergeCell ref="U44:V44"/>
    <mergeCell ref="S56:T56"/>
    <mergeCell ref="U56:V56"/>
    <mergeCell ref="F25:AO25"/>
    <mergeCell ref="E43:AN43"/>
    <mergeCell ref="AO121:AO123"/>
    <mergeCell ref="AM113:AN113"/>
    <mergeCell ref="W93:X93"/>
    <mergeCell ref="Y93:Z93"/>
    <mergeCell ref="AM93:AN93"/>
    <mergeCell ref="AA93:AB93"/>
    <mergeCell ref="AC93:AD93"/>
    <mergeCell ref="AE93:AF93"/>
    <mergeCell ref="AG93:AH93"/>
    <mergeCell ref="AI93:AJ93"/>
    <mergeCell ref="AK93:AL93"/>
    <mergeCell ref="AG106:AH106"/>
    <mergeCell ref="AI106:AJ106"/>
    <mergeCell ref="AI113:AJ113"/>
    <mergeCell ref="AK113:AL113"/>
    <mergeCell ref="AR43:AR45"/>
    <mergeCell ref="E122:F122"/>
    <mergeCell ref="G122:H122"/>
    <mergeCell ref="E75:AN75"/>
    <mergeCell ref="E92:AN92"/>
    <mergeCell ref="E105:AN105"/>
    <mergeCell ref="E133:AN133"/>
    <mergeCell ref="AK106:AL106"/>
    <mergeCell ref="AM106:AN106"/>
    <mergeCell ref="AC106:AD106"/>
    <mergeCell ref="AE106:AF106"/>
    <mergeCell ref="Q61:R61"/>
    <mergeCell ref="W61:X61"/>
    <mergeCell ref="Y61:Z61"/>
    <mergeCell ref="K93:L93"/>
    <mergeCell ref="M93:N93"/>
    <mergeCell ref="O93:P93"/>
    <mergeCell ref="Q93:R93"/>
    <mergeCell ref="AA61:AB61"/>
    <mergeCell ref="AC61:AD61"/>
    <mergeCell ref="AE61:AF61"/>
    <mergeCell ref="U61:V61"/>
    <mergeCell ref="S76:T76"/>
    <mergeCell ref="AQ43:AQ45"/>
  </mergeCells>
  <dataValidations count="2">
    <dataValidation type="whole" operator="greaterThanOrEqual" allowBlank="1" showInputMessage="1" showErrorMessage="1" sqref="E78:AN83 E136:AN141 E158:AN162 D165:G170 F28:AR40 E46:AR53 E58:AO58 E63:AO65 E71:AP72 D87:E89 E95:AN103 E108:AN110 E115:AN119 E124:AO129 C145:D152 F175:K178 G183:AP188" xr:uid="{00000000-0002-0000-0F00-000000000000}">
      <formula1>0</formula1>
    </dataValidation>
    <dataValidation type="whole" operator="greaterThanOrEqual" allowBlank="1" showInputMessage="1" showErrorMessage="1" errorTitle="Ingrese Sólo Números" error="Ingrese Sólo Números" sqref="E12:AQ22" xr:uid="{00000000-0002-0000-0F00-000001000000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CZ179"/>
  <sheetViews>
    <sheetView showGridLines="0" zoomScaleNormal="100" workbookViewId="0"/>
  </sheetViews>
  <sheetFormatPr baseColWidth="10" defaultColWidth="11.44140625" defaultRowHeight="14.4" x14ac:dyDescent="0.3"/>
  <cols>
    <col min="1" max="1" width="53.5546875" customWidth="1"/>
    <col min="2" max="2" width="23.44140625" bestFit="1" customWidth="1"/>
    <col min="3" max="4" width="14" customWidth="1"/>
    <col min="5" max="5" width="15.33203125" customWidth="1"/>
    <col min="6" max="7" width="14" customWidth="1"/>
    <col min="8" max="8" width="15" customWidth="1"/>
    <col min="9" max="10" width="14" customWidth="1"/>
    <col min="11" max="11" width="13.44140625" customWidth="1"/>
    <col min="12" max="12" width="13.109375" customWidth="1"/>
    <col min="13" max="13" width="14" customWidth="1"/>
    <col min="14" max="14" width="15.33203125" customWidth="1"/>
    <col min="15" max="15" width="13" customWidth="1"/>
    <col min="16" max="16" width="12" customWidth="1"/>
    <col min="17" max="18" width="13.44140625" customWidth="1"/>
    <col min="19" max="19" width="11.33203125" customWidth="1"/>
    <col min="20" max="20" width="12.44140625" customWidth="1"/>
    <col min="22" max="22" width="12.88671875" customWidth="1"/>
    <col min="23" max="27" width="11.33203125" customWidth="1"/>
    <col min="28" max="28" width="11.6640625" customWidth="1"/>
    <col min="30" max="30" width="13.6640625" customWidth="1"/>
    <col min="55" max="55" width="20.33203125" bestFit="1" customWidth="1"/>
    <col min="65" max="65" width="20.33203125" bestFit="1" customWidth="1"/>
    <col min="77" max="77" width="0" hidden="1" customWidth="1"/>
    <col min="78" max="78" width="11.44140625" hidden="1" customWidth="1"/>
    <col min="79" max="80" width="11.88671875" style="25" hidden="1" customWidth="1"/>
    <col min="81" max="83" width="11.44140625" style="25" hidden="1" customWidth="1"/>
    <col min="84" max="86" width="8.6640625" style="25" hidden="1" customWidth="1"/>
    <col min="87" max="90" width="11.44140625" style="25" hidden="1" customWidth="1"/>
    <col min="91" max="91" width="15.109375" style="25" hidden="1" customWidth="1"/>
    <col min="92" max="93" width="11.44140625" style="25" hidden="1" customWidth="1"/>
    <col min="94" max="94" width="11.44140625" style="25" customWidth="1"/>
    <col min="95" max="95" width="20.33203125" style="25" customWidth="1"/>
    <col min="96" max="96" width="11.44140625" style="25" customWidth="1"/>
    <col min="97" max="100" width="11.44140625" style="25"/>
  </cols>
  <sheetData>
    <row r="1" spans="1:104" x14ac:dyDescent="0.3">
      <c r="A1" s="50" t="s">
        <v>23</v>
      </c>
    </row>
    <row r="2" spans="1:104" x14ac:dyDescent="0.3">
      <c r="A2" s="50" t="str">
        <f>CONCATENATE("COMUNA: ",NOMBRE!B2, " (",NOMBRE!C2,NOMBRE!D2,NOMBRE!E2,NOMBRE!F2,NOMBRE!G2,")")</f>
        <v>COMUNA:  ()</v>
      </c>
    </row>
    <row r="3" spans="1:104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104" x14ac:dyDescent="0.3">
      <c r="A4" s="50" t="str">
        <f>CONCATENATE("MES: ",NOMBRE!B6, " (",NOMBRE!C6,NOMBRE!D6,")")</f>
        <v>MES:  ()</v>
      </c>
    </row>
    <row r="5" spans="1:104" x14ac:dyDescent="0.3">
      <c r="A5" s="50" t="str">
        <f>CONCATENATE("AÑO: ",NOMBRE!B7)</f>
        <v>AÑO: 2025</v>
      </c>
    </row>
    <row r="6" spans="1:104" ht="18" customHeight="1" x14ac:dyDescent="0.3">
      <c r="A6" s="5819" t="s">
        <v>2555</v>
      </c>
      <c r="B6" s="5819"/>
      <c r="C6" s="5819"/>
      <c r="D6" s="5819"/>
      <c r="E6" s="5819"/>
      <c r="F6" s="5819"/>
      <c r="G6" s="5819"/>
      <c r="H6" s="5819"/>
      <c r="I6" s="5819"/>
      <c r="J6" s="5819"/>
      <c r="K6" s="5819"/>
      <c r="L6" s="5819"/>
    </row>
    <row r="8" spans="1:104" s="25" customFormat="1" ht="18" customHeight="1" x14ac:dyDescent="0.2">
      <c r="A8" s="4582" t="s">
        <v>2556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8"/>
      <c r="Q8" s="8"/>
      <c r="R8" s="8"/>
      <c r="S8" s="8"/>
      <c r="T8" s="8"/>
      <c r="U8" s="8"/>
      <c r="V8" s="8"/>
      <c r="W8" s="5"/>
      <c r="X8" s="5"/>
      <c r="Y8" s="5"/>
      <c r="Z8" s="5"/>
      <c r="AA8" s="5"/>
      <c r="AB8" s="5"/>
    </row>
    <row r="9" spans="1:104" ht="15" customHeight="1" x14ac:dyDescent="0.3">
      <c r="A9" s="7021" t="s">
        <v>2557</v>
      </c>
      <c r="B9" s="6969"/>
      <c r="C9" s="7031" t="s">
        <v>77</v>
      </c>
      <c r="D9" s="7066" t="s">
        <v>2558</v>
      </c>
      <c r="E9" s="7138"/>
      <c r="F9" s="7138"/>
      <c r="G9" s="7067"/>
      <c r="H9" s="6989" t="s">
        <v>2559</v>
      </c>
      <c r="I9" s="6990"/>
      <c r="J9" s="6990"/>
      <c r="K9" s="7078"/>
      <c r="L9" s="6954" t="s">
        <v>2560</v>
      </c>
      <c r="M9" s="6989" t="s">
        <v>2561</v>
      </c>
      <c r="N9" s="6990"/>
      <c r="O9" s="6990"/>
      <c r="P9" s="6990"/>
      <c r="Q9" s="6990"/>
      <c r="R9" s="6991"/>
      <c r="S9" s="7021" t="s">
        <v>4365</v>
      </c>
      <c r="T9" s="7134" t="s">
        <v>2562</v>
      </c>
      <c r="U9" s="7122"/>
      <c r="V9" s="7122"/>
      <c r="W9" s="7135"/>
      <c r="X9" s="7038" t="s">
        <v>2563</v>
      </c>
      <c r="Y9" s="7037" t="s">
        <v>2564</v>
      </c>
      <c r="Z9" s="6242" t="s">
        <v>2565</v>
      </c>
      <c r="AA9" s="7038" t="s">
        <v>36</v>
      </c>
      <c r="AB9" s="7127" t="s">
        <v>37</v>
      </c>
      <c r="AC9" s="7037" t="s">
        <v>1722</v>
      </c>
      <c r="AD9" s="7129" t="s">
        <v>2566</v>
      </c>
      <c r="AE9" s="7131" t="s">
        <v>734</v>
      </c>
      <c r="AF9" s="7132"/>
      <c r="CA9"/>
      <c r="CB9"/>
      <c r="CC9"/>
      <c r="CD9"/>
      <c r="CW9" s="25"/>
      <c r="CX9" s="25"/>
      <c r="CY9" s="25"/>
      <c r="CZ9" s="25"/>
    </row>
    <row r="10" spans="1:104" ht="27.75" customHeight="1" x14ac:dyDescent="0.3">
      <c r="A10" s="5945"/>
      <c r="B10" s="5759"/>
      <c r="C10" s="6131"/>
      <c r="D10" s="7140" t="s">
        <v>2567</v>
      </c>
      <c r="E10" s="7141" t="s">
        <v>44</v>
      </c>
      <c r="F10" s="7141" t="s">
        <v>2410</v>
      </c>
      <c r="G10" s="7142" t="s">
        <v>2568</v>
      </c>
      <c r="H10" s="7143" t="s">
        <v>2569</v>
      </c>
      <c r="I10" s="7141" t="s">
        <v>2570</v>
      </c>
      <c r="J10" s="7141" t="s">
        <v>2571</v>
      </c>
      <c r="K10" s="7064" t="s">
        <v>2572</v>
      </c>
      <c r="L10" s="6954"/>
      <c r="M10" s="7140" t="s">
        <v>2573</v>
      </c>
      <c r="N10" s="7037" t="s">
        <v>2574</v>
      </c>
      <c r="O10" s="7037" t="s">
        <v>2575</v>
      </c>
      <c r="P10" s="7037" t="s">
        <v>2576</v>
      </c>
      <c r="Q10" s="7037" t="s">
        <v>2577</v>
      </c>
      <c r="R10" s="7139" t="s">
        <v>2578</v>
      </c>
      <c r="S10" s="5945"/>
      <c r="T10" s="7134" t="s">
        <v>2579</v>
      </c>
      <c r="U10" s="7123"/>
      <c r="V10" s="7122" t="s">
        <v>2580</v>
      </c>
      <c r="W10" s="7135"/>
      <c r="X10" s="5766"/>
      <c r="Y10" s="6118"/>
      <c r="Z10" s="5777"/>
      <c r="AA10" s="5766"/>
      <c r="AB10" s="7128"/>
      <c r="AC10" s="6118"/>
      <c r="AD10" s="6284"/>
      <c r="AE10" s="7133"/>
      <c r="AF10" s="6899"/>
      <c r="CA10"/>
      <c r="CB10"/>
      <c r="CC10"/>
      <c r="CD10"/>
      <c r="CW10" s="25"/>
      <c r="CX10" s="25"/>
      <c r="CY10" s="25"/>
      <c r="CZ10" s="25"/>
    </row>
    <row r="11" spans="1:104" ht="30.6" x14ac:dyDescent="0.3">
      <c r="A11" s="6466"/>
      <c r="B11" s="6687"/>
      <c r="C11" s="6482"/>
      <c r="D11" s="6483"/>
      <c r="E11" s="5815"/>
      <c r="F11" s="5815"/>
      <c r="G11" s="5799"/>
      <c r="H11" s="6815"/>
      <c r="I11" s="5815"/>
      <c r="J11" s="5815"/>
      <c r="K11" s="6696"/>
      <c r="L11" s="6954"/>
      <c r="M11" s="6483"/>
      <c r="N11" s="5818"/>
      <c r="O11" s="5818"/>
      <c r="P11" s="5818"/>
      <c r="Q11" s="5818"/>
      <c r="R11" s="5956"/>
      <c r="S11" s="6466"/>
      <c r="T11" s="1242" t="s">
        <v>2581</v>
      </c>
      <c r="U11" s="1092" t="s">
        <v>2582</v>
      </c>
      <c r="V11" s="1135" t="s">
        <v>2581</v>
      </c>
      <c r="W11" s="1136" t="s">
        <v>2582</v>
      </c>
      <c r="X11" s="5767"/>
      <c r="Y11" s="5818"/>
      <c r="Z11" s="6467"/>
      <c r="AA11" s="5767"/>
      <c r="AB11" s="6946"/>
      <c r="AC11" s="5818"/>
      <c r="AD11" s="7130"/>
      <c r="AE11" s="4586" t="s">
        <v>60</v>
      </c>
      <c r="AF11" s="1252" t="s">
        <v>62</v>
      </c>
      <c r="CA11"/>
      <c r="CB11"/>
      <c r="CC11"/>
      <c r="CD11"/>
      <c r="CW11" s="25"/>
      <c r="CX11" s="25"/>
      <c r="CY11" s="25"/>
      <c r="CZ11" s="25"/>
    </row>
    <row r="12" spans="1:104" s="19" customFormat="1" ht="15" customHeight="1" x14ac:dyDescent="0.2">
      <c r="A12" s="7023" t="s">
        <v>2583</v>
      </c>
      <c r="B12" s="6976"/>
      <c r="C12" s="4587">
        <f>SUM(C13:C16)</f>
        <v>0</v>
      </c>
      <c r="D12" s="4588">
        <f t="shared" ref="D12:AD12" si="0">SUM(D13:D16)</f>
        <v>0</v>
      </c>
      <c r="E12" s="4589">
        <f t="shared" si="0"/>
        <v>0</v>
      </c>
      <c r="F12" s="4590">
        <f t="shared" si="0"/>
        <v>0</v>
      </c>
      <c r="G12" s="4591">
        <f t="shared" si="0"/>
        <v>0</v>
      </c>
      <c r="H12" s="4588">
        <f t="shared" si="0"/>
        <v>0</v>
      </c>
      <c r="I12" s="4589">
        <f t="shared" si="0"/>
        <v>0</v>
      </c>
      <c r="J12" s="4592">
        <f t="shared" si="0"/>
        <v>0</v>
      </c>
      <c r="K12" s="4593">
        <f t="shared" si="0"/>
        <v>0</v>
      </c>
      <c r="L12" s="4594">
        <f t="shared" si="0"/>
        <v>0</v>
      </c>
      <c r="M12" s="4588">
        <f t="shared" si="0"/>
        <v>0</v>
      </c>
      <c r="N12" s="4589">
        <f t="shared" si="0"/>
        <v>0</v>
      </c>
      <c r="O12" s="4592">
        <f t="shared" si="0"/>
        <v>0</v>
      </c>
      <c r="P12" s="4589">
        <f t="shared" si="0"/>
        <v>0</v>
      </c>
      <c r="Q12" s="4592">
        <f t="shared" si="0"/>
        <v>0</v>
      </c>
      <c r="R12" s="4595">
        <f t="shared" si="0"/>
        <v>0</v>
      </c>
      <c r="S12" s="4591">
        <f t="shared" si="0"/>
        <v>0</v>
      </c>
      <c r="T12" s="4596">
        <f t="shared" si="0"/>
        <v>0</v>
      </c>
      <c r="U12" s="4591">
        <f t="shared" si="0"/>
        <v>0</v>
      </c>
      <c r="V12" s="4588">
        <f t="shared" si="0"/>
        <v>0</v>
      </c>
      <c r="W12" s="4597">
        <f t="shared" si="0"/>
        <v>0</v>
      </c>
      <c r="X12" s="4596">
        <f t="shared" si="0"/>
        <v>0</v>
      </c>
      <c r="Y12" s="4589">
        <f t="shared" si="0"/>
        <v>0</v>
      </c>
      <c r="Z12" s="1301">
        <f t="shared" si="0"/>
        <v>0</v>
      </c>
      <c r="AA12" s="4596">
        <f t="shared" si="0"/>
        <v>0</v>
      </c>
      <c r="AB12" s="4589">
        <f t="shared" si="0"/>
        <v>0</v>
      </c>
      <c r="AC12" s="4589">
        <f t="shared" si="0"/>
        <v>0</v>
      </c>
      <c r="AD12" s="4597">
        <f t="shared" si="0"/>
        <v>0</v>
      </c>
      <c r="AE12" s="4590">
        <f>SUM(AE13:AE16)</f>
        <v>0</v>
      </c>
      <c r="AF12" s="4591">
        <f>SUM(AF13:AF16)</f>
        <v>0</v>
      </c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s="19" customFormat="1" ht="15" customHeight="1" x14ac:dyDescent="0.3">
      <c r="A13" s="7093" t="s">
        <v>2584</v>
      </c>
      <c r="B13" s="7094"/>
      <c r="C13" s="1110"/>
      <c r="D13" s="1106"/>
      <c r="E13" s="1108"/>
      <c r="F13" s="1108"/>
      <c r="G13" s="1107"/>
      <c r="H13" s="1106"/>
      <c r="I13" s="773"/>
      <c r="J13" s="773"/>
      <c r="K13" s="1107"/>
      <c r="L13" s="4432"/>
      <c r="M13" s="773"/>
      <c r="N13" s="773"/>
      <c r="O13" s="773"/>
      <c r="P13" s="773"/>
      <c r="Q13" s="773"/>
      <c r="R13" s="759"/>
      <c r="S13" s="1107"/>
      <c r="T13" s="1321"/>
      <c r="U13" s="771"/>
      <c r="V13" s="1108"/>
      <c r="W13" s="1284"/>
      <c r="X13" s="1321"/>
      <c r="Y13" s="773"/>
      <c r="Z13" s="4431"/>
      <c r="AA13" s="1321"/>
      <c r="AB13" s="773"/>
      <c r="AC13" s="773"/>
      <c r="AD13" s="1284"/>
      <c r="AE13" s="1108"/>
      <c r="AF13" s="1107"/>
      <c r="AG13" s="1970" t="str">
        <f>$CA13&amp;CB13&amp;CC13&amp;CD13&amp;CE13</f>
        <v/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 s="4027" t="str">
        <f t="shared" ref="CA13:CA23" si="1">IF(AND(C13&gt;0,AA13="")," * No olvide digitar la variable Pueblos originarios. Digite Cero si no tiene.",IF(AA13&gt;C13," * La variable Pueblos originarios no puede ser mayor al Total.",""))</f>
        <v/>
      </c>
      <c r="CB13" s="4027" t="str">
        <f t="shared" ref="CB13:CB23" si="2">IF(AND(C13&gt;0,AB13="")," * No olvide digitar la variable Migrantes. Digite Cero si no tiene.",IF(AB13&gt;C13," * La variable Migrantes no puede ser mayor al Total.",""))</f>
        <v/>
      </c>
      <c r="CC13" s="4027" t="str">
        <f t="shared" ref="CC13:CC23" si="3">IF(AND($C13&gt;0,OR(AC13=""))," * No olvide digitar la variable "&amp;$AC$9&amp;""&amp;". Digite Cero si no tiene.",IF(OR(AC13&gt;$C13)," * La variable Discapacidad no puede ser mayor al Total.",""))</f>
        <v/>
      </c>
      <c r="CD13" s="4027" t="str">
        <f t="shared" ref="CD13:CD23" si="4">IF(AND($C13&gt;0,OR(AD13=""))," * No olvide digitar la variable "&amp;$AD$9&amp;""&amp;". Digite Cero si no tiene.",IF(OR(AD13&gt;$C13)," * La variable "&amp;$AD$9&amp;""&amp;" no puede ser mayor al Total.",""))</f>
        <v/>
      </c>
      <c r="CE13" s="4027" t="str">
        <f>IF(AND($C13&gt;0,OR(AE13="",AF13=""))," * No olvide digitar la variable "&amp;$AE$9&amp;""&amp;". Digite Cero si no tiene.",IF(OR(AE13+AF13&gt;$C13)," * La variable "&amp;$AE$9&amp;""&amp;" no puede ser mayor al Total.",""))</f>
        <v/>
      </c>
      <c r="CI13" s="1901">
        <f>IF(AND($C13&gt;0,AA13=""),1,IF(AA13&gt;$C13,1,0))</f>
        <v>0</v>
      </c>
      <c r="CJ13" s="1901">
        <f>IF(AND($C13&gt;0,AB13=""),1,IF(AB13&gt;$C13,1,0))</f>
        <v>0</v>
      </c>
      <c r="CK13" s="1901">
        <f>IF(AND($C13&gt;0,AC13=""),1,IF(AC13&gt;$C13,1,0))</f>
        <v>0</v>
      </c>
      <c r="CL13" s="1901">
        <f>IF(AND($C13&gt;0,AD13=""),1,IF(AD13&gt;$C13,1,0))</f>
        <v>0</v>
      </c>
      <c r="CM13" s="1901">
        <f>IF(AND($C13&gt;0,AE13="",AF13=""),1,IF(AE13+AF13&gt;$C13,1,0))</f>
        <v>0</v>
      </c>
      <c r="CN13" s="4"/>
      <c r="CO13" s="4"/>
      <c r="CS13"/>
      <c r="CT13" s="3293"/>
      <c r="CU13" s="25"/>
      <c r="CV13" s="25"/>
      <c r="CW13" s="25"/>
      <c r="CX13" s="25"/>
      <c r="CY13" s="25"/>
      <c r="CZ13" s="25"/>
    </row>
    <row r="14" spans="1:104" s="19" customFormat="1" ht="15" customHeight="1" x14ac:dyDescent="0.3">
      <c r="A14" s="7095" t="s">
        <v>2585</v>
      </c>
      <c r="B14" s="7096"/>
      <c r="C14" s="1119"/>
      <c r="D14" s="1114"/>
      <c r="E14" s="1116"/>
      <c r="F14" s="1116"/>
      <c r="G14" s="1115"/>
      <c r="H14" s="1114"/>
      <c r="I14" s="1278"/>
      <c r="J14" s="1278"/>
      <c r="K14" s="1115"/>
      <c r="L14" s="4598"/>
      <c r="M14" s="1278"/>
      <c r="N14" s="1278"/>
      <c r="O14" s="1278"/>
      <c r="P14" s="1278"/>
      <c r="Q14" s="1278"/>
      <c r="R14" s="1120"/>
      <c r="S14" s="1115"/>
      <c r="T14" s="1326"/>
      <c r="U14" s="1118"/>
      <c r="V14" s="1116"/>
      <c r="W14" s="1322"/>
      <c r="X14" s="1326"/>
      <c r="Y14" s="1278"/>
      <c r="Z14" s="1338"/>
      <c r="AA14" s="1326"/>
      <c r="AB14" s="1278"/>
      <c r="AC14" s="1278"/>
      <c r="AD14" s="1322"/>
      <c r="AE14" s="1116"/>
      <c r="AF14" s="1115"/>
      <c r="AG14" s="1970" t="str">
        <f t="shared" ref="AG14:AG23" si="5">$CA14&amp;CB14&amp;CC14&amp;CD14&amp;CE14</f>
        <v/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 s="4027" t="str">
        <f t="shared" si="1"/>
        <v/>
      </c>
      <c r="CB14" s="4027" t="str">
        <f t="shared" si="2"/>
        <v/>
      </c>
      <c r="CC14" s="4027" t="str">
        <f t="shared" si="3"/>
        <v/>
      </c>
      <c r="CD14" s="4027" t="str">
        <f t="shared" si="4"/>
        <v/>
      </c>
      <c r="CE14" s="4027" t="str">
        <f t="shared" ref="CE14:CE23" si="6">IF(AND($C14&gt;0,OR(AE14="",AF14=""))," * No olvide digitar la variable "&amp;$AE$9&amp;""&amp;". Digite Cero si no tiene.",IF(OR(AE14+AF14&gt;$C14)," * La variable "&amp;$AE$9&amp;""&amp;" no puede ser mayor al Total.",""))</f>
        <v/>
      </c>
      <c r="CI14" s="1901">
        <f t="shared" ref="CI14:CI23" si="7">IF(AND($C14&gt;0,AA14=""),1,IF(AA14&gt;$C14,1,0))</f>
        <v>0</v>
      </c>
      <c r="CJ14" s="1901">
        <f t="shared" ref="CJ14:CJ23" si="8">IF(AND($C14&gt;0,AB14=""),1,IF(AB14&gt;$C14,1,0))</f>
        <v>0</v>
      </c>
      <c r="CK14" s="1901">
        <f t="shared" ref="CK14:CK23" si="9">IF(AND($C14&gt;0,AC14=""),1,IF(AC14&gt;$C14,1,0))</f>
        <v>0</v>
      </c>
      <c r="CL14" s="1901">
        <f t="shared" ref="CL14:CL23" si="10">IF(AND($C14&gt;0,AD14=""),1,IF(AD14&gt;$C14,1,0))</f>
        <v>0</v>
      </c>
      <c r="CM14" s="1901">
        <f t="shared" ref="CM14:CM23" si="11">IF(AND($C14&gt;0,AE14="",AF14=""),1,IF(AE14+AF14&gt;$C14,1,0))</f>
        <v>0</v>
      </c>
      <c r="CN14" s="4"/>
      <c r="CO14" s="4"/>
      <c r="CS14"/>
      <c r="CT14" s="3293"/>
      <c r="CU14" s="25"/>
      <c r="CV14" s="25"/>
      <c r="CW14" s="25"/>
      <c r="CX14" s="25"/>
      <c r="CY14" s="25"/>
      <c r="CZ14" s="25"/>
    </row>
    <row r="15" spans="1:104" s="19" customFormat="1" ht="15" customHeight="1" x14ac:dyDescent="0.3">
      <c r="A15" s="7095" t="s">
        <v>2586</v>
      </c>
      <c r="B15" s="7096"/>
      <c r="C15" s="1119"/>
      <c r="D15" s="1114"/>
      <c r="E15" s="1116"/>
      <c r="F15" s="1116"/>
      <c r="G15" s="1115"/>
      <c r="H15" s="1114"/>
      <c r="I15" s="1278"/>
      <c r="J15" s="1278"/>
      <c r="K15" s="1115"/>
      <c r="L15" s="4598"/>
      <c r="M15" s="1278"/>
      <c r="N15" s="1278"/>
      <c r="O15" s="1278"/>
      <c r="P15" s="1278"/>
      <c r="Q15" s="1278"/>
      <c r="R15" s="1120"/>
      <c r="S15" s="1115"/>
      <c r="T15" s="1326"/>
      <c r="U15" s="1118"/>
      <c r="V15" s="1116"/>
      <c r="W15" s="1322"/>
      <c r="X15" s="1326"/>
      <c r="Y15" s="1278"/>
      <c r="Z15" s="1338"/>
      <c r="AA15" s="1326"/>
      <c r="AB15" s="1278"/>
      <c r="AC15" s="1278"/>
      <c r="AD15" s="1322"/>
      <c r="AE15" s="1116"/>
      <c r="AF15" s="1115"/>
      <c r="AG15" s="1970" t="str">
        <f t="shared" si="5"/>
        <v/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 s="4027" t="str">
        <f t="shared" si="1"/>
        <v/>
      </c>
      <c r="CB15" s="4027" t="str">
        <f t="shared" si="2"/>
        <v/>
      </c>
      <c r="CC15" s="4027" t="str">
        <f t="shared" si="3"/>
        <v/>
      </c>
      <c r="CD15" s="4027" t="str">
        <f t="shared" si="4"/>
        <v/>
      </c>
      <c r="CE15" s="4027" t="str">
        <f t="shared" si="6"/>
        <v/>
      </c>
      <c r="CI15" s="1901">
        <f t="shared" si="7"/>
        <v>0</v>
      </c>
      <c r="CJ15" s="1901">
        <f t="shared" si="8"/>
        <v>0</v>
      </c>
      <c r="CK15" s="1901">
        <f t="shared" si="9"/>
        <v>0</v>
      </c>
      <c r="CL15" s="1901">
        <f t="shared" si="10"/>
        <v>0</v>
      </c>
      <c r="CM15" s="1901">
        <f t="shared" si="11"/>
        <v>0</v>
      </c>
      <c r="CN15" s="4"/>
      <c r="CO15" s="4"/>
      <c r="CS15"/>
      <c r="CT15" s="3293"/>
      <c r="CU15" s="25"/>
      <c r="CV15" s="25"/>
      <c r="CW15" s="25"/>
      <c r="CX15" s="25"/>
      <c r="CY15" s="25"/>
      <c r="CZ15" s="25"/>
    </row>
    <row r="16" spans="1:104" s="19" customFormat="1" ht="15" customHeight="1" x14ac:dyDescent="0.3">
      <c r="A16" s="7075" t="s">
        <v>2587</v>
      </c>
      <c r="B16" s="6570"/>
      <c r="C16" s="1154"/>
      <c r="D16" s="1139"/>
      <c r="E16" s="1152"/>
      <c r="F16" s="1152"/>
      <c r="G16" s="388"/>
      <c r="H16" s="1139"/>
      <c r="I16" s="1283"/>
      <c r="J16" s="1283"/>
      <c r="K16" s="388"/>
      <c r="L16" s="4599"/>
      <c r="M16" s="1283"/>
      <c r="N16" s="1283"/>
      <c r="O16" s="1283"/>
      <c r="P16" s="1283"/>
      <c r="Q16" s="1283"/>
      <c r="R16" s="1351"/>
      <c r="S16" s="388"/>
      <c r="T16" s="1330"/>
      <c r="U16" s="1140"/>
      <c r="V16" s="1152"/>
      <c r="W16" s="392"/>
      <c r="X16" s="1330"/>
      <c r="Y16" s="1283"/>
      <c r="Z16" s="564"/>
      <c r="AA16" s="1330"/>
      <c r="AB16" s="1283"/>
      <c r="AC16" s="1283"/>
      <c r="AD16" s="392"/>
      <c r="AE16" s="1152"/>
      <c r="AF16" s="388"/>
      <c r="AG16" s="1970" t="str">
        <f t="shared" si="5"/>
        <v/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 s="4027" t="str">
        <f t="shared" si="1"/>
        <v/>
      </c>
      <c r="CB16" s="4027" t="str">
        <f t="shared" si="2"/>
        <v/>
      </c>
      <c r="CC16" s="4027" t="str">
        <f t="shared" si="3"/>
        <v/>
      </c>
      <c r="CD16" s="4027" t="str">
        <f t="shared" si="4"/>
        <v/>
      </c>
      <c r="CE16" s="4027" t="str">
        <f t="shared" si="6"/>
        <v/>
      </c>
      <c r="CI16" s="1901">
        <f t="shared" si="7"/>
        <v>0</v>
      </c>
      <c r="CJ16" s="1901">
        <f t="shared" si="8"/>
        <v>0</v>
      </c>
      <c r="CK16" s="1901">
        <f t="shared" si="9"/>
        <v>0</v>
      </c>
      <c r="CL16" s="1901">
        <f t="shared" si="10"/>
        <v>0</v>
      </c>
      <c r="CM16" s="1901">
        <f t="shared" si="11"/>
        <v>0</v>
      </c>
      <c r="CN16" s="4"/>
      <c r="CO16" s="4"/>
      <c r="CS16"/>
      <c r="CT16" s="3293"/>
      <c r="CU16" s="25"/>
      <c r="CV16" s="25"/>
      <c r="CW16" s="25"/>
      <c r="CX16" s="25"/>
      <c r="CY16" s="25"/>
      <c r="CZ16" s="25"/>
    </row>
    <row r="17" spans="1:104" s="19" customFormat="1" ht="15" customHeight="1" x14ac:dyDescent="0.3">
      <c r="A17" s="7076" t="s">
        <v>2588</v>
      </c>
      <c r="B17" s="7077"/>
      <c r="C17" s="1110"/>
      <c r="D17" s="1106"/>
      <c r="E17" s="1108"/>
      <c r="F17" s="1108"/>
      <c r="G17" s="1107"/>
      <c r="H17" s="1106"/>
      <c r="I17" s="773"/>
      <c r="J17" s="773"/>
      <c r="K17" s="1107"/>
      <c r="L17" s="4432"/>
      <c r="M17" s="773"/>
      <c r="N17" s="773"/>
      <c r="O17" s="773"/>
      <c r="P17" s="773"/>
      <c r="Q17" s="773"/>
      <c r="R17" s="759"/>
      <c r="S17" s="1107"/>
      <c r="T17" s="1321"/>
      <c r="U17" s="771"/>
      <c r="V17" s="1108"/>
      <c r="W17" s="1284"/>
      <c r="X17" s="1321"/>
      <c r="Y17" s="773"/>
      <c r="Z17" s="4431"/>
      <c r="AA17" s="1321"/>
      <c r="AB17" s="773"/>
      <c r="AC17" s="773"/>
      <c r="AD17" s="1284"/>
      <c r="AE17" s="1108"/>
      <c r="AF17" s="1107"/>
      <c r="AG17" s="1970" t="str">
        <f t="shared" si="5"/>
        <v/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 s="4027" t="str">
        <f t="shared" si="1"/>
        <v/>
      </c>
      <c r="CB17" s="4027" t="str">
        <f t="shared" si="2"/>
        <v/>
      </c>
      <c r="CC17" s="4027" t="str">
        <f t="shared" si="3"/>
        <v/>
      </c>
      <c r="CD17" s="4027" t="str">
        <f t="shared" si="4"/>
        <v/>
      </c>
      <c r="CE17" s="4027" t="str">
        <f t="shared" si="6"/>
        <v/>
      </c>
      <c r="CI17" s="1901">
        <f t="shared" si="7"/>
        <v>0</v>
      </c>
      <c r="CJ17" s="1901">
        <f t="shared" si="8"/>
        <v>0</v>
      </c>
      <c r="CK17" s="1901">
        <f t="shared" si="9"/>
        <v>0</v>
      </c>
      <c r="CL17" s="1901">
        <f t="shared" si="10"/>
        <v>0</v>
      </c>
      <c r="CM17" s="1901">
        <f t="shared" si="11"/>
        <v>0</v>
      </c>
      <c r="CN17" s="4"/>
      <c r="CO17" s="4"/>
      <c r="CS17"/>
      <c r="CT17" s="3293"/>
      <c r="CU17" s="25"/>
      <c r="CV17" s="25"/>
      <c r="CW17" s="25"/>
      <c r="CX17" s="25"/>
      <c r="CY17" s="25"/>
      <c r="CZ17" s="25"/>
    </row>
    <row r="18" spans="1:104" s="19" customFormat="1" ht="15" customHeight="1" x14ac:dyDescent="0.3">
      <c r="A18" s="7073" t="s">
        <v>2589</v>
      </c>
      <c r="B18" s="7074"/>
      <c r="C18" s="307"/>
      <c r="D18" s="1114"/>
      <c r="E18" s="1116"/>
      <c r="F18" s="1116"/>
      <c r="G18" s="1115"/>
      <c r="H18" s="1114"/>
      <c r="I18" s="1278"/>
      <c r="J18" s="1278"/>
      <c r="K18" s="1115"/>
      <c r="L18" s="4598"/>
      <c r="M18" s="1278"/>
      <c r="N18" s="1278"/>
      <c r="O18" s="1278"/>
      <c r="P18" s="1278"/>
      <c r="Q18" s="1278"/>
      <c r="R18" s="1120"/>
      <c r="S18" s="1115"/>
      <c r="T18" s="1326"/>
      <c r="U18" s="1118"/>
      <c r="V18" s="1116"/>
      <c r="W18" s="1322"/>
      <c r="X18" s="1326"/>
      <c r="Y18" s="1278"/>
      <c r="Z18" s="1338"/>
      <c r="AA18" s="1326"/>
      <c r="AB18" s="1278"/>
      <c r="AC18" s="1278"/>
      <c r="AD18" s="1322"/>
      <c r="AE18" s="1116"/>
      <c r="AF18" s="1115"/>
      <c r="AG18" s="1970" t="str">
        <f t="shared" si="5"/>
        <v/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 s="4027" t="str">
        <f t="shared" si="1"/>
        <v/>
      </c>
      <c r="CB18" s="4027" t="str">
        <f t="shared" si="2"/>
        <v/>
      </c>
      <c r="CC18" s="4027" t="str">
        <f t="shared" si="3"/>
        <v/>
      </c>
      <c r="CD18" s="4027" t="str">
        <f t="shared" si="4"/>
        <v/>
      </c>
      <c r="CE18" s="4027" t="str">
        <f t="shared" si="6"/>
        <v/>
      </c>
      <c r="CI18" s="1901">
        <f t="shared" si="7"/>
        <v>0</v>
      </c>
      <c r="CJ18" s="1901">
        <f t="shared" si="8"/>
        <v>0</v>
      </c>
      <c r="CK18" s="1901">
        <f t="shared" si="9"/>
        <v>0</v>
      </c>
      <c r="CL18" s="1901">
        <f t="shared" si="10"/>
        <v>0</v>
      </c>
      <c r="CM18" s="1901">
        <f t="shared" si="11"/>
        <v>0</v>
      </c>
      <c r="CN18" s="4"/>
      <c r="CO18" s="4"/>
      <c r="CS18"/>
      <c r="CT18" s="3293"/>
      <c r="CU18" s="25"/>
      <c r="CV18" s="25"/>
      <c r="CW18" s="25"/>
      <c r="CX18" s="25"/>
      <c r="CY18" s="25"/>
      <c r="CZ18" s="25"/>
    </row>
    <row r="19" spans="1:104" s="19" customFormat="1" ht="15" customHeight="1" x14ac:dyDescent="0.3">
      <c r="A19" s="6638" t="s">
        <v>2590</v>
      </c>
      <c r="B19" s="6739"/>
      <c r="C19" s="4599"/>
      <c r="D19" s="1289"/>
      <c r="E19" s="3332"/>
      <c r="F19" s="3332"/>
      <c r="G19" s="1474"/>
      <c r="H19" s="1289"/>
      <c r="I19" s="262"/>
      <c r="J19" s="262"/>
      <c r="K19" s="1474"/>
      <c r="L19" s="3450"/>
      <c r="M19" s="262"/>
      <c r="N19" s="262"/>
      <c r="O19" s="262"/>
      <c r="P19" s="262"/>
      <c r="Q19" s="262"/>
      <c r="R19" s="297"/>
      <c r="S19" s="1474"/>
      <c r="T19" s="266"/>
      <c r="U19" s="311"/>
      <c r="V19" s="3332"/>
      <c r="W19" s="4600"/>
      <c r="X19" s="266"/>
      <c r="Y19" s="262"/>
      <c r="Z19" s="3302"/>
      <c r="AA19" s="266"/>
      <c r="AB19" s="262"/>
      <c r="AC19" s="262"/>
      <c r="AD19" s="4600"/>
      <c r="AE19" s="3332"/>
      <c r="AF19" s="1474"/>
      <c r="AG19" s="1970" t="str">
        <f t="shared" si="5"/>
        <v/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 s="4027" t="str">
        <f t="shared" si="1"/>
        <v/>
      </c>
      <c r="CB19" s="4027" t="str">
        <f t="shared" si="2"/>
        <v/>
      </c>
      <c r="CC19" s="4027" t="str">
        <f t="shared" si="3"/>
        <v/>
      </c>
      <c r="CD19" s="4027" t="str">
        <f t="shared" si="4"/>
        <v/>
      </c>
      <c r="CE19" s="4027" t="str">
        <f t="shared" si="6"/>
        <v/>
      </c>
      <c r="CI19" s="1901">
        <f t="shared" si="7"/>
        <v>0</v>
      </c>
      <c r="CJ19" s="1901">
        <f t="shared" si="8"/>
        <v>0</v>
      </c>
      <c r="CK19" s="1901">
        <f t="shared" si="9"/>
        <v>0</v>
      </c>
      <c r="CL19" s="1901">
        <f t="shared" si="10"/>
        <v>0</v>
      </c>
      <c r="CM19" s="1901">
        <f t="shared" si="11"/>
        <v>0</v>
      </c>
      <c r="CN19" s="4"/>
      <c r="CO19" s="4"/>
      <c r="CS19"/>
      <c r="CT19" s="3293"/>
      <c r="CU19" s="25"/>
      <c r="CV19" s="25"/>
      <c r="CW19" s="25"/>
      <c r="CX19" s="25"/>
      <c r="CY19" s="25"/>
      <c r="CZ19" s="25"/>
    </row>
    <row r="20" spans="1:104" s="19" customFormat="1" ht="15" customHeight="1" x14ac:dyDescent="0.3">
      <c r="A20" s="7093" t="s">
        <v>2591</v>
      </c>
      <c r="B20" s="7094"/>
      <c r="C20" s="1110"/>
      <c r="D20" s="1106"/>
      <c r="E20" s="773"/>
      <c r="F20" s="773"/>
      <c r="G20" s="771"/>
      <c r="H20" s="4601"/>
      <c r="I20" s="4602"/>
      <c r="J20" s="4602"/>
      <c r="K20" s="1111"/>
      <c r="L20" s="4603"/>
      <c r="M20" s="4602"/>
      <c r="N20" s="4602"/>
      <c r="O20" s="4602"/>
      <c r="P20" s="4602"/>
      <c r="Q20" s="4602"/>
      <c r="R20" s="4604"/>
      <c r="S20" s="1111"/>
      <c r="T20" s="4605"/>
      <c r="U20" s="4606"/>
      <c r="V20" s="4607"/>
      <c r="W20" s="4608"/>
      <c r="X20" s="4605"/>
      <c r="Y20" s="4602"/>
      <c r="Z20" s="670"/>
      <c r="AA20" s="4605"/>
      <c r="AB20" s="4602"/>
      <c r="AC20" s="4602"/>
      <c r="AD20" s="4608"/>
      <c r="AE20" s="4607"/>
      <c r="AF20" s="1111"/>
      <c r="AG20" s="1970" t="str">
        <f t="shared" si="5"/>
        <v/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 s="4027" t="str">
        <f t="shared" si="1"/>
        <v/>
      </c>
      <c r="CB20" s="4027" t="str">
        <f t="shared" si="2"/>
        <v/>
      </c>
      <c r="CC20" s="4027" t="str">
        <f t="shared" si="3"/>
        <v/>
      </c>
      <c r="CD20" s="4027" t="str">
        <f t="shared" si="4"/>
        <v/>
      </c>
      <c r="CE20" s="4027" t="str">
        <f t="shared" si="6"/>
        <v/>
      </c>
      <c r="CI20" s="1901">
        <f t="shared" si="7"/>
        <v>0</v>
      </c>
      <c r="CJ20" s="1901">
        <f t="shared" si="8"/>
        <v>0</v>
      </c>
      <c r="CK20" s="1901">
        <f t="shared" si="9"/>
        <v>0</v>
      </c>
      <c r="CL20" s="1901">
        <f t="shared" si="10"/>
        <v>0</v>
      </c>
      <c r="CM20" s="1901">
        <f t="shared" si="11"/>
        <v>0</v>
      </c>
      <c r="CN20" s="4"/>
      <c r="CO20" s="4"/>
      <c r="CS20"/>
      <c r="CT20" s="3293"/>
      <c r="CU20" s="25"/>
      <c r="CV20" s="25"/>
      <c r="CW20" s="25"/>
      <c r="CX20" s="25"/>
      <c r="CY20" s="25"/>
      <c r="CZ20" s="25"/>
    </row>
    <row r="21" spans="1:104" s="19" customFormat="1" ht="15" customHeight="1" x14ac:dyDescent="0.3">
      <c r="A21" s="7075" t="s">
        <v>2592</v>
      </c>
      <c r="B21" s="6570"/>
      <c r="C21" s="1154"/>
      <c r="D21" s="1139"/>
      <c r="E21" s="1283"/>
      <c r="F21" s="1283"/>
      <c r="G21" s="1140"/>
      <c r="H21" s="1139"/>
      <c r="I21" s="1283"/>
      <c r="J21" s="1283"/>
      <c r="K21" s="388"/>
      <c r="L21" s="4599"/>
      <c r="M21" s="1283"/>
      <c r="N21" s="1283"/>
      <c r="O21" s="1283"/>
      <c r="P21" s="1283"/>
      <c r="Q21" s="1283"/>
      <c r="R21" s="1351"/>
      <c r="S21" s="388"/>
      <c r="T21" s="1330"/>
      <c r="U21" s="1140"/>
      <c r="V21" s="1152"/>
      <c r="W21" s="392"/>
      <c r="X21" s="1330"/>
      <c r="Y21" s="1283"/>
      <c r="Z21" s="564"/>
      <c r="AA21" s="1330"/>
      <c r="AB21" s="1283"/>
      <c r="AC21" s="1283"/>
      <c r="AD21" s="392"/>
      <c r="AE21" s="1152"/>
      <c r="AF21" s="388"/>
      <c r="AG21" s="1970" t="str">
        <f t="shared" si="5"/>
        <v/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 s="4027" t="str">
        <f t="shared" si="1"/>
        <v/>
      </c>
      <c r="CB21" s="4027" t="str">
        <f t="shared" si="2"/>
        <v/>
      </c>
      <c r="CC21" s="4027" t="str">
        <f t="shared" si="3"/>
        <v/>
      </c>
      <c r="CD21" s="4027" t="str">
        <f t="shared" si="4"/>
        <v/>
      </c>
      <c r="CE21" s="4027" t="str">
        <f t="shared" si="6"/>
        <v/>
      </c>
      <c r="CI21" s="1901">
        <f t="shared" si="7"/>
        <v>0</v>
      </c>
      <c r="CJ21" s="1901">
        <f t="shared" si="8"/>
        <v>0</v>
      </c>
      <c r="CK21" s="1901">
        <f t="shared" si="9"/>
        <v>0</v>
      </c>
      <c r="CL21" s="1901">
        <f t="shared" si="10"/>
        <v>0</v>
      </c>
      <c r="CM21" s="1901">
        <f t="shared" si="11"/>
        <v>0</v>
      </c>
      <c r="CN21" s="4"/>
      <c r="CO21" s="4"/>
      <c r="CS21"/>
      <c r="CT21" s="3293"/>
      <c r="CU21" s="25"/>
      <c r="CV21" s="25"/>
      <c r="CW21" s="25"/>
      <c r="CX21" s="25"/>
      <c r="CY21" s="25"/>
      <c r="CZ21" s="25"/>
    </row>
    <row r="22" spans="1:104" s="19" customFormat="1" ht="15" customHeight="1" x14ac:dyDescent="0.3">
      <c r="A22" s="5844" t="s">
        <v>2593</v>
      </c>
      <c r="B22" s="4609" t="s">
        <v>2594</v>
      </c>
      <c r="C22" s="307"/>
      <c r="D22" s="47"/>
      <c r="E22" s="4610"/>
      <c r="F22" s="4610"/>
      <c r="G22" s="42"/>
      <c r="H22" s="47"/>
      <c r="I22" s="242"/>
      <c r="J22" s="242"/>
      <c r="K22" s="42"/>
      <c r="L22" s="4611"/>
      <c r="M22" s="242"/>
      <c r="N22" s="242"/>
      <c r="O22" s="242"/>
      <c r="P22" s="242"/>
      <c r="Q22" s="242"/>
      <c r="R22" s="4612"/>
      <c r="S22" s="42"/>
      <c r="T22" s="296"/>
      <c r="U22" s="637"/>
      <c r="V22" s="4610"/>
      <c r="W22" s="75"/>
      <c r="X22" s="74"/>
      <c r="Y22" s="242"/>
      <c r="Z22" s="66"/>
      <c r="AA22" s="74"/>
      <c r="AB22" s="242"/>
      <c r="AC22" s="242"/>
      <c r="AD22" s="75"/>
      <c r="AE22" s="4610"/>
      <c r="AF22" s="42"/>
      <c r="AG22" s="1970" t="str">
        <f t="shared" si="5"/>
        <v/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 s="4027" t="str">
        <f t="shared" si="1"/>
        <v/>
      </c>
      <c r="CB22" s="4027" t="str">
        <f t="shared" si="2"/>
        <v/>
      </c>
      <c r="CC22" s="4027" t="str">
        <f t="shared" si="3"/>
        <v/>
      </c>
      <c r="CD22" s="4027" t="str">
        <f t="shared" si="4"/>
        <v/>
      </c>
      <c r="CE22" s="4027" t="str">
        <f t="shared" si="6"/>
        <v/>
      </c>
      <c r="CI22" s="1901">
        <f t="shared" si="7"/>
        <v>0</v>
      </c>
      <c r="CJ22" s="1901">
        <f t="shared" si="8"/>
        <v>0</v>
      </c>
      <c r="CK22" s="1901">
        <f t="shared" si="9"/>
        <v>0</v>
      </c>
      <c r="CL22" s="1901">
        <f t="shared" si="10"/>
        <v>0</v>
      </c>
      <c r="CM22" s="1901">
        <f t="shared" si="11"/>
        <v>0</v>
      </c>
      <c r="CN22" s="4"/>
      <c r="CO22" s="4"/>
      <c r="CS22"/>
      <c r="CT22" s="3293"/>
      <c r="CU22" s="25"/>
      <c r="CV22" s="25"/>
      <c r="CW22" s="25"/>
      <c r="CX22" s="25"/>
      <c r="CY22" s="25"/>
      <c r="CZ22" s="25"/>
    </row>
    <row r="23" spans="1:104" s="19" customFormat="1" ht="15" customHeight="1" x14ac:dyDescent="0.3">
      <c r="A23" s="6574"/>
      <c r="B23" s="417" t="s">
        <v>2595</v>
      </c>
      <c r="C23" s="1154"/>
      <c r="D23" s="1154"/>
      <c r="E23" s="1283"/>
      <c r="F23" s="1283"/>
      <c r="G23" s="388"/>
      <c r="H23" s="1139"/>
      <c r="I23" s="1283"/>
      <c r="J23" s="1283"/>
      <c r="K23" s="388"/>
      <c r="L23" s="4599"/>
      <c r="M23" s="1283"/>
      <c r="N23" s="1283"/>
      <c r="O23" s="1283"/>
      <c r="P23" s="1283"/>
      <c r="Q23" s="1283"/>
      <c r="R23" s="1351"/>
      <c r="S23" s="388"/>
      <c r="T23" s="1330"/>
      <c r="U23" s="1140"/>
      <c r="V23" s="1152"/>
      <c r="W23" s="392"/>
      <c r="X23" s="1330"/>
      <c r="Y23" s="1283"/>
      <c r="Z23" s="564"/>
      <c r="AA23" s="1330"/>
      <c r="AB23" s="1283"/>
      <c r="AC23" s="1283"/>
      <c r="AD23" s="392"/>
      <c r="AE23" s="1152"/>
      <c r="AF23" s="388"/>
      <c r="AG23" s="1970" t="str">
        <f t="shared" si="5"/>
        <v/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 s="4027" t="str">
        <f t="shared" si="1"/>
        <v/>
      </c>
      <c r="CB23" s="4027" t="str">
        <f t="shared" si="2"/>
        <v/>
      </c>
      <c r="CC23" s="4027" t="str">
        <f t="shared" si="3"/>
        <v/>
      </c>
      <c r="CD23" s="4027" t="str">
        <f t="shared" si="4"/>
        <v/>
      </c>
      <c r="CE23" s="4027" t="str">
        <f t="shared" si="6"/>
        <v/>
      </c>
      <c r="CI23" s="1901">
        <f t="shared" si="7"/>
        <v>0</v>
      </c>
      <c r="CJ23" s="1901">
        <f t="shared" si="8"/>
        <v>0</v>
      </c>
      <c r="CK23" s="1901">
        <f t="shared" si="9"/>
        <v>0</v>
      </c>
      <c r="CL23" s="1901">
        <f t="shared" si="10"/>
        <v>0</v>
      </c>
      <c r="CM23" s="1901">
        <f t="shared" si="11"/>
        <v>0</v>
      </c>
      <c r="CN23" s="4"/>
      <c r="CO23" s="4"/>
      <c r="CS23"/>
      <c r="CT23" s="3293"/>
      <c r="CU23" s="25"/>
      <c r="CV23" s="25"/>
      <c r="CW23" s="25"/>
      <c r="CX23" s="25"/>
      <c r="CY23" s="25"/>
      <c r="CZ23" s="25"/>
    </row>
    <row r="24" spans="1:104" s="25" customFormat="1" ht="18" customHeight="1" x14ac:dyDescent="0.2">
      <c r="A24" s="15" t="s">
        <v>2596</v>
      </c>
      <c r="B24" s="15"/>
      <c r="C24" s="4613"/>
      <c r="D24" s="4614"/>
      <c r="E24" s="4614"/>
      <c r="F24" s="4615"/>
    </row>
    <row r="25" spans="1:104" s="19" customFormat="1" ht="20.399999999999999" x14ac:dyDescent="0.2">
      <c r="A25" s="7023" t="s">
        <v>2597</v>
      </c>
      <c r="B25" s="6976"/>
      <c r="C25" s="1807" t="s">
        <v>77</v>
      </c>
      <c r="D25" s="1190" t="s">
        <v>2598</v>
      </c>
      <c r="E25" s="4616" t="s">
        <v>2599</v>
      </c>
      <c r="F25" s="1189" t="s">
        <v>2600</v>
      </c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</row>
    <row r="26" spans="1:104" s="19" customFormat="1" ht="15" customHeight="1" x14ac:dyDescent="0.2">
      <c r="A26" s="7136" t="s">
        <v>2601</v>
      </c>
      <c r="B26" s="7137"/>
      <c r="C26" s="1102">
        <f t="shared" ref="C26:C38" si="12">SUM(D26:F26)</f>
        <v>0</v>
      </c>
      <c r="D26" s="4617"/>
      <c r="E26" s="4618"/>
      <c r="F26" s="4619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</row>
    <row r="27" spans="1:104" s="19" customFormat="1" ht="15" customHeight="1" x14ac:dyDescent="0.2">
      <c r="A27" s="7090" t="s">
        <v>2602</v>
      </c>
      <c r="B27" s="1459" t="s">
        <v>2603</v>
      </c>
      <c r="C27" s="1184">
        <f t="shared" si="12"/>
        <v>0</v>
      </c>
      <c r="D27" s="4620"/>
      <c r="E27" s="4621"/>
      <c r="F27" s="4622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</row>
    <row r="28" spans="1:104" s="19" customFormat="1" ht="15" customHeight="1" x14ac:dyDescent="0.2">
      <c r="A28" s="7091"/>
      <c r="B28" s="1027" t="s">
        <v>2604</v>
      </c>
      <c r="C28" s="1188">
        <f t="shared" si="12"/>
        <v>0</v>
      </c>
      <c r="D28" s="4623"/>
      <c r="E28" s="4624"/>
      <c r="F28" s="46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</row>
    <row r="29" spans="1:104" s="19" customFormat="1" ht="15" customHeight="1" x14ac:dyDescent="0.2">
      <c r="A29" s="7093" t="s">
        <v>2605</v>
      </c>
      <c r="B29" s="7094"/>
      <c r="C29" s="1184">
        <f t="shared" si="12"/>
        <v>0</v>
      </c>
      <c r="D29" s="4620"/>
      <c r="E29" s="4621"/>
      <c r="F29" s="4622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</row>
    <row r="30" spans="1:104" s="19" customFormat="1" ht="15" customHeight="1" x14ac:dyDescent="0.2">
      <c r="A30" s="7095" t="s">
        <v>2606</v>
      </c>
      <c r="B30" s="7096"/>
      <c r="C30" s="1187">
        <f t="shared" si="12"/>
        <v>0</v>
      </c>
      <c r="D30" s="4626"/>
      <c r="E30" s="4627"/>
      <c r="F30" s="4628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</row>
    <row r="31" spans="1:104" s="19" customFormat="1" ht="15" customHeight="1" x14ac:dyDescent="0.2">
      <c r="A31" s="7075" t="s">
        <v>2607</v>
      </c>
      <c r="B31" s="6570"/>
      <c r="C31" s="1188">
        <f t="shared" si="12"/>
        <v>0</v>
      </c>
      <c r="D31" s="4623"/>
      <c r="E31" s="4624"/>
      <c r="F31" s="46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</row>
    <row r="32" spans="1:104" s="19" customFormat="1" ht="15" customHeight="1" x14ac:dyDescent="0.2">
      <c r="A32" s="7060" t="s">
        <v>2608</v>
      </c>
      <c r="B32" s="1445" t="s">
        <v>2609</v>
      </c>
      <c r="C32" s="1184">
        <f t="shared" ref="C32:C33" si="13">SUM(D32:F32)</f>
        <v>0</v>
      </c>
      <c r="D32" s="4620"/>
      <c r="E32" s="4621"/>
      <c r="F32" s="4622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</row>
    <row r="33" spans="1:100" s="19" customFormat="1" ht="15" customHeight="1" x14ac:dyDescent="0.2">
      <c r="A33" s="6574"/>
      <c r="B33" s="1820" t="s">
        <v>2610</v>
      </c>
      <c r="C33" s="1188">
        <f t="shared" si="13"/>
        <v>0</v>
      </c>
      <c r="D33" s="4623"/>
      <c r="E33" s="4624"/>
      <c r="F33" s="46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</row>
    <row r="34" spans="1:100" s="19" customFormat="1" ht="15" customHeight="1" x14ac:dyDescent="0.2">
      <c r="A34" s="7060" t="s">
        <v>2611</v>
      </c>
      <c r="B34" s="1445" t="s">
        <v>2612</v>
      </c>
      <c r="C34" s="1184">
        <f t="shared" si="12"/>
        <v>0</v>
      </c>
      <c r="D34" s="4620"/>
      <c r="E34" s="4621"/>
      <c r="F34" s="4622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</row>
    <row r="35" spans="1:100" s="19" customFormat="1" ht="15" customHeight="1" x14ac:dyDescent="0.2">
      <c r="A35" s="6574"/>
      <c r="B35" s="1820" t="s">
        <v>2613</v>
      </c>
      <c r="C35" s="1188">
        <f t="shared" si="12"/>
        <v>0</v>
      </c>
      <c r="D35" s="4623"/>
      <c r="E35" s="4624"/>
      <c r="F35" s="46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</row>
    <row r="36" spans="1:100" s="19" customFormat="1" ht="15" customHeight="1" x14ac:dyDescent="0.2">
      <c r="A36" s="7146" t="s">
        <v>2614</v>
      </c>
      <c r="B36" s="7147"/>
      <c r="C36" s="1094">
        <f t="shared" si="12"/>
        <v>0</v>
      </c>
      <c r="D36" s="4617"/>
      <c r="E36" s="4618"/>
      <c r="F36" s="4619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</row>
    <row r="37" spans="1:100" s="19" customFormat="1" ht="15" customHeight="1" x14ac:dyDescent="0.2">
      <c r="A37" s="7060" t="s">
        <v>2615</v>
      </c>
      <c r="B37" s="1227" t="s">
        <v>2616</v>
      </c>
      <c r="C37" s="295">
        <f t="shared" si="12"/>
        <v>0</v>
      </c>
      <c r="D37" s="4620"/>
      <c r="E37" s="4621"/>
      <c r="F37" s="4622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</row>
    <row r="38" spans="1:100" s="19" customFormat="1" ht="15" customHeight="1" x14ac:dyDescent="0.2">
      <c r="A38" s="6574"/>
      <c r="B38" s="1027" t="s">
        <v>2617</v>
      </c>
      <c r="C38" s="1188">
        <f t="shared" si="12"/>
        <v>0</v>
      </c>
      <c r="D38" s="4623"/>
      <c r="E38" s="4624"/>
      <c r="F38" s="46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</row>
    <row r="39" spans="1:100" s="49" customFormat="1" ht="15" customHeight="1" x14ac:dyDescent="0.2">
      <c r="A39" s="3304" t="s">
        <v>2618</v>
      </c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</row>
    <row r="40" spans="1:100" s="25" customFormat="1" ht="18" customHeight="1" x14ac:dyDescent="0.2">
      <c r="A40" s="13" t="s">
        <v>2619</v>
      </c>
      <c r="B40" s="4525"/>
      <c r="C40" s="4629"/>
      <c r="D40" s="4630"/>
    </row>
    <row r="41" spans="1:100" x14ac:dyDescent="0.3">
      <c r="A41" s="7148" t="s">
        <v>2620</v>
      </c>
      <c r="B41" s="7149"/>
      <c r="C41" s="4632" t="s">
        <v>2621</v>
      </c>
      <c r="D41" s="4585" t="s">
        <v>554</v>
      </c>
    </row>
    <row r="42" spans="1:100" ht="15" customHeight="1" x14ac:dyDescent="0.3">
      <c r="A42" s="7144" t="s">
        <v>2622</v>
      </c>
      <c r="B42" s="7145"/>
      <c r="C42" s="1095"/>
      <c r="D42" s="1096"/>
    </row>
    <row r="43" spans="1:100" ht="21.9" customHeight="1" x14ac:dyDescent="0.3">
      <c r="A43" s="7104" t="s">
        <v>2623</v>
      </c>
      <c r="B43" s="3046" t="s">
        <v>2624</v>
      </c>
      <c r="C43" s="290"/>
      <c r="D43" s="107"/>
    </row>
    <row r="44" spans="1:100" ht="15" customHeight="1" x14ac:dyDescent="0.3">
      <c r="A44" s="6771"/>
      <c r="B44" s="4633" t="s">
        <v>2625</v>
      </c>
      <c r="C44" s="1139"/>
      <c r="D44" s="388"/>
    </row>
    <row r="45" spans="1:100" ht="24.9" customHeight="1" x14ac:dyDescent="0.3">
      <c r="A45" s="7144" t="s">
        <v>2626</v>
      </c>
      <c r="B45" s="7145"/>
      <c r="C45" s="1095"/>
      <c r="D45" s="1096"/>
    </row>
    <row r="46" spans="1:100" ht="21.9" customHeight="1" x14ac:dyDescent="0.3">
      <c r="A46" s="7150" t="s">
        <v>2627</v>
      </c>
      <c r="B46" s="3046" t="s">
        <v>2624</v>
      </c>
      <c r="C46" s="1106"/>
      <c r="D46" s="1107"/>
    </row>
    <row r="47" spans="1:100" ht="15" customHeight="1" x14ac:dyDescent="0.3">
      <c r="A47" s="7151"/>
      <c r="B47" s="4633" t="s">
        <v>2625</v>
      </c>
      <c r="C47" s="1289"/>
      <c r="D47" s="1474"/>
    </row>
    <row r="48" spans="1:100" ht="15" customHeight="1" x14ac:dyDescent="0.3">
      <c r="A48" s="7104" t="s">
        <v>2628</v>
      </c>
      <c r="B48" s="4634" t="s">
        <v>2629</v>
      </c>
      <c r="C48" s="290"/>
      <c r="D48" s="107"/>
    </row>
    <row r="49" spans="1:102" x14ac:dyDescent="0.3">
      <c r="A49" s="6771"/>
      <c r="B49" s="3795" t="s">
        <v>2630</v>
      </c>
      <c r="C49" s="1139"/>
      <c r="D49" s="388"/>
    </row>
    <row r="50" spans="1:102" ht="24.9" customHeight="1" x14ac:dyDescent="0.3">
      <c r="A50" s="7144" t="s">
        <v>2631</v>
      </c>
      <c r="B50" s="7145"/>
      <c r="C50" s="1095"/>
      <c r="D50" s="1096"/>
    </row>
    <row r="51" spans="1:102" ht="15" customHeight="1" x14ac:dyDescent="0.3">
      <c r="A51" s="7144" t="s">
        <v>2632</v>
      </c>
      <c r="B51" s="7145"/>
      <c r="C51" s="1095"/>
      <c r="D51" s="1096"/>
    </row>
    <row r="52" spans="1:102" ht="24.9" customHeight="1" x14ac:dyDescent="0.3">
      <c r="A52" s="7144" t="s">
        <v>2633</v>
      </c>
      <c r="B52" s="7145"/>
      <c r="C52" s="1095"/>
      <c r="D52" s="1096"/>
    </row>
    <row r="53" spans="1:102" ht="24.9" customHeight="1" x14ac:dyDescent="0.3">
      <c r="A53" s="7144" t="s">
        <v>2634</v>
      </c>
      <c r="B53" s="7145"/>
      <c r="C53" s="1095"/>
      <c r="D53" s="1096"/>
    </row>
    <row r="54" spans="1:102" ht="24.75" customHeight="1" x14ac:dyDescent="0.3">
      <c r="A54" s="7144" t="s">
        <v>2635</v>
      </c>
      <c r="B54" s="7145"/>
      <c r="C54" s="1095"/>
      <c r="D54" s="1096"/>
    </row>
    <row r="55" spans="1:102" ht="15" customHeight="1" x14ac:dyDescent="0.3">
      <c r="A55" s="7104" t="s">
        <v>2636</v>
      </c>
      <c r="B55" s="4634" t="s">
        <v>2637</v>
      </c>
      <c r="C55" s="290"/>
      <c r="D55" s="107"/>
    </row>
    <row r="56" spans="1:102" ht="15" customHeight="1" x14ac:dyDescent="0.3">
      <c r="A56" s="6771"/>
      <c r="B56" s="3795" t="s">
        <v>2638</v>
      </c>
      <c r="C56" s="1139"/>
      <c r="D56" s="388"/>
    </row>
    <row r="57" spans="1:102" ht="15" customHeight="1" x14ac:dyDescent="0.3">
      <c r="A57" s="7152" t="s">
        <v>2639</v>
      </c>
      <c r="B57" s="7152"/>
      <c r="C57" s="1289"/>
      <c r="D57" s="1474"/>
    </row>
    <row r="58" spans="1:102" s="25" customFormat="1" ht="18" customHeight="1" x14ac:dyDescent="0.2">
      <c r="A58" s="13" t="s">
        <v>2640</v>
      </c>
      <c r="B58" s="4525"/>
      <c r="C58" s="4629"/>
      <c r="D58" s="4630"/>
    </row>
    <row r="59" spans="1:102" ht="24.9" customHeight="1" x14ac:dyDescent="0.3">
      <c r="A59" s="7153" t="s">
        <v>2641</v>
      </c>
      <c r="B59" s="7154"/>
      <c r="C59" s="7106" t="s">
        <v>2642</v>
      </c>
      <c r="D59" s="7107"/>
      <c r="E59" s="7160"/>
      <c r="F59" s="7161" t="s">
        <v>2593</v>
      </c>
      <c r="CA59"/>
      <c r="CB59"/>
      <c r="CW59" s="25"/>
      <c r="CX59" s="25"/>
    </row>
    <row r="60" spans="1:102" ht="24.9" customHeight="1" x14ac:dyDescent="0.3">
      <c r="A60" s="7155"/>
      <c r="B60" s="7156"/>
      <c r="C60" s="4632" t="s">
        <v>2643</v>
      </c>
      <c r="D60" s="4528" t="s">
        <v>2644</v>
      </c>
      <c r="E60" s="4585" t="s">
        <v>2645</v>
      </c>
      <c r="F60" s="7162"/>
      <c r="CA60"/>
      <c r="CB60"/>
      <c r="CW60" s="25"/>
      <c r="CX60" s="25"/>
    </row>
    <row r="61" spans="1:102" ht="15" customHeight="1" x14ac:dyDescent="0.3">
      <c r="A61" s="7163" t="s">
        <v>2646</v>
      </c>
      <c r="B61" s="4635" t="s">
        <v>2647</v>
      </c>
      <c r="C61" s="290"/>
      <c r="D61" s="535"/>
      <c r="E61" s="107"/>
      <c r="F61" s="2729"/>
      <c r="CA61"/>
      <c r="CB61"/>
      <c r="CW61" s="25"/>
      <c r="CX61" s="25"/>
    </row>
    <row r="62" spans="1:102" ht="15" customHeight="1" x14ac:dyDescent="0.3">
      <c r="A62" s="7163"/>
      <c r="B62" s="4636" t="s">
        <v>2648</v>
      </c>
      <c r="C62" s="290"/>
      <c r="D62" s="535"/>
      <c r="E62" s="107"/>
      <c r="F62" s="2729"/>
      <c r="CA62"/>
      <c r="CB62"/>
      <c r="CW62" s="25"/>
      <c r="CX62" s="25"/>
    </row>
    <row r="63" spans="1:102" ht="15" customHeight="1" x14ac:dyDescent="0.3">
      <c r="A63" s="7163"/>
      <c r="B63" s="4636" t="s">
        <v>2649</v>
      </c>
      <c r="C63" s="290"/>
      <c r="D63" s="535"/>
      <c r="E63" s="107"/>
      <c r="F63" s="2729"/>
      <c r="CA63"/>
      <c r="CB63"/>
      <c r="CW63" s="25"/>
      <c r="CX63" s="25"/>
    </row>
    <row r="64" spans="1:102" ht="15" customHeight="1" x14ac:dyDescent="0.3">
      <c r="A64" s="7163"/>
      <c r="B64" s="4636" t="s">
        <v>2650</v>
      </c>
      <c r="C64" s="290"/>
      <c r="D64" s="535"/>
      <c r="E64" s="107"/>
      <c r="F64" s="2729"/>
      <c r="CA64"/>
      <c r="CB64"/>
      <c r="CW64" s="25"/>
      <c r="CX64" s="25"/>
    </row>
    <row r="65" spans="1:103" x14ac:dyDescent="0.3">
      <c r="A65" s="7091"/>
      <c r="B65" s="4637" t="s">
        <v>2651</v>
      </c>
      <c r="C65" s="1289"/>
      <c r="D65" s="262"/>
      <c r="E65" s="1474"/>
      <c r="F65" s="3450"/>
      <c r="CA65"/>
      <c r="CB65"/>
      <c r="CW65" s="25"/>
      <c r="CX65" s="25"/>
    </row>
    <row r="66" spans="1:103" ht="15" customHeight="1" x14ac:dyDescent="0.3">
      <c r="A66" s="7093" t="s">
        <v>2652</v>
      </c>
      <c r="B66" s="7094"/>
      <c r="C66" s="290"/>
      <c r="D66" s="535"/>
      <c r="E66" s="107"/>
      <c r="F66" s="2729"/>
      <c r="CA66"/>
      <c r="CB66"/>
      <c r="CW66" s="25"/>
      <c r="CX66" s="25"/>
    </row>
    <row r="67" spans="1:103" ht="15" customHeight="1" x14ac:dyDescent="0.3">
      <c r="A67" s="7095" t="s">
        <v>1488</v>
      </c>
      <c r="B67" s="7096"/>
      <c r="C67" s="290"/>
      <c r="D67" s="535"/>
      <c r="E67" s="107"/>
      <c r="F67" s="2729"/>
      <c r="CA67"/>
      <c r="CB67"/>
      <c r="CW67" s="25"/>
      <c r="CX67" s="25"/>
    </row>
    <row r="68" spans="1:103" ht="15" customHeight="1" x14ac:dyDescent="0.3">
      <c r="A68" s="7095" t="s">
        <v>2653</v>
      </c>
      <c r="B68" s="7096"/>
      <c r="C68" s="290"/>
      <c r="D68" s="535"/>
      <c r="E68" s="107"/>
      <c r="F68" s="2729"/>
      <c r="CA68"/>
      <c r="CB68"/>
      <c r="CW68" s="25"/>
      <c r="CX68" s="25"/>
    </row>
    <row r="69" spans="1:103" ht="15" customHeight="1" x14ac:dyDescent="0.3">
      <c r="A69" s="6641" t="s">
        <v>2654</v>
      </c>
      <c r="B69" s="6642"/>
      <c r="C69" s="290"/>
      <c r="D69" s="535"/>
      <c r="E69" s="107"/>
      <c r="F69" s="2729"/>
      <c r="CA69"/>
      <c r="CB69"/>
      <c r="CW69" s="25"/>
      <c r="CX69" s="25"/>
    </row>
    <row r="70" spans="1:103" ht="15" customHeight="1" x14ac:dyDescent="0.3">
      <c r="A70" s="7095" t="s">
        <v>2655</v>
      </c>
      <c r="B70" s="7096"/>
      <c r="C70" s="290"/>
      <c r="D70" s="535"/>
      <c r="E70" s="107"/>
      <c r="F70" s="2729"/>
      <c r="CA70"/>
      <c r="CB70"/>
      <c r="CW70" s="25"/>
      <c r="CX70" s="25"/>
    </row>
    <row r="71" spans="1:103" ht="15" customHeight="1" x14ac:dyDescent="0.3">
      <c r="A71" s="7075" t="s">
        <v>2656</v>
      </c>
      <c r="B71" s="6570"/>
      <c r="C71" s="1139"/>
      <c r="D71" s="1283"/>
      <c r="E71" s="388"/>
      <c r="F71" s="4599"/>
      <c r="CA71"/>
      <c r="CB71"/>
      <c r="CW71" s="25"/>
      <c r="CX71" s="25"/>
    </row>
    <row r="72" spans="1:103" s="25" customFormat="1" ht="18" customHeight="1" x14ac:dyDescent="0.2">
      <c r="A72" s="4525" t="s">
        <v>2657</v>
      </c>
      <c r="B72" s="4613"/>
      <c r="C72" s="4614"/>
      <c r="D72" s="4614"/>
      <c r="E72" s="4615"/>
      <c r="F72" s="4614"/>
      <c r="G72" s="4614"/>
      <c r="H72" s="4614"/>
      <c r="I72" s="4614"/>
      <c r="J72" s="4615"/>
      <c r="K72" s="4614"/>
      <c r="L72" s="4614"/>
      <c r="M72" s="3129"/>
      <c r="N72" s="8"/>
      <c r="O72" s="8"/>
      <c r="P72" s="8"/>
      <c r="Q72" s="8"/>
      <c r="R72" s="8"/>
      <c r="S72" s="8"/>
      <c r="T72" s="8"/>
    </row>
    <row r="73" spans="1:103" s="25" customFormat="1" ht="18" customHeight="1" x14ac:dyDescent="0.2">
      <c r="A73" s="6988" t="s">
        <v>2658</v>
      </c>
      <c r="B73" s="7157" t="s">
        <v>2659</v>
      </c>
      <c r="C73" s="7158"/>
      <c r="D73" s="7158"/>
      <c r="E73" s="7157" t="s">
        <v>2660</v>
      </c>
      <c r="F73" s="7158"/>
      <c r="G73" s="7159"/>
      <c r="H73" s="7038" t="s">
        <v>2661</v>
      </c>
      <c r="I73" s="7037" t="s">
        <v>36</v>
      </c>
      <c r="J73" s="7127" t="s">
        <v>37</v>
      </c>
      <c r="K73" s="7037" t="s">
        <v>60</v>
      </c>
      <c r="L73" s="6969" t="s">
        <v>1722</v>
      </c>
      <c r="M73" s="8"/>
      <c r="N73" s="8"/>
      <c r="O73" s="8"/>
      <c r="P73" s="8"/>
      <c r="Q73" s="8"/>
      <c r="R73" s="8"/>
    </row>
    <row r="74" spans="1:103" ht="15" customHeight="1" x14ac:dyDescent="0.3">
      <c r="A74" s="5851"/>
      <c r="B74" s="7023" t="s">
        <v>2662</v>
      </c>
      <c r="C74" s="7030"/>
      <c r="D74" s="7030"/>
      <c r="E74" s="7023" t="s">
        <v>2662</v>
      </c>
      <c r="F74" s="7030"/>
      <c r="G74" s="7071"/>
      <c r="H74" s="5766"/>
      <c r="I74" s="6118"/>
      <c r="J74" s="7128"/>
      <c r="K74" s="6118"/>
      <c r="L74" s="5759"/>
      <c r="BS74" s="25"/>
      <c r="BT74" s="25"/>
      <c r="BU74" s="25"/>
      <c r="BV74" s="25"/>
      <c r="BW74" s="25"/>
      <c r="BX74" s="25"/>
      <c r="BY74" s="25"/>
      <c r="BZ74" s="25"/>
      <c r="CO74"/>
      <c r="CP74"/>
      <c r="CQ74"/>
      <c r="CR74"/>
      <c r="CS74"/>
      <c r="CT74"/>
      <c r="CU74"/>
      <c r="CV74"/>
    </row>
    <row r="75" spans="1:103" ht="21.9" customHeight="1" x14ac:dyDescent="0.3">
      <c r="A75" s="6471"/>
      <c r="B75" s="1134" t="s">
        <v>4414</v>
      </c>
      <c r="C75" s="1238" t="s">
        <v>2663</v>
      </c>
      <c r="D75" s="1239" t="s">
        <v>1108</v>
      </c>
      <c r="E75" s="1134" t="s">
        <v>4414</v>
      </c>
      <c r="F75" s="1238" t="s">
        <v>2663</v>
      </c>
      <c r="G75" s="1241" t="s">
        <v>1108</v>
      </c>
      <c r="H75" s="5767"/>
      <c r="I75" s="5818"/>
      <c r="J75" s="6946"/>
      <c r="K75" s="5818"/>
      <c r="L75" s="6687"/>
      <c r="BS75" s="25"/>
      <c r="BT75" s="25"/>
      <c r="BU75" s="25"/>
      <c r="BV75" s="25"/>
      <c r="BW75" s="25"/>
      <c r="BX75" s="25"/>
      <c r="BY75" s="25"/>
      <c r="BZ75" s="25"/>
      <c r="CO75"/>
      <c r="CP75"/>
      <c r="CQ75"/>
      <c r="CR75"/>
      <c r="CS75"/>
      <c r="CT75"/>
      <c r="CU75"/>
      <c r="CV75"/>
    </row>
    <row r="76" spans="1:103" x14ac:dyDescent="0.3">
      <c r="A76" s="1237" t="s">
        <v>77</v>
      </c>
      <c r="B76" s="4638">
        <f t="shared" ref="B76:L76" si="14">SUM(B77:B79)</f>
        <v>0</v>
      </c>
      <c r="C76" s="4639">
        <f t="shared" si="14"/>
        <v>0</v>
      </c>
      <c r="D76" s="4640">
        <f t="shared" si="14"/>
        <v>0</v>
      </c>
      <c r="E76" s="4638">
        <f t="shared" si="14"/>
        <v>0</v>
      </c>
      <c r="F76" s="4639">
        <f t="shared" si="14"/>
        <v>0</v>
      </c>
      <c r="G76" s="4641">
        <f t="shared" si="14"/>
        <v>0</v>
      </c>
      <c r="H76" s="4642">
        <f t="shared" si="14"/>
        <v>0</v>
      </c>
      <c r="I76" s="27">
        <f t="shared" si="14"/>
        <v>0</v>
      </c>
      <c r="J76" s="4639">
        <f t="shared" si="14"/>
        <v>0</v>
      </c>
      <c r="K76" s="4639">
        <f t="shared" si="14"/>
        <v>0</v>
      </c>
      <c r="L76" s="4643">
        <f t="shared" si="14"/>
        <v>0</v>
      </c>
      <c r="BS76" s="25"/>
      <c r="BT76" s="25"/>
      <c r="BU76" s="25"/>
      <c r="BV76" s="25"/>
      <c r="BW76" s="25"/>
      <c r="BX76" s="25"/>
      <c r="BY76" s="25"/>
      <c r="BZ76" s="25"/>
      <c r="CO76"/>
      <c r="CP76"/>
      <c r="CQ76"/>
      <c r="CR76"/>
      <c r="CS76"/>
      <c r="CT76"/>
      <c r="CU76"/>
      <c r="CV76"/>
    </row>
    <row r="77" spans="1:103" ht="15" customHeight="1" x14ac:dyDescent="0.3">
      <c r="A77" s="1459" t="s">
        <v>2664</v>
      </c>
      <c r="B77" s="1106"/>
      <c r="C77" s="1108"/>
      <c r="D77" s="1109"/>
      <c r="E77" s="1106"/>
      <c r="F77" s="1108"/>
      <c r="G77" s="759"/>
      <c r="H77" s="1321"/>
      <c r="I77" s="773"/>
      <c r="J77" s="773"/>
      <c r="K77" s="773"/>
      <c r="L77" s="1107"/>
      <c r="M77" s="1970" t="str">
        <f>$CA77&amp;CB77&amp;CC77&amp;CD77&amp;CE77</f>
        <v/>
      </c>
      <c r="CA77" s="4027" t="str">
        <f>IF(AND(SUM(E77:G77)&gt;0,H77="")," * No olvide digitar la variable "&amp;$H$73&amp;""&amp;". Digite cero si tiene.",IF(H77&gt;SUM(E77:G77)," * La variable "&amp;$H$73&amp;""&amp;" no puede ser mayor a la Suma de la variable "&amp;$E$73&amp;""&amp;".",""))</f>
        <v/>
      </c>
      <c r="CB77" s="4027" t="str">
        <f>IF(AND(SUM(E77:G77)&gt;0,I77="")," * No olvide digitar la variable Pueblos originarios. Digite cero si tiene.",IF(I77&gt;SUM(E77:G77)," * La variable Pueblos originarios no puede ser mayor a la suma de la variable "&amp;$E$73&amp;""&amp;".",""))</f>
        <v/>
      </c>
      <c r="CC77" s="4027" t="str">
        <f>IF(AND(SUM(E77:G77)&gt;0,J77="")," * No olvide digitar la variable  Migrantes. Digite cero si tiene.",IF(J77&gt;SUM(E77:G77)," * La variable Migrantes no puede ser mayor a la suma de la variable "&amp;$E$73&amp;""&amp;".",""))</f>
        <v/>
      </c>
      <c r="CD77" s="4027" t="str">
        <f>IF(AND(SUM($E77:$G77)&gt;0,OR(K77=""))," * No olvide digitar la variable Trans Masculino. Digite Cero si no tiene.",IF(K77&gt;SUM($E77:$G77)," * La variable Trans Masculino no puede ser mayor a la suma de la variable "&amp;$E$73&amp;""&amp;".",""))</f>
        <v/>
      </c>
      <c r="CE77" s="4027" t="str">
        <f>IF(AND(SUM($E77:$G77)&gt;0,OR(L77=""))," * No olvide digitar la variable "&amp;$L$73&amp;""&amp;". Digite Cero si no tiene.",IF(L77&gt;SUM($E77:$G77)," * La variable Discapacidad no puede ser mayor a la Suma de la variable "&amp;$E$73&amp;""&amp;".",""))</f>
        <v/>
      </c>
      <c r="CF77" s="1971"/>
      <c r="CG77" s="1971"/>
      <c r="CH77" s="1971"/>
      <c r="CI77" s="1901">
        <f>IF(AND(SUM($E77:$G77)&gt;0,H77=""),1,IF(H77&gt;SUM(E77:G77),1,0))</f>
        <v>0</v>
      </c>
      <c r="CJ77" s="1901">
        <f>IF(AND(SUM(E77:G77)&gt;0,I77=""),1,IF(I77&gt;SUM(E77:G77),1,0))</f>
        <v>0</v>
      </c>
      <c r="CK77" s="1901">
        <f>IF(AND(SUM(E77:G77)&gt;0,J77=""),1,IF(J77&gt;SUM(E77:G77),1,0))</f>
        <v>0</v>
      </c>
      <c r="CL77" s="1901">
        <f t="shared" ref="CL77:CM79" si="15">IF(AND(SUM($E77:$G77)&gt;0,OR(K77="")),1,IF(K77&gt;SUM($E77:$G77),1,0))</f>
        <v>0</v>
      </c>
      <c r="CM77" s="1901">
        <f t="shared" si="15"/>
        <v>0</v>
      </c>
      <c r="CN77"/>
      <c r="CO77"/>
      <c r="CP77"/>
      <c r="CQ77"/>
      <c r="CR77"/>
      <c r="CS77"/>
      <c r="CT77"/>
      <c r="CU77"/>
      <c r="CV77"/>
    </row>
    <row r="78" spans="1:103" ht="15" customHeight="1" x14ac:dyDescent="0.3">
      <c r="A78" s="1462" t="s">
        <v>2665</v>
      </c>
      <c r="B78" s="290"/>
      <c r="C78" s="22"/>
      <c r="D78" s="735"/>
      <c r="E78" s="290"/>
      <c r="F78" s="22"/>
      <c r="G78" s="431"/>
      <c r="H78" s="296"/>
      <c r="I78" s="535"/>
      <c r="J78" s="535"/>
      <c r="K78" s="535"/>
      <c r="L78" s="107"/>
      <c r="M78" s="1970" t="str">
        <f>$CA78&amp;CB78&amp;CC78&amp;CD78&amp;CE78</f>
        <v/>
      </c>
      <c r="CA78" s="4027" t="str">
        <f>IF(AND(SUM(E78:G78)&gt;0,H78="")," * No olvide digitar la variable "&amp;$H$73&amp;""&amp;". Digite cero si tiene.",IF(H78&gt;SUM(E78:G78)," * La variable "&amp;$H$73&amp;""&amp;" no puede ser mayor a la Suma de la variable "&amp;$E$73&amp;""&amp;".",""))</f>
        <v/>
      </c>
      <c r="CB78" s="4027" t="str">
        <f>IF(AND(SUM(E78:G78)&gt;0,I78="")," * No olvide digitar la variable Pueblos originarios. Digite cero si tiene.",IF(I78&gt;SUM(E78:G78)," * La variable Pueblos originarios no puede ser mayor a la suma de la variable "&amp;$E$73&amp;""&amp;".",""))</f>
        <v/>
      </c>
      <c r="CC78" s="4027" t="str">
        <f>IF(AND(SUM(E78:G78)&gt;0,J78="")," * No olvide digitar la variable  Migrantes. Digite cero si tiene.",IF(J78&gt;SUM(E78:G78)," * La variable Migrantes no puede ser mayor a la suma de la variable "&amp;$E$73&amp;""&amp;".",""))</f>
        <v/>
      </c>
      <c r="CD78" s="4027" t="str">
        <f>IF(AND(SUM($E78:$G78)&gt;0,OR(K78=""))," * No olvide digitar la variable Trans Masculino. Digite Cero si no tiene.",IF(K78&gt;SUM($E78:$G78)," * La variable Trans Masculino no puede ser mayor a la suma de la variable "&amp;$E$73&amp;""&amp;".",""))</f>
        <v/>
      </c>
      <c r="CE78" s="4027" t="str">
        <f>IF(AND(SUM($E78:$G78)&gt;0,OR(L78=""))," * No olvide digitar la variable "&amp;$L$73&amp;""&amp;". Digite Cero si no tiene.",IF(L78&gt;SUM($E78:$G78)," * La variable Discapacidad no puede ser mayor a la Suma de la variable "&amp;$E$73&amp;""&amp;".",""))</f>
        <v/>
      </c>
      <c r="CF78" s="1971"/>
      <c r="CG78" s="1971"/>
      <c r="CH78" s="1971"/>
      <c r="CI78" s="1901">
        <f>IF(AND(SUM($E78:$G78)&gt;0,H78=""),1,IF(H78&gt;SUM(E78:G78),1,0))</f>
        <v>0</v>
      </c>
      <c r="CJ78" s="1901">
        <f>IF(AND(SUM(E78:G78)&gt;0,I78=""),1,IF(I78&gt;SUM(E78:G78),1,0))</f>
        <v>0</v>
      </c>
      <c r="CK78" s="1901">
        <f>IF(AND(SUM(E78:G78)&gt;0,J78=""),1,IF(J78&gt;SUM(E78:G78),1,0))</f>
        <v>0</v>
      </c>
      <c r="CL78" s="1901">
        <f t="shared" si="15"/>
        <v>0</v>
      </c>
      <c r="CM78" s="1901">
        <f t="shared" si="15"/>
        <v>0</v>
      </c>
      <c r="CN78"/>
      <c r="CO78"/>
      <c r="CP78"/>
      <c r="CQ78"/>
      <c r="CR78"/>
      <c r="CS78"/>
      <c r="CT78"/>
      <c r="CU78"/>
      <c r="CV78"/>
    </row>
    <row r="79" spans="1:103" ht="15" customHeight="1" x14ac:dyDescent="0.3">
      <c r="A79" s="1819" t="s">
        <v>2666</v>
      </c>
      <c r="B79" s="1289"/>
      <c r="C79" s="3332"/>
      <c r="D79" s="316"/>
      <c r="E79" s="1289"/>
      <c r="F79" s="3332"/>
      <c r="G79" s="297"/>
      <c r="H79" s="1330"/>
      <c r="I79" s="1283"/>
      <c r="J79" s="1283"/>
      <c r="K79" s="1283"/>
      <c r="L79" s="388"/>
      <c r="M79" s="1970" t="str">
        <f>$CA79&amp;CB79&amp;CC79&amp;CD79&amp;CE79</f>
        <v/>
      </c>
      <c r="CA79" s="4027" t="str">
        <f>IF(AND(SUM(E79:G79)&gt;0,H79="")," * No olvide digitar la variable "&amp;$H$73&amp;""&amp;". Digite cero si tiene.",IF(H79&gt;SUM(E79:G79)," * La variable "&amp;$H$73&amp;""&amp;" no puede ser mayor a la Suma de la variable "&amp;$E$73&amp;""&amp;""&amp;".",""))</f>
        <v/>
      </c>
      <c r="CB79" s="4027" t="str">
        <f>IF(AND(SUM(E79:G79)&gt;0,I79="")," * No olvide digitar la variable Pueblos originarios. Digite cero si tiene.",IF(I79&gt;SUM(E79:G79)," * La variable Pueblos originarios no puede ser mayor a la suma de la variable "&amp;$E$73&amp;""&amp;".",""))</f>
        <v/>
      </c>
      <c r="CC79" s="4027" t="str">
        <f>IF(AND(SUM(E79:G79)&gt;0,J79="")," * No olvide digitar la variable  Migrantes. Digite cero si tiene.",IF(J79&gt;SUM(E79:G79)," * La variable Migrantes no puede ser mayor a la suma de la variable "&amp;$E$73&amp;""&amp;".",""))</f>
        <v/>
      </c>
      <c r="CD79" s="4027" t="str">
        <f>IF(AND(SUM($E79:$G79)&gt;0,OR(K79=""))," * No olvide digitar la variable Trans Masculino. Digite Cero si no tiene.",IF(K79&gt;SUM($E79:$G79)," * La variable Trans Masculino no puede ser mayor a la suma de la variable"&amp;$E$73&amp;""&amp;".",""))</f>
        <v/>
      </c>
      <c r="CE79" s="4027" t="str">
        <f>IF(AND(SUM($E79:$G79)&gt;0,OR(L79=""))," * No olvide digitar la variable "&amp;$L$73&amp;""&amp;". Digite Cero si no tiene.",IF(L79&gt;SUM($E79:$G79)," * La variable Discapacidad no puede ser mayor a la Suma de la variable "&amp;$E$73&amp;""&amp;".",""))</f>
        <v/>
      </c>
      <c r="CF79" s="1971"/>
      <c r="CG79" s="1971"/>
      <c r="CH79" s="1971"/>
      <c r="CI79" s="1901">
        <f>IF(AND(SUM($E79:$G79)&gt;0,H79=""),1,IF(H79&gt;SUM(E79:G79),1,0))</f>
        <v>0</v>
      </c>
      <c r="CJ79" s="1901">
        <f>IF(AND(SUM(E79:G79)&gt;0,I79=""),1,IF(I79&gt;SUM(E79:G79),1,0))</f>
        <v>0</v>
      </c>
      <c r="CK79" s="1901">
        <f>IF(AND(SUM(E79:G79)&gt;0,J79=""),1,IF(J79&gt;SUM(E79:G79),1,0))</f>
        <v>0</v>
      </c>
      <c r="CL79" s="1901">
        <f t="shared" si="15"/>
        <v>0</v>
      </c>
      <c r="CM79" s="1901">
        <f t="shared" si="15"/>
        <v>0</v>
      </c>
      <c r="CN79"/>
      <c r="CO79"/>
      <c r="CP79"/>
      <c r="CQ79"/>
      <c r="CR79"/>
      <c r="CS79"/>
      <c r="CT79"/>
      <c r="CU79"/>
      <c r="CV79"/>
    </row>
    <row r="80" spans="1:103" ht="15" customHeight="1" x14ac:dyDescent="0.3">
      <c r="A80" s="4525" t="s">
        <v>2667</v>
      </c>
      <c r="K80" s="3336"/>
      <c r="L80" s="3336"/>
      <c r="M80" s="3336"/>
      <c r="N80" s="3336"/>
      <c r="O80" s="3336"/>
      <c r="P80" s="3336"/>
      <c r="Q80" s="3336"/>
      <c r="R80" s="3336"/>
      <c r="S80" s="3336"/>
      <c r="T80" s="3336"/>
      <c r="U80" s="3336"/>
      <c r="V80" s="3336"/>
      <c r="W80" s="3336"/>
      <c r="X80" s="1970"/>
      <c r="CA80"/>
      <c r="CB80"/>
      <c r="CC80"/>
      <c r="CD80" s="1971"/>
      <c r="CE80" s="1971"/>
      <c r="CF80" s="1971"/>
      <c r="CG80" s="1971"/>
      <c r="CH80" s="1971"/>
      <c r="CI80" s="1971"/>
      <c r="CJ80" s="1971"/>
      <c r="CK80" s="1971"/>
      <c r="CL80" s="1971"/>
      <c r="CM80" s="4"/>
      <c r="CN80" s="4"/>
      <c r="CO80"/>
      <c r="CP80"/>
      <c r="CQ80"/>
      <c r="CR80"/>
      <c r="CS80"/>
      <c r="CW80" s="25"/>
      <c r="CX80" s="25"/>
      <c r="CY80" s="25"/>
    </row>
    <row r="81" spans="1:94" ht="15" customHeight="1" x14ac:dyDescent="0.3">
      <c r="A81" s="7021" t="s">
        <v>2668</v>
      </c>
      <c r="B81" s="7023" t="s">
        <v>29</v>
      </c>
      <c r="C81" s="7030"/>
      <c r="D81" s="7030"/>
      <c r="E81" s="7072" t="s">
        <v>2669</v>
      </c>
      <c r="F81" s="7072"/>
      <c r="G81" s="7072"/>
      <c r="H81" s="3336"/>
      <c r="I81" s="3336"/>
      <c r="J81" s="3336"/>
      <c r="K81" s="3336"/>
      <c r="L81" s="3336"/>
      <c r="M81" s="3336"/>
      <c r="N81" s="3336"/>
      <c r="O81" s="3336"/>
      <c r="P81" s="3336"/>
      <c r="Q81" s="3336"/>
      <c r="R81" s="3336"/>
      <c r="S81" s="3336"/>
      <c r="T81" s="3336"/>
      <c r="U81" s="1970"/>
      <c r="CA81" s="1971"/>
      <c r="CB81" s="1971"/>
      <c r="CC81" s="1971"/>
      <c r="CD81" s="1971"/>
      <c r="CE81" s="1971"/>
      <c r="CF81" s="1971"/>
      <c r="CG81" s="1971"/>
      <c r="CH81" s="1971"/>
      <c r="CI81" s="1971"/>
      <c r="CJ81" s="4"/>
      <c r="CK81" s="4"/>
      <c r="CL81"/>
      <c r="CM81"/>
      <c r="CN81"/>
      <c r="CO81"/>
      <c r="CP81"/>
    </row>
    <row r="82" spans="1:94" ht="15" customHeight="1" x14ac:dyDescent="0.3">
      <c r="A82" s="6471"/>
      <c r="B82" s="1134" t="s">
        <v>4414</v>
      </c>
      <c r="C82" s="1238" t="s">
        <v>2663</v>
      </c>
      <c r="D82" s="1239" t="s">
        <v>1108</v>
      </c>
      <c r="E82" s="1134" t="s">
        <v>2670</v>
      </c>
      <c r="F82" s="1238" t="s">
        <v>2671</v>
      </c>
      <c r="G82" s="1092" t="s">
        <v>2672</v>
      </c>
      <c r="H82" s="3336"/>
      <c r="I82" s="3336"/>
      <c r="J82" s="3336"/>
      <c r="K82" s="3336"/>
      <c r="L82" s="3336"/>
      <c r="M82" s="3336"/>
      <c r="N82" s="3336"/>
      <c r="O82" s="3336"/>
      <c r="P82" s="3336"/>
      <c r="Q82" s="3336"/>
      <c r="R82" s="3336"/>
      <c r="S82" s="3336"/>
      <c r="T82" s="3336"/>
      <c r="U82" s="1970"/>
      <c r="CA82" s="1971"/>
      <c r="CB82" s="1971"/>
      <c r="CC82" s="1971"/>
      <c r="CD82" s="1971"/>
      <c r="CE82" s="1971"/>
      <c r="CF82" s="1971"/>
      <c r="CG82" s="1971"/>
      <c r="CH82" s="1971"/>
      <c r="CI82" s="1971"/>
      <c r="CJ82" s="4"/>
      <c r="CK82" s="4"/>
      <c r="CL82"/>
      <c r="CM82"/>
      <c r="CN82"/>
      <c r="CO82"/>
      <c r="CP82"/>
    </row>
    <row r="83" spans="1:94" ht="15" customHeight="1" x14ac:dyDescent="0.3">
      <c r="A83" s="1237" t="s">
        <v>77</v>
      </c>
      <c r="B83" s="4638">
        <f t="shared" ref="B83:G83" si="16">B84+B85+B86+B87+B88</f>
        <v>0</v>
      </c>
      <c r="C83" s="4644">
        <f t="shared" si="16"/>
        <v>0</v>
      </c>
      <c r="D83" s="4645">
        <f t="shared" si="16"/>
        <v>0</v>
      </c>
      <c r="E83" s="4638">
        <f t="shared" si="16"/>
        <v>0</v>
      </c>
      <c r="F83" s="4639">
        <f t="shared" si="16"/>
        <v>0</v>
      </c>
      <c r="G83" s="4643">
        <f t="shared" si="16"/>
        <v>0</v>
      </c>
      <c r="H83" s="3336"/>
      <c r="I83" s="3336"/>
      <c r="J83" s="3336"/>
      <c r="K83" s="3336"/>
      <c r="L83" s="3336"/>
      <c r="M83" s="3336"/>
      <c r="N83" s="3336"/>
      <c r="O83" s="3336"/>
      <c r="P83" s="3336"/>
      <c r="Q83" s="3336"/>
      <c r="R83" s="3336"/>
      <c r="S83" s="3336"/>
      <c r="T83" s="3336"/>
      <c r="U83" s="1970"/>
      <c r="CA83" s="1971"/>
      <c r="CB83" s="1971"/>
      <c r="CC83" s="1971"/>
      <c r="CD83" s="1971"/>
      <c r="CE83" s="1971"/>
      <c r="CF83" s="1971"/>
      <c r="CG83" s="1971"/>
      <c r="CH83" s="1971"/>
      <c r="CI83" s="1971"/>
      <c r="CJ83" s="4"/>
      <c r="CK83" s="4"/>
      <c r="CL83"/>
      <c r="CM83"/>
      <c r="CN83"/>
      <c r="CO83"/>
      <c r="CP83"/>
    </row>
    <row r="84" spans="1:94" ht="15" customHeight="1" x14ac:dyDescent="0.3">
      <c r="A84" s="1459" t="s">
        <v>2673</v>
      </c>
      <c r="B84" s="1106"/>
      <c r="C84" s="1108"/>
      <c r="D84" s="1109"/>
      <c r="E84" s="1106"/>
      <c r="F84" s="773"/>
      <c r="G84" s="1107"/>
      <c r="H84" s="3336"/>
      <c r="I84" s="3336"/>
      <c r="J84" s="3336"/>
      <c r="K84" s="3336"/>
      <c r="L84" s="3336"/>
      <c r="M84" s="3336"/>
      <c r="N84" s="3336"/>
      <c r="O84" s="3336"/>
      <c r="P84" s="3336"/>
      <c r="Q84" s="3336"/>
      <c r="R84" s="3336"/>
      <c r="S84" s="3336"/>
      <c r="T84" s="3336"/>
      <c r="U84" s="1970"/>
      <c r="CA84" s="1971"/>
      <c r="CB84" s="1971"/>
      <c r="CC84" s="1971"/>
      <c r="CD84" s="1971"/>
      <c r="CE84" s="1971"/>
      <c r="CF84" s="1971"/>
      <c r="CG84" s="1971"/>
      <c r="CH84" s="1971"/>
      <c r="CI84" s="1971"/>
      <c r="CJ84" s="4"/>
      <c r="CK84" s="4"/>
      <c r="CL84"/>
      <c r="CM84"/>
      <c r="CN84"/>
      <c r="CO84"/>
      <c r="CP84"/>
    </row>
    <row r="85" spans="1:94" ht="15" customHeight="1" x14ac:dyDescent="0.3">
      <c r="A85" s="1462" t="s">
        <v>2674</v>
      </c>
      <c r="B85" s="290"/>
      <c r="C85" s="22"/>
      <c r="D85" s="735"/>
      <c r="E85" s="290"/>
      <c r="F85" s="535"/>
      <c r="G85" s="107"/>
      <c r="H85" s="3336"/>
      <c r="I85" s="3336"/>
      <c r="J85" s="3336"/>
      <c r="K85" s="3336"/>
      <c r="L85" s="3336"/>
      <c r="M85" s="3336"/>
      <c r="N85" s="3336"/>
      <c r="O85" s="3336"/>
      <c r="P85" s="3336"/>
      <c r="Q85" s="3336"/>
      <c r="R85" s="3336"/>
      <c r="S85" s="3336"/>
      <c r="T85" s="3336"/>
      <c r="U85" s="1970"/>
      <c r="CA85" s="1971"/>
      <c r="CB85" s="1971"/>
      <c r="CC85" s="1971"/>
      <c r="CD85" s="1971"/>
      <c r="CE85" s="1971"/>
      <c r="CF85" s="1971"/>
      <c r="CG85" s="1971"/>
      <c r="CH85" s="1971"/>
      <c r="CI85" s="1971"/>
      <c r="CJ85" s="4"/>
      <c r="CK85" s="4"/>
      <c r="CL85"/>
      <c r="CM85"/>
      <c r="CN85"/>
      <c r="CO85"/>
      <c r="CP85"/>
    </row>
    <row r="86" spans="1:94" ht="15" customHeight="1" x14ac:dyDescent="0.3">
      <c r="A86" s="1462" t="s">
        <v>2675</v>
      </c>
      <c r="B86" s="1114"/>
      <c r="C86" s="1278"/>
      <c r="D86" s="3181"/>
      <c r="E86" s="1114"/>
      <c r="F86" s="1278"/>
      <c r="G86" s="1115"/>
      <c r="H86" s="3336"/>
      <c r="I86" s="3336"/>
      <c r="J86" s="3336"/>
      <c r="K86" s="3336"/>
      <c r="L86" s="3336"/>
      <c r="M86" s="3336"/>
      <c r="N86" s="3336"/>
      <c r="O86" s="3336"/>
      <c r="P86" s="3336"/>
      <c r="Q86" s="3336"/>
      <c r="R86" s="3336"/>
      <c r="S86" s="3336"/>
      <c r="T86" s="3336"/>
      <c r="U86" s="1970"/>
      <c r="CA86" s="1971"/>
      <c r="CB86" s="1971"/>
      <c r="CC86" s="1971"/>
      <c r="CD86" s="1971"/>
      <c r="CE86" s="1971"/>
      <c r="CF86" s="1971"/>
      <c r="CG86" s="1971"/>
      <c r="CH86" s="1971"/>
      <c r="CI86" s="1971"/>
      <c r="CJ86" s="4"/>
      <c r="CK86" s="4"/>
      <c r="CL86"/>
      <c r="CM86"/>
      <c r="CN86"/>
      <c r="CO86"/>
      <c r="CP86"/>
    </row>
    <row r="87" spans="1:94" ht="15" customHeight="1" x14ac:dyDescent="0.3">
      <c r="A87" s="2175" t="s">
        <v>2676</v>
      </c>
      <c r="B87" s="1289"/>
      <c r="C87" s="3332"/>
      <c r="D87" s="1140"/>
      <c r="E87" s="1289"/>
      <c r="F87" s="262"/>
      <c r="G87" s="1474"/>
      <c r="H87" s="3336"/>
      <c r="I87" s="3336"/>
      <c r="J87" s="3336"/>
      <c r="K87" s="3336"/>
      <c r="L87" s="3336"/>
      <c r="M87" s="3336"/>
      <c r="N87" s="3336"/>
      <c r="O87" s="3336"/>
      <c r="P87" s="3336"/>
      <c r="Q87" s="3336"/>
      <c r="R87" s="3336"/>
      <c r="S87" s="3336"/>
      <c r="T87" s="3336"/>
      <c r="U87" s="1970"/>
      <c r="CA87" s="1971"/>
      <c r="CB87" s="1971"/>
      <c r="CC87" s="1971"/>
      <c r="CD87" s="1971"/>
      <c r="CE87" s="1971"/>
      <c r="CF87" s="1971"/>
      <c r="CG87" s="1971"/>
      <c r="CH87" s="1971"/>
      <c r="CI87" s="1971"/>
      <c r="CJ87" s="4"/>
      <c r="CK87" s="4"/>
      <c r="CL87"/>
      <c r="CM87"/>
      <c r="CN87"/>
      <c r="CO87"/>
      <c r="CP87"/>
    </row>
    <row r="88" spans="1:94" ht="15" customHeight="1" x14ac:dyDescent="0.3">
      <c r="A88" s="4646" t="s">
        <v>2677</v>
      </c>
      <c r="B88" s="1289"/>
      <c r="C88" s="3332"/>
      <c r="D88" s="316"/>
      <c r="E88" s="1289"/>
      <c r="F88" s="262"/>
      <c r="G88" s="1474"/>
      <c r="H88" s="3336"/>
      <c r="I88" s="3336"/>
      <c r="J88" s="3336"/>
      <c r="K88" s="3336"/>
      <c r="L88" s="3336"/>
      <c r="M88" s="3336"/>
      <c r="N88" s="3336"/>
      <c r="O88" s="3336"/>
      <c r="P88" s="3336"/>
      <c r="Q88" s="3336"/>
      <c r="R88" s="3336"/>
      <c r="S88" s="3336"/>
      <c r="T88" s="3336"/>
      <c r="U88" s="1970"/>
      <c r="CA88" s="1971"/>
      <c r="CB88" s="1971"/>
      <c r="CC88" s="1971"/>
      <c r="CD88" s="1971"/>
      <c r="CE88" s="1971"/>
      <c r="CF88" s="1971"/>
      <c r="CG88" s="1971"/>
      <c r="CH88" s="1971"/>
      <c r="CI88" s="1971"/>
      <c r="CJ88" s="4"/>
      <c r="CK88" s="4"/>
      <c r="CL88"/>
      <c r="CM88"/>
      <c r="CN88"/>
      <c r="CO88"/>
      <c r="CP88"/>
    </row>
    <row r="89" spans="1:94" s="25" customFormat="1" ht="18" customHeight="1" x14ac:dyDescent="0.2">
      <c r="A89" s="13" t="s">
        <v>2678</v>
      </c>
      <c r="B89" s="4525"/>
      <c r="C89" s="5"/>
      <c r="D89" s="5"/>
      <c r="E89" s="5"/>
      <c r="F89" s="4647"/>
      <c r="G89" s="4648"/>
      <c r="H89" s="5"/>
    </row>
    <row r="90" spans="1:94" ht="15" customHeight="1" x14ac:dyDescent="0.3">
      <c r="A90" s="7166" t="s">
        <v>2679</v>
      </c>
      <c r="B90" s="7167"/>
      <c r="C90" s="7168" t="s">
        <v>68</v>
      </c>
      <c r="D90" s="7170" t="s">
        <v>2680</v>
      </c>
      <c r="E90" s="7170" t="s">
        <v>67</v>
      </c>
      <c r="F90" s="7171" t="s">
        <v>2681</v>
      </c>
      <c r="G90" s="7122" t="s">
        <v>29</v>
      </c>
      <c r="H90" s="7122"/>
      <c r="I90" s="7123"/>
    </row>
    <row r="91" spans="1:94" ht="15" customHeight="1" x14ac:dyDescent="0.3">
      <c r="A91" s="6825"/>
      <c r="B91" s="6797"/>
      <c r="C91" s="7169"/>
      <c r="D91" s="6692"/>
      <c r="E91" s="6692"/>
      <c r="F91" s="6820"/>
      <c r="G91" s="4583" t="s">
        <v>2567</v>
      </c>
      <c r="H91" s="4528" t="s">
        <v>304</v>
      </c>
      <c r="I91" s="4585" t="s">
        <v>706</v>
      </c>
    </row>
    <row r="92" spans="1:94" ht="15" customHeight="1" x14ac:dyDescent="0.3">
      <c r="A92" s="7093" t="s">
        <v>2682</v>
      </c>
      <c r="B92" s="7094"/>
      <c r="C92" s="1106"/>
      <c r="D92" s="3728"/>
      <c r="E92" s="773"/>
      <c r="F92" s="771"/>
      <c r="G92" s="1106"/>
      <c r="H92" s="773"/>
      <c r="I92" s="1107"/>
    </row>
    <row r="93" spans="1:94" ht="15" customHeight="1" x14ac:dyDescent="0.3">
      <c r="A93" s="6653" t="s">
        <v>2683</v>
      </c>
      <c r="B93" s="6654"/>
      <c r="C93" s="1289"/>
      <c r="D93" s="4649"/>
      <c r="E93" s="262"/>
      <c r="F93" s="311"/>
      <c r="G93" s="1289"/>
      <c r="H93" s="262"/>
      <c r="I93" s="1474"/>
    </row>
    <row r="94" spans="1:94" ht="15" customHeight="1" x14ac:dyDescent="0.3">
      <c r="A94" s="7164" t="s">
        <v>742</v>
      </c>
      <c r="B94" s="1811" t="s">
        <v>743</v>
      </c>
      <c r="C94" s="290"/>
      <c r="D94" s="536"/>
      <c r="E94" s="535"/>
      <c r="F94" s="637"/>
      <c r="G94" s="290"/>
      <c r="H94" s="535"/>
      <c r="I94" s="107"/>
    </row>
    <row r="95" spans="1:94" ht="15" customHeight="1" x14ac:dyDescent="0.3">
      <c r="A95" s="7165"/>
      <c r="B95" s="4635" t="s">
        <v>744</v>
      </c>
      <c r="C95" s="1114"/>
      <c r="D95" s="4650"/>
      <c r="E95" s="1278"/>
      <c r="F95" s="1118"/>
      <c r="G95" s="1114"/>
      <c r="H95" s="1278"/>
      <c r="I95" s="1115"/>
    </row>
    <row r="96" spans="1:94" ht="15" customHeight="1" x14ac:dyDescent="0.3">
      <c r="A96" s="7165"/>
      <c r="B96" s="4651" t="s">
        <v>745</v>
      </c>
      <c r="C96" s="1114"/>
      <c r="D96" s="4650"/>
      <c r="E96" s="1278"/>
      <c r="F96" s="1118"/>
      <c r="G96" s="1114"/>
      <c r="H96" s="1278"/>
      <c r="I96" s="1115"/>
    </row>
    <row r="97" spans="1:102" ht="15" customHeight="1" x14ac:dyDescent="0.3">
      <c r="A97" s="7165"/>
      <c r="B97" s="4652" t="s">
        <v>746</v>
      </c>
      <c r="C97" s="1114"/>
      <c r="D97" s="4650"/>
      <c r="E97" s="1278"/>
      <c r="F97" s="1118"/>
      <c r="G97" s="1114"/>
      <c r="H97" s="1278"/>
      <c r="I97" s="1115"/>
    </row>
    <row r="98" spans="1:102" ht="20.399999999999999" x14ac:dyDescent="0.3">
      <c r="A98" s="7165"/>
      <c r="B98" s="4653" t="s">
        <v>747</v>
      </c>
      <c r="C98" s="1114"/>
      <c r="D98" s="4650"/>
      <c r="E98" s="1278"/>
      <c r="F98" s="1118"/>
      <c r="G98" s="1114"/>
      <c r="H98" s="1278"/>
      <c r="I98" s="1115"/>
    </row>
    <row r="99" spans="1:102" ht="20.399999999999999" x14ac:dyDescent="0.3">
      <c r="A99" s="7165"/>
      <c r="B99" s="4653" t="s">
        <v>748</v>
      </c>
      <c r="C99" s="1114"/>
      <c r="D99" s="4650"/>
      <c r="E99" s="1278"/>
      <c r="F99" s="1118"/>
      <c r="G99" s="1114"/>
      <c r="H99" s="1278"/>
      <c r="I99" s="1115"/>
    </row>
    <row r="100" spans="1:102" ht="15" customHeight="1" x14ac:dyDescent="0.3">
      <c r="A100" s="7152"/>
      <c r="B100" s="1028" t="s">
        <v>2684</v>
      </c>
      <c r="C100" s="1139"/>
      <c r="D100" s="4649"/>
      <c r="E100" s="1283"/>
      <c r="F100" s="1140"/>
      <c r="G100" s="1139"/>
      <c r="H100" s="1283"/>
      <c r="I100" s="388"/>
    </row>
    <row r="101" spans="1:102" ht="15" customHeight="1" x14ac:dyDescent="0.3">
      <c r="A101" s="7093" t="s">
        <v>2685</v>
      </c>
      <c r="B101" s="7094"/>
      <c r="C101" s="1106"/>
      <c r="D101" s="3728"/>
      <c r="E101" s="773"/>
      <c r="F101" s="771"/>
      <c r="G101" s="1106"/>
      <c r="H101" s="773"/>
      <c r="I101" s="1107"/>
    </row>
    <row r="102" spans="1:102" ht="15" customHeight="1" x14ac:dyDescent="0.3">
      <c r="A102" s="7172" t="s">
        <v>2686</v>
      </c>
      <c r="B102" s="7173"/>
      <c r="C102" s="290"/>
      <c r="D102" s="535"/>
      <c r="E102" s="535"/>
      <c r="F102" s="637"/>
      <c r="G102" s="290"/>
      <c r="H102" s="535"/>
      <c r="I102" s="107"/>
    </row>
    <row r="103" spans="1:102" ht="15" customHeight="1" x14ac:dyDescent="0.3">
      <c r="A103" s="7174" t="s">
        <v>2687</v>
      </c>
      <c r="B103" s="7175"/>
      <c r="C103" s="1095"/>
      <c r="D103" s="4654"/>
      <c r="E103" s="4655"/>
      <c r="F103" s="1099"/>
      <c r="G103" s="1095"/>
      <c r="H103" s="4655"/>
      <c r="I103" s="1096"/>
    </row>
    <row r="104" spans="1:102" ht="15" customHeight="1" x14ac:dyDescent="0.3">
      <c r="A104" s="7148" t="s">
        <v>2688</v>
      </c>
      <c r="B104" s="7149"/>
      <c r="C104" s="3790">
        <f>SUM(C92:C103)</f>
        <v>0</v>
      </c>
      <c r="D104" s="3792">
        <f>D102</f>
        <v>0</v>
      </c>
      <c r="E104" s="3792">
        <f t="shared" ref="E104:I104" si="17">SUM(E92:E103)</f>
        <v>0</v>
      </c>
      <c r="F104" s="3788">
        <f t="shared" si="17"/>
        <v>0</v>
      </c>
      <c r="G104" s="3790">
        <f t="shared" si="17"/>
        <v>0</v>
      </c>
      <c r="H104" s="3792">
        <f t="shared" si="17"/>
        <v>0</v>
      </c>
      <c r="I104" s="4656">
        <f t="shared" si="17"/>
        <v>0</v>
      </c>
    </row>
    <row r="105" spans="1:102" s="25" customFormat="1" ht="18" customHeight="1" x14ac:dyDescent="0.2">
      <c r="A105" s="7176" t="s">
        <v>2689</v>
      </c>
      <c r="B105" s="6059"/>
      <c r="C105" s="6059"/>
      <c r="D105" s="6059"/>
      <c r="E105" s="6059"/>
      <c r="F105" s="6059"/>
      <c r="G105" s="6059"/>
      <c r="H105" s="4657"/>
      <c r="I105" s="4657"/>
      <c r="J105" s="4657"/>
      <c r="K105" s="4657"/>
      <c r="L105" s="11"/>
    </row>
    <row r="106" spans="1:102" s="25" customFormat="1" ht="18" customHeight="1" x14ac:dyDescent="0.2">
      <c r="A106" s="7177" t="s">
        <v>2690</v>
      </c>
      <c r="B106" s="7178"/>
      <c r="C106" s="7178"/>
      <c r="D106" s="7178"/>
      <c r="E106" s="7178"/>
      <c r="F106" s="7178"/>
      <c r="G106" s="7178"/>
      <c r="H106" s="8"/>
      <c r="I106" s="8"/>
      <c r="J106" s="8"/>
      <c r="K106" s="8"/>
      <c r="L106" s="8"/>
    </row>
    <row r="107" spans="1:102" x14ac:dyDescent="0.3">
      <c r="A107" s="7021" t="s">
        <v>277</v>
      </c>
      <c r="B107" s="6969"/>
      <c r="C107" s="7061" t="s">
        <v>77</v>
      </c>
      <c r="D107" s="6989" t="s">
        <v>2691</v>
      </c>
      <c r="E107" s="6990"/>
      <c r="F107" s="6990"/>
      <c r="G107" s="6990"/>
      <c r="H107" s="6990"/>
      <c r="I107" s="6990"/>
      <c r="J107" s="6990"/>
      <c r="K107" s="6991"/>
      <c r="L107" s="6969" t="s">
        <v>2692</v>
      </c>
    </row>
    <row r="108" spans="1:102" ht="20.399999999999999" x14ac:dyDescent="0.3">
      <c r="A108" s="6466"/>
      <c r="B108" s="6687"/>
      <c r="C108" s="7118"/>
      <c r="D108" s="1134" t="s">
        <v>2693</v>
      </c>
      <c r="E108" s="1135" t="s">
        <v>2694</v>
      </c>
      <c r="F108" s="1238" t="s">
        <v>2695</v>
      </c>
      <c r="G108" s="1238" t="s">
        <v>2696</v>
      </c>
      <c r="H108" s="1238" t="s">
        <v>2697</v>
      </c>
      <c r="I108" s="1238" t="s">
        <v>2698</v>
      </c>
      <c r="J108" s="1238" t="s">
        <v>2699</v>
      </c>
      <c r="K108" s="1241" t="s">
        <v>2700</v>
      </c>
      <c r="L108" s="6687"/>
    </row>
    <row r="109" spans="1:102" ht="15" customHeight="1" x14ac:dyDescent="0.3">
      <c r="A109" s="7125" t="s">
        <v>2701</v>
      </c>
      <c r="B109" s="7126"/>
      <c r="C109" s="4594">
        <f>SUM(D109:K109)</f>
        <v>0</v>
      </c>
      <c r="D109" s="1095"/>
      <c r="E109" s="1097"/>
      <c r="F109" s="4655"/>
      <c r="G109" s="4655"/>
      <c r="H109" s="4655"/>
      <c r="I109" s="4655"/>
      <c r="J109" s="4655"/>
      <c r="K109" s="1100"/>
      <c r="L109" s="1096"/>
      <c r="M109" s="2181" t="str">
        <f>CA109</f>
        <v/>
      </c>
      <c r="N109" s="4659"/>
      <c r="O109" s="2181"/>
      <c r="P109" s="7"/>
      <c r="Q109" s="7"/>
      <c r="R109" s="7"/>
      <c r="S109" s="9"/>
      <c r="T109" s="9"/>
      <c r="U109" s="9"/>
      <c r="V109" s="1873"/>
      <c r="W109" s="1873"/>
      <c r="X109" s="1873"/>
      <c r="Y109" s="1873"/>
      <c r="Z109" s="1873"/>
      <c r="AA109" s="1873"/>
      <c r="AB109" s="1873"/>
      <c r="AC109" s="1873"/>
      <c r="AD109" s="1873"/>
      <c r="AE109" s="1873"/>
      <c r="AF109" s="1873"/>
      <c r="AG109" s="1873"/>
      <c r="AH109" s="1873"/>
      <c r="AI109" s="1873"/>
      <c r="AJ109" s="1873"/>
      <c r="AK109" s="1873"/>
      <c r="AL109" s="1873"/>
      <c r="AM109" s="1873"/>
      <c r="AN109" s="1873"/>
      <c r="AO109" s="1873"/>
      <c r="AP109" s="1873"/>
      <c r="AQ109" s="1873"/>
      <c r="AR109" s="1873"/>
      <c r="AS109" s="1873"/>
      <c r="AT109" s="1873"/>
      <c r="AU109" s="1873"/>
      <c r="AV109" s="1873"/>
      <c r="AW109" s="1873"/>
      <c r="AX109" s="1873"/>
      <c r="AY109" s="1873"/>
      <c r="AZ109" s="1873"/>
      <c r="BA109" s="1873"/>
      <c r="BB109" s="1873"/>
      <c r="BC109" s="1873"/>
      <c r="BD109" s="1873"/>
      <c r="BE109" s="1873"/>
      <c r="BF109" s="1873"/>
      <c r="BG109" s="1873"/>
      <c r="BH109" s="1873"/>
      <c r="BI109" s="1873"/>
      <c r="BJ109" s="1873"/>
      <c r="BK109" s="1873"/>
      <c r="BL109" s="1873"/>
      <c r="BM109" s="1873"/>
      <c r="BN109" s="1873"/>
      <c r="BO109" s="1873"/>
      <c r="BP109" s="1873"/>
      <c r="BQ109" s="1873"/>
      <c r="BR109" s="1873"/>
      <c r="BS109" s="1873"/>
      <c r="BT109" s="1873"/>
      <c r="BU109" s="1873"/>
      <c r="BV109" s="1873"/>
      <c r="BW109" s="1873"/>
      <c r="BX109" s="1873"/>
      <c r="BY109" s="1873"/>
      <c r="BZ109" s="283"/>
      <c r="CA109" s="1899" t="str">
        <f>IF(AND($C109&lt;&gt;0,L109=""),"* No olvide ingresar la variable  "&amp;L$107&amp;""&amp;" . Si no tiene digite CERO.  ",IF(L109&gt;$C109,"* El Número de Anomalía Congenita no puede superar el Total. ",""))</f>
        <v/>
      </c>
      <c r="CI109" s="1901">
        <f>IF(AND($C109&lt;&gt;0,L109=""),1,IF(L109&gt;$C109,1,0))</f>
        <v>0</v>
      </c>
      <c r="CT109"/>
      <c r="CU109"/>
      <c r="CV109"/>
    </row>
    <row r="110" spans="1:102" s="25" customFormat="1" ht="18" customHeight="1" x14ac:dyDescent="0.2">
      <c r="A110" s="15" t="s">
        <v>2702</v>
      </c>
      <c r="B110" s="15"/>
      <c r="C110" s="8"/>
      <c r="D110" s="8"/>
      <c r="E110" s="8"/>
      <c r="F110" s="8"/>
      <c r="G110" s="4660"/>
      <c r="H110" s="8"/>
      <c r="I110" s="8"/>
      <c r="J110" s="8"/>
      <c r="K110" s="8"/>
      <c r="L110" s="3721"/>
      <c r="M110" s="8"/>
    </row>
    <row r="111" spans="1:102" ht="15" customHeight="1" x14ac:dyDescent="0.3">
      <c r="A111" s="7072" t="s">
        <v>277</v>
      </c>
      <c r="B111" s="7072"/>
      <c r="C111" s="7066" t="s">
        <v>2703</v>
      </c>
      <c r="D111" s="7067"/>
      <c r="E111" s="6989" t="s">
        <v>2704</v>
      </c>
      <c r="F111" s="6990"/>
      <c r="G111" s="6990"/>
      <c r="H111" s="7078"/>
      <c r="I111" s="7056" t="s">
        <v>2705</v>
      </c>
      <c r="J111" s="7056"/>
      <c r="K111" s="7119" t="s">
        <v>2706</v>
      </c>
      <c r="L111" s="7119" t="s">
        <v>2707</v>
      </c>
      <c r="M111" s="6988" t="s">
        <v>2708</v>
      </c>
      <c r="N111" s="6988" t="s">
        <v>2709</v>
      </c>
      <c r="O111" s="6988" t="s">
        <v>2710</v>
      </c>
      <c r="CA111"/>
      <c r="CB111"/>
      <c r="CW111" s="25"/>
      <c r="CX111" s="25"/>
    </row>
    <row r="112" spans="1:102" ht="30.6" x14ac:dyDescent="0.3">
      <c r="A112" s="7072"/>
      <c r="B112" s="7072"/>
      <c r="C112" s="1190" t="s">
        <v>2711</v>
      </c>
      <c r="D112" s="1189" t="s">
        <v>2712</v>
      </c>
      <c r="E112" s="1190" t="s">
        <v>2713</v>
      </c>
      <c r="F112" s="4616" t="s">
        <v>2714</v>
      </c>
      <c r="G112" s="4616" t="s">
        <v>2715</v>
      </c>
      <c r="H112" s="1189" t="s">
        <v>2716</v>
      </c>
      <c r="I112" s="4583" t="s">
        <v>2717</v>
      </c>
      <c r="J112" s="1092" t="s">
        <v>2718</v>
      </c>
      <c r="K112" s="7120"/>
      <c r="L112" s="7120"/>
      <c r="M112" s="6471"/>
      <c r="N112" s="6471"/>
      <c r="O112" s="6471"/>
      <c r="CA112"/>
      <c r="CB112"/>
      <c r="CW112" s="25"/>
      <c r="CX112" s="25"/>
    </row>
    <row r="113" spans="1:102" ht="15" customHeight="1" x14ac:dyDescent="0.3">
      <c r="A113" s="7114" t="s">
        <v>2701</v>
      </c>
      <c r="B113" s="7115"/>
      <c r="C113" s="4662"/>
      <c r="D113" s="4663"/>
      <c r="E113" s="4662"/>
      <c r="F113" s="4664"/>
      <c r="G113" s="4664"/>
      <c r="H113" s="4663"/>
      <c r="I113" s="4662"/>
      <c r="J113" s="4663"/>
      <c r="K113" s="4663"/>
      <c r="L113" s="4663"/>
      <c r="M113" s="4663"/>
      <c r="N113" s="4663"/>
      <c r="O113" s="4663"/>
      <c r="CA113"/>
      <c r="CB113"/>
      <c r="CW113" s="25"/>
      <c r="CX113" s="25"/>
    </row>
    <row r="114" spans="1:102" s="25" customFormat="1" ht="18" customHeight="1" x14ac:dyDescent="0.2">
      <c r="A114" s="7116" t="s">
        <v>2719</v>
      </c>
      <c r="B114" s="7117"/>
      <c r="C114" s="7117"/>
      <c r="D114" s="7117"/>
      <c r="E114" s="7117"/>
      <c r="F114" s="7117"/>
      <c r="G114" s="7117"/>
      <c r="H114" s="8"/>
      <c r="I114" s="8"/>
      <c r="J114" s="8"/>
      <c r="K114" s="8"/>
      <c r="L114" s="8"/>
      <c r="M114" s="8"/>
      <c r="N114" s="8"/>
      <c r="O114" s="8"/>
    </row>
    <row r="115" spans="1:102" ht="15" customHeight="1" x14ac:dyDescent="0.3">
      <c r="A115" s="6988" t="s">
        <v>277</v>
      </c>
      <c r="B115" s="6082" t="s">
        <v>77</v>
      </c>
      <c r="C115" s="6989" t="s">
        <v>2691</v>
      </c>
      <c r="D115" s="6990"/>
      <c r="E115" s="6990"/>
      <c r="F115" s="6990"/>
      <c r="G115" s="6990"/>
      <c r="H115" s="6990"/>
      <c r="I115" s="6990"/>
      <c r="J115" s="7078"/>
      <c r="K115" s="7119" t="s">
        <v>2720</v>
      </c>
      <c r="L115" s="7121" t="s">
        <v>2721</v>
      </c>
      <c r="M115" s="7122"/>
      <c r="N115" s="7122"/>
      <c r="O115" s="7123"/>
    </row>
    <row r="116" spans="1:102" ht="40.799999999999997" x14ac:dyDescent="0.3">
      <c r="A116" s="6471"/>
      <c r="B116" s="7118"/>
      <c r="C116" s="1134" t="s">
        <v>2693</v>
      </c>
      <c r="D116" s="1135" t="s">
        <v>2694</v>
      </c>
      <c r="E116" s="1238" t="s">
        <v>2695</v>
      </c>
      <c r="F116" s="1238" t="s">
        <v>2696</v>
      </c>
      <c r="G116" s="1238" t="s">
        <v>2697</v>
      </c>
      <c r="H116" s="1238" t="s">
        <v>2698</v>
      </c>
      <c r="I116" s="1238" t="s">
        <v>2699</v>
      </c>
      <c r="J116" s="1252" t="s">
        <v>2700</v>
      </c>
      <c r="K116" s="7120"/>
      <c r="L116" s="4632" t="s">
        <v>2722</v>
      </c>
      <c r="M116" s="4528" t="s">
        <v>2723</v>
      </c>
      <c r="N116" s="4528" t="s">
        <v>2724</v>
      </c>
      <c r="O116" s="4585" t="s">
        <v>2725</v>
      </c>
    </row>
    <row r="117" spans="1:102" ht="15" customHeight="1" x14ac:dyDescent="0.3">
      <c r="A117" s="1167" t="s">
        <v>2726</v>
      </c>
      <c r="B117" s="4665">
        <f>SUM(C117)</f>
        <v>0</v>
      </c>
      <c r="C117" s="290"/>
      <c r="D117" s="3728"/>
      <c r="E117" s="3728"/>
      <c r="F117" s="3728"/>
      <c r="G117" s="3728"/>
      <c r="H117" s="3728"/>
      <c r="I117" s="3728"/>
      <c r="J117" s="130"/>
      <c r="K117" s="637"/>
      <c r="L117" s="290"/>
      <c r="M117" s="535"/>
      <c r="N117" s="535"/>
      <c r="O117" s="107"/>
    </row>
    <row r="118" spans="1:102" ht="15" customHeight="1" x14ac:dyDescent="0.3">
      <c r="A118" s="247" t="s">
        <v>2727</v>
      </c>
      <c r="B118" s="393">
        <f>SUM(C118:J118)</f>
        <v>0</v>
      </c>
      <c r="C118" s="290"/>
      <c r="D118" s="535"/>
      <c r="E118" s="535"/>
      <c r="F118" s="535"/>
      <c r="G118" s="535"/>
      <c r="H118" s="535"/>
      <c r="I118" s="535"/>
      <c r="J118" s="107"/>
      <c r="K118" s="637"/>
      <c r="L118" s="290"/>
      <c r="M118" s="535"/>
      <c r="N118" s="535"/>
      <c r="O118" s="107"/>
    </row>
    <row r="119" spans="1:102" ht="15" customHeight="1" x14ac:dyDescent="0.3">
      <c r="A119" s="3025" t="s">
        <v>2728</v>
      </c>
      <c r="B119" s="1396">
        <f>SUM(C119:J119)</f>
        <v>0</v>
      </c>
      <c r="C119" s="1139"/>
      <c r="D119" s="1283"/>
      <c r="E119" s="1283"/>
      <c r="F119" s="1283"/>
      <c r="G119" s="1283"/>
      <c r="H119" s="1283"/>
      <c r="I119" s="1283"/>
      <c r="J119" s="388"/>
      <c r="K119" s="388"/>
      <c r="L119" s="1139"/>
      <c r="M119" s="1283"/>
      <c r="N119" s="1283"/>
      <c r="O119" s="388"/>
    </row>
    <row r="120" spans="1:102" s="25" customFormat="1" ht="18" customHeight="1" x14ac:dyDescent="0.2">
      <c r="A120" s="1" t="s">
        <v>2729</v>
      </c>
      <c r="B120" s="8"/>
      <c r="C120" s="8"/>
      <c r="D120" s="8"/>
      <c r="E120" s="8"/>
    </row>
    <row r="121" spans="1:102" ht="21.75" customHeight="1" x14ac:dyDescent="0.3">
      <c r="A121" s="1808" t="s">
        <v>2730</v>
      </c>
      <c r="B121" s="1236" t="s">
        <v>2731</v>
      </c>
      <c r="C121" s="1136" t="s">
        <v>2732</v>
      </c>
      <c r="D121" s="1242" t="s">
        <v>322</v>
      </c>
      <c r="E121" s="1092" t="s">
        <v>37</v>
      </c>
    </row>
    <row r="122" spans="1:102" ht="15" customHeight="1" x14ac:dyDescent="0.3">
      <c r="A122" s="1320" t="s">
        <v>2733</v>
      </c>
      <c r="B122" s="4666"/>
      <c r="C122" s="4667"/>
      <c r="D122" s="4668"/>
      <c r="E122" s="4669"/>
      <c r="F122" s="1970" t="str">
        <f>CA122&amp;CB122&amp;CC122&amp;CD122&amp;CE122</f>
        <v/>
      </c>
      <c r="CA122" s="4"/>
      <c r="CB122" s="4"/>
      <c r="CC122" s="4258" t="str">
        <f>IF(AND(OR(B122&gt;0,C122&gt;0),D122="")," * No olvide digitar la variable Pueblos originarios. Digite cero si no tiene.",IF(D122&gt;(B122+C122)," * La variable pueblos originarios No puede ser mayor a los egresados en Servicio Gineco-obstétrico y Neonatología..",""))</f>
        <v/>
      </c>
      <c r="CD122" s="4258" t="str">
        <f>IF(AND(OR(B122&gt;0,C122&gt;0),E122="")," * No olvide digitar la variable Migrantes. Digite cero si no tiene.",IF(E122&gt;(B122+C122)," * La variable Migrantes No puede ser mayor a los egresados en Servicio Gineco-obstétrico y Neonatología.",""))</f>
        <v/>
      </c>
      <c r="CE122" s="4258"/>
      <c r="CF122" s="4258"/>
      <c r="CK122" s="4670">
        <f t="shared" ref="CK122:CK130" si="18">IF(AND(OR(B122&gt;0,C122&gt;0),D122=""),1,IF(D122&gt;(B122+C122),1,0))</f>
        <v>0</v>
      </c>
      <c r="CL122" s="4670">
        <f t="shared" ref="CL122:CL130" si="19">IF(AND(OR(B122&gt;0,C122&gt;0),E122=""),1,IF(E122&gt;(B122+C122),1,0))</f>
        <v>0</v>
      </c>
      <c r="CM122" s="4"/>
      <c r="CN122" s="4"/>
      <c r="CT122"/>
      <c r="CU122"/>
      <c r="CV122"/>
    </row>
    <row r="123" spans="1:102" ht="21.9" customHeight="1" x14ac:dyDescent="0.3">
      <c r="A123" s="1015" t="s">
        <v>2734</v>
      </c>
      <c r="B123" s="4671"/>
      <c r="C123" s="3818"/>
      <c r="D123" s="4672"/>
      <c r="E123" s="4673"/>
      <c r="F123" s="1970" t="str">
        <f t="shared" ref="F123:F130" si="20">CA123&amp;CB123&amp;CC123&amp;CD123&amp;CE123</f>
        <v/>
      </c>
      <c r="CA123" s="4258"/>
      <c r="CB123" s="4258"/>
      <c r="CC123" s="4258" t="str">
        <f t="shared" ref="CC123:CC130" si="21">IF(AND(OR(B123&gt;0,C123&gt;0),D123="")," * No olvide digitar la variable Pueblos originarios. Digite cero si no tiene.",IF(D123&gt;(B123+C123)," * La variable pueblos originarios No puede ser mayor a los egresados en Servicio Gineco-obstétrico y Neonatología..",""))</f>
        <v/>
      </c>
      <c r="CD123" s="4258" t="str">
        <f t="shared" ref="CD123:CD130" si="22">IF(AND(OR(B123&gt;0,C123&gt;0),E123="")," * No olvide digitar la variable Migrantes. Digite cero si no tiene.",IF(E123&gt;(B123+C123)," * La variable Migrantes No puede ser mayor a los egresados en Servicio Gineco-obstétrico y Neonatología.",""))</f>
        <v/>
      </c>
      <c r="CE123" s="4258"/>
      <c r="CF123" s="4258"/>
      <c r="CI123" s="4670"/>
      <c r="CJ123" s="4670"/>
      <c r="CK123" s="4670">
        <f t="shared" si="18"/>
        <v>0</v>
      </c>
      <c r="CL123" s="4670">
        <f t="shared" si="19"/>
        <v>0</v>
      </c>
      <c r="CM123" s="4"/>
      <c r="CN123" s="4"/>
      <c r="CT123"/>
      <c r="CU123"/>
      <c r="CV123"/>
    </row>
    <row r="124" spans="1:102" ht="21.9" customHeight="1" x14ac:dyDescent="0.3">
      <c r="A124" s="1015" t="s">
        <v>2735</v>
      </c>
      <c r="B124" s="4674"/>
      <c r="C124" s="4675"/>
      <c r="D124" s="3831"/>
      <c r="E124" s="4676"/>
      <c r="F124" s="1970" t="str">
        <f t="shared" si="20"/>
        <v/>
      </c>
      <c r="CA124" s="4"/>
      <c r="CB124" s="4"/>
      <c r="CC124" s="4258" t="str">
        <f t="shared" si="21"/>
        <v/>
      </c>
      <c r="CD124" s="4258" t="str">
        <f t="shared" si="22"/>
        <v/>
      </c>
      <c r="CE124" s="4258"/>
      <c r="CF124" s="4258"/>
      <c r="CK124" s="4670">
        <f t="shared" si="18"/>
        <v>0</v>
      </c>
      <c r="CL124" s="4670">
        <f t="shared" si="19"/>
        <v>0</v>
      </c>
      <c r="CM124" s="4"/>
      <c r="CN124" s="4"/>
      <c r="CT124"/>
      <c r="CU124"/>
      <c r="CV124"/>
    </row>
    <row r="125" spans="1:102" ht="21.9" customHeight="1" x14ac:dyDescent="0.3">
      <c r="A125" s="170" t="s">
        <v>2736</v>
      </c>
      <c r="B125" s="4674"/>
      <c r="C125" s="4675"/>
      <c r="D125" s="3831"/>
      <c r="E125" s="4676"/>
      <c r="F125" s="1970" t="str">
        <f t="shared" si="20"/>
        <v/>
      </c>
      <c r="CA125" s="4"/>
      <c r="CB125" s="4"/>
      <c r="CC125" s="4258" t="str">
        <f t="shared" si="21"/>
        <v/>
      </c>
      <c r="CD125" s="4258" t="str">
        <f t="shared" si="22"/>
        <v/>
      </c>
      <c r="CE125" s="4258"/>
      <c r="CF125" s="4258"/>
      <c r="CK125" s="4670">
        <f t="shared" si="18"/>
        <v>0</v>
      </c>
      <c r="CL125" s="4670">
        <f t="shared" si="19"/>
        <v>0</v>
      </c>
      <c r="CM125" s="4"/>
      <c r="CN125" s="4"/>
      <c r="CT125"/>
      <c r="CU125"/>
      <c r="CV125"/>
    </row>
    <row r="126" spans="1:102" ht="30.6" x14ac:dyDescent="0.3">
      <c r="A126" s="1015" t="s">
        <v>2737</v>
      </c>
      <c r="B126" s="4674"/>
      <c r="C126" s="4675"/>
      <c r="D126" s="3831"/>
      <c r="E126" s="4676"/>
      <c r="F126" s="1970" t="str">
        <f t="shared" si="20"/>
        <v/>
      </c>
      <c r="CA126" s="4"/>
      <c r="CB126" s="4"/>
      <c r="CC126" s="4258" t="str">
        <f t="shared" si="21"/>
        <v/>
      </c>
      <c r="CD126" s="4258" t="str">
        <f t="shared" si="22"/>
        <v/>
      </c>
      <c r="CE126" s="4258"/>
      <c r="CF126" s="4258"/>
      <c r="CK126" s="4670">
        <f t="shared" si="18"/>
        <v>0</v>
      </c>
      <c r="CL126" s="4670">
        <f t="shared" si="19"/>
        <v>0</v>
      </c>
      <c r="CM126" s="4"/>
      <c r="CN126" s="4"/>
      <c r="CT126"/>
      <c r="CU126"/>
      <c r="CV126"/>
    </row>
    <row r="127" spans="1:102" ht="21.9" customHeight="1" x14ac:dyDescent="0.3">
      <c r="A127" s="170" t="s">
        <v>2738</v>
      </c>
      <c r="B127" s="4674"/>
      <c r="C127" s="4677"/>
      <c r="D127" s="4678"/>
      <c r="E127" s="3701"/>
      <c r="F127" s="1970" t="str">
        <f t="shared" si="20"/>
        <v/>
      </c>
      <c r="CA127" s="4258"/>
      <c r="CB127" s="4258"/>
      <c r="CC127" s="4258" t="str">
        <f t="shared" si="21"/>
        <v/>
      </c>
      <c r="CD127" s="4258" t="str">
        <f t="shared" si="22"/>
        <v/>
      </c>
      <c r="CE127" s="4258"/>
      <c r="CF127" s="4258"/>
      <c r="CI127" s="4670"/>
      <c r="CJ127" s="4670"/>
      <c r="CK127" s="4670">
        <f t="shared" si="18"/>
        <v>0</v>
      </c>
      <c r="CL127" s="4670">
        <f t="shared" si="19"/>
        <v>0</v>
      </c>
      <c r="CM127" s="4"/>
      <c r="CN127" s="4"/>
      <c r="CT127"/>
      <c r="CU127"/>
      <c r="CV127"/>
    </row>
    <row r="128" spans="1:102" ht="21.9" customHeight="1" x14ac:dyDescent="0.3">
      <c r="A128" s="1015" t="s">
        <v>2739</v>
      </c>
      <c r="B128" s="4671"/>
      <c r="C128" s="4675"/>
      <c r="D128" s="3831"/>
      <c r="E128" s="4676"/>
      <c r="F128" s="1970" t="str">
        <f t="shared" si="20"/>
        <v/>
      </c>
      <c r="CA128" s="4"/>
      <c r="CB128" s="4"/>
      <c r="CC128" s="4258" t="str">
        <f t="shared" si="21"/>
        <v/>
      </c>
      <c r="CD128" s="4258" t="str">
        <f t="shared" si="22"/>
        <v/>
      </c>
      <c r="CE128" s="4258"/>
      <c r="CF128" s="4258"/>
      <c r="CK128" s="4670">
        <f t="shared" si="18"/>
        <v>0</v>
      </c>
      <c r="CL128" s="4670">
        <f t="shared" si="19"/>
        <v>0</v>
      </c>
      <c r="CM128" s="4"/>
      <c r="CN128" s="4"/>
      <c r="CT128"/>
      <c r="CU128"/>
      <c r="CV128"/>
    </row>
    <row r="129" spans="1:101" ht="21.9" customHeight="1" x14ac:dyDescent="0.3">
      <c r="A129" s="1015" t="s">
        <v>2740</v>
      </c>
      <c r="B129" s="4674"/>
      <c r="C129" s="4675"/>
      <c r="D129" s="3831"/>
      <c r="E129" s="4676"/>
      <c r="F129" s="1970" t="str">
        <f t="shared" si="20"/>
        <v/>
      </c>
      <c r="CA129" s="4258"/>
      <c r="CB129" s="4258"/>
      <c r="CC129" s="4258" t="str">
        <f t="shared" si="21"/>
        <v/>
      </c>
      <c r="CD129" s="4258" t="str">
        <f t="shared" si="22"/>
        <v/>
      </c>
      <c r="CE129" s="4258"/>
      <c r="CF129" s="4258"/>
      <c r="CI129" s="4670"/>
      <c r="CJ129" s="4670"/>
      <c r="CK129" s="4670">
        <f t="shared" si="18"/>
        <v>0</v>
      </c>
      <c r="CL129" s="4670">
        <f t="shared" si="19"/>
        <v>0</v>
      </c>
      <c r="CM129" s="4"/>
      <c r="CN129" s="4"/>
      <c r="CT129"/>
      <c r="CU129"/>
      <c r="CV129"/>
    </row>
    <row r="130" spans="1:101" ht="35.1" customHeight="1" x14ac:dyDescent="0.3">
      <c r="A130" s="4679" t="s">
        <v>2741</v>
      </c>
      <c r="B130" s="4680"/>
      <c r="C130" s="4681"/>
      <c r="D130" s="4682"/>
      <c r="E130" s="4683"/>
      <c r="F130" s="1970" t="str">
        <f t="shared" si="20"/>
        <v/>
      </c>
      <c r="CA130" s="4258"/>
      <c r="CB130" s="4258"/>
      <c r="CC130" s="4258" t="str">
        <f t="shared" si="21"/>
        <v/>
      </c>
      <c r="CD130" s="4258" t="str">
        <f t="shared" si="22"/>
        <v/>
      </c>
      <c r="CE130" s="4258"/>
      <c r="CF130" s="4258"/>
      <c r="CI130" s="4670"/>
      <c r="CJ130" s="4670"/>
      <c r="CK130" s="4670">
        <f t="shared" si="18"/>
        <v>0</v>
      </c>
      <c r="CL130" s="4670">
        <f t="shared" si="19"/>
        <v>0</v>
      </c>
      <c r="CM130" s="4"/>
      <c r="CN130" s="4"/>
      <c r="CT130"/>
      <c r="CU130"/>
      <c r="CV130"/>
    </row>
    <row r="131" spans="1:101" ht="15" customHeight="1" x14ac:dyDescent="0.3">
      <c r="A131" s="7124" t="s">
        <v>2742</v>
      </c>
      <c r="B131" s="7124"/>
    </row>
    <row r="132" spans="1:101" s="25" customFormat="1" ht="18" customHeight="1" x14ac:dyDescent="0.2">
      <c r="A132" s="11" t="s">
        <v>4366</v>
      </c>
      <c r="B132" s="11"/>
      <c r="C132" s="11"/>
    </row>
    <row r="133" spans="1:101" ht="21.9" customHeight="1" x14ac:dyDescent="0.3">
      <c r="A133" s="7103" t="s">
        <v>603</v>
      </c>
      <c r="B133" s="7103"/>
      <c r="C133" s="1233" t="s">
        <v>2731</v>
      </c>
      <c r="D133" s="1092" t="s">
        <v>2732</v>
      </c>
    </row>
    <row r="134" spans="1:101" x14ac:dyDescent="0.3">
      <c r="A134" s="7104" t="s">
        <v>4367</v>
      </c>
      <c r="B134" s="4684" t="s">
        <v>2743</v>
      </c>
      <c r="C134" s="4666"/>
      <c r="D134" s="4669"/>
    </row>
    <row r="135" spans="1:101" x14ac:dyDescent="0.3">
      <c r="A135" s="6771"/>
      <c r="B135" s="4685" t="s">
        <v>2744</v>
      </c>
      <c r="C135" s="1289"/>
      <c r="D135" s="1474"/>
    </row>
    <row r="136" spans="1:101" ht="15" customHeight="1" x14ac:dyDescent="0.3">
      <c r="A136" s="7104" t="s">
        <v>4368</v>
      </c>
      <c r="B136" s="4429" t="s">
        <v>959</v>
      </c>
      <c r="C136" s="1106"/>
      <c r="D136" s="1107"/>
    </row>
    <row r="137" spans="1:101" ht="15" customHeight="1" x14ac:dyDescent="0.3">
      <c r="A137" s="7105"/>
      <c r="B137" s="4686" t="s">
        <v>2745</v>
      </c>
      <c r="C137" s="1114"/>
      <c r="D137" s="1115"/>
    </row>
    <row r="138" spans="1:101" ht="15" customHeight="1" x14ac:dyDescent="0.3">
      <c r="A138" s="7105"/>
      <c r="B138" s="4686" t="s">
        <v>98</v>
      </c>
      <c r="C138" s="1114"/>
      <c r="D138" s="1115"/>
    </row>
    <row r="139" spans="1:101" ht="15" customHeight="1" x14ac:dyDescent="0.3">
      <c r="A139" s="6771"/>
      <c r="B139" s="4687" t="s">
        <v>105</v>
      </c>
      <c r="C139" s="4680"/>
      <c r="D139" s="4683"/>
    </row>
    <row r="140" spans="1:101" s="25" customFormat="1" ht="18" customHeight="1" x14ac:dyDescent="0.2">
      <c r="A140" s="4688" t="s">
        <v>4369</v>
      </c>
      <c r="B140" s="3352"/>
      <c r="C140" s="3352"/>
      <c r="D140" s="1"/>
      <c r="E140" s="8"/>
      <c r="F140" s="8"/>
      <c r="G140" s="8"/>
      <c r="H140" s="8"/>
      <c r="I140" s="8"/>
      <c r="J140" s="8"/>
      <c r="K140" s="8"/>
      <c r="L140" s="8"/>
      <c r="M140" s="8"/>
    </row>
    <row r="141" spans="1:101" ht="27.9" customHeight="1" x14ac:dyDescent="0.3">
      <c r="A141" s="7022" t="s">
        <v>285</v>
      </c>
      <c r="B141" s="6988" t="s">
        <v>77</v>
      </c>
      <c r="C141" s="7106" t="s">
        <v>29</v>
      </c>
      <c r="D141" s="7107"/>
      <c r="E141" s="7107"/>
      <c r="F141" s="7107"/>
      <c r="G141" s="7107"/>
      <c r="H141" s="7107"/>
      <c r="I141" s="7107"/>
      <c r="J141" s="7107"/>
      <c r="K141" s="7108"/>
      <c r="L141" s="6397" t="s">
        <v>36</v>
      </c>
      <c r="M141" s="7110" t="s">
        <v>37</v>
      </c>
      <c r="N141" s="7112" t="s">
        <v>2746</v>
      </c>
      <c r="CA141"/>
      <c r="CW141" s="25"/>
    </row>
    <row r="142" spans="1:101" ht="27.9" customHeight="1" x14ac:dyDescent="0.3">
      <c r="A142" s="6063"/>
      <c r="B142" s="6466"/>
      <c r="C142" s="1236" t="s">
        <v>94</v>
      </c>
      <c r="D142" s="1465" t="s">
        <v>44</v>
      </c>
      <c r="E142" s="1465" t="s">
        <v>45</v>
      </c>
      <c r="F142" s="1465" t="s">
        <v>46</v>
      </c>
      <c r="G142" s="1465" t="s">
        <v>47</v>
      </c>
      <c r="H142" s="1465" t="s">
        <v>48</v>
      </c>
      <c r="I142" s="1465" t="s">
        <v>49</v>
      </c>
      <c r="J142" s="1465" t="s">
        <v>50</v>
      </c>
      <c r="K142" s="4689" t="s">
        <v>51</v>
      </c>
      <c r="L142" s="7109"/>
      <c r="M142" s="7111"/>
      <c r="N142" s="7113"/>
      <c r="CA142"/>
      <c r="CW142" s="25"/>
    </row>
    <row r="143" spans="1:101" ht="20.399999999999999" x14ac:dyDescent="0.3">
      <c r="A143" s="1010" t="s">
        <v>4370</v>
      </c>
      <c r="B143" s="4432"/>
      <c r="C143" s="1332"/>
      <c r="D143" s="3728"/>
      <c r="E143" s="3728"/>
      <c r="F143" s="3728"/>
      <c r="G143" s="3728"/>
      <c r="H143" s="3728"/>
      <c r="I143" s="3728"/>
      <c r="J143" s="3728"/>
      <c r="K143" s="4691"/>
      <c r="L143" s="4692"/>
      <c r="M143" s="4693"/>
      <c r="N143" s="4693"/>
      <c r="CA143"/>
      <c r="CW143" s="25"/>
    </row>
    <row r="144" spans="1:101" ht="20.399999999999999" x14ac:dyDescent="0.3">
      <c r="A144" s="1028" t="s">
        <v>4371</v>
      </c>
      <c r="B144" s="4694">
        <f>SUM(C144:K144)</f>
        <v>0</v>
      </c>
      <c r="C144" s="1289"/>
      <c r="D144" s="262"/>
      <c r="E144" s="262"/>
      <c r="F144" s="262"/>
      <c r="G144" s="262"/>
      <c r="H144" s="262"/>
      <c r="I144" s="262"/>
      <c r="J144" s="262"/>
      <c r="K144" s="297"/>
      <c r="L144" s="3302"/>
      <c r="M144" s="3450"/>
      <c r="N144" s="3450"/>
      <c r="O144" s="1970" t="str">
        <f>$CA144&amp;CB144&amp;CC144</f>
        <v/>
      </c>
      <c r="CA144" s="4258" t="str">
        <f>IF(AND($B144&lt;&gt;0,L144=""),"* No olvide ingresar la variable Pueblos Originarios. Si no tiene digite CERO.  ",IF(L144&gt;$B144,"* La variable Pueblos Originarios no puede superar el Total. ",""))</f>
        <v/>
      </c>
      <c r="CB144" s="4258" t="str">
        <f>IF(AND($B144&lt;&gt;0,M144=""),"* No olvide ingresar la variable Migrantes. Si no tiene digite CERO. ",IF(M144&gt;$B144,"* La variable Migrantes no puede superar el Total. ",""))</f>
        <v/>
      </c>
      <c r="CC144" s="4258" t="str">
        <f>IF(AND($B144&lt;&gt;0,N144=""),"* No olvide ingresar la variable Padres o acompañantes significativos que participan en talleres. Si no tiene digite CERO. ",IF(N144&gt;$B144,"* La variable Padres o acompañantes significativos que participan en talleres no puede superar el Total. ",""))</f>
        <v/>
      </c>
      <c r="CI144" s="4670">
        <f>IF(AND($B144&lt;&gt;0,L144=""),1,IF(L144&gt;$B144,1,0))</f>
        <v>0</v>
      </c>
      <c r="CJ144" s="4670">
        <f>IF(AND($B144&lt;&gt;0,N144=""),1,IF(N144&gt;$B144,1,0))</f>
        <v>0</v>
      </c>
      <c r="CU144"/>
      <c r="CV144"/>
    </row>
    <row r="145" spans="1:100" s="25" customFormat="1" ht="18" customHeight="1" x14ac:dyDescent="0.2">
      <c r="A145" s="11" t="s">
        <v>2747</v>
      </c>
      <c r="B145" s="11"/>
      <c r="C145" s="8"/>
      <c r="D145" s="8"/>
      <c r="E145" s="8"/>
      <c r="F145" s="8"/>
    </row>
    <row r="146" spans="1:100" s="25" customFormat="1" ht="18" customHeight="1" x14ac:dyDescent="0.2">
      <c r="A146" s="11" t="s">
        <v>2748</v>
      </c>
      <c r="B146" s="11"/>
      <c r="C146" s="8"/>
      <c r="D146" s="8"/>
      <c r="E146" s="8"/>
      <c r="F146" s="8"/>
    </row>
    <row r="147" spans="1:100" ht="20.399999999999999" x14ac:dyDescent="0.3">
      <c r="A147" s="7101" t="s">
        <v>2749</v>
      </c>
      <c r="B147" s="7067" t="s">
        <v>2750</v>
      </c>
      <c r="C147" s="6974"/>
      <c r="D147" s="6974"/>
      <c r="E147" s="6974"/>
      <c r="F147" s="4425" t="s">
        <v>2751</v>
      </c>
    </row>
    <row r="148" spans="1:100" ht="20.399999999999999" x14ac:dyDescent="0.3">
      <c r="A148" s="7102"/>
      <c r="B148" s="1135" t="s">
        <v>2752</v>
      </c>
      <c r="C148" s="1238" t="s">
        <v>2753</v>
      </c>
      <c r="D148" s="1135" t="s">
        <v>2754</v>
      </c>
      <c r="E148" s="1092" t="s">
        <v>2755</v>
      </c>
      <c r="F148" s="4425" t="s">
        <v>2756</v>
      </c>
    </row>
    <row r="149" spans="1:100" x14ac:dyDescent="0.3">
      <c r="A149" s="4695" t="s">
        <v>2757</v>
      </c>
      <c r="B149" s="1097"/>
      <c r="C149" s="4655"/>
      <c r="D149" s="1097"/>
      <c r="E149" s="1096"/>
      <c r="F149" s="1099"/>
    </row>
    <row r="150" spans="1:100" s="25" customFormat="1" ht="18" customHeight="1" x14ac:dyDescent="0.2">
      <c r="A150" s="11" t="s">
        <v>2758</v>
      </c>
      <c r="B150" s="8"/>
      <c r="C150" s="8"/>
      <c r="D150" s="8"/>
      <c r="E150" s="8"/>
    </row>
    <row r="151" spans="1:100" x14ac:dyDescent="0.3">
      <c r="A151" s="1808" t="s">
        <v>2759</v>
      </c>
      <c r="B151" s="1237" t="s">
        <v>2760</v>
      </c>
      <c r="C151" s="1134" t="s">
        <v>2761</v>
      </c>
      <c r="D151" s="1136" t="s">
        <v>2329</v>
      </c>
      <c r="E151" s="1092" t="s">
        <v>36</v>
      </c>
    </row>
    <row r="152" spans="1:100" ht="15" customHeight="1" x14ac:dyDescent="0.3">
      <c r="A152" s="1227" t="s">
        <v>2762</v>
      </c>
      <c r="B152" s="4696"/>
      <c r="C152" s="4666"/>
      <c r="D152" s="4667"/>
      <c r="E152" s="4669"/>
      <c r="F152" s="1970" t="str">
        <f>$CA152</f>
        <v/>
      </c>
      <c r="CA152" s="4258" t="str">
        <f>IF(AND($B152&lt;&gt;0,E152=""),"* No olvide ingresar la variable Pueblos Originarios. Si no tiene digite CERO. ",IF(E152&gt;$B152,"* La variable Pueblos Originarios no puede superar el Total de Tamizaje. ",""))</f>
        <v/>
      </c>
      <c r="CB152" s="4"/>
      <c r="CI152" s="4670">
        <f>IF(AND($B152&lt;&gt;0,E152=""),1,IF(E152&gt;$B152,1,0))</f>
        <v>0</v>
      </c>
      <c r="CJ152" s="4"/>
      <c r="CT152"/>
      <c r="CU152"/>
      <c r="CV152"/>
    </row>
    <row r="153" spans="1:100" ht="15" customHeight="1" x14ac:dyDescent="0.3">
      <c r="A153" s="1223" t="s">
        <v>2763</v>
      </c>
      <c r="B153" s="4598"/>
      <c r="C153" s="1114"/>
      <c r="D153" s="1322"/>
      <c r="E153" s="1115"/>
      <c r="F153" s="1970" t="str">
        <f>$CL153&amp;CA153</f>
        <v/>
      </c>
      <c r="CA153" s="4258" t="str">
        <f t="shared" ref="CA153:CA154" si="23">IF(AND($B153&lt;&gt;0,E153=""),"* No olvide ingresar la variable Pueblos Originarios. Si no tiene digite CERO. ",IF(E153&gt;$B153,"* La variable Pueblos Originarios no puede superar el Total de Tamizaje. ",""))</f>
        <v/>
      </c>
      <c r="CB153" s="4"/>
      <c r="CI153" s="4670">
        <f t="shared" ref="CI153:CI154" si="24">IF(AND($B153&lt;&gt;0,E153=""),1,IF(E153&gt;$B153,1,0))</f>
        <v>0</v>
      </c>
      <c r="CT153"/>
      <c r="CU153"/>
      <c r="CV153"/>
    </row>
    <row r="154" spans="1:100" ht="15" customHeight="1" x14ac:dyDescent="0.3">
      <c r="A154" s="1224" t="s">
        <v>2764</v>
      </c>
      <c r="B154" s="4697"/>
      <c r="C154" s="4698"/>
      <c r="D154" s="3824"/>
      <c r="E154" s="693"/>
      <c r="F154" s="1970" t="str">
        <f>$CL154&amp;CA154</f>
        <v/>
      </c>
      <c r="CA154" s="4258" t="str">
        <f t="shared" si="23"/>
        <v/>
      </c>
      <c r="CB154" s="4"/>
      <c r="CI154" s="4670">
        <f t="shared" si="24"/>
        <v>0</v>
      </c>
      <c r="CT154"/>
      <c r="CU154"/>
      <c r="CV154"/>
    </row>
    <row r="155" spans="1:100" ht="20.399999999999999" x14ac:dyDescent="0.3">
      <c r="A155" s="4658" t="s">
        <v>2765</v>
      </c>
      <c r="B155" s="4699" t="s">
        <v>2766</v>
      </c>
      <c r="C155" s="4700" t="s">
        <v>2767</v>
      </c>
      <c r="D155" s="1802" t="s">
        <v>36</v>
      </c>
      <c r="E155" s="9"/>
      <c r="CT155"/>
      <c r="CU155"/>
      <c r="CV155"/>
    </row>
    <row r="156" spans="1:100" x14ac:dyDescent="0.3">
      <c r="A156" s="1227" t="s">
        <v>2768</v>
      </c>
      <c r="B156" s="4696"/>
      <c r="C156" s="4701"/>
      <c r="D156" s="4669"/>
      <c r="E156" s="1970" t="str">
        <f>$CA156</f>
        <v/>
      </c>
      <c r="CA156" s="4258" t="str">
        <f>IF(AND($B156&lt;&gt;0,D156=""),"* No olvide ingresar la variable Pueblos Originarios. Si no tiene digite CERO. ",IF(D156&gt;$B156,"* La variable Pueblos Originarios no puede superar el Total de EOA. ",""))</f>
        <v/>
      </c>
      <c r="CB156" s="4"/>
      <c r="CI156" s="4670">
        <f>IF(AND($B156&lt;&gt;0,D156=""),1,IF(D156&gt;$B156,1,0))</f>
        <v>0</v>
      </c>
      <c r="CT156"/>
      <c r="CU156"/>
      <c r="CV156"/>
    </row>
    <row r="157" spans="1:100" x14ac:dyDescent="0.3">
      <c r="A157" s="1223" t="s">
        <v>1210</v>
      </c>
      <c r="B157" s="4598"/>
      <c r="C157" s="1276"/>
      <c r="D157" s="1115"/>
      <c r="E157" s="1970" t="str">
        <f t="shared" ref="E157:E158" si="25">$CA157</f>
        <v/>
      </c>
      <c r="CA157" s="4258" t="str">
        <f t="shared" ref="CA157:CA158" si="26">IF(AND($B157&lt;&gt;0,D157=""),"* No olvide ingresar la variable Pueblos Originarios. Si no tiene digite CERO. ",IF(D157&gt;$B157,"* La variable Pueblos Originarios no puede superar el Total de EOA. ",""))</f>
        <v/>
      </c>
      <c r="CB157" s="4"/>
      <c r="CI157" s="4670">
        <f t="shared" ref="CI157:CI158" si="27">IF(AND($B157&lt;&gt;0,D157=""),1,IF(D157&gt;$B157,1,0))</f>
        <v>0</v>
      </c>
      <c r="CT157"/>
      <c r="CU157"/>
      <c r="CV157"/>
    </row>
    <row r="158" spans="1:100" x14ac:dyDescent="0.3">
      <c r="A158" s="1224" t="s">
        <v>2769</v>
      </c>
      <c r="B158" s="4697"/>
      <c r="C158" s="4702"/>
      <c r="D158" s="693"/>
      <c r="E158" s="1970" t="str">
        <f t="shared" si="25"/>
        <v/>
      </c>
      <c r="CA158" s="4258" t="str">
        <f t="shared" si="26"/>
        <v/>
      </c>
      <c r="CB158" s="4"/>
      <c r="CI158" s="4670">
        <f t="shared" si="27"/>
        <v>0</v>
      </c>
      <c r="CT158"/>
      <c r="CU158"/>
      <c r="CV158"/>
    </row>
    <row r="159" spans="1:100" x14ac:dyDescent="0.3">
      <c r="A159" s="11" t="s">
        <v>2770</v>
      </c>
      <c r="B159" s="2305"/>
      <c r="C159" s="9"/>
    </row>
    <row r="160" spans="1:100" ht="30.6" x14ac:dyDescent="0.3">
      <c r="A160" s="1051" t="s">
        <v>2765</v>
      </c>
      <c r="B160" s="1134" t="s">
        <v>2771</v>
      </c>
      <c r="C160" s="1801" t="s">
        <v>2772</v>
      </c>
    </row>
    <row r="161" spans="1:3" x14ac:dyDescent="0.3">
      <c r="A161" s="1142" t="s">
        <v>2768</v>
      </c>
      <c r="B161" s="4666"/>
      <c r="C161" s="4669"/>
    </row>
    <row r="162" spans="1:3" x14ac:dyDescent="0.3">
      <c r="A162" s="4703" t="s">
        <v>1210</v>
      </c>
      <c r="B162" s="4680"/>
      <c r="C162" s="4683"/>
    </row>
    <row r="179" spans="1:2" ht="33.75" hidden="1" customHeight="1" x14ac:dyDescent="0.3">
      <c r="A179" s="105">
        <f>SUM(C13:Z23,C26:C38,C42:D57,C61:F71,B77:G79,B84:G88,C92:I103,C109,C113:O113,B117:B119,B122:C130,C134:D139,B143:B144,B149:F149,B152:D154,B156:C158,B161:C162)</f>
        <v>0</v>
      </c>
      <c r="B179" s="105">
        <f>SUM(CI13:CM158)</f>
        <v>0</v>
      </c>
    </row>
  </sheetData>
  <sheetProtection algorithmName="SHA-512" hashValue="Z1kZoj+1b2FNlI+NLzS12yWv0jRJ8E6FEw5xnPXkU7i59gR2CDKf3V3s55uJsBQn+VYsEdxJSas4IgsH9GVrXQ==" saltValue="G45zctnT/Py+WN9rk8Bf6A==" spinCount="100000" sheet="1" objects="1" scenarios="1"/>
  <mergeCells count="138">
    <mergeCell ref="A92:B92"/>
    <mergeCell ref="A93:B93"/>
    <mergeCell ref="A94:A100"/>
    <mergeCell ref="A115:A116"/>
    <mergeCell ref="K73:K75"/>
    <mergeCell ref="L73:L75"/>
    <mergeCell ref="B74:D74"/>
    <mergeCell ref="E74:G74"/>
    <mergeCell ref="A81:A82"/>
    <mergeCell ref="B81:D81"/>
    <mergeCell ref="E81:G81"/>
    <mergeCell ref="A90:B91"/>
    <mergeCell ref="C90:C91"/>
    <mergeCell ref="D90:D91"/>
    <mergeCell ref="E90:E91"/>
    <mergeCell ref="F90:F91"/>
    <mergeCell ref="G90:I90"/>
    <mergeCell ref="A101:B101"/>
    <mergeCell ref="A102:B102"/>
    <mergeCell ref="A103:B103"/>
    <mergeCell ref="A104:B104"/>
    <mergeCell ref="A105:G105"/>
    <mergeCell ref="A106:G106"/>
    <mergeCell ref="A107:B108"/>
    <mergeCell ref="A55:A56"/>
    <mergeCell ref="A57:B57"/>
    <mergeCell ref="A59:B60"/>
    <mergeCell ref="A73:A75"/>
    <mergeCell ref="B73:D73"/>
    <mergeCell ref="E73:G73"/>
    <mergeCell ref="H73:H75"/>
    <mergeCell ref="I73:I75"/>
    <mergeCell ref="J73:J75"/>
    <mergeCell ref="C59:E59"/>
    <mergeCell ref="F59:F60"/>
    <mergeCell ref="A61:A65"/>
    <mergeCell ref="A66:B66"/>
    <mergeCell ref="A67:B67"/>
    <mergeCell ref="A68:B68"/>
    <mergeCell ref="A69:B69"/>
    <mergeCell ref="A70:B70"/>
    <mergeCell ref="A71:B71"/>
    <mergeCell ref="A43:A44"/>
    <mergeCell ref="A45:B45"/>
    <mergeCell ref="A46:A47"/>
    <mergeCell ref="A48:A49"/>
    <mergeCell ref="A50:B50"/>
    <mergeCell ref="A51:B51"/>
    <mergeCell ref="A53:B53"/>
    <mergeCell ref="A52:B52"/>
    <mergeCell ref="A54:B54"/>
    <mergeCell ref="A29:B29"/>
    <mergeCell ref="A30:B30"/>
    <mergeCell ref="A16:B16"/>
    <mergeCell ref="A17:B17"/>
    <mergeCell ref="A18:B18"/>
    <mergeCell ref="A19:B19"/>
    <mergeCell ref="A20:B20"/>
    <mergeCell ref="A27:A28"/>
    <mergeCell ref="A42:B42"/>
    <mergeCell ref="A34:A35"/>
    <mergeCell ref="A31:B31"/>
    <mergeCell ref="A32:A33"/>
    <mergeCell ref="A36:B36"/>
    <mergeCell ref="A37:A38"/>
    <mergeCell ref="A41:B41"/>
    <mergeCell ref="A6:L6"/>
    <mergeCell ref="A9:B11"/>
    <mergeCell ref="C9:C11"/>
    <mergeCell ref="D9:G9"/>
    <mergeCell ref="H9:K9"/>
    <mergeCell ref="L9:L11"/>
    <mergeCell ref="R10:R11"/>
    <mergeCell ref="S9:S11"/>
    <mergeCell ref="T9:W9"/>
    <mergeCell ref="D10:D11"/>
    <mergeCell ref="E10:E11"/>
    <mergeCell ref="F10:F11"/>
    <mergeCell ref="G10:G11"/>
    <mergeCell ref="H10:H11"/>
    <mergeCell ref="I10:I11"/>
    <mergeCell ref="J10:J11"/>
    <mergeCell ref="K10:K11"/>
    <mergeCell ref="M10:M11"/>
    <mergeCell ref="M9:R9"/>
    <mergeCell ref="N10:N11"/>
    <mergeCell ref="O10:O11"/>
    <mergeCell ref="P10:P11"/>
    <mergeCell ref="Q10:Q11"/>
    <mergeCell ref="AB9:AB11"/>
    <mergeCell ref="AC9:AC11"/>
    <mergeCell ref="AD9:AD11"/>
    <mergeCell ref="AE9:AF10"/>
    <mergeCell ref="T10:U10"/>
    <mergeCell ref="V10:W10"/>
    <mergeCell ref="A21:B21"/>
    <mergeCell ref="A22:A23"/>
    <mergeCell ref="A26:B26"/>
    <mergeCell ref="A13:B13"/>
    <mergeCell ref="A14:B14"/>
    <mergeCell ref="A15:B15"/>
    <mergeCell ref="X9:X11"/>
    <mergeCell ref="Y9:Y11"/>
    <mergeCell ref="Z9:Z11"/>
    <mergeCell ref="AA9:AA11"/>
    <mergeCell ref="A25:B25"/>
    <mergeCell ref="A12:B12"/>
    <mergeCell ref="C107:C108"/>
    <mergeCell ref="D107:K107"/>
    <mergeCell ref="L107:L108"/>
    <mergeCell ref="A109:B109"/>
    <mergeCell ref="A111:B112"/>
    <mergeCell ref="C111:D111"/>
    <mergeCell ref="E111:H111"/>
    <mergeCell ref="I111:J111"/>
    <mergeCell ref="K111:K112"/>
    <mergeCell ref="L111:L112"/>
    <mergeCell ref="M111:M112"/>
    <mergeCell ref="M141:M142"/>
    <mergeCell ref="N141:N142"/>
    <mergeCell ref="N111:N112"/>
    <mergeCell ref="O111:O112"/>
    <mergeCell ref="A113:B113"/>
    <mergeCell ref="A114:G114"/>
    <mergeCell ref="B115:B116"/>
    <mergeCell ref="C115:J115"/>
    <mergeCell ref="K115:K116"/>
    <mergeCell ref="L115:O115"/>
    <mergeCell ref="A131:B131"/>
    <mergeCell ref="A147:A148"/>
    <mergeCell ref="B147:E147"/>
    <mergeCell ref="A133:B133"/>
    <mergeCell ref="A134:A135"/>
    <mergeCell ref="A136:A139"/>
    <mergeCell ref="A141:A142"/>
    <mergeCell ref="B141:B142"/>
    <mergeCell ref="C141:K141"/>
    <mergeCell ref="L141:L142"/>
  </mergeCells>
  <dataValidations count="7">
    <dataValidation allowBlank="1" showInputMessage="1" showErrorMessage="1" error="Valor no Permitido" sqref="A6:L6 C9:C10 U11:U12 A9:A10 V10 M9 H9 H10:K10 C148:E148 A8:AB8 B144 W11:W12 V12 F25 A27 B27:B28 A36:A37 B37:B38 A24:F24 A34 A42:A43 B48:B49 A48 A40:D40 X12:AF12 M109:BZ109 A92:A94 A101:A107 F90:G90 H91:I91 B89 A109:A115 B105:L106 L107 D107:K108 B110:M110 E111 I111:J112 M116:O116 L115:L116 B114:O114 K115 S9 C115:J116 C89:E90 C120:E121 A159:C159 T9:T10 B115:B120 D140:M140 M10:R10 C104:I104 D142:K142 C107:C109 B147:B148 A179:B179 A145:F146 F89:H89 F147:F148 B140:C142 A150:A158 B150:E151 B155:E155 A76:A90 B82:D82 D133 L141:N141 A12:A22 X9:X10 C26:C38 A29:A32 A45:A46 A50:A55 F59 B55:B56 B58:D58 C60:E60 A57:A59 A61 K111:O111 AE11 Y9:AD9 B72:T72 F75:G76 C75:D76 B73:B76 A66:A73 A118:A131 C12:T12 E73:E76 H73:R73 A140:A143 H76:L76 B81" xr:uid="{887A9D0F-6E14-4FE8-A7FB-8C615D74515D}"/>
    <dataValidation type="whole" operator="greaterThanOrEqual" allowBlank="1" showInputMessage="1" showErrorMessage="1" error="Valor no Permitido" sqref="H81:T88 C13:AF23 C61:F71 B80:W80 B77:L79 C113:O113 B83:D83 B152:E154 B122:E130 C134:D139 C144:N144 B149:F149 E82:G83 D26:F38 C42:D57 D109:L109 B156:D158" xr:uid="{CEF4C239-B468-4F10-9A38-EFB112D68492}">
      <formula1>0</formula1>
    </dataValidation>
    <dataValidation type="whole" operator="greaterThanOrEqual" allowBlank="1" showInputMessage="1" showErrorMessage="1" sqref="B84:G88 B161:C162" xr:uid="{29463081-FB87-4BF3-A5C2-7B01E7275332}">
      <formula1>0</formula1>
    </dataValidation>
    <dataValidation operator="greaterThanOrEqual" allowBlank="1" showInputMessage="1" showErrorMessage="1" error="Valor no Permitido" sqref="E81:G81" xr:uid="{C84B62CD-A5FB-45BF-91F1-6C2D83E8110D}"/>
    <dataValidation type="whole" allowBlank="1" showInputMessage="1" showErrorMessage="1" sqref="C92:I103" xr:uid="{C66B2225-7A3A-4B32-9F8D-C49FB664D07F}">
      <formula1>0</formula1>
      <formula2>9.99999999999999E+35</formula2>
    </dataValidation>
    <dataValidation type="whole" allowBlank="1" showInputMessage="1" showErrorMessage="1" sqref="C117:O119" xr:uid="{F0A4C0FB-2B18-4F63-872C-969F10381C48}">
      <formula1>0</formula1>
      <formula2>9.99999999999999E+37</formula2>
    </dataValidation>
    <dataValidation type="whole" allowBlank="1" showInputMessage="1" showErrorMessage="1" sqref="B143:N143" xr:uid="{3EB943AA-FD34-4BBE-B8E4-D664BA7FBA85}">
      <formula1>0</formula1>
      <formula2>9.99999999999999E+38</formula2>
    </dataValidation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D320"/>
  <sheetViews>
    <sheetView showGridLines="0" zoomScaleNormal="100" workbookViewId="0"/>
  </sheetViews>
  <sheetFormatPr baseColWidth="10" defaultColWidth="11.44140625" defaultRowHeight="14.4" x14ac:dyDescent="0.3"/>
  <cols>
    <col min="1" max="1" width="44.88671875" customWidth="1"/>
    <col min="2" max="2" width="18.109375" customWidth="1"/>
    <col min="3" max="3" width="23.88671875" customWidth="1"/>
    <col min="4" max="4" width="18.5546875" customWidth="1"/>
    <col min="5" max="5" width="12.88671875" customWidth="1"/>
    <col min="6" max="6" width="12.6640625" customWidth="1"/>
    <col min="7" max="7" width="15.6640625" customWidth="1"/>
    <col min="8" max="8" width="16.44140625" customWidth="1"/>
  </cols>
  <sheetData>
    <row r="1" spans="1:28" x14ac:dyDescent="0.3">
      <c r="A1" s="50" t="s">
        <v>23</v>
      </c>
    </row>
    <row r="2" spans="1:28" x14ac:dyDescent="0.3">
      <c r="A2" s="50" t="str">
        <f>CONCATENATE("COMUNA: ",NOMBRE!B2, " (",NOMBRE!C2,NOMBRE!D2,NOMBRE!E2,NOMBRE!F2,NOMBRE!G2,")")</f>
        <v>COMUNA:  ()</v>
      </c>
    </row>
    <row r="3" spans="1:28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28" x14ac:dyDescent="0.3">
      <c r="A4" s="50" t="str">
        <f>CONCATENATE("MES: ",NOMBRE!B6, " (",NOMBRE!C6,NOMBRE!D6,")")</f>
        <v>MES:  ()</v>
      </c>
    </row>
    <row r="5" spans="1:28" x14ac:dyDescent="0.3">
      <c r="A5" s="50" t="str">
        <f>CONCATENATE("AÑO: ",NOMBRE!B7)</f>
        <v>AÑO: 2025</v>
      </c>
    </row>
    <row r="6" spans="1:28" ht="18" customHeight="1" x14ac:dyDescent="0.3">
      <c r="A6" s="7179" t="s">
        <v>2773</v>
      </c>
      <c r="B6" s="7179"/>
      <c r="C6" s="7179"/>
      <c r="D6" s="7179"/>
      <c r="E6" s="7179"/>
      <c r="F6" s="7179"/>
      <c r="G6" s="7179"/>
      <c r="H6" s="7179"/>
      <c r="I6" s="7179"/>
      <c r="J6" s="7179"/>
      <c r="K6" s="7179"/>
      <c r="L6" s="7179"/>
      <c r="M6" s="7179"/>
      <c r="N6" s="7179"/>
      <c r="O6" s="7179"/>
      <c r="P6" s="7179"/>
      <c r="Q6" s="7179"/>
      <c r="R6" s="7179"/>
      <c r="S6" s="7179"/>
      <c r="T6" s="7179"/>
      <c r="U6" s="7179"/>
      <c r="V6" s="7179"/>
    </row>
    <row r="8" spans="1:28" s="6" customFormat="1" ht="18" customHeight="1" x14ac:dyDescent="0.25">
      <c r="A8" s="6911" t="s">
        <v>2774</v>
      </c>
      <c r="B8" s="6911"/>
      <c r="C8" s="6911"/>
    </row>
    <row r="9" spans="1:28" s="19" customFormat="1" ht="15" customHeight="1" x14ac:dyDescent="0.2">
      <c r="A9" s="6954" t="s">
        <v>2775</v>
      </c>
      <c r="B9" s="6954" t="s">
        <v>2776</v>
      </c>
      <c r="C9" s="6954"/>
      <c r="D9" s="7021" t="s">
        <v>77</v>
      </c>
      <c r="E9" s="6242"/>
      <c r="F9" s="6969"/>
      <c r="G9" s="6989" t="s">
        <v>101</v>
      </c>
      <c r="H9" s="6990"/>
      <c r="I9" s="6990"/>
      <c r="J9" s="6990"/>
      <c r="K9" s="6990"/>
      <c r="L9" s="6990"/>
      <c r="M9" s="6990"/>
      <c r="N9" s="6990"/>
      <c r="O9" s="6990"/>
      <c r="P9" s="6990"/>
      <c r="Q9" s="6990"/>
      <c r="R9" s="6990"/>
      <c r="S9" s="6990"/>
      <c r="T9" s="6990"/>
      <c r="U9" s="6990"/>
      <c r="V9" s="6990"/>
      <c r="W9" s="6990"/>
      <c r="X9" s="6990"/>
      <c r="Y9" s="6990"/>
      <c r="Z9" s="6990"/>
      <c r="AA9" s="6990"/>
      <c r="AB9" s="7078"/>
    </row>
    <row r="10" spans="1:28" s="19" customFormat="1" ht="15" customHeight="1" x14ac:dyDescent="0.2">
      <c r="A10" s="6954"/>
      <c r="B10" s="6954"/>
      <c r="C10" s="6954"/>
      <c r="D10" s="7180"/>
      <c r="E10" s="6467"/>
      <c r="F10" s="6687"/>
      <c r="G10" s="7072" t="s">
        <v>1300</v>
      </c>
      <c r="H10" s="7072"/>
      <c r="I10" s="7072" t="s">
        <v>305</v>
      </c>
      <c r="J10" s="7072"/>
      <c r="K10" s="7072" t="s">
        <v>974</v>
      </c>
      <c r="L10" s="7072"/>
      <c r="M10" s="7072" t="s">
        <v>629</v>
      </c>
      <c r="N10" s="7072"/>
      <c r="O10" s="7072" t="s">
        <v>2057</v>
      </c>
      <c r="P10" s="7072"/>
      <c r="Q10" s="7072" t="s">
        <v>630</v>
      </c>
      <c r="R10" s="7072"/>
      <c r="S10" s="7072" t="s">
        <v>2058</v>
      </c>
      <c r="T10" s="7072"/>
      <c r="U10" s="7072" t="s">
        <v>2059</v>
      </c>
      <c r="V10" s="7072"/>
      <c r="W10" s="7072" t="s">
        <v>1949</v>
      </c>
      <c r="X10" s="7072"/>
      <c r="Y10" s="7072" t="s">
        <v>1583</v>
      </c>
      <c r="Z10" s="7072"/>
      <c r="AA10" s="7072" t="s">
        <v>664</v>
      </c>
      <c r="AB10" s="7072"/>
    </row>
    <row r="11" spans="1:28" s="19" customFormat="1" ht="15" customHeight="1" x14ac:dyDescent="0.2">
      <c r="A11" s="6954"/>
      <c r="B11" s="6954"/>
      <c r="C11" s="6954"/>
      <c r="D11" s="1134" t="s">
        <v>79</v>
      </c>
      <c r="E11" s="1238" t="s">
        <v>58</v>
      </c>
      <c r="F11" s="1092" t="s">
        <v>59</v>
      </c>
      <c r="G11" s="1006" t="s">
        <v>58</v>
      </c>
      <c r="H11" s="1008" t="s">
        <v>59</v>
      </c>
      <c r="I11" s="947" t="s">
        <v>58</v>
      </c>
      <c r="J11" s="23" t="s">
        <v>59</v>
      </c>
      <c r="K11" s="947" t="s">
        <v>58</v>
      </c>
      <c r="L11" s="23" t="s">
        <v>59</v>
      </c>
      <c r="M11" s="947" t="s">
        <v>58</v>
      </c>
      <c r="N11" s="23" t="s">
        <v>59</v>
      </c>
      <c r="O11" s="947" t="s">
        <v>58</v>
      </c>
      <c r="P11" s="23" t="s">
        <v>59</v>
      </c>
      <c r="Q11" s="947" t="s">
        <v>58</v>
      </c>
      <c r="R11" s="23" t="s">
        <v>59</v>
      </c>
      <c r="S11" s="947" t="s">
        <v>58</v>
      </c>
      <c r="T11" s="23" t="s">
        <v>59</v>
      </c>
      <c r="U11" s="947" t="s">
        <v>58</v>
      </c>
      <c r="V11" s="23" t="s">
        <v>59</v>
      </c>
      <c r="W11" s="947" t="s">
        <v>58</v>
      </c>
      <c r="X11" s="23" t="s">
        <v>59</v>
      </c>
      <c r="Y11" s="947" t="s">
        <v>58</v>
      </c>
      <c r="Z11" s="23" t="s">
        <v>59</v>
      </c>
      <c r="AA11" s="947" t="s">
        <v>58</v>
      </c>
      <c r="AB11" s="23" t="s">
        <v>59</v>
      </c>
    </row>
    <row r="12" spans="1:28" s="19" customFormat="1" ht="15" customHeight="1" x14ac:dyDescent="0.2">
      <c r="A12" s="7090" t="s">
        <v>2777</v>
      </c>
      <c r="B12" s="1227" t="s">
        <v>2778</v>
      </c>
      <c r="C12" s="1459" t="s">
        <v>2779</v>
      </c>
      <c r="D12" s="1103">
        <f>SUM(E12+F12)</f>
        <v>0</v>
      </c>
      <c r="E12" s="620">
        <f t="shared" ref="E12:F15" si="0">SUM(G12+I12+K12+M12+O12+Q12+S12+U12+W12+Y12+AA12)</f>
        <v>0</v>
      </c>
      <c r="F12" s="3119">
        <f t="shared" si="0"/>
        <v>0</v>
      </c>
      <c r="G12" s="1106"/>
      <c r="H12" s="1107"/>
      <c r="I12" s="1106"/>
      <c r="J12" s="1107"/>
      <c r="K12" s="1106"/>
      <c r="L12" s="1107"/>
      <c r="M12" s="1106"/>
      <c r="N12" s="1107"/>
      <c r="O12" s="1106"/>
      <c r="P12" s="1107"/>
      <c r="Q12" s="1106"/>
      <c r="R12" s="1107"/>
      <c r="S12" s="1106"/>
      <c r="T12" s="1107"/>
      <c r="U12" s="1106"/>
      <c r="V12" s="1107"/>
      <c r="W12" s="1106"/>
      <c r="X12" s="1107"/>
      <c r="Y12" s="1106"/>
      <c r="Z12" s="1107"/>
      <c r="AA12" s="1106"/>
      <c r="AB12" s="1107"/>
    </row>
    <row r="13" spans="1:28" s="19" customFormat="1" ht="15" customHeight="1" x14ac:dyDescent="0.2">
      <c r="A13" s="7163"/>
      <c r="B13" s="1781" t="s">
        <v>2780</v>
      </c>
      <c r="C13" s="1818" t="s">
        <v>2779</v>
      </c>
      <c r="D13" s="199">
        <f>SUM(E13+F13)</f>
        <v>0</v>
      </c>
      <c r="E13" s="623">
        <f t="shared" si="0"/>
        <v>0</v>
      </c>
      <c r="F13" s="4041">
        <f t="shared" si="0"/>
        <v>0</v>
      </c>
      <c r="G13" s="1289"/>
      <c r="H13" s="1474"/>
      <c r="I13" s="290"/>
      <c r="J13" s="107"/>
      <c r="K13" s="290"/>
      <c r="L13" s="107"/>
      <c r="M13" s="290"/>
      <c r="N13" s="107"/>
      <c r="O13" s="290"/>
      <c r="P13" s="107"/>
      <c r="Q13" s="290"/>
      <c r="R13" s="107"/>
      <c r="S13" s="290"/>
      <c r="T13" s="107"/>
      <c r="U13" s="290"/>
      <c r="V13" s="107"/>
      <c r="W13" s="290"/>
      <c r="X13" s="107"/>
      <c r="Y13" s="290"/>
      <c r="Z13" s="107"/>
      <c r="AA13" s="290"/>
      <c r="AB13" s="107"/>
    </row>
    <row r="14" spans="1:28" s="19" customFormat="1" ht="15" customHeight="1" x14ac:dyDescent="0.2">
      <c r="A14" s="7114" t="s">
        <v>2781</v>
      </c>
      <c r="B14" s="7115"/>
      <c r="C14" s="4704" t="s">
        <v>2779</v>
      </c>
      <c r="D14" s="998">
        <f>SUM(E14+F14)</f>
        <v>0</v>
      </c>
      <c r="E14" s="1005">
        <f t="shared" si="0"/>
        <v>0</v>
      </c>
      <c r="F14" s="1000">
        <f t="shared" si="0"/>
        <v>0</v>
      </c>
      <c r="G14" s="1095"/>
      <c r="H14" s="1096"/>
      <c r="I14" s="1095"/>
      <c r="J14" s="1096"/>
      <c r="K14" s="1095"/>
      <c r="L14" s="1096"/>
      <c r="M14" s="1095"/>
      <c r="N14" s="1096"/>
      <c r="O14" s="1095"/>
      <c r="P14" s="1096"/>
      <c r="Q14" s="1095"/>
      <c r="R14" s="1096"/>
      <c r="S14" s="1095"/>
      <c r="T14" s="1096"/>
      <c r="U14" s="1095"/>
      <c r="V14" s="1096"/>
      <c r="W14" s="1095"/>
      <c r="X14" s="1096"/>
      <c r="Y14" s="1095"/>
      <c r="Z14" s="1096"/>
      <c r="AA14" s="1095"/>
      <c r="AB14" s="1096"/>
    </row>
    <row r="15" spans="1:28" s="19" customFormat="1" ht="15" customHeight="1" x14ac:dyDescent="0.2">
      <c r="A15" s="7024" t="s">
        <v>77</v>
      </c>
      <c r="B15" s="7025"/>
      <c r="C15" s="7026"/>
      <c r="D15" s="998">
        <f>SUM(E15+F15)</f>
        <v>0</v>
      </c>
      <c r="E15" s="1005">
        <f t="shared" si="0"/>
        <v>0</v>
      </c>
      <c r="F15" s="999">
        <f t="shared" si="0"/>
        <v>0</v>
      </c>
      <c r="G15" s="1125">
        <f t="shared" ref="G15:AB15" si="1">SUM(G12:G14)</f>
        <v>0</v>
      </c>
      <c r="H15" s="1129">
        <f t="shared" si="1"/>
        <v>0</v>
      </c>
      <c r="I15" s="1127">
        <f t="shared" si="1"/>
        <v>0</v>
      </c>
      <c r="J15" s="1126">
        <f t="shared" si="1"/>
        <v>0</v>
      </c>
      <c r="K15" s="1125">
        <f t="shared" si="1"/>
        <v>0</v>
      </c>
      <c r="L15" s="1126">
        <f t="shared" si="1"/>
        <v>0</v>
      </c>
      <c r="M15" s="1125">
        <f t="shared" si="1"/>
        <v>0</v>
      </c>
      <c r="N15" s="1126">
        <f t="shared" si="1"/>
        <v>0</v>
      </c>
      <c r="O15" s="1125">
        <f t="shared" si="1"/>
        <v>0</v>
      </c>
      <c r="P15" s="1126">
        <f t="shared" si="1"/>
        <v>0</v>
      </c>
      <c r="Q15" s="1125">
        <f t="shared" si="1"/>
        <v>0</v>
      </c>
      <c r="R15" s="1126">
        <f t="shared" si="1"/>
        <v>0</v>
      </c>
      <c r="S15" s="1125">
        <f t="shared" si="1"/>
        <v>0</v>
      </c>
      <c r="T15" s="1126">
        <f t="shared" si="1"/>
        <v>0</v>
      </c>
      <c r="U15" s="1125">
        <f t="shared" si="1"/>
        <v>0</v>
      </c>
      <c r="V15" s="1126">
        <f t="shared" si="1"/>
        <v>0</v>
      </c>
      <c r="W15" s="1125">
        <f t="shared" si="1"/>
        <v>0</v>
      </c>
      <c r="X15" s="1126">
        <f t="shared" si="1"/>
        <v>0</v>
      </c>
      <c r="Y15" s="1125">
        <f t="shared" si="1"/>
        <v>0</v>
      </c>
      <c r="Z15" s="1126">
        <f t="shared" si="1"/>
        <v>0</v>
      </c>
      <c r="AA15" s="1125">
        <f t="shared" si="1"/>
        <v>0</v>
      </c>
      <c r="AB15" s="1126">
        <f t="shared" si="1"/>
        <v>0</v>
      </c>
    </row>
    <row r="16" spans="1:28" s="19" customFormat="1" ht="15" customHeight="1" x14ac:dyDescent="0.2">
      <c r="A16" s="7181" t="s">
        <v>2782</v>
      </c>
      <c r="B16" s="7182"/>
      <c r="C16" s="7183"/>
      <c r="D16" s="1106"/>
      <c r="E16" s="3451"/>
      <c r="F16" s="842"/>
      <c r="G16" s="4705"/>
      <c r="H16" s="842"/>
      <c r="I16" s="4705"/>
      <c r="J16" s="842"/>
      <c r="K16" s="4705"/>
      <c r="L16" s="842"/>
      <c r="M16" s="4705"/>
      <c r="N16" s="842"/>
      <c r="O16" s="4705"/>
      <c r="P16" s="842"/>
      <c r="Q16" s="4705"/>
      <c r="R16" s="842"/>
      <c r="S16" s="4705"/>
      <c r="T16" s="842"/>
      <c r="U16" s="4705"/>
      <c r="V16" s="842"/>
      <c r="W16" s="4705"/>
      <c r="X16" s="842"/>
      <c r="Y16" s="4705"/>
      <c r="Z16" s="1469"/>
      <c r="AA16" s="3777"/>
      <c r="AB16" s="3213"/>
    </row>
    <row r="17" spans="1:30" s="19" customFormat="1" ht="15" customHeight="1" x14ac:dyDescent="0.2">
      <c r="A17" s="7184" t="s">
        <v>2783</v>
      </c>
      <c r="B17" s="6056"/>
      <c r="C17" s="6057"/>
      <c r="D17" s="1289"/>
      <c r="E17" s="3452"/>
      <c r="F17" s="3749"/>
      <c r="G17" s="4706"/>
      <c r="H17" s="3749"/>
      <c r="I17" s="4706"/>
      <c r="J17" s="3749"/>
      <c r="K17" s="4706"/>
      <c r="L17" s="3749"/>
      <c r="M17" s="4706"/>
      <c r="N17" s="3749"/>
      <c r="O17" s="4706"/>
      <c r="P17" s="3749"/>
      <c r="Q17" s="4706"/>
      <c r="R17" s="3749"/>
      <c r="S17" s="4706"/>
      <c r="T17" s="3749"/>
      <c r="U17" s="4706"/>
      <c r="V17" s="3749"/>
      <c r="W17" s="4706"/>
      <c r="X17" s="3749"/>
      <c r="Y17" s="4706"/>
      <c r="Z17" s="1482"/>
      <c r="AA17" s="3452"/>
      <c r="AB17" s="1482"/>
    </row>
    <row r="18" spans="1:30" s="6" customFormat="1" ht="18" customHeight="1" x14ac:dyDescent="0.25">
      <c r="A18" s="7055" t="s">
        <v>2784</v>
      </c>
      <c r="B18" s="7055"/>
      <c r="C18" s="7055"/>
    </row>
    <row r="19" spans="1:30" ht="15" customHeight="1" x14ac:dyDescent="0.3">
      <c r="A19" s="6954" t="s">
        <v>2775</v>
      </c>
      <c r="B19" s="6954" t="s">
        <v>2776</v>
      </c>
      <c r="C19" s="6954"/>
      <c r="D19" s="7021" t="s">
        <v>77</v>
      </c>
      <c r="E19" s="6242"/>
      <c r="F19" s="6969"/>
      <c r="G19" s="6989" t="s">
        <v>101</v>
      </c>
      <c r="H19" s="6990"/>
      <c r="I19" s="6990"/>
      <c r="J19" s="6990"/>
      <c r="K19" s="6990"/>
      <c r="L19" s="6990"/>
      <c r="M19" s="6990"/>
      <c r="N19" s="6990"/>
      <c r="O19" s="6990"/>
      <c r="P19" s="6990"/>
      <c r="Q19" s="6990"/>
      <c r="R19" s="6990"/>
      <c r="S19" s="6990"/>
      <c r="T19" s="6990"/>
      <c r="U19" s="6990"/>
      <c r="V19" s="6990"/>
      <c r="W19" s="6990"/>
      <c r="X19" s="6990"/>
      <c r="Y19" s="6990"/>
      <c r="Z19" s="6990"/>
      <c r="AA19" s="6990"/>
      <c r="AB19" s="6990"/>
      <c r="AC19" s="6990"/>
      <c r="AD19" s="7078"/>
    </row>
    <row r="20" spans="1:30" ht="15" customHeight="1" x14ac:dyDescent="0.3">
      <c r="A20" s="6954"/>
      <c r="B20" s="6954"/>
      <c r="C20" s="6954"/>
      <c r="D20" s="7180"/>
      <c r="E20" s="6467"/>
      <c r="F20" s="6467"/>
      <c r="G20" s="7023" t="s">
        <v>2785</v>
      </c>
      <c r="H20" s="6976"/>
      <c r="I20" s="7072" t="s">
        <v>1300</v>
      </c>
      <c r="J20" s="7072"/>
      <c r="K20" s="7072" t="s">
        <v>305</v>
      </c>
      <c r="L20" s="7072"/>
      <c r="M20" s="7072" t="s">
        <v>974</v>
      </c>
      <c r="N20" s="7072"/>
      <c r="O20" s="7072" t="s">
        <v>629</v>
      </c>
      <c r="P20" s="7072"/>
      <c r="Q20" s="7072" t="s">
        <v>2057</v>
      </c>
      <c r="R20" s="7072"/>
      <c r="S20" s="7072" t="s">
        <v>630</v>
      </c>
      <c r="T20" s="7072"/>
      <c r="U20" s="7072" t="s">
        <v>2058</v>
      </c>
      <c r="V20" s="7072"/>
      <c r="W20" s="7072" t="s">
        <v>2059</v>
      </c>
      <c r="X20" s="7072"/>
      <c r="Y20" s="7072" t="s">
        <v>1949</v>
      </c>
      <c r="Z20" s="7072"/>
      <c r="AA20" s="7072" t="s">
        <v>1583</v>
      </c>
      <c r="AB20" s="7072"/>
      <c r="AC20" s="7072" t="s">
        <v>664</v>
      </c>
      <c r="AD20" s="7072"/>
    </row>
    <row r="21" spans="1:30" ht="15" customHeight="1" x14ac:dyDescent="0.3">
      <c r="A21" s="6954"/>
      <c r="B21" s="6954"/>
      <c r="C21" s="6954"/>
      <c r="D21" s="1134" t="s">
        <v>79</v>
      </c>
      <c r="E21" s="1238" t="s">
        <v>58</v>
      </c>
      <c r="F21" s="1101" t="s">
        <v>59</v>
      </c>
      <c r="G21" s="1006" t="s">
        <v>58</v>
      </c>
      <c r="H21" s="1008" t="s">
        <v>59</v>
      </c>
      <c r="I21" s="1006" t="s">
        <v>58</v>
      </c>
      <c r="J21" s="1008" t="s">
        <v>59</v>
      </c>
      <c r="K21" s="1006" t="s">
        <v>58</v>
      </c>
      <c r="L21" s="1053" t="s">
        <v>59</v>
      </c>
      <c r="M21" s="1006" t="s">
        <v>58</v>
      </c>
      <c r="N21" s="1008" t="s">
        <v>59</v>
      </c>
      <c r="O21" s="1006" t="s">
        <v>58</v>
      </c>
      <c r="P21" s="1008" t="s">
        <v>59</v>
      </c>
      <c r="Q21" s="1006" t="s">
        <v>58</v>
      </c>
      <c r="R21" s="1008" t="s">
        <v>59</v>
      </c>
      <c r="S21" s="1006" t="s">
        <v>58</v>
      </c>
      <c r="T21" s="1008" t="s">
        <v>59</v>
      </c>
      <c r="U21" s="1006" t="s">
        <v>58</v>
      </c>
      <c r="V21" s="1008" t="s">
        <v>59</v>
      </c>
      <c r="W21" s="1006" t="s">
        <v>58</v>
      </c>
      <c r="X21" s="1008" t="s">
        <v>59</v>
      </c>
      <c r="Y21" s="1006" t="s">
        <v>58</v>
      </c>
      <c r="Z21" s="1008" t="s">
        <v>59</v>
      </c>
      <c r="AA21" s="1006" t="s">
        <v>58</v>
      </c>
      <c r="AB21" s="1008" t="s">
        <v>59</v>
      </c>
      <c r="AC21" s="1006" t="s">
        <v>58</v>
      </c>
      <c r="AD21" s="1008" t="s">
        <v>59</v>
      </c>
    </row>
    <row r="22" spans="1:30" ht="15" customHeight="1" x14ac:dyDescent="0.3">
      <c r="A22" s="7163" t="s">
        <v>2777</v>
      </c>
      <c r="B22" s="7060" t="s">
        <v>2778</v>
      </c>
      <c r="C22" s="4707" t="s">
        <v>2786</v>
      </c>
      <c r="D22" s="317">
        <f t="shared" ref="D22:D27" si="2">SUM(E22+F22)</f>
        <v>0</v>
      </c>
      <c r="E22" s="769">
        <f t="shared" ref="E22:F27" si="3">SUM(G22+I22+K22+M22+O22+Q22+S22+U22+W22+Y22+AA22+AC22)</f>
        <v>0</v>
      </c>
      <c r="F22" s="1105">
        <f t="shared" si="3"/>
        <v>0</v>
      </c>
      <c r="G22" s="290"/>
      <c r="H22" s="637"/>
      <c r="I22" s="290"/>
      <c r="J22" s="637"/>
      <c r="K22" s="1106"/>
      <c r="L22" s="1107"/>
      <c r="M22" s="1110"/>
      <c r="N22" s="771"/>
      <c r="O22" s="1110"/>
      <c r="P22" s="771"/>
      <c r="Q22" s="1110"/>
      <c r="R22" s="771"/>
      <c r="S22" s="1110"/>
      <c r="T22" s="771"/>
      <c r="U22" s="1110"/>
      <c r="V22" s="771"/>
      <c r="W22" s="1110"/>
      <c r="X22" s="771"/>
      <c r="Y22" s="1110"/>
      <c r="Z22" s="771"/>
      <c r="AA22" s="1106"/>
      <c r="AB22" s="771"/>
      <c r="AC22" s="1106"/>
      <c r="AD22" s="771"/>
    </row>
    <row r="23" spans="1:30" ht="15" customHeight="1" x14ac:dyDescent="0.3">
      <c r="A23" s="7163"/>
      <c r="B23" s="7196"/>
      <c r="C23" s="1431" t="s">
        <v>2787</v>
      </c>
      <c r="D23" s="4708">
        <f t="shared" si="2"/>
        <v>0</v>
      </c>
      <c r="E23" s="4709">
        <f t="shared" si="3"/>
        <v>0</v>
      </c>
      <c r="F23" s="3429">
        <f t="shared" si="3"/>
        <v>0</v>
      </c>
      <c r="G23" s="1139"/>
      <c r="H23" s="1140"/>
      <c r="I23" s="1139"/>
      <c r="J23" s="1140"/>
      <c r="K23" s="1289"/>
      <c r="L23" s="1474"/>
      <c r="M23" s="4710"/>
      <c r="N23" s="311"/>
      <c r="O23" s="4710"/>
      <c r="P23" s="311"/>
      <c r="Q23" s="4710"/>
      <c r="R23" s="311"/>
      <c r="S23" s="4710"/>
      <c r="T23" s="311"/>
      <c r="U23" s="4710"/>
      <c r="V23" s="311"/>
      <c r="W23" s="4710"/>
      <c r="X23" s="311"/>
      <c r="Y23" s="4710"/>
      <c r="Z23" s="311"/>
      <c r="AA23" s="4710"/>
      <c r="AB23" s="311"/>
      <c r="AC23" s="4710"/>
      <c r="AD23" s="311"/>
    </row>
    <row r="24" spans="1:30" ht="15" customHeight="1" x14ac:dyDescent="0.3">
      <c r="A24" s="7163"/>
      <c r="B24" s="7060" t="s">
        <v>2780</v>
      </c>
      <c r="C24" s="4707" t="s">
        <v>2786</v>
      </c>
      <c r="D24" s="4711">
        <f t="shared" si="2"/>
        <v>0</v>
      </c>
      <c r="E24" s="769">
        <f t="shared" si="3"/>
        <v>0</v>
      </c>
      <c r="F24" s="1105">
        <f t="shared" si="3"/>
        <v>0</v>
      </c>
      <c r="G24" s="1114"/>
      <c r="H24" s="1118"/>
      <c r="I24" s="1114"/>
      <c r="J24" s="1118"/>
      <c r="K24" s="1114"/>
      <c r="L24" s="1115"/>
      <c r="M24" s="1119"/>
      <c r="N24" s="1118"/>
      <c r="O24" s="1119"/>
      <c r="P24" s="1118"/>
      <c r="Q24" s="1119"/>
      <c r="R24" s="1118"/>
      <c r="S24" s="1119"/>
      <c r="T24" s="1118"/>
      <c r="U24" s="1119"/>
      <c r="V24" s="1118"/>
      <c r="W24" s="1119"/>
      <c r="X24" s="1118"/>
      <c r="Y24" s="1119"/>
      <c r="Z24" s="1118"/>
      <c r="AA24" s="1119"/>
      <c r="AB24" s="1118"/>
      <c r="AC24" s="1119"/>
      <c r="AD24" s="1118"/>
    </row>
    <row r="25" spans="1:30" ht="15" customHeight="1" x14ac:dyDescent="0.3">
      <c r="A25" s="7195"/>
      <c r="B25" s="7196"/>
      <c r="C25" s="1431" t="s">
        <v>2787</v>
      </c>
      <c r="D25" s="4708">
        <f t="shared" si="2"/>
        <v>0</v>
      </c>
      <c r="E25" s="4709">
        <f t="shared" si="3"/>
        <v>0</v>
      </c>
      <c r="F25" s="3429">
        <f t="shared" si="3"/>
        <v>0</v>
      </c>
      <c r="G25" s="1139"/>
      <c r="H25" s="1140"/>
      <c r="I25" s="1139"/>
      <c r="J25" s="1140"/>
      <c r="K25" s="1139"/>
      <c r="L25" s="388"/>
      <c r="M25" s="1154"/>
      <c r="N25" s="1140"/>
      <c r="O25" s="1154"/>
      <c r="P25" s="1140"/>
      <c r="Q25" s="1154"/>
      <c r="R25" s="1140"/>
      <c r="S25" s="1154"/>
      <c r="T25" s="1140"/>
      <c r="U25" s="1154"/>
      <c r="V25" s="1140"/>
      <c r="W25" s="1154"/>
      <c r="X25" s="1140"/>
      <c r="Y25" s="1154"/>
      <c r="Z25" s="1140"/>
      <c r="AA25" s="1154"/>
      <c r="AB25" s="1140"/>
      <c r="AC25" s="1154"/>
      <c r="AD25" s="1140"/>
    </row>
    <row r="26" spans="1:30" ht="15" customHeight="1" x14ac:dyDescent="0.3">
      <c r="A26" s="6091" t="s">
        <v>2781</v>
      </c>
      <c r="B26" s="6375"/>
      <c r="C26" s="247" t="s">
        <v>2786</v>
      </c>
      <c r="D26" s="201">
        <f t="shared" si="2"/>
        <v>0</v>
      </c>
      <c r="E26" s="769">
        <f t="shared" si="3"/>
        <v>0</v>
      </c>
      <c r="F26" s="1105">
        <f t="shared" si="3"/>
        <v>0</v>
      </c>
      <c r="G26" s="307"/>
      <c r="H26" s="95"/>
      <c r="I26" s="307"/>
      <c r="J26" s="95"/>
      <c r="K26" s="47"/>
      <c r="L26" s="42"/>
      <c r="M26" s="307"/>
      <c r="N26" s="95"/>
      <c r="O26" s="307"/>
      <c r="P26" s="95"/>
      <c r="Q26" s="307"/>
      <c r="R26" s="95"/>
      <c r="S26" s="307"/>
      <c r="T26" s="95"/>
      <c r="U26" s="307"/>
      <c r="V26" s="95"/>
      <c r="W26" s="307"/>
      <c r="X26" s="95"/>
      <c r="Y26" s="307"/>
      <c r="Z26" s="95"/>
      <c r="AA26" s="307"/>
      <c r="AB26" s="95"/>
      <c r="AC26" s="307"/>
      <c r="AD26" s="95"/>
    </row>
    <row r="27" spans="1:30" ht="15" customHeight="1" x14ac:dyDescent="0.3">
      <c r="A27" s="7225"/>
      <c r="B27" s="6739"/>
      <c r="C27" s="4713" t="s">
        <v>2787</v>
      </c>
      <c r="D27" s="4708">
        <f t="shared" si="2"/>
        <v>0</v>
      </c>
      <c r="E27" s="4709">
        <f t="shared" si="3"/>
        <v>0</v>
      </c>
      <c r="F27" s="3429">
        <f t="shared" si="3"/>
        <v>0</v>
      </c>
      <c r="G27" s="1154"/>
      <c r="H27" s="1140"/>
      <c r="I27" s="1154"/>
      <c r="J27" s="1140"/>
      <c r="K27" s="1139"/>
      <c r="L27" s="388"/>
      <c r="M27" s="1154"/>
      <c r="N27" s="1140"/>
      <c r="O27" s="1154"/>
      <c r="P27" s="1140"/>
      <c r="Q27" s="1154"/>
      <c r="R27" s="1140"/>
      <c r="S27" s="1154"/>
      <c r="T27" s="1140"/>
      <c r="U27" s="1154"/>
      <c r="V27" s="1140"/>
      <c r="W27" s="1154"/>
      <c r="X27" s="1140"/>
      <c r="Y27" s="1154"/>
      <c r="Z27" s="1140"/>
      <c r="AA27" s="1154"/>
      <c r="AB27" s="1140"/>
      <c r="AC27" s="1154"/>
      <c r="AD27" s="1140"/>
    </row>
    <row r="28" spans="1:30" ht="15" customHeight="1" x14ac:dyDescent="0.3">
      <c r="A28" s="7226" t="s">
        <v>77</v>
      </c>
      <c r="B28" s="7227"/>
      <c r="C28" s="7228"/>
      <c r="D28" s="1083">
        <f t="shared" ref="D28:AD28" si="4">SUM(D22:D27)</f>
        <v>0</v>
      </c>
      <c r="E28" s="304">
        <f t="shared" si="4"/>
        <v>0</v>
      </c>
      <c r="F28" s="4239">
        <f t="shared" si="4"/>
        <v>0</v>
      </c>
      <c r="G28" s="4694">
        <f t="shared" si="4"/>
        <v>0</v>
      </c>
      <c r="H28" s="3195">
        <f t="shared" si="4"/>
        <v>0</v>
      </c>
      <c r="I28" s="4694">
        <f t="shared" si="4"/>
        <v>0</v>
      </c>
      <c r="J28" s="3195">
        <f t="shared" si="4"/>
        <v>0</v>
      </c>
      <c r="K28" s="3191">
        <f t="shared" si="4"/>
        <v>0</v>
      </c>
      <c r="L28" s="3497">
        <f t="shared" si="4"/>
        <v>0</v>
      </c>
      <c r="M28" s="4694">
        <f t="shared" si="4"/>
        <v>0</v>
      </c>
      <c r="N28" s="3195">
        <f t="shared" si="4"/>
        <v>0</v>
      </c>
      <c r="O28" s="4694">
        <f t="shared" si="4"/>
        <v>0</v>
      </c>
      <c r="P28" s="3195">
        <f t="shared" si="4"/>
        <v>0</v>
      </c>
      <c r="Q28" s="4694">
        <f t="shared" si="4"/>
        <v>0</v>
      </c>
      <c r="R28" s="3195">
        <f t="shared" si="4"/>
        <v>0</v>
      </c>
      <c r="S28" s="4694">
        <f t="shared" si="4"/>
        <v>0</v>
      </c>
      <c r="T28" s="3195">
        <f t="shared" si="4"/>
        <v>0</v>
      </c>
      <c r="U28" s="4694">
        <f t="shared" si="4"/>
        <v>0</v>
      </c>
      <c r="V28" s="3195">
        <f t="shared" si="4"/>
        <v>0</v>
      </c>
      <c r="W28" s="4694">
        <f t="shared" si="4"/>
        <v>0</v>
      </c>
      <c r="X28" s="3195">
        <f t="shared" si="4"/>
        <v>0</v>
      </c>
      <c r="Y28" s="4694">
        <f t="shared" si="4"/>
        <v>0</v>
      </c>
      <c r="Z28" s="3195">
        <f t="shared" si="4"/>
        <v>0</v>
      </c>
      <c r="AA28" s="4694">
        <f t="shared" si="4"/>
        <v>0</v>
      </c>
      <c r="AB28" s="3195">
        <f t="shared" si="4"/>
        <v>0</v>
      </c>
      <c r="AC28" s="4694">
        <f t="shared" si="4"/>
        <v>0</v>
      </c>
      <c r="AD28" s="3195">
        <f t="shared" si="4"/>
        <v>0</v>
      </c>
    </row>
    <row r="29" spans="1:30" s="6" customFormat="1" ht="18" customHeight="1" x14ac:dyDescent="0.25">
      <c r="A29" s="7229" t="s">
        <v>2788</v>
      </c>
      <c r="B29" s="7229"/>
      <c r="C29" s="7229"/>
      <c r="D29" s="7229"/>
      <c r="E29" s="7229"/>
      <c r="F29" s="7229"/>
    </row>
    <row r="30" spans="1:30" ht="15" customHeight="1" x14ac:dyDescent="0.3">
      <c r="A30" s="4714" t="s">
        <v>596</v>
      </c>
      <c r="B30" s="4714" t="s">
        <v>277</v>
      </c>
      <c r="C30" s="7185" t="s">
        <v>2789</v>
      </c>
      <c r="D30" s="7186"/>
      <c r="E30" s="4715" t="s">
        <v>77</v>
      </c>
      <c r="F30" s="4716" t="s">
        <v>2790</v>
      </c>
      <c r="G30" s="4717" t="s">
        <v>2781</v>
      </c>
    </row>
    <row r="31" spans="1:30" ht="15" customHeight="1" x14ac:dyDescent="0.3">
      <c r="A31" s="7104" t="s">
        <v>2791</v>
      </c>
      <c r="B31" s="7188" t="s">
        <v>2792</v>
      </c>
      <c r="C31" s="7189" t="s">
        <v>2793</v>
      </c>
      <c r="D31" s="7190"/>
      <c r="E31" s="1215">
        <f t="shared" ref="E31:E61" si="5">SUM(F31:G31)</f>
        <v>0</v>
      </c>
      <c r="F31" s="954"/>
      <c r="G31" s="955"/>
    </row>
    <row r="32" spans="1:30" ht="15" customHeight="1" x14ac:dyDescent="0.3">
      <c r="A32" s="7105"/>
      <c r="B32" s="7188"/>
      <c r="C32" s="7191" t="s">
        <v>2794</v>
      </c>
      <c r="D32" s="7192"/>
      <c r="E32" s="1219">
        <f t="shared" si="5"/>
        <v>0</v>
      </c>
      <c r="F32" s="965"/>
      <c r="G32" s="966"/>
    </row>
    <row r="33" spans="1:7" ht="15" customHeight="1" x14ac:dyDescent="0.3">
      <c r="A33" s="7105"/>
      <c r="B33" s="7188"/>
      <c r="C33" s="7193" t="s">
        <v>2795</v>
      </c>
      <c r="D33" s="7194"/>
      <c r="E33" s="1221">
        <f t="shared" si="5"/>
        <v>0</v>
      </c>
      <c r="F33" s="989"/>
      <c r="G33" s="877"/>
    </row>
    <row r="34" spans="1:7" ht="15" customHeight="1" x14ac:dyDescent="0.3">
      <c r="A34" s="7105"/>
      <c r="B34" s="7104" t="s">
        <v>2796</v>
      </c>
      <c r="C34" s="7220" t="s">
        <v>2797</v>
      </c>
      <c r="D34" s="7221"/>
      <c r="E34" s="360">
        <f t="shared" si="5"/>
        <v>0</v>
      </c>
      <c r="F34" s="327"/>
      <c r="G34" s="142"/>
    </row>
    <row r="35" spans="1:7" ht="15" customHeight="1" x14ac:dyDescent="0.3">
      <c r="A35" s="7105"/>
      <c r="B35" s="7187"/>
      <c r="C35" s="7193" t="s">
        <v>2798</v>
      </c>
      <c r="D35" s="7194"/>
      <c r="E35" s="1221">
        <f t="shared" si="5"/>
        <v>0</v>
      </c>
      <c r="F35" s="989"/>
      <c r="G35" s="877"/>
    </row>
    <row r="36" spans="1:7" ht="15" customHeight="1" x14ac:dyDescent="0.3">
      <c r="A36" s="7105"/>
      <c r="B36" s="7222" t="s">
        <v>2799</v>
      </c>
      <c r="C36" s="7220" t="s">
        <v>2800</v>
      </c>
      <c r="D36" s="7221"/>
      <c r="E36" s="360">
        <f t="shared" si="5"/>
        <v>0</v>
      </c>
      <c r="F36" s="327"/>
      <c r="G36" s="142"/>
    </row>
    <row r="37" spans="1:7" ht="15" customHeight="1" x14ac:dyDescent="0.3">
      <c r="A37" s="7105"/>
      <c r="B37" s="7223"/>
      <c r="C37" s="7218" t="s">
        <v>2801</v>
      </c>
      <c r="D37" s="7219"/>
      <c r="E37" s="1221">
        <f t="shared" si="5"/>
        <v>0</v>
      </c>
      <c r="F37" s="989"/>
      <c r="G37" s="877"/>
    </row>
    <row r="38" spans="1:7" ht="15" customHeight="1" x14ac:dyDescent="0.3">
      <c r="A38" s="7105"/>
      <c r="B38" s="7222" t="s">
        <v>2802</v>
      </c>
      <c r="C38" s="7214" t="s">
        <v>2803</v>
      </c>
      <c r="D38" s="7215"/>
      <c r="E38" s="360">
        <f t="shared" si="5"/>
        <v>0</v>
      </c>
      <c r="F38" s="327"/>
      <c r="G38" s="142"/>
    </row>
    <row r="39" spans="1:7" ht="15" customHeight="1" x14ac:dyDescent="0.3">
      <c r="A39" s="7105"/>
      <c r="B39" s="7224"/>
      <c r="C39" s="7216" t="s">
        <v>2804</v>
      </c>
      <c r="D39" s="7217"/>
      <c r="E39" s="1219">
        <f t="shared" si="5"/>
        <v>0</v>
      </c>
      <c r="F39" s="965"/>
      <c r="G39" s="966"/>
    </row>
    <row r="40" spans="1:7" ht="15" customHeight="1" x14ac:dyDescent="0.3">
      <c r="A40" s="7105"/>
      <c r="B40" s="7224"/>
      <c r="C40" s="7216" t="s">
        <v>2805</v>
      </c>
      <c r="D40" s="7217"/>
      <c r="E40" s="1219">
        <f t="shared" si="5"/>
        <v>0</v>
      </c>
      <c r="F40" s="965"/>
      <c r="G40" s="966"/>
    </row>
    <row r="41" spans="1:7" ht="15" customHeight="1" x14ac:dyDescent="0.3">
      <c r="A41" s="7187"/>
      <c r="B41" s="7223"/>
      <c r="C41" s="7218" t="s">
        <v>2806</v>
      </c>
      <c r="D41" s="7219"/>
      <c r="E41" s="1221">
        <f t="shared" si="5"/>
        <v>0</v>
      </c>
      <c r="F41" s="989"/>
      <c r="G41" s="877"/>
    </row>
    <row r="42" spans="1:7" ht="15" customHeight="1" x14ac:dyDescent="0.3">
      <c r="A42" s="7104" t="s">
        <v>2807</v>
      </c>
      <c r="B42" s="7104" t="s">
        <v>2808</v>
      </c>
      <c r="C42" s="7204" t="s">
        <v>2809</v>
      </c>
      <c r="D42" s="7206"/>
      <c r="E42" s="4719">
        <f t="shared" si="5"/>
        <v>0</v>
      </c>
      <c r="F42" s="4720"/>
      <c r="G42" s="4721"/>
    </row>
    <row r="43" spans="1:7" ht="20.399999999999999" x14ac:dyDescent="0.3">
      <c r="A43" s="7105"/>
      <c r="B43" s="7105"/>
      <c r="C43" s="7104" t="s">
        <v>2810</v>
      </c>
      <c r="D43" s="4722" t="s">
        <v>2811</v>
      </c>
      <c r="E43" s="4723">
        <f t="shared" si="5"/>
        <v>0</v>
      </c>
      <c r="F43" s="897"/>
      <c r="G43" s="3499"/>
    </row>
    <row r="44" spans="1:7" ht="30.6" x14ac:dyDescent="0.3">
      <c r="A44" s="7105"/>
      <c r="B44" s="7105"/>
      <c r="C44" s="7187"/>
      <c r="D44" s="4724" t="s">
        <v>2812</v>
      </c>
      <c r="E44" s="4723">
        <f t="shared" si="5"/>
        <v>0</v>
      </c>
      <c r="F44" s="897"/>
      <c r="G44" s="3499"/>
    </row>
    <row r="45" spans="1:7" ht="15" customHeight="1" x14ac:dyDescent="0.3">
      <c r="A45" s="7105"/>
      <c r="B45" s="7105"/>
      <c r="C45" s="7198" t="s">
        <v>2813</v>
      </c>
      <c r="D45" s="7200"/>
      <c r="E45" s="360">
        <f t="shared" si="5"/>
        <v>0</v>
      </c>
      <c r="F45" s="327"/>
      <c r="G45" s="142"/>
    </row>
    <row r="46" spans="1:7" ht="15" customHeight="1" x14ac:dyDescent="0.3">
      <c r="A46" s="7105"/>
      <c r="B46" s="7105"/>
      <c r="C46" s="7201" t="s">
        <v>2814</v>
      </c>
      <c r="D46" s="7203"/>
      <c r="E46" s="1219">
        <f t="shared" si="5"/>
        <v>0</v>
      </c>
      <c r="F46" s="965"/>
      <c r="G46" s="966"/>
    </row>
    <row r="47" spans="1:7" ht="15" customHeight="1" x14ac:dyDescent="0.3">
      <c r="A47" s="7105"/>
      <c r="B47" s="7105"/>
      <c r="C47" s="7201" t="s">
        <v>2815</v>
      </c>
      <c r="D47" s="7203"/>
      <c r="E47" s="1219">
        <f t="shared" si="5"/>
        <v>0</v>
      </c>
      <c r="F47" s="965"/>
      <c r="G47" s="966"/>
    </row>
    <row r="48" spans="1:7" ht="15" customHeight="1" x14ac:dyDescent="0.3">
      <c r="A48" s="7187"/>
      <c r="B48" s="7187"/>
      <c r="C48" s="7204" t="s">
        <v>2816</v>
      </c>
      <c r="D48" s="7206"/>
      <c r="E48" s="1221">
        <f t="shared" si="5"/>
        <v>0</v>
      </c>
      <c r="F48" s="989"/>
      <c r="G48" s="877"/>
    </row>
    <row r="49" spans="1:8" ht="15" customHeight="1" x14ac:dyDescent="0.3">
      <c r="A49" s="7104" t="s">
        <v>2817</v>
      </c>
      <c r="B49" s="7198" t="s">
        <v>2818</v>
      </c>
      <c r="C49" s="7199"/>
      <c r="D49" s="7200"/>
      <c r="E49" s="1215">
        <f t="shared" si="5"/>
        <v>0</v>
      </c>
      <c r="F49" s="954"/>
      <c r="G49" s="955"/>
    </row>
    <row r="50" spans="1:8" ht="15" customHeight="1" x14ac:dyDescent="0.3">
      <c r="A50" s="7105"/>
      <c r="B50" s="7201" t="s">
        <v>2819</v>
      </c>
      <c r="C50" s="7202"/>
      <c r="D50" s="7203"/>
      <c r="E50" s="1219">
        <f t="shared" si="5"/>
        <v>0</v>
      </c>
      <c r="F50" s="965"/>
      <c r="G50" s="966"/>
    </row>
    <row r="51" spans="1:8" ht="15" customHeight="1" x14ac:dyDescent="0.3">
      <c r="A51" s="7105"/>
      <c r="B51" s="7201" t="s">
        <v>2820</v>
      </c>
      <c r="C51" s="7202"/>
      <c r="D51" s="7203"/>
      <c r="E51" s="1219">
        <f t="shared" si="5"/>
        <v>0</v>
      </c>
      <c r="F51" s="965"/>
      <c r="G51" s="966"/>
    </row>
    <row r="52" spans="1:8" ht="15" customHeight="1" x14ac:dyDescent="0.3">
      <c r="A52" s="7187"/>
      <c r="B52" s="7208" t="s">
        <v>2821</v>
      </c>
      <c r="C52" s="7209"/>
      <c r="D52" s="7210"/>
      <c r="E52" s="1221">
        <f t="shared" si="5"/>
        <v>0</v>
      </c>
      <c r="F52" s="989"/>
      <c r="G52" s="877"/>
    </row>
    <row r="53" spans="1:8" ht="15" customHeight="1" x14ac:dyDescent="0.3">
      <c r="A53" s="7105" t="s">
        <v>2822</v>
      </c>
      <c r="B53" s="7211" t="s">
        <v>2823</v>
      </c>
      <c r="C53" s="7212"/>
      <c r="D53" s="7213"/>
      <c r="E53" s="360">
        <f t="shared" si="5"/>
        <v>0</v>
      </c>
      <c r="F53" s="327"/>
      <c r="G53" s="142"/>
    </row>
    <row r="54" spans="1:8" ht="15" customHeight="1" x14ac:dyDescent="0.3">
      <c r="A54" s="7187"/>
      <c r="B54" s="7208" t="s">
        <v>2824</v>
      </c>
      <c r="C54" s="7209"/>
      <c r="D54" s="7210"/>
      <c r="E54" s="1221">
        <f t="shared" si="5"/>
        <v>0</v>
      </c>
      <c r="F54" s="989"/>
      <c r="G54" s="877"/>
    </row>
    <row r="55" spans="1:8" ht="15" customHeight="1" x14ac:dyDescent="0.3">
      <c r="A55" s="7104" t="s">
        <v>2825</v>
      </c>
      <c r="B55" s="7198" t="s">
        <v>2826</v>
      </c>
      <c r="C55" s="7199"/>
      <c r="D55" s="7200"/>
      <c r="E55" s="360">
        <f t="shared" si="5"/>
        <v>0</v>
      </c>
      <c r="F55" s="327"/>
      <c r="G55" s="142"/>
    </row>
    <row r="56" spans="1:8" ht="15" customHeight="1" x14ac:dyDescent="0.3">
      <c r="A56" s="7105"/>
      <c r="B56" s="7201" t="s">
        <v>2827</v>
      </c>
      <c r="C56" s="7202"/>
      <c r="D56" s="7203"/>
      <c r="E56" s="1219">
        <f t="shared" si="5"/>
        <v>0</v>
      </c>
      <c r="F56" s="965"/>
      <c r="G56" s="966"/>
    </row>
    <row r="57" spans="1:8" ht="15" customHeight="1" x14ac:dyDescent="0.3">
      <c r="A57" s="7105"/>
      <c r="B57" s="7201" t="s">
        <v>2828</v>
      </c>
      <c r="C57" s="7202"/>
      <c r="D57" s="7203"/>
      <c r="E57" s="1219">
        <f t="shared" si="5"/>
        <v>0</v>
      </c>
      <c r="F57" s="965"/>
      <c r="G57" s="966"/>
    </row>
    <row r="58" spans="1:8" ht="15" customHeight="1" x14ac:dyDescent="0.3">
      <c r="A58" s="7105"/>
      <c r="B58" s="7201" t="s">
        <v>2829</v>
      </c>
      <c r="C58" s="7202"/>
      <c r="D58" s="7203"/>
      <c r="E58" s="1219">
        <f t="shared" si="5"/>
        <v>0</v>
      </c>
      <c r="F58" s="965"/>
      <c r="G58" s="966"/>
    </row>
    <row r="59" spans="1:8" ht="15" customHeight="1" x14ac:dyDescent="0.3">
      <c r="A59" s="7105"/>
      <c r="B59" s="7201" t="s">
        <v>2830</v>
      </c>
      <c r="C59" s="7202"/>
      <c r="D59" s="7203"/>
      <c r="E59" s="1219">
        <f t="shared" si="5"/>
        <v>0</v>
      </c>
      <c r="F59" s="965"/>
      <c r="G59" s="966"/>
    </row>
    <row r="60" spans="1:8" ht="15" customHeight="1" x14ac:dyDescent="0.3">
      <c r="A60" s="7187"/>
      <c r="B60" s="7204" t="s">
        <v>2831</v>
      </c>
      <c r="C60" s="7205"/>
      <c r="D60" s="7206"/>
      <c r="E60" s="1221">
        <f t="shared" si="5"/>
        <v>0</v>
      </c>
      <c r="F60" s="989"/>
      <c r="G60" s="877"/>
    </row>
    <row r="61" spans="1:8" ht="15" customHeight="1" x14ac:dyDescent="0.3">
      <c r="A61" s="4718" t="s">
        <v>2832</v>
      </c>
      <c r="B61" s="7144" t="s">
        <v>2833</v>
      </c>
      <c r="C61" s="7207"/>
      <c r="D61" s="7145"/>
      <c r="E61" s="4719">
        <f t="shared" si="5"/>
        <v>0</v>
      </c>
      <c r="F61" s="4720"/>
      <c r="G61" s="4721"/>
    </row>
    <row r="62" spans="1:8" s="6" customFormat="1" ht="18" customHeight="1" x14ac:dyDescent="0.25">
      <c r="A62" s="7197" t="s">
        <v>2834</v>
      </c>
      <c r="B62" s="7197"/>
      <c r="C62" s="7197"/>
      <c r="D62" s="7197"/>
      <c r="E62" s="4725"/>
      <c r="F62" s="4725"/>
      <c r="G62" s="4725"/>
      <c r="H62" s="4725"/>
    </row>
    <row r="63" spans="1:8" ht="15" customHeight="1" x14ac:dyDescent="0.3">
      <c r="A63" s="4661" t="s">
        <v>2835</v>
      </c>
      <c r="B63" s="4726" t="s">
        <v>77</v>
      </c>
    </row>
    <row r="64" spans="1:8" ht="15" customHeight="1" x14ac:dyDescent="0.3">
      <c r="A64" s="1227" t="s">
        <v>2836</v>
      </c>
      <c r="B64" s="4432"/>
    </row>
    <row r="65" spans="1:3" ht="15" customHeight="1" x14ac:dyDescent="0.3">
      <c r="A65" s="1224" t="s">
        <v>2837</v>
      </c>
      <c r="B65" s="4599"/>
    </row>
    <row r="66" spans="1:3" ht="15" customHeight="1" x14ac:dyDescent="0.3">
      <c r="A66" s="4699" t="s">
        <v>77</v>
      </c>
      <c r="B66" s="4727">
        <f>SUM(B64+B65)</f>
        <v>0</v>
      </c>
    </row>
    <row r="67" spans="1:3" s="6" customFormat="1" ht="18" customHeight="1" x14ac:dyDescent="0.25">
      <c r="A67" s="7065" t="s">
        <v>2838</v>
      </c>
      <c r="B67" s="7065"/>
      <c r="C67" s="7065"/>
    </row>
    <row r="68" spans="1:3" s="19" customFormat="1" ht="15" customHeight="1" x14ac:dyDescent="0.2">
      <c r="A68" s="1132" t="s">
        <v>2839</v>
      </c>
      <c r="B68" s="1801" t="s">
        <v>2776</v>
      </c>
      <c r="C68" s="1132" t="s">
        <v>77</v>
      </c>
    </row>
    <row r="69" spans="1:3" s="19" customFormat="1" ht="15" customHeight="1" x14ac:dyDescent="0.2">
      <c r="A69" s="7060" t="s">
        <v>2840</v>
      </c>
      <c r="B69" s="1227" t="s">
        <v>2841</v>
      </c>
      <c r="C69" s="4432"/>
    </row>
    <row r="70" spans="1:3" s="19" customFormat="1" ht="15" customHeight="1" x14ac:dyDescent="0.2">
      <c r="A70" s="5844"/>
      <c r="B70" s="4609" t="s">
        <v>2842</v>
      </c>
      <c r="C70" s="4598"/>
    </row>
    <row r="71" spans="1:3" s="19" customFormat="1" ht="15" customHeight="1" x14ac:dyDescent="0.2">
      <c r="A71" s="5844"/>
      <c r="B71" s="1223" t="s">
        <v>2843</v>
      </c>
      <c r="C71" s="3446"/>
    </row>
    <row r="72" spans="1:3" s="19" customFormat="1" ht="15" customHeight="1" x14ac:dyDescent="0.2">
      <c r="A72" s="5844"/>
      <c r="B72" s="1223" t="s">
        <v>2844</v>
      </c>
      <c r="C72" s="3446"/>
    </row>
    <row r="73" spans="1:3" s="19" customFormat="1" ht="15" customHeight="1" x14ac:dyDescent="0.2">
      <c r="A73" s="7060" t="s">
        <v>2845</v>
      </c>
      <c r="B73" s="1227" t="s">
        <v>2846</v>
      </c>
      <c r="C73" s="4432"/>
    </row>
    <row r="74" spans="1:3" s="19" customFormat="1" ht="15" customHeight="1" x14ac:dyDescent="0.2">
      <c r="A74" s="5844"/>
      <c r="B74" s="4609" t="s">
        <v>2847</v>
      </c>
      <c r="C74" s="4598"/>
    </row>
    <row r="75" spans="1:3" s="19" customFormat="1" ht="15" customHeight="1" x14ac:dyDescent="0.2">
      <c r="A75" s="5844"/>
      <c r="B75" s="1223" t="s">
        <v>2848</v>
      </c>
      <c r="C75" s="4598"/>
    </row>
    <row r="76" spans="1:3" s="19" customFormat="1" ht="15" customHeight="1" x14ac:dyDescent="0.2">
      <c r="A76" s="5844"/>
      <c r="B76" s="1223" t="s">
        <v>2844</v>
      </c>
      <c r="C76" s="3446"/>
    </row>
    <row r="77" spans="1:3" s="19" customFormat="1" ht="15" customHeight="1" x14ac:dyDescent="0.2">
      <c r="A77" s="7196"/>
      <c r="B77" s="1223" t="s">
        <v>2843</v>
      </c>
      <c r="C77" s="3446"/>
    </row>
    <row r="78" spans="1:3" ht="20.399999999999999" x14ac:dyDescent="0.3">
      <c r="A78" s="7060" t="s">
        <v>2849</v>
      </c>
      <c r="B78" s="4728" t="s">
        <v>2850</v>
      </c>
      <c r="C78" s="4432"/>
    </row>
    <row r="79" spans="1:3" ht="20.399999999999999" x14ac:dyDescent="0.3">
      <c r="A79" s="5844"/>
      <c r="B79" s="1223" t="s">
        <v>2851</v>
      </c>
      <c r="C79" s="4598"/>
    </row>
    <row r="80" spans="1:3" s="19" customFormat="1" ht="15" customHeight="1" x14ac:dyDescent="0.2">
      <c r="A80" s="7196"/>
      <c r="B80" s="3659" t="s">
        <v>2844</v>
      </c>
      <c r="C80" s="4729"/>
    </row>
    <row r="81" spans="1:12" s="19" customFormat="1" ht="15" customHeight="1" x14ac:dyDescent="0.2">
      <c r="A81" s="7237" t="s">
        <v>2852</v>
      </c>
      <c r="B81" s="7238"/>
      <c r="C81" s="4729"/>
    </row>
    <row r="82" spans="1:12" s="6" customFormat="1" ht="18" customHeight="1" x14ac:dyDescent="0.25">
      <c r="A82" s="7230" t="s">
        <v>2853</v>
      </c>
      <c r="B82" s="7230"/>
      <c r="C82" s="7230"/>
      <c r="D82" s="7230"/>
      <c r="E82" s="7230"/>
      <c r="F82" s="7230"/>
      <c r="G82" s="7230"/>
      <c r="H82" s="7230"/>
      <c r="I82" s="4725"/>
    </row>
    <row r="83" spans="1:12" ht="15" customHeight="1" x14ac:dyDescent="0.3">
      <c r="A83" s="6974" t="s">
        <v>2854</v>
      </c>
      <c r="B83" s="6974"/>
      <c r="C83" s="7239" t="s">
        <v>2855</v>
      </c>
      <c r="D83" s="7231" t="s">
        <v>2856</v>
      </c>
      <c r="E83" s="7233" t="s">
        <v>2845</v>
      </c>
      <c r="F83" s="7234"/>
      <c r="G83" s="7234"/>
      <c r="H83" s="7234" t="s">
        <v>2852</v>
      </c>
    </row>
    <row r="84" spans="1:12" ht="15" customHeight="1" x14ac:dyDescent="0.3">
      <c r="A84" s="6974"/>
      <c r="B84" s="6974"/>
      <c r="C84" s="7240"/>
      <c r="D84" s="7232"/>
      <c r="E84" s="4731" t="s">
        <v>2846</v>
      </c>
      <c r="F84" s="4732" t="s">
        <v>2857</v>
      </c>
      <c r="G84" s="4730" t="s">
        <v>2844</v>
      </c>
      <c r="H84" s="7233"/>
    </row>
    <row r="85" spans="1:12" ht="15" customHeight="1" x14ac:dyDescent="0.3">
      <c r="A85" s="7235" t="s">
        <v>2858</v>
      </c>
      <c r="B85" s="7236"/>
      <c r="C85" s="4733"/>
      <c r="D85" s="4734"/>
      <c r="E85" s="4733"/>
      <c r="F85" s="3561"/>
      <c r="G85" s="4734"/>
      <c r="H85" s="4734"/>
    </row>
    <row r="86" spans="1:12" ht="15" customHeight="1" x14ac:dyDescent="0.3">
      <c r="A86" s="7073" t="s">
        <v>2859</v>
      </c>
      <c r="B86" s="7074"/>
      <c r="C86" s="4735"/>
      <c r="D86" s="4736"/>
      <c r="E86" s="4735"/>
      <c r="F86" s="4737"/>
      <c r="G86" s="4736"/>
      <c r="H86" s="4736"/>
    </row>
    <row r="87" spans="1:12" ht="15" customHeight="1" x14ac:dyDescent="0.3">
      <c r="A87" s="7073" t="s">
        <v>2860</v>
      </c>
      <c r="B87" s="7074"/>
      <c r="C87" s="3617"/>
      <c r="D87" s="3618"/>
      <c r="E87" s="3617"/>
      <c r="F87" s="3625"/>
      <c r="G87" s="3618"/>
      <c r="H87" s="3618"/>
    </row>
    <row r="88" spans="1:12" ht="15" customHeight="1" x14ac:dyDescent="0.3">
      <c r="A88" s="7073" t="s">
        <v>2861</v>
      </c>
      <c r="B88" s="7074"/>
      <c r="C88" s="3617"/>
      <c r="D88" s="3618"/>
      <c r="E88" s="3617"/>
      <c r="F88" s="3625"/>
      <c r="G88" s="3618"/>
      <c r="H88" s="3618"/>
    </row>
    <row r="89" spans="1:12" ht="15" customHeight="1" x14ac:dyDescent="0.3">
      <c r="A89" s="7184" t="s">
        <v>591</v>
      </c>
      <c r="B89" s="6057"/>
      <c r="C89" s="192"/>
      <c r="D89" s="2"/>
      <c r="E89" s="1139"/>
      <c r="F89" s="1283"/>
      <c r="G89" s="2"/>
      <c r="H89" s="2"/>
    </row>
    <row r="90" spans="1:12" ht="15" customHeight="1" x14ac:dyDescent="0.3">
      <c r="A90" s="7241" t="s">
        <v>77</v>
      </c>
      <c r="B90" s="7241"/>
      <c r="C90" s="1125">
        <f t="shared" ref="C90:H90" si="6">SUM(C85:C89)</f>
        <v>0</v>
      </c>
      <c r="D90" s="4738">
        <f t="shared" si="6"/>
        <v>0</v>
      </c>
      <c r="E90" s="1125">
        <f t="shared" si="6"/>
        <v>0</v>
      </c>
      <c r="F90" s="1141">
        <f t="shared" si="6"/>
        <v>0</v>
      </c>
      <c r="G90" s="4738">
        <f t="shared" si="6"/>
        <v>0</v>
      </c>
      <c r="H90" s="1094">
        <f t="shared" si="6"/>
        <v>0</v>
      </c>
    </row>
    <row r="91" spans="1:12" ht="15" customHeight="1" x14ac:dyDescent="0.3">
      <c r="A91" s="3304" t="s">
        <v>2862</v>
      </c>
    </row>
    <row r="92" spans="1:12" s="6" customFormat="1" ht="18" customHeight="1" x14ac:dyDescent="0.25">
      <c r="A92" s="7230" t="s">
        <v>2863</v>
      </c>
      <c r="B92" s="7230"/>
      <c r="C92" s="7230"/>
      <c r="D92" s="7230"/>
      <c r="E92" s="7230"/>
      <c r="F92" s="7230"/>
      <c r="G92" s="7230"/>
      <c r="H92" s="7230"/>
      <c r="I92" s="4725"/>
      <c r="J92" s="4725"/>
      <c r="K92" s="4725"/>
      <c r="L92" s="4725"/>
    </row>
    <row r="93" spans="1:12" ht="15" customHeight="1" x14ac:dyDescent="0.3">
      <c r="A93" s="6974" t="s">
        <v>2854</v>
      </c>
      <c r="B93" s="6974"/>
      <c r="C93" s="7239" t="s">
        <v>2855</v>
      </c>
      <c r="D93" s="7231" t="s">
        <v>2856</v>
      </c>
      <c r="E93" s="7233" t="s">
        <v>2845</v>
      </c>
      <c r="F93" s="7234"/>
      <c r="G93" s="7234"/>
      <c r="H93" s="7234" t="s">
        <v>2852</v>
      </c>
    </row>
    <row r="94" spans="1:12" ht="15" customHeight="1" x14ac:dyDescent="0.3">
      <c r="A94" s="6974"/>
      <c r="B94" s="6974"/>
      <c r="C94" s="7240"/>
      <c r="D94" s="7232"/>
      <c r="E94" s="4731" t="s">
        <v>2846</v>
      </c>
      <c r="F94" s="4732" t="s">
        <v>2857</v>
      </c>
      <c r="G94" s="4730" t="s">
        <v>2844</v>
      </c>
      <c r="H94" s="7233"/>
    </row>
    <row r="95" spans="1:12" ht="15" customHeight="1" x14ac:dyDescent="0.3">
      <c r="A95" s="7235" t="s">
        <v>2859</v>
      </c>
      <c r="B95" s="7236"/>
      <c r="C95" s="4733"/>
      <c r="D95" s="4734"/>
      <c r="E95" s="4739"/>
      <c r="F95" s="3561"/>
      <c r="G95" s="3555"/>
      <c r="H95" s="4734"/>
    </row>
    <row r="96" spans="1:12" ht="15" customHeight="1" x14ac:dyDescent="0.3">
      <c r="A96" s="7073" t="s">
        <v>2864</v>
      </c>
      <c r="B96" s="7074"/>
      <c r="C96" s="1114"/>
      <c r="D96" s="1115"/>
      <c r="E96" s="1116"/>
      <c r="F96" s="1278"/>
      <c r="G96" s="1118"/>
      <c r="H96" s="1115"/>
    </row>
    <row r="97" spans="1:9" ht="15" customHeight="1" x14ac:dyDescent="0.3">
      <c r="A97" s="7242" t="s">
        <v>2865</v>
      </c>
      <c r="B97" s="7243"/>
      <c r="C97" s="1114"/>
      <c r="D97" s="1115"/>
      <c r="E97" s="1116"/>
      <c r="F97" s="1278"/>
      <c r="G97" s="1118"/>
      <c r="H97" s="1115"/>
    </row>
    <row r="98" spans="1:9" ht="15" customHeight="1" x14ac:dyDescent="0.3">
      <c r="A98" s="7073" t="s">
        <v>2866</v>
      </c>
      <c r="B98" s="7074"/>
      <c r="C98" s="1114"/>
      <c r="D98" s="1115"/>
      <c r="E98" s="1116"/>
      <c r="F98" s="1278"/>
      <c r="G98" s="1118"/>
      <c r="H98" s="1115"/>
    </row>
    <row r="99" spans="1:9" ht="15" customHeight="1" x14ac:dyDescent="0.3">
      <c r="A99" s="7244" t="s">
        <v>591</v>
      </c>
      <c r="B99" s="6763"/>
      <c r="C99" s="192"/>
      <c r="D99" s="388"/>
      <c r="E99" s="1152"/>
      <c r="F99" s="1283"/>
      <c r="G99" s="1140"/>
      <c r="H99" s="2"/>
    </row>
    <row r="100" spans="1:9" ht="15" customHeight="1" x14ac:dyDescent="0.3">
      <c r="A100" s="7241" t="s">
        <v>77</v>
      </c>
      <c r="B100" s="7241"/>
      <c r="C100" s="1125">
        <f t="shared" ref="C100:H100" si="7">SUM(C95:C99)</f>
        <v>0</v>
      </c>
      <c r="D100" s="1126">
        <f t="shared" si="7"/>
        <v>0</v>
      </c>
      <c r="E100" s="1125">
        <f t="shared" si="7"/>
        <v>0</v>
      </c>
      <c r="F100" s="1127">
        <f t="shared" si="7"/>
        <v>0</v>
      </c>
      <c r="G100" s="1126">
        <f t="shared" si="7"/>
        <v>0</v>
      </c>
      <c r="H100" s="1126">
        <f t="shared" si="7"/>
        <v>0</v>
      </c>
    </row>
    <row r="101" spans="1:9" ht="15" customHeight="1" x14ac:dyDescent="0.3">
      <c r="A101" s="3304" t="s">
        <v>2862</v>
      </c>
    </row>
    <row r="102" spans="1:9" ht="18" customHeight="1" x14ac:dyDescent="0.3">
      <c r="A102" s="7230" t="s">
        <v>2867</v>
      </c>
      <c r="B102" s="7230"/>
      <c r="C102" s="7230"/>
      <c r="D102" s="7230"/>
      <c r="E102" s="7230"/>
      <c r="F102" s="7230"/>
      <c r="G102" s="7230"/>
      <c r="H102" s="7230"/>
      <c r="I102" s="7230"/>
    </row>
    <row r="103" spans="1:9" ht="40.799999999999997" x14ac:dyDescent="0.3">
      <c r="A103" s="7066" t="s">
        <v>2319</v>
      </c>
      <c r="B103" s="7067"/>
      <c r="C103" s="4740" t="s">
        <v>77</v>
      </c>
      <c r="D103" s="4731" t="s">
        <v>2868</v>
      </c>
      <c r="E103" s="4732" t="s">
        <v>2869</v>
      </c>
      <c r="F103" s="4732" t="s">
        <v>2870</v>
      </c>
      <c r="G103" s="4732" t="s">
        <v>2871</v>
      </c>
      <c r="H103" s="4741" t="s">
        <v>2872</v>
      </c>
      <c r="I103" s="4717" t="s">
        <v>2873</v>
      </c>
    </row>
    <row r="104" spans="1:9" s="19" customFormat="1" ht="15" customHeight="1" x14ac:dyDescent="0.2">
      <c r="A104" s="7146" t="s">
        <v>2874</v>
      </c>
      <c r="B104" s="7147"/>
      <c r="C104" s="4742">
        <f>SUM(D104:I104)</f>
        <v>0</v>
      </c>
      <c r="D104" s="4743"/>
      <c r="E104" s="4744"/>
      <c r="F104" s="4744"/>
      <c r="G104" s="4744"/>
      <c r="H104" s="4744"/>
      <c r="I104" s="3589"/>
    </row>
    <row r="105" spans="1:9" s="19" customFormat="1" ht="15" customHeight="1" x14ac:dyDescent="0.2">
      <c r="A105" s="7060" t="s">
        <v>2845</v>
      </c>
      <c r="B105" s="1192" t="s">
        <v>2846</v>
      </c>
      <c r="C105" s="1282">
        <f>SUM(D105:I105)</f>
        <v>0</v>
      </c>
      <c r="D105" s="3564"/>
      <c r="E105" s="3575"/>
      <c r="F105" s="3575"/>
      <c r="G105" s="3575"/>
      <c r="H105" s="3575"/>
      <c r="I105" s="3565"/>
    </row>
    <row r="106" spans="1:9" s="19" customFormat="1" ht="15" customHeight="1" x14ac:dyDescent="0.2">
      <c r="A106" s="5844"/>
      <c r="B106" s="1194" t="s">
        <v>2857</v>
      </c>
      <c r="C106" s="1243">
        <f>SUM(D106:I106)</f>
        <v>0</v>
      </c>
      <c r="D106" s="4735"/>
      <c r="E106" s="4737"/>
      <c r="F106" s="4737"/>
      <c r="G106" s="4737"/>
      <c r="H106" s="4737"/>
      <c r="I106" s="3565"/>
    </row>
    <row r="107" spans="1:9" s="19" customFormat="1" ht="15" customHeight="1" x14ac:dyDescent="0.2">
      <c r="A107" s="7196"/>
      <c r="B107" s="1196" t="s">
        <v>2844</v>
      </c>
      <c r="C107" s="1250">
        <f>SUM(D107:I107)</f>
        <v>0</v>
      </c>
      <c r="D107" s="4745"/>
      <c r="E107" s="4746"/>
      <c r="F107" s="4746"/>
      <c r="G107" s="4746"/>
      <c r="H107" s="4746"/>
      <c r="I107" s="3627"/>
    </row>
    <row r="108" spans="1:9" s="19" customFormat="1" ht="15" customHeight="1" x14ac:dyDescent="0.2">
      <c r="A108" s="7235" t="s">
        <v>2856</v>
      </c>
      <c r="B108" s="7236"/>
      <c r="C108" s="1282">
        <f>SUM(D108:H108)</f>
        <v>0</v>
      </c>
      <c r="D108" s="3564"/>
      <c r="E108" s="3575"/>
      <c r="F108" s="3575"/>
      <c r="G108" s="3575"/>
      <c r="H108" s="3575"/>
      <c r="I108" s="4747"/>
    </row>
    <row r="109" spans="1:9" s="19" customFormat="1" ht="15" customHeight="1" x14ac:dyDescent="0.2">
      <c r="A109" s="7248" t="s">
        <v>2852</v>
      </c>
      <c r="B109" s="7249"/>
      <c r="C109" s="4748">
        <f>SUM(D109:H109)</f>
        <v>0</v>
      </c>
      <c r="D109" s="1139"/>
      <c r="E109" s="1283"/>
      <c r="F109" s="1283"/>
      <c r="G109" s="1283"/>
      <c r="H109" s="1283"/>
      <c r="I109" s="4749"/>
    </row>
    <row r="110" spans="1:9" ht="15" customHeight="1" x14ac:dyDescent="0.3">
      <c r="A110" s="3304" t="s">
        <v>2862</v>
      </c>
    </row>
    <row r="111" spans="1:9" s="6" customFormat="1" ht="18" customHeight="1" x14ac:dyDescent="0.25">
      <c r="A111" s="7247" t="s">
        <v>2875</v>
      </c>
      <c r="B111" s="7247"/>
      <c r="C111" s="7247"/>
      <c r="D111" s="7247"/>
      <c r="E111" s="7247"/>
      <c r="F111" s="7247"/>
      <c r="G111" s="7247"/>
      <c r="H111" s="7247"/>
      <c r="I111" s="7247"/>
    </row>
    <row r="112" spans="1:9" ht="40.799999999999997" x14ac:dyDescent="0.3">
      <c r="A112" s="7066" t="s">
        <v>2319</v>
      </c>
      <c r="B112" s="7067"/>
      <c r="C112" s="4740" t="s">
        <v>77</v>
      </c>
      <c r="D112" s="4731" t="s">
        <v>2868</v>
      </c>
      <c r="E112" s="4732" t="s">
        <v>2869</v>
      </c>
      <c r="F112" s="4732" t="s">
        <v>2870</v>
      </c>
      <c r="G112" s="4732" t="s">
        <v>2871</v>
      </c>
      <c r="H112" s="4741" t="s">
        <v>2872</v>
      </c>
      <c r="I112" s="4717" t="s">
        <v>2876</v>
      </c>
    </row>
    <row r="113" spans="1:9" ht="15" customHeight="1" x14ac:dyDescent="0.3">
      <c r="A113" s="7146" t="s">
        <v>2874</v>
      </c>
      <c r="B113" s="7147"/>
      <c r="C113" s="4742">
        <f t="shared" ref="C113:C118" si="8">SUM(D113:I113)</f>
        <v>0</v>
      </c>
      <c r="D113" s="4743"/>
      <c r="E113" s="4744"/>
      <c r="F113" s="4744"/>
      <c r="G113" s="4744"/>
      <c r="H113" s="4744"/>
      <c r="I113" s="4750"/>
    </row>
    <row r="114" spans="1:9" ht="15" customHeight="1" x14ac:dyDescent="0.3">
      <c r="A114" s="7060" t="s">
        <v>2845</v>
      </c>
      <c r="B114" s="1192" t="s">
        <v>2846</v>
      </c>
      <c r="C114" s="1282">
        <f t="shared" si="8"/>
        <v>0</v>
      </c>
      <c r="D114" s="3564"/>
      <c r="E114" s="3575"/>
      <c r="F114" s="3575"/>
      <c r="G114" s="3575"/>
      <c r="H114" s="3575"/>
      <c r="I114" s="3565"/>
    </row>
    <row r="115" spans="1:9" ht="15" customHeight="1" x14ac:dyDescent="0.3">
      <c r="A115" s="5844"/>
      <c r="B115" s="1194" t="s">
        <v>2857</v>
      </c>
      <c r="C115" s="1243">
        <f t="shared" si="8"/>
        <v>0</v>
      </c>
      <c r="D115" s="3564"/>
      <c r="E115" s="3575"/>
      <c r="F115" s="3575"/>
      <c r="G115" s="3575"/>
      <c r="H115" s="3575"/>
      <c r="I115" s="3565"/>
    </row>
    <row r="116" spans="1:9" ht="15" customHeight="1" x14ac:dyDescent="0.3">
      <c r="A116" s="7196"/>
      <c r="B116" s="1196" t="s">
        <v>2844</v>
      </c>
      <c r="C116" s="1250">
        <f t="shared" si="8"/>
        <v>0</v>
      </c>
      <c r="D116" s="4745"/>
      <c r="E116" s="4746"/>
      <c r="F116" s="4746"/>
      <c r="G116" s="4746"/>
      <c r="H116" s="4746"/>
      <c r="I116" s="3627"/>
    </row>
    <row r="117" spans="1:9" ht="15" customHeight="1" x14ac:dyDescent="0.3">
      <c r="A117" s="7235" t="s">
        <v>2856</v>
      </c>
      <c r="B117" s="7236"/>
      <c r="C117" s="1282">
        <f t="shared" si="8"/>
        <v>0</v>
      </c>
      <c r="D117" s="3564"/>
      <c r="E117" s="3575"/>
      <c r="F117" s="3575"/>
      <c r="G117" s="3575"/>
      <c r="H117" s="3575"/>
      <c r="I117" s="3565"/>
    </row>
    <row r="118" spans="1:9" ht="15" customHeight="1" x14ac:dyDescent="0.3">
      <c r="A118" s="7248" t="s">
        <v>2852</v>
      </c>
      <c r="B118" s="7249"/>
      <c r="C118" s="4748">
        <f t="shared" si="8"/>
        <v>0</v>
      </c>
      <c r="D118" s="4745"/>
      <c r="E118" s="4746"/>
      <c r="F118" s="4746"/>
      <c r="G118" s="4746"/>
      <c r="H118" s="4746"/>
      <c r="I118" s="3627"/>
    </row>
    <row r="119" spans="1:9" ht="15" customHeight="1" x14ac:dyDescent="0.3">
      <c r="A119" s="3304" t="s">
        <v>2862</v>
      </c>
    </row>
    <row r="120" spans="1:9" s="6" customFormat="1" ht="18" customHeight="1" x14ac:dyDescent="0.25">
      <c r="A120" s="7246" t="s">
        <v>2877</v>
      </c>
      <c r="B120" s="7246"/>
      <c r="C120" s="4751"/>
      <c r="D120" s="4751"/>
      <c r="E120" s="4751"/>
    </row>
    <row r="121" spans="1:9" ht="20.399999999999999" x14ac:dyDescent="0.3">
      <c r="A121" s="4425" t="s">
        <v>2878</v>
      </c>
      <c r="B121" s="4425" t="s">
        <v>2879</v>
      </c>
    </row>
    <row r="122" spans="1:9" ht="15" customHeight="1" x14ac:dyDescent="0.3">
      <c r="A122" s="1194" t="s">
        <v>2880</v>
      </c>
      <c r="B122" s="4752"/>
    </row>
    <row r="123" spans="1:9" ht="15" customHeight="1" x14ac:dyDescent="0.3">
      <c r="A123" s="1194" t="s">
        <v>2881</v>
      </c>
      <c r="B123" s="4753"/>
    </row>
    <row r="124" spans="1:9" ht="15" customHeight="1" x14ac:dyDescent="0.3">
      <c r="A124" s="1194" t="s">
        <v>2882</v>
      </c>
      <c r="B124" s="4753"/>
    </row>
    <row r="125" spans="1:9" ht="15" customHeight="1" x14ac:dyDescent="0.3">
      <c r="A125" s="1194" t="s">
        <v>2883</v>
      </c>
      <c r="B125" s="4753"/>
    </row>
    <row r="126" spans="1:9" ht="15" customHeight="1" x14ac:dyDescent="0.3">
      <c r="A126" s="1196" t="s">
        <v>2884</v>
      </c>
      <c r="B126" s="4754"/>
    </row>
    <row r="127" spans="1:9" s="6" customFormat="1" ht="18" customHeight="1" x14ac:dyDescent="0.25">
      <c r="A127" s="7245" t="s">
        <v>2885</v>
      </c>
      <c r="B127" s="7245"/>
      <c r="C127" s="4755"/>
      <c r="D127" s="4755"/>
    </row>
    <row r="128" spans="1:9" ht="20.399999999999999" x14ac:dyDescent="0.3">
      <c r="A128" s="4425" t="s">
        <v>2878</v>
      </c>
      <c r="B128" s="4425" t="s">
        <v>2886</v>
      </c>
    </row>
    <row r="129" spans="1:9" x14ac:dyDescent="0.3">
      <c r="A129" s="1194" t="s">
        <v>2880</v>
      </c>
      <c r="B129" s="4752"/>
    </row>
    <row r="130" spans="1:9" x14ac:dyDescent="0.3">
      <c r="A130" s="1194" t="s">
        <v>2881</v>
      </c>
      <c r="B130" s="4753"/>
    </row>
    <row r="131" spans="1:9" x14ac:dyDescent="0.3">
      <c r="A131" s="1194" t="s">
        <v>2882</v>
      </c>
      <c r="B131" s="4753"/>
    </row>
    <row r="132" spans="1:9" x14ac:dyDescent="0.3">
      <c r="A132" s="1194" t="s">
        <v>2883</v>
      </c>
      <c r="B132" s="4753"/>
    </row>
    <row r="133" spans="1:9" x14ac:dyDescent="0.3">
      <c r="A133" s="1196" t="s">
        <v>2884</v>
      </c>
      <c r="B133" s="4754"/>
    </row>
    <row r="134" spans="1:9" s="6" customFormat="1" ht="18" customHeight="1" x14ac:dyDescent="0.25">
      <c r="A134" s="4756" t="s">
        <v>2887</v>
      </c>
    </row>
    <row r="135" spans="1:9" x14ac:dyDescent="0.3">
      <c r="A135" s="7066" t="s">
        <v>2776</v>
      </c>
      <c r="B135" s="7067"/>
      <c r="C135" s="4740" t="s">
        <v>77</v>
      </c>
      <c r="D135" s="4731" t="s">
        <v>2888</v>
      </c>
      <c r="E135" s="4732" t="s">
        <v>2889</v>
      </c>
      <c r="F135" s="4730" t="s">
        <v>2890</v>
      </c>
    </row>
    <row r="136" spans="1:9" x14ac:dyDescent="0.3">
      <c r="A136" s="7146" t="s">
        <v>2874</v>
      </c>
      <c r="B136" s="7147"/>
      <c r="C136" s="4757">
        <f t="shared" ref="C136:C141" si="9">SUM(D136:F136)</f>
        <v>0</v>
      </c>
      <c r="D136" s="4758"/>
      <c r="E136" s="4759"/>
      <c r="F136" s="4760"/>
    </row>
    <row r="137" spans="1:9" x14ac:dyDescent="0.3">
      <c r="A137" s="7060" t="s">
        <v>2845</v>
      </c>
      <c r="B137" s="1192" t="s">
        <v>2846</v>
      </c>
      <c r="C137" s="4761">
        <f t="shared" si="9"/>
        <v>0</v>
      </c>
      <c r="D137" s="4733"/>
      <c r="E137" s="3561"/>
      <c r="F137" s="4734"/>
    </row>
    <row r="138" spans="1:9" x14ac:dyDescent="0.3">
      <c r="A138" s="5844"/>
      <c r="B138" s="1194" t="s">
        <v>2857</v>
      </c>
      <c r="C138" s="4762">
        <f t="shared" si="9"/>
        <v>0</v>
      </c>
      <c r="D138" s="1114"/>
      <c r="E138" s="1278"/>
      <c r="F138" s="1115"/>
    </row>
    <row r="139" spans="1:9" x14ac:dyDescent="0.3">
      <c r="A139" s="7196"/>
      <c r="B139" s="1196" t="s">
        <v>2844</v>
      </c>
      <c r="C139" s="1288">
        <f t="shared" si="9"/>
        <v>0</v>
      </c>
      <c r="D139" s="1139"/>
      <c r="E139" s="1283"/>
      <c r="F139" s="388"/>
    </row>
    <row r="140" spans="1:9" x14ac:dyDescent="0.3">
      <c r="A140" s="7235" t="s">
        <v>2856</v>
      </c>
      <c r="B140" s="7236"/>
      <c r="C140" s="1916">
        <f t="shared" si="9"/>
        <v>0</v>
      </c>
      <c r="D140" s="290"/>
      <c r="E140" s="535"/>
      <c r="F140" s="107"/>
    </row>
    <row r="141" spans="1:9" x14ac:dyDescent="0.3">
      <c r="A141" s="7248" t="s">
        <v>2852</v>
      </c>
      <c r="B141" s="7249"/>
      <c r="C141" s="1288">
        <f t="shared" si="9"/>
        <v>0</v>
      </c>
      <c r="D141" s="1139"/>
      <c r="E141" s="1283"/>
      <c r="F141" s="388"/>
    </row>
    <row r="142" spans="1:9" x14ac:dyDescent="0.3">
      <c r="A142" s="3304" t="s">
        <v>2862</v>
      </c>
      <c r="B142" s="3721"/>
      <c r="C142" s="4763"/>
      <c r="D142" s="4763"/>
      <c r="E142" s="1872"/>
      <c r="F142" s="7"/>
    </row>
    <row r="143" spans="1:9" x14ac:dyDescent="0.3">
      <c r="A143" s="3304" t="s">
        <v>2891</v>
      </c>
      <c r="B143" s="4660"/>
      <c r="C143" s="4763"/>
      <c r="D143" s="4763"/>
      <c r="E143" s="4763"/>
      <c r="F143" s="4763"/>
    </row>
    <row r="144" spans="1:9" s="6" customFormat="1" ht="18" customHeight="1" x14ac:dyDescent="0.25">
      <c r="A144" s="6911" t="s">
        <v>2892</v>
      </c>
      <c r="B144" s="6911"/>
      <c r="C144" s="6911"/>
      <c r="D144" s="6911"/>
      <c r="E144" s="6911"/>
      <c r="F144" s="6911"/>
      <c r="G144" s="6911"/>
      <c r="H144" s="6911"/>
      <c r="I144" s="1"/>
    </row>
    <row r="145" spans="1:9" x14ac:dyDescent="0.3">
      <c r="A145" s="7021" t="s">
        <v>2893</v>
      </c>
      <c r="B145" s="6969"/>
      <c r="C145" s="6989" t="s">
        <v>2894</v>
      </c>
      <c r="D145" s="6990"/>
      <c r="E145" s="7078"/>
      <c r="F145" s="6989" t="s">
        <v>1202</v>
      </c>
      <c r="G145" s="6990"/>
      <c r="H145" s="7078"/>
    </row>
    <row r="146" spans="1:9" x14ac:dyDescent="0.3">
      <c r="A146" s="7180"/>
      <c r="B146" s="6687"/>
      <c r="C146" s="1134" t="s">
        <v>2846</v>
      </c>
      <c r="D146" s="1238" t="s">
        <v>2895</v>
      </c>
      <c r="E146" s="1092" t="s">
        <v>2876</v>
      </c>
      <c r="F146" s="1134" t="s">
        <v>2846</v>
      </c>
      <c r="G146" s="1238" t="s">
        <v>2895</v>
      </c>
      <c r="H146" s="1092" t="s">
        <v>2876</v>
      </c>
    </row>
    <row r="147" spans="1:9" x14ac:dyDescent="0.3">
      <c r="A147" s="7146" t="s">
        <v>2840</v>
      </c>
      <c r="B147" s="7147"/>
      <c r="C147" s="4764"/>
      <c r="D147" s="825"/>
      <c r="E147" s="4765"/>
      <c r="F147" s="4764"/>
      <c r="G147" s="825"/>
      <c r="H147" s="4765"/>
    </row>
    <row r="148" spans="1:9" x14ac:dyDescent="0.3">
      <c r="A148" s="7060" t="s">
        <v>2845</v>
      </c>
      <c r="B148" s="1192" t="s">
        <v>2846</v>
      </c>
      <c r="C148" s="4764"/>
      <c r="D148" s="825"/>
      <c r="E148" s="4765"/>
      <c r="F148" s="4764"/>
      <c r="G148" s="825"/>
      <c r="H148" s="4765"/>
    </row>
    <row r="149" spans="1:9" x14ac:dyDescent="0.3">
      <c r="A149" s="5844"/>
      <c r="B149" s="1194" t="s">
        <v>2896</v>
      </c>
      <c r="C149" s="4766"/>
      <c r="D149" s="4767"/>
      <c r="E149" s="4768"/>
      <c r="F149" s="4766"/>
      <c r="G149" s="4767"/>
      <c r="H149" s="4768"/>
    </row>
    <row r="150" spans="1:9" x14ac:dyDescent="0.3">
      <c r="A150" s="7196"/>
      <c r="B150" s="1196" t="s">
        <v>2844</v>
      </c>
      <c r="C150" s="4769"/>
      <c r="D150" s="4770"/>
      <c r="E150" s="838"/>
      <c r="F150" s="4769"/>
      <c r="G150" s="4770"/>
      <c r="H150" s="838"/>
    </row>
    <row r="151" spans="1:9" x14ac:dyDescent="0.3">
      <c r="A151" s="7235" t="s">
        <v>2849</v>
      </c>
      <c r="B151" s="7236"/>
      <c r="C151" s="1106"/>
      <c r="D151" s="3728"/>
      <c r="E151" s="4771"/>
      <c r="F151" s="1106"/>
      <c r="G151" s="3728"/>
      <c r="H151" s="4771"/>
    </row>
    <row r="152" spans="1:9" x14ac:dyDescent="0.3">
      <c r="A152" s="7248" t="s">
        <v>2852</v>
      </c>
      <c r="B152" s="7249"/>
      <c r="C152" s="1289"/>
      <c r="D152" s="293"/>
      <c r="E152" s="3672"/>
      <c r="F152" s="1289"/>
      <c r="G152" s="293"/>
      <c r="H152" s="3672"/>
    </row>
    <row r="153" spans="1:9" x14ac:dyDescent="0.3">
      <c r="A153" s="7024" t="s">
        <v>77</v>
      </c>
      <c r="B153" s="7025"/>
      <c r="C153" s="1125">
        <f>SUM(C147:C152)</f>
        <v>0</v>
      </c>
      <c r="D153" s="1141">
        <f>SUM(D147:D150)</f>
        <v>0</v>
      </c>
      <c r="E153" s="1126">
        <f>SUM(E147:E150)</f>
        <v>0</v>
      </c>
      <c r="F153" s="998">
        <f>SUM(F147:F152)</f>
        <v>0</v>
      </c>
      <c r="G153" s="1005">
        <f>SUM(G147:G150)</f>
        <v>0</v>
      </c>
      <c r="H153" s="999">
        <f>SUM(H147:H150)</f>
        <v>0</v>
      </c>
    </row>
    <row r="154" spans="1:9" s="6" customFormat="1" ht="18" customHeight="1" x14ac:dyDescent="0.25">
      <c r="A154" s="7251" t="s">
        <v>2897</v>
      </c>
      <c r="B154" s="7251"/>
      <c r="C154" s="7251"/>
    </row>
    <row r="155" spans="1:9" ht="15" customHeight="1" x14ac:dyDescent="0.3">
      <c r="A155" s="7021" t="s">
        <v>277</v>
      </c>
      <c r="B155" s="7250"/>
      <c r="C155" s="1132" t="s">
        <v>77</v>
      </c>
    </row>
    <row r="156" spans="1:9" ht="15" customHeight="1" x14ac:dyDescent="0.3">
      <c r="A156" s="7060" t="s">
        <v>2898</v>
      </c>
      <c r="B156" s="4772" t="s">
        <v>2899</v>
      </c>
      <c r="C156" s="4773"/>
    </row>
    <row r="157" spans="1:9" ht="15" customHeight="1" x14ac:dyDescent="0.3">
      <c r="A157" s="7196"/>
      <c r="B157" s="4774" t="s">
        <v>2900</v>
      </c>
      <c r="C157" s="4775"/>
    </row>
    <row r="158" spans="1:9" s="6" customFormat="1" ht="18" customHeight="1" x14ac:dyDescent="0.25">
      <c r="A158" s="6475" t="s">
        <v>2901</v>
      </c>
      <c r="B158" s="6475"/>
      <c r="C158" s="6475"/>
      <c r="D158" s="6475"/>
      <c r="E158" s="6475"/>
      <c r="F158" s="6475"/>
      <c r="G158" s="7065"/>
      <c r="H158" s="7065"/>
      <c r="I158" s="7065"/>
    </row>
    <row r="159" spans="1:9" ht="21" customHeight="1" x14ac:dyDescent="0.3">
      <c r="A159" s="4776" t="s">
        <v>2902</v>
      </c>
      <c r="B159" s="4776" t="s">
        <v>2903</v>
      </c>
      <c r="C159" s="7059" t="s">
        <v>277</v>
      </c>
      <c r="D159" s="6493"/>
      <c r="E159" s="7051"/>
      <c r="F159" s="1237" t="s">
        <v>77</v>
      </c>
      <c r="G159" s="1233" t="s">
        <v>2840</v>
      </c>
      <c r="H159" s="1234" t="s">
        <v>2904</v>
      </c>
      <c r="I159" s="1235" t="s">
        <v>2845</v>
      </c>
    </row>
    <row r="160" spans="1:9" x14ac:dyDescent="0.3">
      <c r="A160" s="7252" t="s">
        <v>2905</v>
      </c>
      <c r="B160" s="7252" t="s">
        <v>2906</v>
      </c>
      <c r="C160" s="7253" t="s">
        <v>2907</v>
      </c>
      <c r="D160" s="7254"/>
      <c r="E160" s="7255"/>
      <c r="F160" s="393">
        <f t="shared" ref="F160:F184" si="10">SUM(G160:I160)</f>
        <v>0</v>
      </c>
      <c r="G160" s="3857"/>
      <c r="H160" s="2690"/>
      <c r="I160" s="2691"/>
    </row>
    <row r="161" spans="1:9" x14ac:dyDescent="0.3">
      <c r="A161" s="7252"/>
      <c r="B161" s="7252"/>
      <c r="C161" s="7256" t="s">
        <v>2908</v>
      </c>
      <c r="D161" s="7257"/>
      <c r="E161" s="7258"/>
      <c r="F161" s="1186">
        <f t="shared" si="10"/>
        <v>0</v>
      </c>
      <c r="G161" s="4766"/>
      <c r="H161" s="4767"/>
      <c r="I161" s="4768"/>
    </row>
    <row r="162" spans="1:9" x14ac:dyDescent="0.3">
      <c r="A162" s="7252"/>
      <c r="B162" s="7252"/>
      <c r="C162" s="7256" t="s">
        <v>2822</v>
      </c>
      <c r="D162" s="7257"/>
      <c r="E162" s="7258"/>
      <c r="F162" s="1186">
        <f t="shared" si="10"/>
        <v>0</v>
      </c>
      <c r="G162" s="4766"/>
      <c r="H162" s="4767"/>
      <c r="I162" s="4768"/>
    </row>
    <row r="163" spans="1:9" x14ac:dyDescent="0.3">
      <c r="A163" s="7252"/>
      <c r="B163" s="7252"/>
      <c r="C163" s="7256" t="s">
        <v>2909</v>
      </c>
      <c r="D163" s="7257"/>
      <c r="E163" s="7258"/>
      <c r="F163" s="1186">
        <f t="shared" si="10"/>
        <v>0</v>
      </c>
      <c r="G163" s="4766"/>
      <c r="H163" s="4767"/>
      <c r="I163" s="4768"/>
    </row>
    <row r="164" spans="1:9" x14ac:dyDescent="0.3">
      <c r="A164" s="7252"/>
      <c r="B164" s="7252"/>
      <c r="C164" s="7256" t="s">
        <v>2910</v>
      </c>
      <c r="D164" s="7257"/>
      <c r="E164" s="7258"/>
      <c r="F164" s="1186">
        <f t="shared" si="10"/>
        <v>0</v>
      </c>
      <c r="G164" s="4766"/>
      <c r="H164" s="4767"/>
      <c r="I164" s="4768"/>
    </row>
    <row r="165" spans="1:9" x14ac:dyDescent="0.3">
      <c r="A165" s="7252"/>
      <c r="B165" s="7252"/>
      <c r="C165" s="7256" t="s">
        <v>2911</v>
      </c>
      <c r="D165" s="7257"/>
      <c r="E165" s="7258"/>
      <c r="F165" s="1186">
        <f t="shared" si="10"/>
        <v>0</v>
      </c>
      <c r="G165" s="4766"/>
      <c r="H165" s="4767"/>
      <c r="I165" s="4768"/>
    </row>
    <row r="166" spans="1:9" x14ac:dyDescent="0.3">
      <c r="A166" s="7252"/>
      <c r="B166" s="7252"/>
      <c r="C166" s="7256" t="s">
        <v>2912</v>
      </c>
      <c r="D166" s="7257"/>
      <c r="E166" s="7258"/>
      <c r="F166" s="1186">
        <f t="shared" si="10"/>
        <v>0</v>
      </c>
      <c r="G166" s="4766"/>
      <c r="H166" s="4767"/>
      <c r="I166" s="4768"/>
    </row>
    <row r="167" spans="1:9" x14ac:dyDescent="0.3">
      <c r="A167" s="7252"/>
      <c r="B167" s="7252"/>
      <c r="C167" s="7259" t="s">
        <v>2913</v>
      </c>
      <c r="D167" s="7260"/>
      <c r="E167" s="7261"/>
      <c r="F167" s="1396">
        <f t="shared" si="10"/>
        <v>0</v>
      </c>
      <c r="G167" s="4769"/>
      <c r="H167" s="4770"/>
      <c r="I167" s="838"/>
    </row>
    <row r="168" spans="1:9" x14ac:dyDescent="0.3">
      <c r="A168" s="7252"/>
      <c r="B168" s="7262" t="s">
        <v>2914</v>
      </c>
      <c r="C168" s="7253" t="s">
        <v>2915</v>
      </c>
      <c r="D168" s="7254"/>
      <c r="E168" s="7255"/>
      <c r="F168" s="393">
        <f t="shared" si="10"/>
        <v>0</v>
      </c>
      <c r="G168" s="3857"/>
      <c r="H168" s="2690"/>
      <c r="I168" s="2691"/>
    </row>
    <row r="169" spans="1:9" x14ac:dyDescent="0.3">
      <c r="A169" s="7252"/>
      <c r="B169" s="7262"/>
      <c r="C169" s="7256" t="s">
        <v>2916</v>
      </c>
      <c r="D169" s="7257"/>
      <c r="E169" s="7258"/>
      <c r="F169" s="393">
        <f t="shared" si="10"/>
        <v>0</v>
      </c>
      <c r="G169" s="4766"/>
      <c r="H169" s="4767"/>
      <c r="I169" s="4768"/>
    </row>
    <row r="170" spans="1:9" x14ac:dyDescent="0.3">
      <c r="A170" s="7252"/>
      <c r="B170" s="7262"/>
      <c r="C170" s="7259" t="s">
        <v>2917</v>
      </c>
      <c r="D170" s="7260"/>
      <c r="E170" s="7261"/>
      <c r="F170" s="217">
        <f t="shared" si="10"/>
        <v>0</v>
      </c>
      <c r="G170" s="4769"/>
      <c r="H170" s="4770"/>
      <c r="I170" s="838"/>
    </row>
    <row r="171" spans="1:9" x14ac:dyDescent="0.3">
      <c r="A171" s="7252" t="s">
        <v>2918</v>
      </c>
      <c r="B171" s="7262" t="s">
        <v>2906</v>
      </c>
      <c r="C171" s="7253" t="s">
        <v>2919</v>
      </c>
      <c r="D171" s="7254"/>
      <c r="E171" s="7255"/>
      <c r="F171" s="1389">
        <f t="shared" si="10"/>
        <v>0</v>
      </c>
      <c r="G171" s="3857"/>
      <c r="H171" s="2690"/>
      <c r="I171" s="2691"/>
    </row>
    <row r="172" spans="1:9" x14ac:dyDescent="0.3">
      <c r="A172" s="7252"/>
      <c r="B172" s="7262"/>
      <c r="C172" s="7256" t="s">
        <v>2920</v>
      </c>
      <c r="D172" s="7257"/>
      <c r="E172" s="7258"/>
      <c r="F172" s="393">
        <f t="shared" si="10"/>
        <v>0</v>
      </c>
      <c r="G172" s="4766"/>
      <c r="H172" s="4767"/>
      <c r="I172" s="4768"/>
    </row>
    <row r="173" spans="1:9" x14ac:dyDescent="0.3">
      <c r="A173" s="7252"/>
      <c r="B173" s="7262"/>
      <c r="C173" s="7256" t="s">
        <v>2921</v>
      </c>
      <c r="D173" s="7257"/>
      <c r="E173" s="7258"/>
      <c r="F173" s="393">
        <f t="shared" si="10"/>
        <v>0</v>
      </c>
      <c r="G173" s="4766"/>
      <c r="H173" s="4767"/>
      <c r="I173" s="4768"/>
    </row>
    <row r="174" spans="1:9" x14ac:dyDescent="0.3">
      <c r="A174" s="7252"/>
      <c r="B174" s="7262"/>
      <c r="C174" s="7268" t="s">
        <v>2922</v>
      </c>
      <c r="D174" s="7269"/>
      <c r="E174" s="7270"/>
      <c r="F174" s="4779">
        <f t="shared" si="10"/>
        <v>0</v>
      </c>
      <c r="G174" s="4769"/>
      <c r="H174" s="4770"/>
      <c r="I174" s="838"/>
    </row>
    <row r="175" spans="1:9" x14ac:dyDescent="0.3">
      <c r="A175" s="7252"/>
      <c r="B175" s="7262" t="s">
        <v>2914</v>
      </c>
      <c r="C175" s="7272" t="s">
        <v>2923</v>
      </c>
      <c r="D175" s="7273"/>
      <c r="E175" s="7274"/>
      <c r="F175" s="393">
        <f t="shared" si="10"/>
        <v>0</v>
      </c>
      <c r="G175" s="3857"/>
      <c r="H175" s="2690"/>
      <c r="I175" s="2691"/>
    </row>
    <row r="176" spans="1:9" x14ac:dyDescent="0.3">
      <c r="A176" s="7252"/>
      <c r="B176" s="7262"/>
      <c r="C176" s="7256" t="s">
        <v>2924</v>
      </c>
      <c r="D176" s="7257"/>
      <c r="E176" s="7258"/>
      <c r="F176" s="393">
        <f t="shared" si="10"/>
        <v>0</v>
      </c>
      <c r="G176" s="4766"/>
      <c r="H176" s="4767"/>
      <c r="I176" s="4768"/>
    </row>
    <row r="177" spans="1:9" x14ac:dyDescent="0.3">
      <c r="A177" s="7252"/>
      <c r="B177" s="7262"/>
      <c r="C177" s="7256" t="s">
        <v>2925</v>
      </c>
      <c r="D177" s="7257"/>
      <c r="E177" s="7258"/>
      <c r="F177" s="393">
        <f t="shared" si="10"/>
        <v>0</v>
      </c>
      <c r="G177" s="4766"/>
      <c r="H177" s="4767"/>
      <c r="I177" s="4768"/>
    </row>
    <row r="178" spans="1:9" x14ac:dyDescent="0.3">
      <c r="A178" s="7252"/>
      <c r="B178" s="7262"/>
      <c r="C178" s="7256" t="s">
        <v>2926</v>
      </c>
      <c r="D178" s="7257"/>
      <c r="E178" s="7258"/>
      <c r="F178" s="393">
        <f t="shared" si="10"/>
        <v>0</v>
      </c>
      <c r="G178" s="4766"/>
      <c r="H178" s="4767"/>
      <c r="I178" s="4768"/>
    </row>
    <row r="179" spans="1:9" x14ac:dyDescent="0.3">
      <c r="A179" s="7252"/>
      <c r="B179" s="7262"/>
      <c r="C179" s="7256" t="s">
        <v>2927</v>
      </c>
      <c r="D179" s="7257"/>
      <c r="E179" s="7258"/>
      <c r="F179" s="393">
        <f t="shared" si="10"/>
        <v>0</v>
      </c>
      <c r="G179" s="4766"/>
      <c r="H179" s="4767"/>
      <c r="I179" s="4768"/>
    </row>
    <row r="180" spans="1:9" x14ac:dyDescent="0.3">
      <c r="A180" s="7252"/>
      <c r="B180" s="7262"/>
      <c r="C180" s="7256" t="s">
        <v>2928</v>
      </c>
      <c r="D180" s="7257"/>
      <c r="E180" s="7258"/>
      <c r="F180" s="393">
        <f t="shared" si="10"/>
        <v>0</v>
      </c>
      <c r="G180" s="4766"/>
      <c r="H180" s="4767"/>
      <c r="I180" s="4768"/>
    </row>
    <row r="181" spans="1:9" x14ac:dyDescent="0.3">
      <c r="A181" s="7252"/>
      <c r="B181" s="7262"/>
      <c r="C181" s="7256" t="s">
        <v>2929</v>
      </c>
      <c r="D181" s="7257"/>
      <c r="E181" s="7258"/>
      <c r="F181" s="393">
        <f t="shared" si="10"/>
        <v>0</v>
      </c>
      <c r="G181" s="4766"/>
      <c r="H181" s="4767"/>
      <c r="I181" s="4768"/>
    </row>
    <row r="182" spans="1:9" x14ac:dyDescent="0.3">
      <c r="A182" s="7252"/>
      <c r="B182" s="7262"/>
      <c r="C182" s="7256" t="s">
        <v>2930</v>
      </c>
      <c r="D182" s="7257"/>
      <c r="E182" s="7258"/>
      <c r="F182" s="393">
        <f t="shared" si="10"/>
        <v>0</v>
      </c>
      <c r="G182" s="4766"/>
      <c r="H182" s="4767"/>
      <c r="I182" s="4768"/>
    </row>
    <row r="183" spans="1:9" x14ac:dyDescent="0.3">
      <c r="A183" s="7252"/>
      <c r="B183" s="7262"/>
      <c r="C183" s="7256" t="s">
        <v>2931</v>
      </c>
      <c r="D183" s="7257"/>
      <c r="E183" s="7258"/>
      <c r="F183" s="393">
        <f t="shared" si="10"/>
        <v>0</v>
      </c>
      <c r="G183" s="4766"/>
      <c r="H183" s="4767"/>
      <c r="I183" s="4768"/>
    </row>
    <row r="184" spans="1:9" x14ac:dyDescent="0.3">
      <c r="A184" s="7252"/>
      <c r="B184" s="7262"/>
      <c r="C184" s="7268" t="s">
        <v>2932</v>
      </c>
      <c r="D184" s="7269"/>
      <c r="E184" s="7270"/>
      <c r="F184" s="393">
        <f t="shared" si="10"/>
        <v>0</v>
      </c>
      <c r="G184" s="4766"/>
      <c r="H184" s="4767"/>
      <c r="I184" s="4768"/>
    </row>
    <row r="185" spans="1:9" x14ac:dyDescent="0.3">
      <c r="A185" s="1342"/>
      <c r="B185" s="4780"/>
      <c r="C185" s="4777" t="s">
        <v>77</v>
      </c>
      <c r="D185" s="3292"/>
      <c r="E185" s="4778"/>
      <c r="F185" s="4781">
        <f>+SUM(F160:F184)</f>
        <v>0</v>
      </c>
      <c r="G185" s="4782">
        <f>+SUM(G160:G184)</f>
        <v>0</v>
      </c>
      <c r="H185" s="4783">
        <f>+SUM(H160:H184)</f>
        <v>0</v>
      </c>
      <c r="I185" s="4784">
        <f>+SUM(I160:I184)</f>
        <v>0</v>
      </c>
    </row>
    <row r="186" spans="1:9" x14ac:dyDescent="0.3">
      <c r="A186" s="50" t="s">
        <v>2933</v>
      </c>
      <c r="B186" s="50"/>
      <c r="C186" s="7"/>
      <c r="D186" s="7"/>
      <c r="E186" s="7"/>
      <c r="F186" s="7"/>
      <c r="G186" s="7"/>
      <c r="H186" s="7"/>
      <c r="I186" s="7"/>
    </row>
    <row r="187" spans="1:9" s="6" customFormat="1" ht="18" customHeight="1" x14ac:dyDescent="0.25">
      <c r="A187" s="2508" t="s">
        <v>2934</v>
      </c>
    </row>
    <row r="188" spans="1:9" s="6" customFormat="1" ht="18" customHeight="1" x14ac:dyDescent="0.25">
      <c r="A188" s="7266" t="s">
        <v>2935</v>
      </c>
      <c r="B188" s="7266"/>
      <c r="C188" s="7267"/>
      <c r="D188" s="7267"/>
    </row>
    <row r="189" spans="1:9" ht="15" customHeight="1" x14ac:dyDescent="0.3">
      <c r="A189" s="4785" t="s">
        <v>2936</v>
      </c>
      <c r="B189" s="4786" t="s">
        <v>77</v>
      </c>
      <c r="C189" s="1236" t="s">
        <v>1899</v>
      </c>
      <c r="D189" s="1232" t="s">
        <v>2937</v>
      </c>
    </row>
    <row r="190" spans="1:9" ht="15" customHeight="1" x14ac:dyDescent="0.3">
      <c r="A190" s="1484" t="s">
        <v>2938</v>
      </c>
      <c r="B190" s="1186">
        <f t="shared" ref="B190:B199" si="11">SUM(C190:D190)</f>
        <v>0</v>
      </c>
      <c r="C190" s="3857"/>
      <c r="D190" s="2691"/>
    </row>
    <row r="191" spans="1:9" ht="15" customHeight="1" x14ac:dyDescent="0.3">
      <c r="A191" s="1485" t="s">
        <v>2939</v>
      </c>
      <c r="B191" s="1186">
        <f t="shared" si="11"/>
        <v>0</v>
      </c>
      <c r="C191" s="4766"/>
      <c r="D191" s="4768"/>
    </row>
    <row r="192" spans="1:9" ht="15" customHeight="1" x14ac:dyDescent="0.3">
      <c r="A192" s="1485" t="s">
        <v>2940</v>
      </c>
      <c r="B192" s="1186">
        <f t="shared" si="11"/>
        <v>0</v>
      </c>
      <c r="C192" s="4766"/>
      <c r="D192" s="4768"/>
    </row>
    <row r="193" spans="1:5" ht="15" customHeight="1" x14ac:dyDescent="0.3">
      <c r="A193" s="1485" t="s">
        <v>2941</v>
      </c>
      <c r="B193" s="1186">
        <f t="shared" si="11"/>
        <v>0</v>
      </c>
      <c r="C193" s="4766"/>
      <c r="D193" s="4768"/>
    </row>
    <row r="194" spans="1:5" ht="15" customHeight="1" x14ac:dyDescent="0.3">
      <c r="A194" s="1485" t="s">
        <v>2942</v>
      </c>
      <c r="B194" s="1186">
        <f t="shared" si="11"/>
        <v>0</v>
      </c>
      <c r="C194" s="4766"/>
      <c r="D194" s="4768"/>
    </row>
    <row r="195" spans="1:5" ht="15" customHeight="1" x14ac:dyDescent="0.3">
      <c r="A195" s="1485" t="s">
        <v>2943</v>
      </c>
      <c r="B195" s="1186">
        <f t="shared" si="11"/>
        <v>0</v>
      </c>
      <c r="C195" s="4766"/>
      <c r="D195" s="4768"/>
    </row>
    <row r="196" spans="1:5" ht="15" customHeight="1" x14ac:dyDescent="0.3">
      <c r="A196" s="1485" t="s">
        <v>2944</v>
      </c>
      <c r="B196" s="1186">
        <f t="shared" si="11"/>
        <v>0</v>
      </c>
      <c r="C196" s="4766"/>
      <c r="D196" s="4768"/>
    </row>
    <row r="197" spans="1:5" ht="15" customHeight="1" x14ac:dyDescent="0.3">
      <c r="A197" s="1485" t="s">
        <v>2945</v>
      </c>
      <c r="B197" s="1186">
        <f t="shared" si="11"/>
        <v>0</v>
      </c>
      <c r="C197" s="4766"/>
      <c r="D197" s="4768"/>
    </row>
    <row r="198" spans="1:5" ht="15" customHeight="1" x14ac:dyDescent="0.3">
      <c r="A198" s="1485" t="s">
        <v>2946</v>
      </c>
      <c r="B198" s="1186">
        <f t="shared" si="11"/>
        <v>0</v>
      </c>
      <c r="C198" s="4766"/>
      <c r="D198" s="4768"/>
    </row>
    <row r="199" spans="1:5" ht="15" customHeight="1" x14ac:dyDescent="0.3">
      <c r="A199" s="4787" t="s">
        <v>2947</v>
      </c>
      <c r="B199" s="1186">
        <f t="shared" si="11"/>
        <v>0</v>
      </c>
      <c r="C199" s="4766"/>
      <c r="D199" s="4768"/>
    </row>
    <row r="200" spans="1:5" ht="15" customHeight="1" x14ac:dyDescent="0.3">
      <c r="A200" s="4788" t="s">
        <v>77</v>
      </c>
      <c r="B200" s="1094">
        <f>+SUM(B190:B199)</f>
        <v>0</v>
      </c>
      <c r="C200" s="1125">
        <f>+SUM(C190:C199)</f>
        <v>0</v>
      </c>
      <c r="D200" s="1126">
        <f>+SUM(D190:D199)</f>
        <v>0</v>
      </c>
    </row>
    <row r="201" spans="1:5" s="6" customFormat="1" ht="18" customHeight="1" x14ac:dyDescent="0.25">
      <c r="A201" s="2508" t="s">
        <v>2948</v>
      </c>
    </row>
    <row r="202" spans="1:5" ht="15" customHeight="1" x14ac:dyDescent="0.3">
      <c r="A202" s="4785" t="s">
        <v>2949</v>
      </c>
      <c r="B202" s="1236" t="s">
        <v>1899</v>
      </c>
      <c r="C202" s="1465" t="s">
        <v>2937</v>
      </c>
      <c r="D202" s="1232" t="s">
        <v>598</v>
      </c>
    </row>
    <row r="203" spans="1:5" ht="15" customHeight="1" x14ac:dyDescent="0.3">
      <c r="A203" s="4789" t="s">
        <v>2950</v>
      </c>
      <c r="B203" s="4766"/>
      <c r="C203" s="4767"/>
      <c r="D203" s="4768"/>
    </row>
    <row r="204" spans="1:5" ht="15" customHeight="1" x14ac:dyDescent="0.3">
      <c r="A204" s="4790" t="s">
        <v>2951</v>
      </c>
      <c r="B204" s="4766"/>
      <c r="C204" s="4767"/>
      <c r="D204" s="4768"/>
    </row>
    <row r="205" spans="1:5" ht="15" customHeight="1" x14ac:dyDescent="0.3">
      <c r="A205" s="4703" t="s">
        <v>2952</v>
      </c>
      <c r="B205" s="4766"/>
      <c r="C205" s="4767"/>
      <c r="D205" s="838"/>
    </row>
    <row r="206" spans="1:5" ht="15" customHeight="1" x14ac:dyDescent="0.3">
      <c r="A206" s="4785" t="s">
        <v>77</v>
      </c>
      <c r="B206" s="1125">
        <f>+SUM(B203:B205)</f>
        <v>0</v>
      </c>
      <c r="C206" s="1141">
        <f>+SUM(C203:C205)</f>
        <v>0</v>
      </c>
      <c r="D206" s="1126">
        <f>+SUM(D203:D205)</f>
        <v>0</v>
      </c>
    </row>
    <row r="207" spans="1:5" s="6" customFormat="1" ht="18" customHeight="1" x14ac:dyDescent="0.25">
      <c r="A207" s="7266" t="s">
        <v>2953</v>
      </c>
      <c r="B207" s="7266"/>
      <c r="C207" s="7266"/>
      <c r="D207" s="7266"/>
      <c r="E207" s="7266"/>
    </row>
    <row r="208" spans="1:5" s="19" customFormat="1" ht="15" customHeight="1" x14ac:dyDescent="0.2">
      <c r="A208" s="4788" t="s">
        <v>2954</v>
      </c>
      <c r="B208" s="4788" t="s">
        <v>2955</v>
      </c>
      <c r="C208" s="1236" t="s">
        <v>1899</v>
      </c>
      <c r="D208" s="1465" t="s">
        <v>2937</v>
      </c>
      <c r="E208" s="1232" t="s">
        <v>598</v>
      </c>
    </row>
    <row r="209" spans="1:5" s="19" customFormat="1" ht="15" customHeight="1" x14ac:dyDescent="0.2">
      <c r="A209" s="7263" t="s">
        <v>2956</v>
      </c>
      <c r="B209" s="1803" t="s">
        <v>2957</v>
      </c>
      <c r="C209" s="4766"/>
      <c r="D209" s="4767"/>
      <c r="E209" s="4765"/>
    </row>
    <row r="210" spans="1:5" s="19" customFormat="1" ht="15" customHeight="1" x14ac:dyDescent="0.2">
      <c r="A210" s="7264"/>
      <c r="B210" s="4791" t="s">
        <v>2958</v>
      </c>
      <c r="C210" s="4766"/>
      <c r="D210" s="4767"/>
      <c r="E210" s="2691"/>
    </row>
    <row r="211" spans="1:5" s="19" customFormat="1" ht="15" customHeight="1" x14ac:dyDescent="0.2">
      <c r="A211" s="7264"/>
      <c r="B211" s="4792" t="s">
        <v>2959</v>
      </c>
      <c r="C211" s="3857"/>
      <c r="D211" s="2690"/>
      <c r="E211" s="4768"/>
    </row>
    <row r="212" spans="1:5" s="19" customFormat="1" ht="15" customHeight="1" x14ac:dyDescent="0.2">
      <c r="A212" s="7265"/>
      <c r="B212" s="4793" t="s">
        <v>2960</v>
      </c>
      <c r="C212" s="4769"/>
      <c r="D212" s="4770"/>
      <c r="E212" s="838"/>
    </row>
    <row r="213" spans="1:5" s="19" customFormat="1" ht="15" customHeight="1" x14ac:dyDescent="0.2">
      <c r="A213" s="4794" t="s">
        <v>2961</v>
      </c>
      <c r="B213" s="4794" t="s">
        <v>2962</v>
      </c>
      <c r="C213" s="4795"/>
      <c r="D213" s="4796"/>
      <c r="E213" s="3883"/>
    </row>
    <row r="214" spans="1:5" s="19" customFormat="1" ht="15" customHeight="1" x14ac:dyDescent="0.2">
      <c r="A214" s="7263" t="s">
        <v>2963</v>
      </c>
      <c r="B214" s="1803" t="s">
        <v>2964</v>
      </c>
      <c r="C214" s="4764"/>
      <c r="D214" s="825"/>
      <c r="E214" s="4765"/>
    </row>
    <row r="215" spans="1:5" s="19" customFormat="1" ht="15" customHeight="1" x14ac:dyDescent="0.2">
      <c r="A215" s="7264"/>
      <c r="B215" s="4792" t="s">
        <v>2965</v>
      </c>
      <c r="C215" s="3857"/>
      <c r="D215" s="2690"/>
      <c r="E215" s="2691"/>
    </row>
    <row r="216" spans="1:5" s="19" customFormat="1" ht="15" customHeight="1" x14ac:dyDescent="0.2">
      <c r="A216" s="7264"/>
      <c r="B216" s="4791" t="s">
        <v>2966</v>
      </c>
      <c r="C216" s="4766"/>
      <c r="D216" s="4767"/>
      <c r="E216" s="4768"/>
    </row>
    <row r="217" spans="1:5" s="19" customFormat="1" ht="15" customHeight="1" x14ac:dyDescent="0.2">
      <c r="A217" s="7264"/>
      <c r="B217" s="4792" t="s">
        <v>2967</v>
      </c>
      <c r="C217" s="3857"/>
      <c r="D217" s="2690"/>
      <c r="E217" s="2691"/>
    </row>
    <row r="218" spans="1:5" s="19" customFormat="1" ht="15" customHeight="1" x14ac:dyDescent="0.2">
      <c r="A218" s="7265"/>
      <c r="B218" s="4793" t="s">
        <v>2968</v>
      </c>
      <c r="C218" s="4769"/>
      <c r="D218" s="4770"/>
      <c r="E218" s="838"/>
    </row>
    <row r="219" spans="1:5" s="19" customFormat="1" ht="15" customHeight="1" x14ac:dyDescent="0.2">
      <c r="A219" s="7263" t="s">
        <v>2969</v>
      </c>
      <c r="B219" s="1803" t="s">
        <v>4372</v>
      </c>
      <c r="C219" s="3857"/>
      <c r="D219" s="2690"/>
      <c r="E219" s="2691"/>
    </row>
    <row r="220" spans="1:5" s="19" customFormat="1" ht="15" customHeight="1" x14ac:dyDescent="0.2">
      <c r="A220" s="7265"/>
      <c r="B220" s="4793" t="s">
        <v>4373</v>
      </c>
      <c r="C220" s="4769"/>
      <c r="D220" s="4770"/>
      <c r="E220" s="838"/>
    </row>
    <row r="221" spans="1:5" s="19" customFormat="1" ht="15" customHeight="1" x14ac:dyDescent="0.2">
      <c r="A221" s="7263" t="s">
        <v>2970</v>
      </c>
      <c r="B221" s="1803" t="s">
        <v>2971</v>
      </c>
      <c r="C221" s="4764"/>
      <c r="D221" s="825"/>
      <c r="E221" s="4765"/>
    </row>
    <row r="222" spans="1:5" s="19" customFormat="1" ht="15" customHeight="1" x14ac:dyDescent="0.2">
      <c r="A222" s="7264"/>
      <c r="B222" s="4791" t="s">
        <v>2972</v>
      </c>
      <c r="C222" s="3857"/>
      <c r="D222" s="2690"/>
      <c r="E222" s="2691"/>
    </row>
    <row r="223" spans="1:5" s="19" customFormat="1" ht="15" customHeight="1" x14ac:dyDescent="0.2">
      <c r="A223" s="7265"/>
      <c r="B223" s="4792" t="s">
        <v>4374</v>
      </c>
      <c r="C223" s="3886"/>
      <c r="D223" s="321"/>
      <c r="E223" s="3883"/>
    </row>
    <row r="224" spans="1:5" s="19" customFormat="1" ht="15" customHeight="1" x14ac:dyDescent="0.2">
      <c r="A224" s="7263" t="s">
        <v>2973</v>
      </c>
      <c r="B224" s="1803" t="s">
        <v>4375</v>
      </c>
      <c r="C224" s="3857"/>
      <c r="D224" s="2690"/>
      <c r="E224" s="2691"/>
    </row>
    <row r="225" spans="1:5" s="19" customFormat="1" ht="15" customHeight="1" x14ac:dyDescent="0.2">
      <c r="A225" s="7265"/>
      <c r="B225" s="4793" t="s">
        <v>4376</v>
      </c>
      <c r="C225" s="4769"/>
      <c r="D225" s="4770"/>
      <c r="E225" s="838"/>
    </row>
    <row r="226" spans="1:5" s="19" customFormat="1" ht="15" customHeight="1" x14ac:dyDescent="0.2">
      <c r="A226" s="7263" t="s">
        <v>2974</v>
      </c>
      <c r="B226" s="1803" t="s">
        <v>4377</v>
      </c>
      <c r="C226" s="3857"/>
      <c r="D226" s="2690"/>
      <c r="E226" s="2691"/>
    </row>
    <row r="227" spans="1:5" s="19" customFormat="1" ht="15" customHeight="1" x14ac:dyDescent="0.2">
      <c r="A227" s="7265"/>
      <c r="B227" s="4793" t="s">
        <v>4378</v>
      </c>
      <c r="C227" s="4769"/>
      <c r="D227" s="4770"/>
      <c r="E227" s="838"/>
    </row>
    <row r="228" spans="1:5" s="19" customFormat="1" ht="15" customHeight="1" x14ac:dyDescent="0.2">
      <c r="A228" s="7263" t="s">
        <v>2975</v>
      </c>
      <c r="B228" s="1803" t="s">
        <v>4379</v>
      </c>
      <c r="C228" s="3857"/>
      <c r="D228" s="2690"/>
      <c r="E228" s="2691"/>
    </row>
    <row r="229" spans="1:5" s="19" customFormat="1" ht="15" customHeight="1" x14ac:dyDescent="0.2">
      <c r="A229" s="7265"/>
      <c r="B229" s="4793" t="s">
        <v>4380</v>
      </c>
      <c r="C229" s="4769"/>
      <c r="D229" s="4770"/>
      <c r="E229" s="838"/>
    </row>
    <row r="230" spans="1:5" s="19" customFormat="1" ht="15" customHeight="1" x14ac:dyDescent="0.2">
      <c r="A230" s="7263" t="s">
        <v>2976</v>
      </c>
      <c r="B230" s="1803" t="s">
        <v>4381</v>
      </c>
      <c r="C230" s="3857"/>
      <c r="D230" s="2690"/>
      <c r="E230" s="2691"/>
    </row>
    <row r="231" spans="1:5" s="19" customFormat="1" ht="15" customHeight="1" x14ac:dyDescent="0.2">
      <c r="A231" s="7265"/>
      <c r="B231" s="1804" t="s">
        <v>4382</v>
      </c>
      <c r="C231" s="4769"/>
      <c r="D231" s="4770"/>
      <c r="E231" s="838"/>
    </row>
    <row r="232" spans="1:5" s="19" customFormat="1" ht="15" customHeight="1" x14ac:dyDescent="0.2">
      <c r="A232" s="7284" t="s">
        <v>2977</v>
      </c>
      <c r="B232" s="6880"/>
      <c r="C232" s="3857"/>
      <c r="D232" s="2690"/>
      <c r="E232" s="2691"/>
    </row>
    <row r="233" spans="1:5" s="19" customFormat="1" ht="15" customHeight="1" x14ac:dyDescent="0.2">
      <c r="A233" s="7286" t="s">
        <v>591</v>
      </c>
      <c r="B233" s="7044"/>
      <c r="C233" s="4766"/>
      <c r="D233" s="4767"/>
      <c r="E233" s="4768"/>
    </row>
    <row r="234" spans="1:5" s="19" customFormat="1" ht="15" customHeight="1" x14ac:dyDescent="0.2">
      <c r="A234" s="7106" t="s">
        <v>77</v>
      </c>
      <c r="B234" s="7160"/>
      <c r="C234" s="1125">
        <f>+SUM(C209:C233)</f>
        <v>0</v>
      </c>
      <c r="D234" s="1141">
        <f>+SUM(D209:D233)</f>
        <v>0</v>
      </c>
      <c r="E234" s="1126">
        <f>+SUM(E209:E233)</f>
        <v>0</v>
      </c>
    </row>
    <row r="235" spans="1:5" s="6" customFormat="1" ht="18" customHeight="1" x14ac:dyDescent="0.25">
      <c r="A235" s="7277" t="s">
        <v>2978</v>
      </c>
      <c r="B235" s="7277"/>
      <c r="C235" s="7277"/>
      <c r="D235" s="7277"/>
      <c r="E235" s="7277"/>
    </row>
    <row r="236" spans="1:5" s="19" customFormat="1" ht="20.399999999999999" x14ac:dyDescent="0.2">
      <c r="A236" s="7287" t="s">
        <v>2979</v>
      </c>
      <c r="B236" s="7287"/>
      <c r="C236" s="1236" t="s">
        <v>77</v>
      </c>
      <c r="D236" s="1234" t="s">
        <v>2894</v>
      </c>
      <c r="E236" s="1235" t="s">
        <v>2980</v>
      </c>
    </row>
    <row r="237" spans="1:5" s="19" customFormat="1" ht="15" customHeight="1" x14ac:dyDescent="0.2">
      <c r="A237" s="7288" t="s">
        <v>2981</v>
      </c>
      <c r="B237" s="7288"/>
      <c r="C237" s="1323">
        <f>SUM(D237:E237)</f>
        <v>0</v>
      </c>
      <c r="D237" s="4797"/>
      <c r="E237" s="4768"/>
    </row>
    <row r="238" spans="1:5" s="19" customFormat="1" ht="15" customHeight="1" x14ac:dyDescent="0.2">
      <c r="A238" s="7289" t="s">
        <v>2982</v>
      </c>
      <c r="B238" s="7289"/>
      <c r="C238" s="1323">
        <f>SUM(D238:E238)</f>
        <v>0</v>
      </c>
      <c r="D238" s="4797"/>
      <c r="E238" s="4768"/>
    </row>
    <row r="239" spans="1:5" s="19" customFormat="1" ht="15" customHeight="1" x14ac:dyDescent="0.2">
      <c r="A239" s="7290" t="s">
        <v>77</v>
      </c>
      <c r="B239" s="7290"/>
      <c r="C239" s="1125">
        <f>+SUM(C237:C238)</f>
        <v>0</v>
      </c>
      <c r="D239" s="1127">
        <f>+SUM(D237:D238)</f>
        <v>0</v>
      </c>
      <c r="E239" s="1126">
        <f>+SUM(E237:E238)</f>
        <v>0</v>
      </c>
    </row>
    <row r="240" spans="1:5" s="6" customFormat="1" ht="18" customHeight="1" x14ac:dyDescent="0.25">
      <c r="A240" s="7277" t="s">
        <v>2983</v>
      </c>
      <c r="B240" s="7277"/>
      <c r="C240" s="7277"/>
      <c r="D240" s="7277"/>
    </row>
    <row r="241" spans="1:4" ht="15" customHeight="1" x14ac:dyDescent="0.3">
      <c r="A241" s="4788" t="s">
        <v>2954</v>
      </c>
      <c r="B241" s="4788" t="s">
        <v>2936</v>
      </c>
      <c r="C241" s="1236" t="s">
        <v>1899</v>
      </c>
      <c r="D241" s="1232" t="s">
        <v>2937</v>
      </c>
    </row>
    <row r="242" spans="1:4" ht="15" customHeight="1" x14ac:dyDescent="0.3">
      <c r="A242" s="7263" t="s">
        <v>2963</v>
      </c>
      <c r="B242" s="1803" t="s">
        <v>2984</v>
      </c>
      <c r="C242" s="4766"/>
      <c r="D242" s="4765"/>
    </row>
    <row r="243" spans="1:4" ht="15" customHeight="1" x14ac:dyDescent="0.3">
      <c r="A243" s="7264"/>
      <c r="B243" s="4791" t="s">
        <v>2985</v>
      </c>
      <c r="C243" s="4766"/>
      <c r="D243" s="4768"/>
    </row>
    <row r="244" spans="1:4" ht="15" customHeight="1" x14ac:dyDescent="0.3">
      <c r="A244" s="7264"/>
      <c r="B244" s="4791" t="s">
        <v>2986</v>
      </c>
      <c r="C244" s="4766"/>
      <c r="D244" s="4768"/>
    </row>
    <row r="245" spans="1:4" ht="15" customHeight="1" x14ac:dyDescent="0.3">
      <c r="A245" s="7264"/>
      <c r="B245" s="4791" t="s">
        <v>2987</v>
      </c>
      <c r="C245" s="4766"/>
      <c r="D245" s="4768"/>
    </row>
    <row r="246" spans="1:4" ht="15" customHeight="1" x14ac:dyDescent="0.3">
      <c r="A246" s="7264"/>
      <c r="B246" s="4791" t="s">
        <v>2988</v>
      </c>
      <c r="C246" s="4766"/>
      <c r="D246" s="4768"/>
    </row>
    <row r="247" spans="1:4" ht="15" customHeight="1" x14ac:dyDescent="0.3">
      <c r="A247" s="7264"/>
      <c r="B247" s="4791" t="s">
        <v>2989</v>
      </c>
      <c r="C247" s="4766"/>
      <c r="D247" s="4768"/>
    </row>
    <row r="248" spans="1:4" ht="15" customHeight="1" x14ac:dyDescent="0.3">
      <c r="A248" s="7264"/>
      <c r="B248" s="4791" t="s">
        <v>2990</v>
      </c>
      <c r="C248" s="4766"/>
      <c r="D248" s="4768"/>
    </row>
    <row r="249" spans="1:4" ht="15" customHeight="1" x14ac:dyDescent="0.3">
      <c r="A249" s="7264"/>
      <c r="B249" s="4791" t="s">
        <v>2991</v>
      </c>
      <c r="C249" s="4766"/>
      <c r="D249" s="4768"/>
    </row>
    <row r="250" spans="1:4" ht="15" customHeight="1" x14ac:dyDescent="0.3">
      <c r="A250" s="7264"/>
      <c r="B250" s="4791" t="s">
        <v>2992</v>
      </c>
      <c r="C250" s="4766"/>
      <c r="D250" s="4768"/>
    </row>
    <row r="251" spans="1:4" ht="15" customHeight="1" x14ac:dyDescent="0.3">
      <c r="A251" s="7264"/>
      <c r="B251" s="4791" t="s">
        <v>2993</v>
      </c>
      <c r="C251" s="4766"/>
      <c r="D251" s="4768"/>
    </row>
    <row r="252" spans="1:4" ht="15" customHeight="1" x14ac:dyDescent="0.3">
      <c r="A252" s="7264"/>
      <c r="B252" s="4791" t="s">
        <v>2994</v>
      </c>
      <c r="C252" s="4766"/>
      <c r="D252" s="4768"/>
    </row>
    <row r="253" spans="1:4" ht="15" customHeight="1" x14ac:dyDescent="0.3">
      <c r="A253" s="7264"/>
      <c r="B253" s="4791" t="s">
        <v>2995</v>
      </c>
      <c r="C253" s="4766"/>
      <c r="D253" s="4768"/>
    </row>
    <row r="254" spans="1:4" ht="15" customHeight="1" x14ac:dyDescent="0.3">
      <c r="A254" s="7264"/>
      <c r="B254" s="1804" t="s">
        <v>2996</v>
      </c>
      <c r="C254" s="4769"/>
      <c r="D254" s="838"/>
    </row>
    <row r="255" spans="1:4" ht="15" customHeight="1" x14ac:dyDescent="0.3">
      <c r="A255" s="7265"/>
      <c r="B255" s="4793" t="s">
        <v>2997</v>
      </c>
      <c r="C255" s="4798">
        <f>SUM(C242:C254)</f>
        <v>0</v>
      </c>
      <c r="D255" s="4799">
        <f>SUM(D242:D254)</f>
        <v>0</v>
      </c>
    </row>
    <row r="256" spans="1:4" ht="15" customHeight="1" x14ac:dyDescent="0.3">
      <c r="A256" s="7263" t="s">
        <v>2970</v>
      </c>
      <c r="B256" s="4792" t="s">
        <v>2998</v>
      </c>
      <c r="C256" s="3857"/>
      <c r="D256" s="2691"/>
    </row>
    <row r="257" spans="1:4" ht="15" customHeight="1" x14ac:dyDescent="0.3">
      <c r="A257" s="7264"/>
      <c r="B257" s="4791" t="s">
        <v>2999</v>
      </c>
      <c r="C257" s="4766"/>
      <c r="D257" s="4768"/>
    </row>
    <row r="258" spans="1:4" ht="15" customHeight="1" x14ac:dyDescent="0.3">
      <c r="A258" s="7264"/>
      <c r="B258" s="1804" t="s">
        <v>3000</v>
      </c>
      <c r="C258" s="4769"/>
      <c r="D258" s="838"/>
    </row>
    <row r="259" spans="1:4" ht="15" customHeight="1" x14ac:dyDescent="0.3">
      <c r="A259" s="7265"/>
      <c r="B259" s="4793" t="s">
        <v>3001</v>
      </c>
      <c r="C259" s="4798">
        <f>SUM(C256:C258)</f>
        <v>0</v>
      </c>
      <c r="D259" s="4799">
        <f>SUM(D256:D258)</f>
        <v>0</v>
      </c>
    </row>
    <row r="260" spans="1:4" ht="15" customHeight="1" x14ac:dyDescent="0.3">
      <c r="A260" s="7263" t="s">
        <v>2974</v>
      </c>
      <c r="B260" s="4792" t="s">
        <v>3002</v>
      </c>
      <c r="C260" s="3857"/>
      <c r="D260" s="2691"/>
    </row>
    <row r="261" spans="1:4" ht="15" customHeight="1" x14ac:dyDescent="0.3">
      <c r="A261" s="7264"/>
      <c r="B261" s="4791" t="s">
        <v>3003</v>
      </c>
      <c r="C261" s="4766"/>
      <c r="D261" s="4768"/>
    </row>
    <row r="262" spans="1:4" ht="15" customHeight="1" x14ac:dyDescent="0.3">
      <c r="A262" s="7264"/>
      <c r="B262" s="4791" t="s">
        <v>3004</v>
      </c>
      <c r="C262" s="4766"/>
      <c r="D262" s="4768"/>
    </row>
    <row r="263" spans="1:4" ht="15" customHeight="1" x14ac:dyDescent="0.3">
      <c r="A263" s="7264"/>
      <c r="B263" s="1804" t="s">
        <v>3005</v>
      </c>
      <c r="C263" s="4769"/>
      <c r="D263" s="838"/>
    </row>
    <row r="264" spans="1:4" ht="15" customHeight="1" x14ac:dyDescent="0.3">
      <c r="A264" s="7265"/>
      <c r="B264" s="4793" t="s">
        <v>3006</v>
      </c>
      <c r="C264" s="4798">
        <f>SUM(C260:C263)</f>
        <v>0</v>
      </c>
      <c r="D264" s="4799">
        <f>SUM(D260:D263)</f>
        <v>0</v>
      </c>
    </row>
    <row r="265" spans="1:4" ht="15" customHeight="1" x14ac:dyDescent="0.3">
      <c r="A265" s="7263" t="s">
        <v>2975</v>
      </c>
      <c r="B265" s="4792" t="s">
        <v>3007</v>
      </c>
      <c r="C265" s="3857"/>
      <c r="D265" s="2691"/>
    </row>
    <row r="266" spans="1:4" ht="15" customHeight="1" x14ac:dyDescent="0.3">
      <c r="A266" s="7264"/>
      <c r="B266" s="4791" t="s">
        <v>3008</v>
      </c>
      <c r="C266" s="4766"/>
      <c r="D266" s="4768"/>
    </row>
    <row r="267" spans="1:4" ht="15" customHeight="1" x14ac:dyDescent="0.3">
      <c r="A267" s="7264"/>
      <c r="B267" s="1804" t="s">
        <v>3009</v>
      </c>
      <c r="C267" s="4769"/>
      <c r="D267" s="838"/>
    </row>
    <row r="268" spans="1:4" ht="15" customHeight="1" x14ac:dyDescent="0.3">
      <c r="A268" s="7281"/>
      <c r="B268" s="4793" t="s">
        <v>3010</v>
      </c>
      <c r="C268" s="4800">
        <f>SUM(C265:C267)</f>
        <v>0</v>
      </c>
      <c r="D268" s="4799">
        <f>SUM(D265:D267)</f>
        <v>0</v>
      </c>
    </row>
    <row r="269" spans="1:4" ht="15" customHeight="1" x14ac:dyDescent="0.3">
      <c r="A269" s="7106" t="s">
        <v>77</v>
      </c>
      <c r="B269" s="7160"/>
      <c r="C269" s="1125">
        <f>+C255+C259+C264+C268</f>
        <v>0</v>
      </c>
      <c r="D269" s="1126">
        <f>+D255+D259+D264+D268</f>
        <v>0</v>
      </c>
    </row>
    <row r="270" spans="1:4" s="6" customFormat="1" ht="18" customHeight="1" x14ac:dyDescent="0.25">
      <c r="A270" s="7277" t="s">
        <v>3011</v>
      </c>
      <c r="B270" s="7277"/>
      <c r="C270" s="7277"/>
      <c r="D270" s="7277"/>
    </row>
    <row r="271" spans="1:4" x14ac:dyDescent="0.3">
      <c r="A271" s="1813" t="s">
        <v>3012</v>
      </c>
      <c r="B271" s="1236" t="s">
        <v>3013</v>
      </c>
      <c r="C271" s="4801" t="s">
        <v>3014</v>
      </c>
      <c r="D271" s="1235" t="s">
        <v>3015</v>
      </c>
    </row>
    <row r="272" spans="1:4" ht="15" customHeight="1" x14ac:dyDescent="0.3">
      <c r="A272" s="4802" t="s">
        <v>2950</v>
      </c>
      <c r="B272" s="4766"/>
      <c r="C272" s="4767"/>
      <c r="D272" s="4768"/>
    </row>
    <row r="273" spans="1:4" ht="15" customHeight="1" x14ac:dyDescent="0.3">
      <c r="A273" s="4790" t="s">
        <v>2951</v>
      </c>
      <c r="B273" s="4766"/>
      <c r="C273" s="4767"/>
      <c r="D273" s="4768"/>
    </row>
    <row r="274" spans="1:4" ht="15" customHeight="1" x14ac:dyDescent="0.3">
      <c r="A274" s="4703" t="s">
        <v>2952</v>
      </c>
      <c r="B274" s="4766"/>
      <c r="C274" s="4767"/>
      <c r="D274" s="4768"/>
    </row>
    <row r="275" spans="1:4" ht="15" customHeight="1" x14ac:dyDescent="0.3">
      <c r="A275" s="4785" t="s">
        <v>77</v>
      </c>
      <c r="B275" s="1125">
        <f>+SUM(B272:B274)</f>
        <v>0</v>
      </c>
      <c r="C275" s="1141">
        <f>+SUM(C272:C274)</f>
        <v>0</v>
      </c>
      <c r="D275" s="1126">
        <f>+SUM(D272:D274)</f>
        <v>0</v>
      </c>
    </row>
    <row r="276" spans="1:4" s="6" customFormat="1" ht="18" customHeight="1" x14ac:dyDescent="0.25">
      <c r="A276" s="2508" t="s">
        <v>3016</v>
      </c>
    </row>
    <row r="277" spans="1:4" s="6" customFormat="1" ht="18" customHeight="1" x14ac:dyDescent="0.25">
      <c r="A277" s="7266" t="s">
        <v>3017</v>
      </c>
      <c r="B277" s="7266"/>
      <c r="C277" s="7266"/>
    </row>
    <row r="278" spans="1:4" x14ac:dyDescent="0.3">
      <c r="A278" s="7282" t="s">
        <v>3018</v>
      </c>
      <c r="B278" s="7283"/>
      <c r="C278" s="4788" t="s">
        <v>3019</v>
      </c>
    </row>
    <row r="279" spans="1:4" x14ac:dyDescent="0.3">
      <c r="A279" s="7284" t="s">
        <v>3020</v>
      </c>
      <c r="B279" s="7285"/>
      <c r="C279" s="4803"/>
    </row>
    <row r="280" spans="1:4" x14ac:dyDescent="0.3">
      <c r="A280" s="7275" t="s">
        <v>3021</v>
      </c>
      <c r="B280" s="7276"/>
      <c r="C280" s="4803"/>
    </row>
    <row r="281" spans="1:4" x14ac:dyDescent="0.3">
      <c r="A281" s="7275" t="s">
        <v>3022</v>
      </c>
      <c r="B281" s="7276"/>
      <c r="C281" s="4803"/>
    </row>
    <row r="282" spans="1:4" x14ac:dyDescent="0.3">
      <c r="A282" s="7275" t="s">
        <v>3023</v>
      </c>
      <c r="B282" s="7276"/>
      <c r="C282" s="4803"/>
    </row>
    <row r="283" spans="1:4" ht="24.9" customHeight="1" x14ac:dyDescent="0.3">
      <c r="A283" s="7278" t="s">
        <v>3024</v>
      </c>
      <c r="B283" s="7279"/>
      <c r="C283" s="4803"/>
    </row>
    <row r="284" spans="1:4" ht="24.9" customHeight="1" x14ac:dyDescent="0.3">
      <c r="A284" s="7278" t="s">
        <v>3025</v>
      </c>
      <c r="B284" s="7279"/>
      <c r="C284" s="4803"/>
    </row>
    <row r="285" spans="1:4" ht="24.9" customHeight="1" x14ac:dyDescent="0.3">
      <c r="A285" s="7278" t="s">
        <v>3026</v>
      </c>
      <c r="B285" s="7279"/>
      <c r="C285" s="4803"/>
    </row>
    <row r="286" spans="1:4" ht="24.9" customHeight="1" x14ac:dyDescent="0.3">
      <c r="A286" s="7278" t="s">
        <v>3027</v>
      </c>
      <c r="B286" s="7279"/>
      <c r="C286" s="4803"/>
    </row>
    <row r="287" spans="1:4" ht="15" customHeight="1" x14ac:dyDescent="0.3">
      <c r="A287" s="7280" t="s">
        <v>3028</v>
      </c>
      <c r="B287" s="5913"/>
      <c r="C287" s="4803"/>
    </row>
    <row r="288" spans="1:4" ht="15" customHeight="1" x14ac:dyDescent="0.3">
      <c r="A288" s="7271" t="s">
        <v>77</v>
      </c>
      <c r="B288" s="6910"/>
      <c r="C288" s="1094">
        <f>+SUM(C279:C287)</f>
        <v>0</v>
      </c>
    </row>
    <row r="289" spans="1:2" s="6" customFormat="1" ht="18" customHeight="1" x14ac:dyDescent="0.25">
      <c r="A289" s="2508" t="s">
        <v>3029</v>
      </c>
    </row>
    <row r="290" spans="1:2" ht="15" customHeight="1" x14ac:dyDescent="0.3">
      <c r="A290" s="4785" t="s">
        <v>3030</v>
      </c>
      <c r="B290" s="4788" t="s">
        <v>3031</v>
      </c>
    </row>
    <row r="291" spans="1:2" ht="15" customHeight="1" x14ac:dyDescent="0.3">
      <c r="A291" s="1484" t="s">
        <v>3032</v>
      </c>
      <c r="B291" s="4803"/>
    </row>
    <row r="292" spans="1:2" ht="15" customHeight="1" x14ac:dyDescent="0.3">
      <c r="A292" s="1485" t="s">
        <v>3033</v>
      </c>
      <c r="B292" s="4803"/>
    </row>
    <row r="293" spans="1:2" ht="15" customHeight="1" x14ac:dyDescent="0.3">
      <c r="A293" s="1485" t="s">
        <v>3034</v>
      </c>
      <c r="B293" s="4803"/>
    </row>
    <row r="294" spans="1:2" ht="15" customHeight="1" x14ac:dyDescent="0.3">
      <c r="A294" s="1485" t="s">
        <v>3035</v>
      </c>
      <c r="B294" s="4803"/>
    </row>
    <row r="295" spans="1:2" ht="15" customHeight="1" x14ac:dyDescent="0.3">
      <c r="A295" s="1485" t="s">
        <v>3036</v>
      </c>
      <c r="B295" s="4803"/>
    </row>
    <row r="296" spans="1:2" ht="15" customHeight="1" x14ac:dyDescent="0.3">
      <c r="A296" s="4787" t="s">
        <v>3037</v>
      </c>
      <c r="B296" s="4803"/>
    </row>
    <row r="297" spans="1:2" ht="15" customHeight="1" x14ac:dyDescent="0.3">
      <c r="A297" s="4788" t="s">
        <v>77</v>
      </c>
      <c r="B297" s="1094">
        <f>+SUM(B291:B296)</f>
        <v>0</v>
      </c>
    </row>
    <row r="320" spans="1:1" hidden="1" x14ac:dyDescent="0.3">
      <c r="A320" s="4580">
        <f>SUM(D12:F15,D16:D17,D22:D28,E31:E61,B66,C69:C81,C90:H90,C100:H100,C104:C109,C113:C118,B122:B126,B129:B133,C136:C141,C153:H153,C156:C157,F160:F185,B190:B200,B206:D206,C234:E234,C237:C239,C269:D269,B275:D275,C288,B297)</f>
        <v>0</v>
      </c>
    </row>
  </sheetData>
  <sheetProtection algorithmName="SHA-512" hashValue="Wd6Mrk2Hd3VyyMvUYjopHvk2ARHnLzf5lHuungY2uCiQERNBeKhqbG2GomnrEEA4KbDCdM/DwyPnMAtre5M8uw==" saltValue="kHqpwJJOZohO88q4Hpj2gQ==" spinCount="100000" sheet="1" objects="1" scenarios="1"/>
  <mergeCells count="217">
    <mergeCell ref="A230:A231"/>
    <mergeCell ref="A232:B232"/>
    <mergeCell ref="A233:B233"/>
    <mergeCell ref="A234:B234"/>
    <mergeCell ref="A236:B236"/>
    <mergeCell ref="A237:B237"/>
    <mergeCell ref="A235:E235"/>
    <mergeCell ref="A238:B238"/>
    <mergeCell ref="A239:B239"/>
    <mergeCell ref="A285:B285"/>
    <mergeCell ref="A286:B286"/>
    <mergeCell ref="A287:B287"/>
    <mergeCell ref="A242:A255"/>
    <mergeCell ref="A256:A259"/>
    <mergeCell ref="A260:A264"/>
    <mergeCell ref="A265:A268"/>
    <mergeCell ref="A240:D240"/>
    <mergeCell ref="A269:B269"/>
    <mergeCell ref="A278:B278"/>
    <mergeCell ref="A279:B279"/>
    <mergeCell ref="A280:B280"/>
    <mergeCell ref="A288:B288"/>
    <mergeCell ref="B175:B184"/>
    <mergeCell ref="C175:E175"/>
    <mergeCell ref="C176:E176"/>
    <mergeCell ref="C177:E177"/>
    <mergeCell ref="C178:E178"/>
    <mergeCell ref="C179:E179"/>
    <mergeCell ref="C180:E180"/>
    <mergeCell ref="A224:A225"/>
    <mergeCell ref="A226:A227"/>
    <mergeCell ref="A228:A229"/>
    <mergeCell ref="A171:A184"/>
    <mergeCell ref="B171:B174"/>
    <mergeCell ref="C171:E171"/>
    <mergeCell ref="C172:E172"/>
    <mergeCell ref="C173:E173"/>
    <mergeCell ref="C183:E183"/>
    <mergeCell ref="C184:E184"/>
    <mergeCell ref="A281:B281"/>
    <mergeCell ref="A282:B282"/>
    <mergeCell ref="A277:C277"/>
    <mergeCell ref="A270:D270"/>
    <mergeCell ref="A283:B283"/>
    <mergeCell ref="A284:B284"/>
    <mergeCell ref="A214:A218"/>
    <mergeCell ref="A219:A220"/>
    <mergeCell ref="A221:A223"/>
    <mergeCell ref="A209:A212"/>
    <mergeCell ref="A207:E207"/>
    <mergeCell ref="A188:D188"/>
    <mergeCell ref="C174:E174"/>
    <mergeCell ref="C181:E181"/>
    <mergeCell ref="C182:E182"/>
    <mergeCell ref="A152:B152"/>
    <mergeCell ref="A153:B153"/>
    <mergeCell ref="A155:B155"/>
    <mergeCell ref="A156:A157"/>
    <mergeCell ref="A154:C154"/>
    <mergeCell ref="A160:A170"/>
    <mergeCell ref="B160:B167"/>
    <mergeCell ref="C160:E160"/>
    <mergeCell ref="C161:E161"/>
    <mergeCell ref="C162:E162"/>
    <mergeCell ref="C159:E159"/>
    <mergeCell ref="C167:E167"/>
    <mergeCell ref="B168:B170"/>
    <mergeCell ref="C168:E168"/>
    <mergeCell ref="C169:E169"/>
    <mergeCell ref="C170:E170"/>
    <mergeCell ref="C163:E163"/>
    <mergeCell ref="C164:E164"/>
    <mergeCell ref="C165:E165"/>
    <mergeCell ref="C166:E166"/>
    <mergeCell ref="A158:I158"/>
    <mergeCell ref="A151:B151"/>
    <mergeCell ref="A135:B135"/>
    <mergeCell ref="A136:B136"/>
    <mergeCell ref="A137:A139"/>
    <mergeCell ref="A140:B140"/>
    <mergeCell ref="A141:B141"/>
    <mergeCell ref="A145:B146"/>
    <mergeCell ref="A93:B94"/>
    <mergeCell ref="A104:B104"/>
    <mergeCell ref="A105:A107"/>
    <mergeCell ref="A108:B108"/>
    <mergeCell ref="A109:B109"/>
    <mergeCell ref="F145:H145"/>
    <mergeCell ref="A147:B147"/>
    <mergeCell ref="A148:A150"/>
    <mergeCell ref="A95:B95"/>
    <mergeCell ref="A96:B96"/>
    <mergeCell ref="A97:B97"/>
    <mergeCell ref="A98:B98"/>
    <mergeCell ref="A99:B99"/>
    <mergeCell ref="A100:B100"/>
    <mergeCell ref="A127:B127"/>
    <mergeCell ref="A120:B120"/>
    <mergeCell ref="A144:H144"/>
    <mergeCell ref="A111:I111"/>
    <mergeCell ref="A102:I102"/>
    <mergeCell ref="A117:B117"/>
    <mergeCell ref="A118:B118"/>
    <mergeCell ref="A112:B112"/>
    <mergeCell ref="A113:B113"/>
    <mergeCell ref="A114:A116"/>
    <mergeCell ref="A103:B103"/>
    <mergeCell ref="C145:E145"/>
    <mergeCell ref="A82:H82"/>
    <mergeCell ref="A67:C67"/>
    <mergeCell ref="A69:A72"/>
    <mergeCell ref="A73:A77"/>
    <mergeCell ref="D93:D94"/>
    <mergeCell ref="E93:G93"/>
    <mergeCell ref="H93:H94"/>
    <mergeCell ref="A85:B85"/>
    <mergeCell ref="A86:B86"/>
    <mergeCell ref="A78:A80"/>
    <mergeCell ref="A81:B81"/>
    <mergeCell ref="A83:B84"/>
    <mergeCell ref="C83:C84"/>
    <mergeCell ref="D83:D84"/>
    <mergeCell ref="E83:G83"/>
    <mergeCell ref="A92:H92"/>
    <mergeCell ref="A87:B87"/>
    <mergeCell ref="A88:B88"/>
    <mergeCell ref="A89:B89"/>
    <mergeCell ref="A90:B90"/>
    <mergeCell ref="C93:C94"/>
    <mergeCell ref="H83:H84"/>
    <mergeCell ref="A42:A48"/>
    <mergeCell ref="B42:B48"/>
    <mergeCell ref="C42:D42"/>
    <mergeCell ref="C43:C44"/>
    <mergeCell ref="C45:D45"/>
    <mergeCell ref="A8:C8"/>
    <mergeCell ref="C38:D38"/>
    <mergeCell ref="C39:D39"/>
    <mergeCell ref="C40:D40"/>
    <mergeCell ref="C41:D41"/>
    <mergeCell ref="A18:C18"/>
    <mergeCell ref="B34:B35"/>
    <mergeCell ref="C46:D46"/>
    <mergeCell ref="C47:D47"/>
    <mergeCell ref="C48:D48"/>
    <mergeCell ref="C34:D34"/>
    <mergeCell ref="C35:D35"/>
    <mergeCell ref="B36:B37"/>
    <mergeCell ref="C36:D36"/>
    <mergeCell ref="C37:D37"/>
    <mergeCell ref="B38:B41"/>
    <mergeCell ref="A26:B27"/>
    <mergeCell ref="A28:C28"/>
    <mergeCell ref="A29:F29"/>
    <mergeCell ref="A62:D62"/>
    <mergeCell ref="A55:A60"/>
    <mergeCell ref="B55:D55"/>
    <mergeCell ref="B56:D56"/>
    <mergeCell ref="B57:D57"/>
    <mergeCell ref="B58:D58"/>
    <mergeCell ref="B59:D59"/>
    <mergeCell ref="B60:D60"/>
    <mergeCell ref="A49:A52"/>
    <mergeCell ref="B61:D61"/>
    <mergeCell ref="B49:D49"/>
    <mergeCell ref="B50:D50"/>
    <mergeCell ref="B51:D51"/>
    <mergeCell ref="B52:D52"/>
    <mergeCell ref="A53:A54"/>
    <mergeCell ref="B53:D53"/>
    <mergeCell ref="B54:D54"/>
    <mergeCell ref="C30:D30"/>
    <mergeCell ref="A31:A41"/>
    <mergeCell ref="B31:B33"/>
    <mergeCell ref="C31:D31"/>
    <mergeCell ref="C32:D32"/>
    <mergeCell ref="C33:D33"/>
    <mergeCell ref="AA20:AB20"/>
    <mergeCell ref="AC20:AD20"/>
    <mergeCell ref="A22:A25"/>
    <mergeCell ref="B22:B23"/>
    <mergeCell ref="B24:B25"/>
    <mergeCell ref="D19:F20"/>
    <mergeCell ref="G19:AD19"/>
    <mergeCell ref="G20:H20"/>
    <mergeCell ref="U20:V20"/>
    <mergeCell ref="I20:J20"/>
    <mergeCell ref="K20:L20"/>
    <mergeCell ref="M20:N20"/>
    <mergeCell ref="O20:P20"/>
    <mergeCell ref="Q20:R20"/>
    <mergeCell ref="S20:T20"/>
    <mergeCell ref="A15:C15"/>
    <mergeCell ref="A16:C16"/>
    <mergeCell ref="A17:C17"/>
    <mergeCell ref="A19:A21"/>
    <mergeCell ref="B19:C21"/>
    <mergeCell ref="G10:H10"/>
    <mergeCell ref="U10:V10"/>
    <mergeCell ref="W10:X10"/>
    <mergeCell ref="Y10:Z10"/>
    <mergeCell ref="W20:X20"/>
    <mergeCell ref="Y20:Z20"/>
    <mergeCell ref="AA10:AB10"/>
    <mergeCell ref="A12:A13"/>
    <mergeCell ref="A14:B14"/>
    <mergeCell ref="I10:J10"/>
    <mergeCell ref="K10:L10"/>
    <mergeCell ref="M10:N10"/>
    <mergeCell ref="O10:P10"/>
    <mergeCell ref="Q10:R10"/>
    <mergeCell ref="A6:V6"/>
    <mergeCell ref="A9:A11"/>
    <mergeCell ref="B9:C11"/>
    <mergeCell ref="D9:F10"/>
    <mergeCell ref="G9:AB9"/>
    <mergeCell ref="S10:T10"/>
  </mergeCells>
  <dataValidations count="5">
    <dataValidation type="whole" allowBlank="1" showInputMessage="1" showErrorMessage="1" sqref="A186" xr:uid="{00000000-0002-0000-1100-000000000000}">
      <formula1>0</formula1>
      <formula2>1E+28</formula2>
    </dataValidation>
    <dataValidation type="whole" operator="greaterThanOrEqual" allowBlank="1" showInputMessage="1" showErrorMessage="1" sqref="C279:C287 B272:D274 G12:AB14 F31:G61 G22:AD27 C69:C81 C85:H89 B64:B65 C95:H99 D113:I118 B122:B126 B129:B133 D136:F141 C265:D267 C156:C157 G160:I184 C190:D199 B203:D205 C209:E233 D237:E238 C242:D254 C256:D258 C260:D263 B291:B296" xr:uid="{00000000-0002-0000-1100-000001000000}">
      <formula1>0</formula1>
    </dataValidation>
    <dataValidation type="whole" allowBlank="1" showInputMessage="1" showErrorMessage="1" sqref="D16:AB17" xr:uid="{815C8ABD-6B3D-48CC-B420-3CE27B587F22}">
      <formula1>0</formula1>
      <formula2>9.99999999999999E+28</formula2>
    </dataValidation>
    <dataValidation type="whole" allowBlank="1" showInputMessage="1" showErrorMessage="1" sqref="D104:I109" xr:uid="{479B3B36-51CC-4C5B-9362-7C6CE92017E6}">
      <formula1>0</formula1>
      <formula2>9.99999999999999E+34</formula2>
    </dataValidation>
    <dataValidation type="whole" allowBlank="1" showInputMessage="1" showErrorMessage="1" sqref="C147:H152" xr:uid="{8FDC4C4C-7D02-4715-B1EA-25D5D0832013}">
      <formula1>0</formula1>
      <formula2>9.99999999999999E+37</formula2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CH354"/>
  <sheetViews>
    <sheetView showGridLines="0" zoomScaleNormal="100" workbookViewId="0"/>
  </sheetViews>
  <sheetFormatPr baseColWidth="10" defaultColWidth="11.44140625" defaultRowHeight="14.4" x14ac:dyDescent="0.3"/>
  <cols>
    <col min="1" max="1" width="40.44140625" customWidth="1"/>
    <col min="2" max="2" width="32.6640625" customWidth="1"/>
    <col min="3" max="3" width="18.33203125" customWidth="1"/>
    <col min="4" max="9" width="16" customWidth="1"/>
    <col min="10" max="10" width="16.6640625" customWidth="1"/>
    <col min="11" max="11" width="15.33203125" customWidth="1"/>
    <col min="12" max="12" width="14.5546875" customWidth="1"/>
    <col min="13" max="13" width="15.109375" customWidth="1"/>
    <col min="14" max="19" width="14.6640625" customWidth="1"/>
    <col min="67" max="68" width="11.44140625" hidden="1" customWidth="1"/>
    <col min="69" max="73" width="10.6640625" style="2707" hidden="1" customWidth="1"/>
    <col min="74" max="74" width="10.6640625" hidden="1" customWidth="1"/>
    <col min="75" max="78" width="10.6640625" style="1901" hidden="1" customWidth="1"/>
    <col min="79" max="85" width="10.6640625" hidden="1" customWidth="1"/>
    <col min="86" max="86" width="11.44140625" hidden="1" customWidth="1"/>
    <col min="87" max="95" width="0" hidden="1" customWidth="1"/>
  </cols>
  <sheetData>
    <row r="1" spans="1:85" x14ac:dyDescent="0.3">
      <c r="A1" s="50" t="s">
        <v>23</v>
      </c>
      <c r="BQ1"/>
      <c r="BR1"/>
      <c r="BS1"/>
      <c r="BT1"/>
      <c r="BU1"/>
      <c r="BW1"/>
      <c r="BX1"/>
      <c r="BY1"/>
      <c r="BZ1"/>
    </row>
    <row r="2" spans="1:85" x14ac:dyDescent="0.3">
      <c r="A2" s="50" t="str">
        <f>CONCATENATE("COMUNA: ",NOMBRE!B2, " (",NOMBRE!C2,NOMBRE!D2,NOMBRE!E2,NOMBRE!F2,NOMBRE!G2,")")</f>
        <v>COMUNA:  ()</v>
      </c>
      <c r="BQ2"/>
      <c r="BR2"/>
      <c r="BS2"/>
      <c r="BT2"/>
      <c r="BU2"/>
      <c r="BW2"/>
      <c r="BX2"/>
      <c r="BY2"/>
      <c r="BZ2"/>
    </row>
    <row r="3" spans="1:85" x14ac:dyDescent="0.3">
      <c r="A3" s="50" t="str">
        <f>CONCATENATE("ESTABLECIMIENTO/ESTRATEGIA: ", NOMBRE!B3, " (",NOMBRE!C3,NOMBRE!D3,NOMBRE!E3,NOMBRE!F3,NOMBRE!G3,NOMBRE!H3,")")</f>
        <v>ESTABLECIMIENTO/ESTRATEGIA:  ()</v>
      </c>
      <c r="BQ3"/>
      <c r="BR3"/>
      <c r="BS3"/>
      <c r="BT3"/>
      <c r="BU3"/>
      <c r="BW3"/>
      <c r="BX3"/>
      <c r="BY3"/>
      <c r="BZ3"/>
    </row>
    <row r="4" spans="1:85" x14ac:dyDescent="0.3">
      <c r="A4" s="50" t="str">
        <f>CONCATENATE("MES: ",NOMBRE!B6, " (",NOMBRE!C6,NOMBRE!D6,")")</f>
        <v>MES:  ()</v>
      </c>
      <c r="BQ4"/>
      <c r="BR4"/>
      <c r="BS4"/>
      <c r="BT4"/>
      <c r="BU4"/>
      <c r="BW4"/>
      <c r="BX4"/>
      <c r="BY4"/>
      <c r="BZ4"/>
    </row>
    <row r="5" spans="1:85" x14ac:dyDescent="0.3">
      <c r="A5" s="50" t="str">
        <f>CONCATENATE("AÑO: ",NOMBRE!B7)</f>
        <v>AÑO: 2025</v>
      </c>
      <c r="BQ5"/>
      <c r="BR5"/>
      <c r="BS5"/>
      <c r="BT5"/>
      <c r="BU5"/>
      <c r="BW5"/>
      <c r="BX5"/>
      <c r="BY5"/>
      <c r="BZ5"/>
    </row>
    <row r="6" spans="1:85" ht="18" customHeight="1" x14ac:dyDescent="0.3">
      <c r="A6" s="7323" t="s">
        <v>3038</v>
      </c>
      <c r="B6" s="7323"/>
      <c r="C6" s="7323"/>
      <c r="D6" s="7323"/>
      <c r="E6" s="7323"/>
      <c r="F6" s="7323"/>
      <c r="G6" s="7323"/>
      <c r="H6" s="7323"/>
      <c r="I6" s="7323"/>
      <c r="J6" s="7323"/>
      <c r="K6" s="7323"/>
      <c r="L6" s="7323"/>
      <c r="M6" s="7323"/>
      <c r="N6" s="7323"/>
      <c r="O6" s="7323"/>
      <c r="P6" s="7323"/>
      <c r="BQ6"/>
      <c r="BR6"/>
      <c r="BS6"/>
      <c r="BT6"/>
      <c r="BU6"/>
      <c r="BW6"/>
      <c r="BX6"/>
      <c r="BY6"/>
      <c r="BZ6"/>
    </row>
    <row r="7" spans="1:85" x14ac:dyDescent="0.3">
      <c r="S7" s="167"/>
      <c r="T7" s="167"/>
      <c r="BQ7"/>
      <c r="BR7"/>
      <c r="BS7"/>
      <c r="BT7"/>
      <c r="BU7"/>
      <c r="BW7"/>
      <c r="BX7"/>
      <c r="BY7"/>
      <c r="BZ7"/>
    </row>
    <row r="8" spans="1:85" s="25" customFormat="1" ht="18" customHeight="1" x14ac:dyDescent="0.2">
      <c r="A8" s="3" t="s">
        <v>3039</v>
      </c>
      <c r="B8" s="4"/>
      <c r="C8" s="4"/>
      <c r="D8" s="4"/>
      <c r="E8" s="4"/>
      <c r="F8" s="4"/>
      <c r="G8" s="3"/>
      <c r="H8" s="4"/>
      <c r="I8" s="4"/>
      <c r="J8" s="4"/>
      <c r="K8" s="4"/>
      <c r="L8" s="4"/>
      <c r="M8" s="4"/>
      <c r="N8" s="4"/>
      <c r="O8" s="4"/>
      <c r="P8" s="4"/>
      <c r="S8" s="167"/>
      <c r="T8" s="167"/>
    </row>
    <row r="9" spans="1:85" s="19" customFormat="1" ht="47.25" customHeight="1" x14ac:dyDescent="0.2">
      <c r="A9" s="7023" t="s">
        <v>651</v>
      </c>
      <c r="B9" s="7030"/>
      <c r="C9" s="1237" t="s">
        <v>77</v>
      </c>
      <c r="D9" s="1133" t="s">
        <v>3040</v>
      </c>
      <c r="E9" s="1238" t="s">
        <v>3041</v>
      </c>
      <c r="F9" s="1238" t="s">
        <v>3042</v>
      </c>
      <c r="G9" s="1239" t="s">
        <v>3043</v>
      </c>
      <c r="H9" s="1240" t="s">
        <v>3044</v>
      </c>
      <c r="I9" s="1240" t="s">
        <v>3045</v>
      </c>
      <c r="J9" s="1135" t="s">
        <v>3046</v>
      </c>
      <c r="K9" s="1239" t="s">
        <v>3047</v>
      </c>
      <c r="L9" s="1241" t="s">
        <v>3048</v>
      </c>
      <c r="M9" s="1242" t="s">
        <v>3049</v>
      </c>
      <c r="N9" s="1238" t="s">
        <v>36</v>
      </c>
      <c r="O9" s="1238" t="s">
        <v>37</v>
      </c>
      <c r="P9" s="1238" t="s">
        <v>3050</v>
      </c>
      <c r="Q9" s="1238" t="s">
        <v>3051</v>
      </c>
      <c r="R9" s="1238" t="s">
        <v>34</v>
      </c>
      <c r="S9" s="1092" t="s">
        <v>2055</v>
      </c>
      <c r="T9" s="167"/>
      <c r="U9" s="167"/>
    </row>
    <row r="10" spans="1:85" s="19" customFormat="1" ht="15" customHeight="1" x14ac:dyDescent="0.2">
      <c r="A10" s="7076" t="s">
        <v>3052</v>
      </c>
      <c r="B10" s="7077"/>
      <c r="C10" s="1243">
        <f>SUM(D10:G10)</f>
        <v>0</v>
      </c>
      <c r="D10" s="1244"/>
      <c r="E10" s="1244"/>
      <c r="F10" s="1244"/>
      <c r="G10" s="1244"/>
      <c r="H10" s="365"/>
      <c r="I10" s="365"/>
      <c r="J10" s="1244"/>
      <c r="K10" s="1244"/>
      <c r="L10" s="1244"/>
      <c r="M10" s="1245"/>
      <c r="N10" s="973"/>
      <c r="O10" s="973"/>
      <c r="P10" s="973"/>
      <c r="Q10" s="1246"/>
      <c r="R10" s="973"/>
      <c r="S10" s="966"/>
      <c r="T10" s="19" t="str">
        <f>BQ10&amp;BS10&amp;BT10&amp;BU10&amp;BW10&amp;BX10</f>
        <v/>
      </c>
      <c r="BQ10" s="1774" t="str">
        <f>IF((J10+K10+L10)&lt;&gt;C10," * La suma del N° de Primera visita + Segunda visita + Tercera o más visitas de seguimiento debe ser igual al Total.","")</f>
        <v/>
      </c>
      <c r="BR10" s="135"/>
      <c r="BS10" s="1774" t="str">
        <f>IF(AND(C10&gt;0,N10="")," * No olvide digitar la variable Pueblos Originarios. Digite Cero si no tiene..",IF(N10&gt;C10," * La variable Pueblos Originarios no puede ser mayor al Total.",""))</f>
        <v/>
      </c>
      <c r="BT10" s="1774" t="str">
        <f>IF(AND(C10&gt;0,O10="")," * No olvide digitar la variable Migrantes. Digite Cero si no tiene.",IF(O10&gt;C10," * La variable Migrantes no puede ser mayor al Total.",""))</f>
        <v/>
      </c>
      <c r="BU10" s="1774" t="str">
        <f>IF(AND($C10&gt;0,P10="")," * No olvide digitar la variable Espacio Amigable/Adolescente. Digite Cero si no tiene.",IF(P10&gt;$C10," * La variable Espacio Amigable/Adolescente no puede ser mayor al Total.",""))</f>
        <v/>
      </c>
      <c r="BV10" s="135"/>
      <c r="BW10" s="1774" t="str">
        <f>IF(AND($C10&gt;0,R10="")," * No olvide digitar la variable Niños, Niñas, Adolescentes y Jóvenes SENAME. Digite Cero si no tiene.",IF(R10&gt;$C10," * La variable Niños, Niñas, Adolescentes y Jóvenes SENAME no puede ser mayor al Total.",""))</f>
        <v/>
      </c>
      <c r="BX10" s="1774" t="str">
        <f>IF(AND($C10&gt;0,S10="")," * No olvide digitar la variable Niños, niñas, Adolescentes y Jóvenes Mejor Niñez. Digite Cero si no tiene.",IF(S10&gt;$C10," * La variable Niños, niñas, Adolescentes y Jóvenes Mejor Niñez no puede ser mayor al Total.",""))</f>
        <v/>
      </c>
      <c r="BZ10" s="84">
        <f t="shared" ref="BZ10:BZ35" si="0">IF((J10+K10+L10)&lt;&gt;C10,1,0)</f>
        <v>0</v>
      </c>
      <c r="CA10" s="83"/>
      <c r="CB10" s="84">
        <f>IF(AND(C10&gt;0,N10=""),1,IF(N10&gt;C10,1,0))</f>
        <v>0</v>
      </c>
      <c r="CC10" s="84">
        <f>IF(AND(C10&gt;0,O10=""),1,IF(O10&gt;C10,1,0))</f>
        <v>0</v>
      </c>
      <c r="CD10" s="84">
        <f>IF(AND($C10&gt;0,P10=""),1,IF(P10&gt;$C10,1,0))</f>
        <v>0</v>
      </c>
      <c r="CE10" s="83"/>
      <c r="CF10" s="84">
        <f>IF(AND($C10&gt;0,R10=""),1,IF(R10&gt;$C10,1,0))</f>
        <v>0</v>
      </c>
      <c r="CG10" s="84">
        <f>IF(AND($C10&gt;0,S10=""),1,IF(S10&gt;$C10,1,0))</f>
        <v>0</v>
      </c>
    </row>
    <row r="11" spans="1:85" s="19" customFormat="1" ht="15" customHeight="1" x14ac:dyDescent="0.2">
      <c r="A11" s="7073" t="s">
        <v>3053</v>
      </c>
      <c r="B11" s="7074"/>
      <c r="C11" s="1243">
        <f>SUM(D11:G11)</f>
        <v>0</v>
      </c>
      <c r="D11" s="1244"/>
      <c r="E11" s="1244"/>
      <c r="F11" s="1244"/>
      <c r="G11" s="1244"/>
      <c r="H11" s="365"/>
      <c r="I11" s="365"/>
      <c r="J11" s="1244"/>
      <c r="K11" s="1244"/>
      <c r="L11" s="1244"/>
      <c r="M11" s="1247"/>
      <c r="N11" s="973"/>
      <c r="O11" s="973"/>
      <c r="P11" s="973"/>
      <c r="Q11" s="1248"/>
      <c r="R11" s="973"/>
      <c r="S11" s="966"/>
      <c r="T11" s="19" t="str">
        <f t="shared" ref="T11:T22" si="1">BQ11&amp;BS11&amp;BT11&amp;BU11&amp;BW11&amp;BX11</f>
        <v/>
      </c>
      <c r="BQ11" s="1774" t="str">
        <f t="shared" ref="BQ11:BQ35" si="2">IF((J11+K11+L11)&lt;&gt;C11," * La suma del N° de Primera visita + Segunda visita + Tercera o más visitas de seguimiento debe coincidir con el Total.","")</f>
        <v/>
      </c>
      <c r="BR11" s="135"/>
      <c r="BS11" s="1774" t="str">
        <f t="shared" ref="BS11:BS35" si="3">IF(AND(C11&gt;0,N11="")," * No olvide digitar la variable Pueblos Originarios. Digite Cero si no tiene..",IF(N11&gt;C11," * La variable Pueblos Originarios no puede ser mayor al Total.",""))</f>
        <v/>
      </c>
      <c r="BT11" s="1774" t="str">
        <f t="shared" ref="BT11:BT35" si="4">IF(AND(C11&gt;0,O11="")," * No olvide digitar la variable Migrantes. Digite Cero si no tiene.",IF(O11&gt;C11," * La variable Migrantes no puede ser mayor al Total.",""))</f>
        <v/>
      </c>
      <c r="BU11" s="1774" t="str">
        <f t="shared" ref="BU11:BU35" si="5">IF(AND($C11&gt;0,P11="")," * No olvide digitar la variable Espacio Amigable/Adolescente. Digite Cero si no tiene.",IF(P11&gt;$C11," * La variable Espacio Amigable/Adolescente no puede ser mayor al Total.",""))</f>
        <v/>
      </c>
      <c r="BV11" s="135"/>
      <c r="BW11" s="1774" t="str">
        <f t="shared" ref="BW11:BW35" si="6">IF(AND($C11&gt;0,R11="")," * No olvide digitar la variable Niños, Niñas, Adolescentes y Jóvenes SENAME. Digite Cero si no tiene.",IF(R11&gt;$C11," * La variable Niños, Niñas, Adolescentes y Jóvenes SENAME no puede ser mayor al Total.",""))</f>
        <v/>
      </c>
      <c r="BX11" s="1774" t="str">
        <f t="shared" ref="BX11:BX35" si="7">IF(AND($C11&gt;0,S11="")," * No olvide digitar la variable Niños, niñas, Adolescentes y Jóvenes Mejor Niñez. Digite Cero si no tiene.",IF(S11&gt;$C11," * La variable Niños, niñas, Adolescentes y Jóvenes Mejor Niñez no puede ser mayor al Total.",""))</f>
        <v/>
      </c>
      <c r="BZ11" s="84">
        <f t="shared" si="0"/>
        <v>0</v>
      </c>
      <c r="CA11" s="83"/>
      <c r="CB11" s="84">
        <f t="shared" ref="CB11:CB35" si="8">IF(AND(C11&gt;0,N11=""),1,IF(N11&gt;C11,1,0))</f>
        <v>0</v>
      </c>
      <c r="CC11" s="84">
        <f t="shared" ref="CC11:CC35" si="9">IF(AND(C11&gt;0,O11=""),1,IF(O11&gt;C11,1,0))</f>
        <v>0</v>
      </c>
      <c r="CD11" s="84">
        <f t="shared" ref="CD11:CE35" si="10">IF(AND($C11&gt;0,P11=""),1,IF(P11&gt;$C11,1,0))</f>
        <v>0</v>
      </c>
      <c r="CE11" s="83"/>
      <c r="CF11" s="84">
        <f t="shared" ref="CF11:CF35" si="11">IF(AND($C11&gt;0,R11=""),1,IF(R11&gt;$C11,1,0))</f>
        <v>0</v>
      </c>
      <c r="CG11" s="84">
        <f t="shared" ref="CG11:CG35" si="12">IF(AND($C11&gt;0,S11=""),1,IF(S11&gt;$C11,1,0))</f>
        <v>0</v>
      </c>
    </row>
    <row r="12" spans="1:85" s="19" customFormat="1" ht="15" customHeight="1" x14ac:dyDescent="0.2">
      <c r="A12" s="7073" t="s">
        <v>3054</v>
      </c>
      <c r="B12" s="7074"/>
      <c r="C12" s="1243">
        <f t="shared" ref="C12:C30" si="13">SUM(D12:G12)</f>
        <v>0</v>
      </c>
      <c r="D12" s="1244"/>
      <c r="E12" s="1244"/>
      <c r="F12" s="1244"/>
      <c r="G12" s="1244"/>
      <c r="H12" s="365"/>
      <c r="I12" s="365"/>
      <c r="J12" s="1244"/>
      <c r="K12" s="1244"/>
      <c r="L12" s="1244"/>
      <c r="M12" s="1247"/>
      <c r="N12" s="973"/>
      <c r="O12" s="973"/>
      <c r="P12" s="973"/>
      <c r="Q12" s="1248"/>
      <c r="R12" s="973"/>
      <c r="S12" s="966"/>
      <c r="T12" s="19" t="str">
        <f t="shared" si="1"/>
        <v/>
      </c>
      <c r="BQ12" s="1774" t="str">
        <f t="shared" si="2"/>
        <v/>
      </c>
      <c r="BR12" s="135"/>
      <c r="BS12" s="1774" t="str">
        <f t="shared" si="3"/>
        <v/>
      </c>
      <c r="BT12" s="1774" t="str">
        <f t="shared" si="4"/>
        <v/>
      </c>
      <c r="BU12" s="1774" t="str">
        <f t="shared" si="5"/>
        <v/>
      </c>
      <c r="BV12" s="135"/>
      <c r="BW12" s="1774" t="str">
        <f t="shared" si="6"/>
        <v/>
      </c>
      <c r="BX12" s="1774" t="str">
        <f t="shared" si="7"/>
        <v/>
      </c>
      <c r="BZ12" s="84">
        <f t="shared" si="0"/>
        <v>0</v>
      </c>
      <c r="CA12" s="83"/>
      <c r="CB12" s="84">
        <f t="shared" si="8"/>
        <v>0</v>
      </c>
      <c r="CC12" s="84">
        <f t="shared" si="9"/>
        <v>0</v>
      </c>
      <c r="CD12" s="84">
        <f t="shared" si="10"/>
        <v>0</v>
      </c>
      <c r="CE12" s="83"/>
      <c r="CF12" s="84">
        <f t="shared" si="11"/>
        <v>0</v>
      </c>
      <c r="CG12" s="84">
        <f t="shared" si="12"/>
        <v>0</v>
      </c>
    </row>
    <row r="13" spans="1:85" s="19" customFormat="1" ht="15" customHeight="1" x14ac:dyDescent="0.2">
      <c r="A13" s="7073" t="s">
        <v>3055</v>
      </c>
      <c r="B13" s="7074"/>
      <c r="C13" s="1243">
        <f>SUM(D13:G13)</f>
        <v>0</v>
      </c>
      <c r="D13" s="1244"/>
      <c r="E13" s="1244"/>
      <c r="F13" s="1244"/>
      <c r="G13" s="1244"/>
      <c r="H13" s="365"/>
      <c r="I13" s="365"/>
      <c r="J13" s="1244"/>
      <c r="K13" s="1244"/>
      <c r="L13" s="1244"/>
      <c r="M13" s="1247"/>
      <c r="N13" s="973"/>
      <c r="O13" s="973"/>
      <c r="P13" s="973"/>
      <c r="Q13" s="1248"/>
      <c r="R13" s="973"/>
      <c r="S13" s="966"/>
      <c r="T13" s="19" t="str">
        <f t="shared" si="1"/>
        <v/>
      </c>
      <c r="BQ13" s="1774" t="str">
        <f t="shared" si="2"/>
        <v/>
      </c>
      <c r="BR13" s="135"/>
      <c r="BS13" s="1774" t="str">
        <f t="shared" si="3"/>
        <v/>
      </c>
      <c r="BT13" s="1774" t="str">
        <f t="shared" si="4"/>
        <v/>
      </c>
      <c r="BU13" s="1774" t="str">
        <f t="shared" si="5"/>
        <v/>
      </c>
      <c r="BV13" s="135"/>
      <c r="BW13" s="1774" t="str">
        <f t="shared" si="6"/>
        <v/>
      </c>
      <c r="BX13" s="1774" t="str">
        <f t="shared" si="7"/>
        <v/>
      </c>
      <c r="BZ13" s="84">
        <f t="shared" si="0"/>
        <v>0</v>
      </c>
      <c r="CA13" s="83"/>
      <c r="CB13" s="84">
        <f t="shared" si="8"/>
        <v>0</v>
      </c>
      <c r="CC13" s="84">
        <f t="shared" si="9"/>
        <v>0</v>
      </c>
      <c r="CD13" s="84">
        <f t="shared" si="10"/>
        <v>0</v>
      </c>
      <c r="CE13" s="83"/>
      <c r="CF13" s="84">
        <f t="shared" si="11"/>
        <v>0</v>
      </c>
      <c r="CG13" s="84">
        <f t="shared" si="12"/>
        <v>0</v>
      </c>
    </row>
    <row r="14" spans="1:85" s="19" customFormat="1" ht="15" customHeight="1" x14ac:dyDescent="0.2">
      <c r="A14" s="7073" t="s">
        <v>3056</v>
      </c>
      <c r="B14" s="7074"/>
      <c r="C14" s="1243">
        <f t="shared" si="13"/>
        <v>0</v>
      </c>
      <c r="D14" s="1244"/>
      <c r="E14" s="1244"/>
      <c r="F14" s="1244"/>
      <c r="G14" s="1244"/>
      <c r="H14" s="365"/>
      <c r="I14" s="365"/>
      <c r="J14" s="1244"/>
      <c r="K14" s="1244"/>
      <c r="L14" s="1244"/>
      <c r="M14" s="1247"/>
      <c r="N14" s="973"/>
      <c r="O14" s="973"/>
      <c r="P14" s="973"/>
      <c r="Q14" s="1248"/>
      <c r="R14" s="973"/>
      <c r="S14" s="966"/>
      <c r="T14" s="19" t="str">
        <f t="shared" si="1"/>
        <v/>
      </c>
      <c r="BQ14" s="1774" t="str">
        <f t="shared" si="2"/>
        <v/>
      </c>
      <c r="BR14" s="135"/>
      <c r="BS14" s="1774" t="str">
        <f t="shared" si="3"/>
        <v/>
      </c>
      <c r="BT14" s="1774" t="str">
        <f t="shared" si="4"/>
        <v/>
      </c>
      <c r="BU14" s="1774" t="str">
        <f t="shared" si="5"/>
        <v/>
      </c>
      <c r="BV14" s="135"/>
      <c r="BW14" s="1774" t="str">
        <f t="shared" si="6"/>
        <v/>
      </c>
      <c r="BX14" s="1774" t="str">
        <f t="shared" si="7"/>
        <v/>
      </c>
      <c r="BZ14" s="84">
        <f t="shared" si="0"/>
        <v>0</v>
      </c>
      <c r="CA14" s="83"/>
      <c r="CB14" s="84">
        <f t="shared" si="8"/>
        <v>0</v>
      </c>
      <c r="CC14" s="84">
        <f t="shared" si="9"/>
        <v>0</v>
      </c>
      <c r="CD14" s="84">
        <f t="shared" si="10"/>
        <v>0</v>
      </c>
      <c r="CE14" s="83"/>
      <c r="CF14" s="84">
        <f t="shared" si="11"/>
        <v>0</v>
      </c>
      <c r="CG14" s="84">
        <f t="shared" si="12"/>
        <v>0</v>
      </c>
    </row>
    <row r="15" spans="1:85" s="19" customFormat="1" ht="15" customHeight="1" x14ac:dyDescent="0.2">
      <c r="A15" s="7073" t="s">
        <v>3057</v>
      </c>
      <c r="B15" s="7074"/>
      <c r="C15" s="1243">
        <f t="shared" si="13"/>
        <v>0</v>
      </c>
      <c r="D15" s="1244"/>
      <c r="E15" s="1244"/>
      <c r="F15" s="1244"/>
      <c r="G15" s="1244"/>
      <c r="H15" s="365"/>
      <c r="I15" s="365"/>
      <c r="J15" s="1244"/>
      <c r="K15" s="1244"/>
      <c r="L15" s="1244"/>
      <c r="M15" s="1247"/>
      <c r="N15" s="973"/>
      <c r="O15" s="973"/>
      <c r="P15" s="973"/>
      <c r="Q15" s="1248"/>
      <c r="R15" s="973"/>
      <c r="S15" s="966"/>
      <c r="T15" s="19" t="str">
        <f t="shared" si="1"/>
        <v/>
      </c>
      <c r="BQ15" s="1774" t="str">
        <f t="shared" si="2"/>
        <v/>
      </c>
      <c r="BR15" s="135"/>
      <c r="BS15" s="1774" t="str">
        <f t="shared" si="3"/>
        <v/>
      </c>
      <c r="BT15" s="1774" t="str">
        <f t="shared" si="4"/>
        <v/>
      </c>
      <c r="BU15" s="1774" t="str">
        <f t="shared" si="5"/>
        <v/>
      </c>
      <c r="BV15" s="135"/>
      <c r="BW15" s="1774" t="str">
        <f t="shared" si="6"/>
        <v/>
      </c>
      <c r="BX15" s="1774" t="str">
        <f t="shared" si="7"/>
        <v/>
      </c>
      <c r="BZ15" s="84">
        <f t="shared" si="0"/>
        <v>0</v>
      </c>
      <c r="CA15" s="83"/>
      <c r="CB15" s="84">
        <f t="shared" si="8"/>
        <v>0</v>
      </c>
      <c r="CC15" s="84">
        <f t="shared" si="9"/>
        <v>0</v>
      </c>
      <c r="CD15" s="84">
        <f t="shared" si="10"/>
        <v>0</v>
      </c>
      <c r="CE15" s="83"/>
      <c r="CF15" s="84">
        <f t="shared" si="11"/>
        <v>0</v>
      </c>
      <c r="CG15" s="84">
        <f t="shared" si="12"/>
        <v>0</v>
      </c>
    </row>
    <row r="16" spans="1:85" s="19" customFormat="1" ht="15" customHeight="1" x14ac:dyDescent="0.2">
      <c r="A16" s="7073" t="s">
        <v>3058</v>
      </c>
      <c r="B16" s="7074"/>
      <c r="C16" s="1243">
        <f t="shared" si="13"/>
        <v>0</v>
      </c>
      <c r="D16" s="1244"/>
      <c r="E16" s="1244"/>
      <c r="F16" s="1244"/>
      <c r="G16" s="1244"/>
      <c r="H16" s="365"/>
      <c r="I16" s="365"/>
      <c r="J16" s="1244"/>
      <c r="K16" s="1244"/>
      <c r="L16" s="1244"/>
      <c r="M16" s="1247"/>
      <c r="N16" s="973"/>
      <c r="O16" s="973"/>
      <c r="P16" s="973"/>
      <c r="Q16" s="1248"/>
      <c r="R16" s="973"/>
      <c r="S16" s="966"/>
      <c r="T16" s="19" t="str">
        <f t="shared" si="1"/>
        <v/>
      </c>
      <c r="BQ16" s="1774" t="str">
        <f t="shared" si="2"/>
        <v/>
      </c>
      <c r="BR16" s="135"/>
      <c r="BS16" s="1774" t="str">
        <f t="shared" si="3"/>
        <v/>
      </c>
      <c r="BT16" s="1774" t="str">
        <f t="shared" si="4"/>
        <v/>
      </c>
      <c r="BU16" s="1774" t="str">
        <f t="shared" si="5"/>
        <v/>
      </c>
      <c r="BV16" s="135"/>
      <c r="BW16" s="1774" t="str">
        <f t="shared" si="6"/>
        <v/>
      </c>
      <c r="BX16" s="1774" t="str">
        <f t="shared" si="7"/>
        <v/>
      </c>
      <c r="BZ16" s="84">
        <f t="shared" si="0"/>
        <v>0</v>
      </c>
      <c r="CA16" s="83"/>
      <c r="CB16" s="84">
        <f t="shared" si="8"/>
        <v>0</v>
      </c>
      <c r="CC16" s="84">
        <f t="shared" si="9"/>
        <v>0</v>
      </c>
      <c r="CD16" s="84">
        <f t="shared" si="10"/>
        <v>0</v>
      </c>
      <c r="CE16" s="83"/>
      <c r="CF16" s="84">
        <f t="shared" si="11"/>
        <v>0</v>
      </c>
      <c r="CG16" s="84">
        <f t="shared" si="12"/>
        <v>0</v>
      </c>
    </row>
    <row r="17" spans="1:85" s="19" customFormat="1" ht="15" customHeight="1" x14ac:dyDescent="0.2">
      <c r="A17" s="7073" t="s">
        <v>3059</v>
      </c>
      <c r="B17" s="7074"/>
      <c r="C17" s="1243">
        <f t="shared" si="13"/>
        <v>0</v>
      </c>
      <c r="D17" s="1244"/>
      <c r="E17" s="1244"/>
      <c r="F17" s="1244"/>
      <c r="G17" s="1244"/>
      <c r="H17" s="365"/>
      <c r="I17" s="365"/>
      <c r="J17" s="1244"/>
      <c r="K17" s="1244"/>
      <c r="L17" s="1244"/>
      <c r="M17" s="1247"/>
      <c r="N17" s="973"/>
      <c r="O17" s="973"/>
      <c r="P17" s="973"/>
      <c r="Q17" s="1248"/>
      <c r="R17" s="973"/>
      <c r="S17" s="966"/>
      <c r="T17" s="19" t="str">
        <f t="shared" si="1"/>
        <v/>
      </c>
      <c r="BQ17" s="1774" t="str">
        <f t="shared" si="2"/>
        <v/>
      </c>
      <c r="BR17" s="135"/>
      <c r="BS17" s="1774" t="str">
        <f t="shared" si="3"/>
        <v/>
      </c>
      <c r="BT17" s="1774" t="str">
        <f t="shared" si="4"/>
        <v/>
      </c>
      <c r="BU17" s="1774" t="str">
        <f t="shared" si="5"/>
        <v/>
      </c>
      <c r="BV17" s="135"/>
      <c r="BW17" s="1774" t="str">
        <f t="shared" si="6"/>
        <v/>
      </c>
      <c r="BX17" s="1774" t="str">
        <f t="shared" si="7"/>
        <v/>
      </c>
      <c r="BZ17" s="84">
        <f t="shared" si="0"/>
        <v>0</v>
      </c>
      <c r="CA17" s="83"/>
      <c r="CB17" s="84">
        <f t="shared" si="8"/>
        <v>0</v>
      </c>
      <c r="CC17" s="84">
        <f t="shared" si="9"/>
        <v>0</v>
      </c>
      <c r="CD17" s="84">
        <f t="shared" si="10"/>
        <v>0</v>
      </c>
      <c r="CE17" s="83"/>
      <c r="CF17" s="84">
        <f t="shared" si="11"/>
        <v>0</v>
      </c>
      <c r="CG17" s="84">
        <f t="shared" si="12"/>
        <v>0</v>
      </c>
    </row>
    <row r="18" spans="1:85" s="19" customFormat="1" ht="15" customHeight="1" x14ac:dyDescent="0.2">
      <c r="A18" s="7073" t="s">
        <v>3060</v>
      </c>
      <c r="B18" s="7074"/>
      <c r="C18" s="1243">
        <f t="shared" si="13"/>
        <v>0</v>
      </c>
      <c r="D18" s="1244"/>
      <c r="E18" s="1244"/>
      <c r="F18" s="1244"/>
      <c r="G18" s="1244"/>
      <c r="H18" s="365"/>
      <c r="I18" s="365"/>
      <c r="J18" s="1244"/>
      <c r="K18" s="1244"/>
      <c r="L18" s="1244"/>
      <c r="M18" s="972"/>
      <c r="N18" s="973"/>
      <c r="O18" s="973"/>
      <c r="P18" s="973"/>
      <c r="Q18" s="1248"/>
      <c r="R18" s="973"/>
      <c r="S18" s="966"/>
      <c r="T18" s="19" t="str">
        <f>BQ18&amp;BR18&amp;BS18&amp;BT18&amp;BU18&amp;BW18&amp;BX18</f>
        <v/>
      </c>
      <c r="BQ18" s="1774" t="str">
        <f t="shared" si="2"/>
        <v/>
      </c>
      <c r="BR18" s="1774" t="str">
        <f>IF(AND(C18&gt;0,M18="")," * No olvide digitar la variable Programa de Acompañamiento Psicosocial en APS. Si no tiene digite Cero.",IF(M18&gt;C18," * La variable Programa de Acompañamiento Psicosocial en APS no puede ser mayor al Total.",""))</f>
        <v/>
      </c>
      <c r="BS18" s="1774" t="str">
        <f t="shared" si="3"/>
        <v/>
      </c>
      <c r="BT18" s="1774" t="str">
        <f t="shared" si="4"/>
        <v/>
      </c>
      <c r="BU18" s="1774" t="str">
        <f t="shared" si="5"/>
        <v/>
      </c>
      <c r="BV18" s="135"/>
      <c r="BW18" s="1774" t="str">
        <f t="shared" si="6"/>
        <v/>
      </c>
      <c r="BX18" s="1774" t="str">
        <f t="shared" si="7"/>
        <v/>
      </c>
      <c r="BZ18" s="84">
        <f t="shared" si="0"/>
        <v>0</v>
      </c>
      <c r="CA18" s="84">
        <f>IF(AND(C18&gt;0,M18=""),1,IF(M18&gt;C18,1,0))</f>
        <v>0</v>
      </c>
      <c r="CB18" s="84">
        <f t="shared" si="8"/>
        <v>0</v>
      </c>
      <c r="CC18" s="84">
        <f t="shared" si="9"/>
        <v>0</v>
      </c>
      <c r="CD18" s="84">
        <f t="shared" si="10"/>
        <v>0</v>
      </c>
      <c r="CE18" s="83"/>
      <c r="CF18" s="84">
        <f t="shared" si="11"/>
        <v>0</v>
      </c>
      <c r="CG18" s="84">
        <f t="shared" si="12"/>
        <v>0</v>
      </c>
    </row>
    <row r="19" spans="1:85" s="19" customFormat="1" ht="15" customHeight="1" x14ac:dyDescent="0.2">
      <c r="A19" s="7073" t="s">
        <v>3061</v>
      </c>
      <c r="B19" s="7074"/>
      <c r="C19" s="1243">
        <f t="shared" si="13"/>
        <v>0</v>
      </c>
      <c r="D19" s="1244"/>
      <c r="E19" s="1244"/>
      <c r="F19" s="1244"/>
      <c r="G19" s="1244"/>
      <c r="H19" s="365"/>
      <c r="I19" s="365"/>
      <c r="J19" s="1244"/>
      <c r="K19" s="1244"/>
      <c r="L19" s="1244"/>
      <c r="M19" s="972"/>
      <c r="N19" s="973"/>
      <c r="O19" s="973"/>
      <c r="P19" s="973"/>
      <c r="Q19" s="1248"/>
      <c r="R19" s="973"/>
      <c r="S19" s="966"/>
      <c r="T19" s="19" t="str">
        <f t="shared" ref="T19:T20" si="14">BQ19&amp;BR19&amp;BS19&amp;BT19&amp;BU19&amp;BW19&amp;BX19</f>
        <v/>
      </c>
      <c r="BQ19" s="1774" t="str">
        <f t="shared" si="2"/>
        <v/>
      </c>
      <c r="BR19" s="1774" t="str">
        <f>IF(AND(C19&gt;0,M19="")," * No olvide digitar la variable Programa de Acompañamiento Psicosocial en APS. Si no tiene digite Cero.",IF(M19&gt;C19," * La variable Programa de Acompañamiento Psicosocial en APS no puede ser mayor al Total.",""))</f>
        <v/>
      </c>
      <c r="BS19" s="1774" t="str">
        <f t="shared" si="3"/>
        <v/>
      </c>
      <c r="BT19" s="1774" t="str">
        <f t="shared" si="4"/>
        <v/>
      </c>
      <c r="BU19" s="1774" t="str">
        <f t="shared" si="5"/>
        <v/>
      </c>
      <c r="BV19" s="135"/>
      <c r="BW19" s="1774" t="str">
        <f t="shared" si="6"/>
        <v/>
      </c>
      <c r="BX19" s="1774" t="str">
        <f t="shared" si="7"/>
        <v/>
      </c>
      <c r="BZ19" s="84">
        <f t="shared" si="0"/>
        <v>0</v>
      </c>
      <c r="CA19" s="84">
        <f>IF(AND(C19&gt;0,M19=""),1,IF(M19&gt;C19,1,0))</f>
        <v>0</v>
      </c>
      <c r="CB19" s="84">
        <f t="shared" si="8"/>
        <v>0</v>
      </c>
      <c r="CC19" s="84">
        <f t="shared" si="9"/>
        <v>0</v>
      </c>
      <c r="CD19" s="84">
        <f t="shared" si="10"/>
        <v>0</v>
      </c>
      <c r="CE19" s="83"/>
      <c r="CF19" s="84">
        <f t="shared" si="11"/>
        <v>0</v>
      </c>
      <c r="CG19" s="84">
        <f t="shared" si="12"/>
        <v>0</v>
      </c>
    </row>
    <row r="20" spans="1:85" s="19" customFormat="1" ht="15" customHeight="1" x14ac:dyDescent="0.2">
      <c r="A20" s="7073" t="s">
        <v>3062</v>
      </c>
      <c r="B20" s="7074"/>
      <c r="C20" s="1243">
        <f t="shared" si="13"/>
        <v>0</v>
      </c>
      <c r="D20" s="1244"/>
      <c r="E20" s="1244"/>
      <c r="F20" s="1244"/>
      <c r="G20" s="1244"/>
      <c r="H20" s="365"/>
      <c r="I20" s="365"/>
      <c r="J20" s="1244"/>
      <c r="K20" s="1244"/>
      <c r="L20" s="1244"/>
      <c r="M20" s="972"/>
      <c r="N20" s="973"/>
      <c r="O20" s="973"/>
      <c r="P20" s="973"/>
      <c r="Q20" s="1248"/>
      <c r="R20" s="973"/>
      <c r="S20" s="966"/>
      <c r="T20" s="19" t="str">
        <f t="shared" si="14"/>
        <v/>
      </c>
      <c r="BQ20" s="1774" t="str">
        <f t="shared" si="2"/>
        <v/>
      </c>
      <c r="BR20" s="1774" t="str">
        <f>IF(AND(C20&gt;0,M20="")," * No olvide digitar la variable Programa de Acompañamiento Psicosocial en APS. Si no tiene digite Cero.",IF(M20&gt;C20," * La variable Programa de Acompañamiento Psicosocial en APS no puede ser mayor al Total.",""))</f>
        <v/>
      </c>
      <c r="BS20" s="1774" t="str">
        <f t="shared" si="3"/>
        <v/>
      </c>
      <c r="BT20" s="1774" t="str">
        <f t="shared" si="4"/>
        <v/>
      </c>
      <c r="BU20" s="1774" t="str">
        <f t="shared" si="5"/>
        <v/>
      </c>
      <c r="BV20" s="135"/>
      <c r="BW20" s="1774" t="str">
        <f t="shared" si="6"/>
        <v/>
      </c>
      <c r="BX20" s="1774" t="str">
        <f t="shared" si="7"/>
        <v/>
      </c>
      <c r="BZ20" s="84">
        <f t="shared" si="0"/>
        <v>0</v>
      </c>
      <c r="CA20" s="84">
        <f>IF(AND(C20&gt;0,M20=""),1,IF(M20&gt;C20,1,0))</f>
        <v>0</v>
      </c>
      <c r="CB20" s="84">
        <f t="shared" si="8"/>
        <v>0</v>
      </c>
      <c r="CC20" s="84">
        <f t="shared" si="9"/>
        <v>0</v>
      </c>
      <c r="CD20" s="84">
        <f t="shared" si="10"/>
        <v>0</v>
      </c>
      <c r="CE20" s="83"/>
      <c r="CF20" s="84">
        <f t="shared" si="11"/>
        <v>0</v>
      </c>
      <c r="CG20" s="84">
        <f t="shared" si="12"/>
        <v>0</v>
      </c>
    </row>
    <row r="21" spans="1:85" s="19" customFormat="1" ht="15" customHeight="1" x14ac:dyDescent="0.2">
      <c r="A21" s="7073" t="s">
        <v>3063</v>
      </c>
      <c r="B21" s="7074"/>
      <c r="C21" s="1243">
        <f t="shared" si="13"/>
        <v>0</v>
      </c>
      <c r="D21" s="1244"/>
      <c r="E21" s="1244"/>
      <c r="F21" s="1244"/>
      <c r="G21" s="1244"/>
      <c r="H21" s="365"/>
      <c r="I21" s="365"/>
      <c r="J21" s="1244"/>
      <c r="K21" s="1244"/>
      <c r="L21" s="1244"/>
      <c r="M21" s="1247"/>
      <c r="N21" s="973"/>
      <c r="O21" s="973"/>
      <c r="P21" s="973"/>
      <c r="Q21" s="1248"/>
      <c r="R21" s="973"/>
      <c r="S21" s="966"/>
      <c r="T21" s="19" t="str">
        <f t="shared" si="1"/>
        <v/>
      </c>
      <c r="BQ21" s="1774" t="str">
        <f t="shared" si="2"/>
        <v/>
      </c>
      <c r="BR21" s="135"/>
      <c r="BS21" s="1774" t="str">
        <f t="shared" si="3"/>
        <v/>
      </c>
      <c r="BT21" s="1774" t="str">
        <f t="shared" si="4"/>
        <v/>
      </c>
      <c r="BU21" s="1774" t="str">
        <f t="shared" si="5"/>
        <v/>
      </c>
      <c r="BV21" s="135"/>
      <c r="BW21" s="1774" t="str">
        <f t="shared" si="6"/>
        <v/>
      </c>
      <c r="BX21" s="1774" t="str">
        <f t="shared" si="7"/>
        <v/>
      </c>
      <c r="BZ21" s="84">
        <f t="shared" si="0"/>
        <v>0</v>
      </c>
      <c r="CA21" s="83"/>
      <c r="CB21" s="84">
        <f t="shared" si="8"/>
        <v>0</v>
      </c>
      <c r="CC21" s="84">
        <f t="shared" si="9"/>
        <v>0</v>
      </c>
      <c r="CD21" s="84">
        <f t="shared" si="10"/>
        <v>0</v>
      </c>
      <c r="CE21" s="83"/>
      <c r="CF21" s="84">
        <f t="shared" si="11"/>
        <v>0</v>
      </c>
      <c r="CG21" s="84">
        <f t="shared" si="12"/>
        <v>0</v>
      </c>
    </row>
    <row r="22" spans="1:85" s="19" customFormat="1" ht="15" customHeight="1" x14ac:dyDescent="0.2">
      <c r="A22" s="7073" t="s">
        <v>3064</v>
      </c>
      <c r="B22" s="7074"/>
      <c r="C22" s="1243">
        <f t="shared" si="13"/>
        <v>0</v>
      </c>
      <c r="D22" s="1244"/>
      <c r="E22" s="1244"/>
      <c r="F22" s="1244"/>
      <c r="G22" s="1244"/>
      <c r="H22" s="365"/>
      <c r="I22" s="365"/>
      <c r="J22" s="1244"/>
      <c r="K22" s="1244"/>
      <c r="L22" s="1244"/>
      <c r="M22" s="1247"/>
      <c r="N22" s="973"/>
      <c r="O22" s="973"/>
      <c r="P22" s="973"/>
      <c r="Q22" s="1248"/>
      <c r="R22" s="973"/>
      <c r="S22" s="966"/>
      <c r="T22" s="19" t="str">
        <f t="shared" si="1"/>
        <v/>
      </c>
      <c r="BQ22" s="1774" t="str">
        <f t="shared" si="2"/>
        <v/>
      </c>
      <c r="BR22" s="135"/>
      <c r="BS22" s="1774" t="str">
        <f t="shared" si="3"/>
        <v/>
      </c>
      <c r="BT22" s="1774" t="str">
        <f t="shared" si="4"/>
        <v/>
      </c>
      <c r="BU22" s="1774" t="str">
        <f t="shared" si="5"/>
        <v/>
      </c>
      <c r="BV22" s="135"/>
      <c r="BW22" s="1774" t="str">
        <f t="shared" si="6"/>
        <v/>
      </c>
      <c r="BX22" s="1774" t="str">
        <f t="shared" si="7"/>
        <v/>
      </c>
      <c r="BZ22" s="84">
        <f t="shared" si="0"/>
        <v>0</v>
      </c>
      <c r="CA22" s="83"/>
      <c r="CB22" s="84">
        <f t="shared" si="8"/>
        <v>0</v>
      </c>
      <c r="CC22" s="84">
        <f t="shared" si="9"/>
        <v>0</v>
      </c>
      <c r="CD22" s="84">
        <f t="shared" si="10"/>
        <v>0</v>
      </c>
      <c r="CE22" s="83"/>
      <c r="CF22" s="84">
        <f t="shared" si="11"/>
        <v>0</v>
      </c>
      <c r="CG22" s="84">
        <f t="shared" si="12"/>
        <v>0</v>
      </c>
    </row>
    <row r="23" spans="1:85" s="19" customFormat="1" ht="15" customHeight="1" x14ac:dyDescent="0.2">
      <c r="A23" s="7073" t="s">
        <v>3065</v>
      </c>
      <c r="B23" s="7074"/>
      <c r="C23" s="1243">
        <f>SUM(D23:G23)</f>
        <v>0</v>
      </c>
      <c r="D23" s="1244"/>
      <c r="E23" s="1244"/>
      <c r="F23" s="1244"/>
      <c r="G23" s="1244"/>
      <c r="H23" s="365"/>
      <c r="I23" s="365"/>
      <c r="J23" s="1244"/>
      <c r="K23" s="1244"/>
      <c r="L23" s="1244"/>
      <c r="M23" s="972"/>
      <c r="N23" s="973"/>
      <c r="O23" s="973"/>
      <c r="P23" s="973"/>
      <c r="Q23" s="973"/>
      <c r="R23" s="973"/>
      <c r="S23" s="966"/>
      <c r="T23" s="19" t="str">
        <f>BQ23&amp;BR23&amp;BS23&amp;BT23&amp;BU23&amp;BV23&amp;BW23&amp;BX23</f>
        <v/>
      </c>
      <c r="BQ23" s="1774" t="str">
        <f t="shared" si="2"/>
        <v/>
      </c>
      <c r="BR23" s="1774" t="str">
        <f>IF(AND(C23&gt;0,M23="")," * No olvide digitar la variable Programa de Acompañamiento Psicosocial en APS. Si no tiene digite Cero.",IF(M23&gt;C23," * La variable Programa de Acompañamiento Psicosocial en APS no puede ser mayor al Total.",""))</f>
        <v/>
      </c>
      <c r="BS23" s="1774" t="str">
        <f t="shared" si="3"/>
        <v/>
      </c>
      <c r="BT23" s="1774" t="str">
        <f t="shared" si="4"/>
        <v/>
      </c>
      <c r="BU23" s="1774" t="str">
        <f t="shared" si="5"/>
        <v/>
      </c>
      <c r="BV23" s="1774" t="str">
        <f>IF(AND($C23&gt;0,Q23="")," * No olvide digitar la variable Gestante con 3 o más riesgos. Digite Cero si no tiene.",IF(Q23&gt;$C23," * La variable Gestante con 3 o más riesgos no puede ser mayor al Total.",""))</f>
        <v/>
      </c>
      <c r="BW23" s="1774" t="str">
        <f t="shared" si="6"/>
        <v/>
      </c>
      <c r="BX23" s="1774" t="str">
        <f t="shared" si="7"/>
        <v/>
      </c>
      <c r="BZ23" s="84">
        <f t="shared" si="0"/>
        <v>0</v>
      </c>
      <c r="CA23" s="84">
        <f>IF(AND(C23&gt;0,M23=""),1,IF(M23&gt;C23,1,0))</f>
        <v>0</v>
      </c>
      <c r="CB23" s="84">
        <f t="shared" si="8"/>
        <v>0</v>
      </c>
      <c r="CC23" s="84">
        <f t="shared" si="9"/>
        <v>0</v>
      </c>
      <c r="CD23" s="84">
        <f t="shared" si="10"/>
        <v>0</v>
      </c>
      <c r="CE23" s="84">
        <f>IF(AND($C23&gt;0,Q23=""),1,IF(Q23&gt;$C23,1,0))</f>
        <v>0</v>
      </c>
      <c r="CF23" s="84">
        <f t="shared" si="11"/>
        <v>0</v>
      </c>
      <c r="CG23" s="84">
        <f t="shared" si="12"/>
        <v>0</v>
      </c>
    </row>
    <row r="24" spans="1:85" s="19" customFormat="1" ht="15" customHeight="1" x14ac:dyDescent="0.2">
      <c r="A24" s="7073" t="s">
        <v>3066</v>
      </c>
      <c r="B24" s="7074"/>
      <c r="C24" s="1243">
        <f t="shared" si="13"/>
        <v>0</v>
      </c>
      <c r="D24" s="1244"/>
      <c r="E24" s="1244"/>
      <c r="F24" s="1244"/>
      <c r="G24" s="1244"/>
      <c r="H24" s="365"/>
      <c r="I24" s="365"/>
      <c r="J24" s="1244"/>
      <c r="K24" s="1244"/>
      <c r="L24" s="1244"/>
      <c r="M24" s="972"/>
      <c r="N24" s="973"/>
      <c r="O24" s="973"/>
      <c r="P24" s="973"/>
      <c r="Q24" s="973"/>
      <c r="R24" s="973"/>
      <c r="S24" s="966"/>
      <c r="T24" s="19" t="str">
        <f t="shared" ref="T24:T25" si="15">BQ24&amp;BR24&amp;BS24&amp;BT24&amp;BU24&amp;BV24&amp;BW24&amp;BX24</f>
        <v/>
      </c>
      <c r="BQ24" s="1774" t="str">
        <f t="shared" si="2"/>
        <v/>
      </c>
      <c r="BR24" s="1774" t="str">
        <f>IF(AND(C24&gt;0,M24="")," * No olvide digitar la variable Programa de Acompañamiento Psicosocial en APS. Si no tiene digite Cero.",IF(M24&gt;C24," * La variable Programa de Acompañamiento Psicosocial en APS no puede ser mayor al Total.",""))</f>
        <v/>
      </c>
      <c r="BS24" s="1774" t="str">
        <f t="shared" si="3"/>
        <v/>
      </c>
      <c r="BT24" s="1774" t="str">
        <f t="shared" si="4"/>
        <v/>
      </c>
      <c r="BU24" s="1774" t="str">
        <f t="shared" si="5"/>
        <v/>
      </c>
      <c r="BV24" s="1774" t="str">
        <f t="shared" ref="BV24:BV25" si="16">IF(AND($C24&gt;0,Q24="")," * No olvide digitar la variable Gestante con 3 o más riesgos. Digite Cero si no tiene.",IF(Q24&gt;$C24," * La variable Gestante con 3 o más riesgos no puede ser mayor al Total.",""))</f>
        <v/>
      </c>
      <c r="BW24" s="1774" t="str">
        <f t="shared" si="6"/>
        <v/>
      </c>
      <c r="BX24" s="1774" t="str">
        <f t="shared" si="7"/>
        <v/>
      </c>
      <c r="BZ24" s="84">
        <f t="shared" si="0"/>
        <v>0</v>
      </c>
      <c r="CA24" s="84">
        <f>IF(AND(C24&gt;0,M24=""),1,IF(M24&gt;C24,1,0))</f>
        <v>0</v>
      </c>
      <c r="CB24" s="84">
        <f t="shared" si="8"/>
        <v>0</v>
      </c>
      <c r="CC24" s="84">
        <f t="shared" si="9"/>
        <v>0</v>
      </c>
      <c r="CD24" s="84">
        <f t="shared" si="10"/>
        <v>0</v>
      </c>
      <c r="CE24" s="84">
        <f t="shared" si="10"/>
        <v>0</v>
      </c>
      <c r="CF24" s="84">
        <f t="shared" si="11"/>
        <v>0</v>
      </c>
      <c r="CG24" s="84">
        <f t="shared" si="12"/>
        <v>0</v>
      </c>
    </row>
    <row r="25" spans="1:85" s="19" customFormat="1" ht="15" customHeight="1" x14ac:dyDescent="0.2">
      <c r="A25" s="7073" t="s">
        <v>3067</v>
      </c>
      <c r="B25" s="7074"/>
      <c r="C25" s="1243">
        <f>SUM(D25:G25)</f>
        <v>0</v>
      </c>
      <c r="D25" s="1244"/>
      <c r="E25" s="1244"/>
      <c r="F25" s="1244"/>
      <c r="G25" s="1244"/>
      <c r="H25" s="365"/>
      <c r="I25" s="365"/>
      <c r="J25" s="1244"/>
      <c r="K25" s="1244"/>
      <c r="L25" s="1244"/>
      <c r="M25" s="972"/>
      <c r="N25" s="973"/>
      <c r="O25" s="973"/>
      <c r="P25" s="973"/>
      <c r="Q25" s="973"/>
      <c r="R25" s="973"/>
      <c r="S25" s="966"/>
      <c r="T25" s="19" t="str">
        <f t="shared" si="15"/>
        <v/>
      </c>
      <c r="BQ25" s="1774" t="str">
        <f t="shared" si="2"/>
        <v/>
      </c>
      <c r="BR25" s="1774" t="str">
        <f>IF(AND(C25&gt;0,M25="")," * No olvide digitar la variable Programa de Acompañamiento Psicosocial en APS. Si no tiene digite Cero.",IF(M25&gt;C25," * La variable Programa de Acompañamiento Psicosocial en APS no puede ser mayor al Total.",""))</f>
        <v/>
      </c>
      <c r="BS25" s="1774" t="str">
        <f t="shared" si="3"/>
        <v/>
      </c>
      <c r="BT25" s="1774" t="str">
        <f t="shared" si="4"/>
        <v/>
      </c>
      <c r="BU25" s="1774" t="str">
        <f t="shared" si="5"/>
        <v/>
      </c>
      <c r="BV25" s="1774" t="str">
        <f t="shared" si="16"/>
        <v/>
      </c>
      <c r="BW25" s="1774" t="str">
        <f t="shared" si="6"/>
        <v/>
      </c>
      <c r="BX25" s="1774" t="str">
        <f t="shared" si="7"/>
        <v/>
      </c>
      <c r="BZ25" s="84">
        <f t="shared" si="0"/>
        <v>0</v>
      </c>
      <c r="CA25" s="84">
        <f>IF(AND(C25&gt;0,M25=""),1,IF(M25&gt;C25,1,0))</f>
        <v>0</v>
      </c>
      <c r="CB25" s="84">
        <f t="shared" si="8"/>
        <v>0</v>
      </c>
      <c r="CC25" s="84">
        <f t="shared" si="9"/>
        <v>0</v>
      </c>
      <c r="CD25" s="84">
        <f t="shared" si="10"/>
        <v>0</v>
      </c>
      <c r="CE25" s="84">
        <f t="shared" si="10"/>
        <v>0</v>
      </c>
      <c r="CF25" s="84">
        <f t="shared" si="11"/>
        <v>0</v>
      </c>
      <c r="CG25" s="84">
        <f t="shared" si="12"/>
        <v>0</v>
      </c>
    </row>
    <row r="26" spans="1:85" s="19" customFormat="1" ht="15" customHeight="1" x14ac:dyDescent="0.2">
      <c r="A26" s="7073" t="s">
        <v>3068</v>
      </c>
      <c r="B26" s="7074"/>
      <c r="C26" s="1243">
        <f t="shared" si="13"/>
        <v>0</v>
      </c>
      <c r="D26" s="1244"/>
      <c r="E26" s="1244"/>
      <c r="F26" s="1244"/>
      <c r="G26" s="1244"/>
      <c r="H26" s="365"/>
      <c r="I26" s="365"/>
      <c r="J26" s="1244"/>
      <c r="K26" s="1244"/>
      <c r="L26" s="1244"/>
      <c r="M26" s="1247"/>
      <c r="N26" s="973"/>
      <c r="O26" s="973"/>
      <c r="P26" s="973"/>
      <c r="Q26" s="1249"/>
      <c r="R26" s="973"/>
      <c r="S26" s="966"/>
      <c r="T26" s="19" t="str">
        <f t="shared" ref="T26:T27" si="17">BQ26&amp;BS26&amp;BT26&amp;BU26&amp;BW26&amp;BX26</f>
        <v/>
      </c>
      <c r="BQ26" s="1774" t="str">
        <f>IF((J26+K26+L26)&lt;&gt;C26," * La suma del N° de Primera visita + Segunda visita + Tercera o más visitas de seguimiento debe coincidir con el Total.","")</f>
        <v/>
      </c>
      <c r="BR26" s="135"/>
      <c r="BS26" s="1774" t="str">
        <f t="shared" si="3"/>
        <v/>
      </c>
      <c r="BT26" s="1774" t="str">
        <f t="shared" si="4"/>
        <v/>
      </c>
      <c r="BU26" s="1774" t="str">
        <f t="shared" si="5"/>
        <v/>
      </c>
      <c r="BV26" s="135"/>
      <c r="BW26" s="1774" t="str">
        <f t="shared" si="6"/>
        <v/>
      </c>
      <c r="BX26" s="1774" t="str">
        <f t="shared" si="7"/>
        <v/>
      </c>
      <c r="BZ26" s="84">
        <f t="shared" si="0"/>
        <v>0</v>
      </c>
      <c r="CA26" s="83"/>
      <c r="CB26" s="84">
        <f t="shared" si="8"/>
        <v>0</v>
      </c>
      <c r="CC26" s="84">
        <f t="shared" si="9"/>
        <v>0</v>
      </c>
      <c r="CD26" s="84">
        <f t="shared" si="10"/>
        <v>0</v>
      </c>
      <c r="CE26" s="83"/>
      <c r="CF26" s="84">
        <f t="shared" si="11"/>
        <v>0</v>
      </c>
      <c r="CG26" s="84">
        <f t="shared" si="12"/>
        <v>0</v>
      </c>
    </row>
    <row r="27" spans="1:85" s="19" customFormat="1" ht="15" customHeight="1" x14ac:dyDescent="0.2">
      <c r="A27" s="7073" t="s">
        <v>3069</v>
      </c>
      <c r="B27" s="7074"/>
      <c r="C27" s="1243">
        <f t="shared" si="13"/>
        <v>0</v>
      </c>
      <c r="D27" s="1244"/>
      <c r="E27" s="1244"/>
      <c r="F27" s="1244"/>
      <c r="G27" s="1244"/>
      <c r="H27" s="365"/>
      <c r="I27" s="365"/>
      <c r="J27" s="1244"/>
      <c r="K27" s="1244"/>
      <c r="L27" s="1244"/>
      <c r="M27" s="1247"/>
      <c r="N27" s="973"/>
      <c r="O27" s="973"/>
      <c r="P27" s="973"/>
      <c r="Q27" s="1249"/>
      <c r="R27" s="973"/>
      <c r="S27" s="966"/>
      <c r="T27" s="19" t="str">
        <f t="shared" si="17"/>
        <v/>
      </c>
      <c r="BQ27" s="1774" t="str">
        <f t="shared" si="2"/>
        <v/>
      </c>
      <c r="BR27" s="135"/>
      <c r="BS27" s="1774" t="str">
        <f t="shared" si="3"/>
        <v/>
      </c>
      <c r="BT27" s="1774" t="str">
        <f t="shared" si="4"/>
        <v/>
      </c>
      <c r="BU27" s="1774" t="str">
        <f t="shared" si="5"/>
        <v/>
      </c>
      <c r="BV27" s="135"/>
      <c r="BW27" s="1774" t="str">
        <f t="shared" si="6"/>
        <v/>
      </c>
      <c r="BX27" s="1774" t="str">
        <f t="shared" si="7"/>
        <v/>
      </c>
      <c r="BZ27" s="84">
        <f t="shared" si="0"/>
        <v>0</v>
      </c>
      <c r="CA27" s="83"/>
      <c r="CB27" s="84">
        <f t="shared" si="8"/>
        <v>0</v>
      </c>
      <c r="CC27" s="84">
        <f t="shared" si="9"/>
        <v>0</v>
      </c>
      <c r="CD27" s="84">
        <f t="shared" si="10"/>
        <v>0</v>
      </c>
      <c r="CE27" s="83"/>
      <c r="CF27" s="84">
        <f t="shared" si="11"/>
        <v>0</v>
      </c>
      <c r="CG27" s="84">
        <f t="shared" si="12"/>
        <v>0</v>
      </c>
    </row>
    <row r="28" spans="1:85" s="19" customFormat="1" ht="15" customHeight="1" x14ac:dyDescent="0.2">
      <c r="A28" s="7073" t="s">
        <v>3070</v>
      </c>
      <c r="B28" s="7074"/>
      <c r="C28" s="1243">
        <f t="shared" si="13"/>
        <v>0</v>
      </c>
      <c r="D28" s="1244"/>
      <c r="E28" s="1244"/>
      <c r="F28" s="1244"/>
      <c r="G28" s="1244"/>
      <c r="H28" s="365"/>
      <c r="I28" s="365"/>
      <c r="J28" s="1244"/>
      <c r="K28" s="1244"/>
      <c r="L28" s="1244"/>
      <c r="M28" s="1247"/>
      <c r="N28" s="973"/>
      <c r="O28" s="973"/>
      <c r="P28" s="973"/>
      <c r="Q28" s="1249"/>
      <c r="R28" s="973"/>
      <c r="S28" s="966"/>
      <c r="T28" s="19" t="str">
        <f>BQ28&amp;BS28&amp;BT28&amp;BU28&amp;BW28&amp;BX28</f>
        <v/>
      </c>
      <c r="BQ28" s="1774" t="str">
        <f t="shared" si="2"/>
        <v/>
      </c>
      <c r="BR28" s="135"/>
      <c r="BS28" s="1774" t="str">
        <f t="shared" si="3"/>
        <v/>
      </c>
      <c r="BT28" s="1774" t="str">
        <f t="shared" si="4"/>
        <v/>
      </c>
      <c r="BU28" s="1774" t="str">
        <f t="shared" si="5"/>
        <v/>
      </c>
      <c r="BV28" s="135"/>
      <c r="BW28" s="1774" t="str">
        <f t="shared" si="6"/>
        <v/>
      </c>
      <c r="BX28" s="1774" t="str">
        <f t="shared" si="7"/>
        <v/>
      </c>
      <c r="BZ28" s="84">
        <f t="shared" si="0"/>
        <v>0</v>
      </c>
      <c r="CA28" s="83"/>
      <c r="CB28" s="84">
        <f t="shared" si="8"/>
        <v>0</v>
      </c>
      <c r="CC28" s="84">
        <f t="shared" si="9"/>
        <v>0</v>
      </c>
      <c r="CD28" s="84">
        <f t="shared" si="10"/>
        <v>0</v>
      </c>
      <c r="CE28" s="83"/>
      <c r="CF28" s="84">
        <f t="shared" si="11"/>
        <v>0</v>
      </c>
      <c r="CG28" s="84">
        <f t="shared" si="12"/>
        <v>0</v>
      </c>
    </row>
    <row r="29" spans="1:85" s="19" customFormat="1" ht="15" customHeight="1" x14ac:dyDescent="0.2">
      <c r="A29" s="7073" t="s">
        <v>3071</v>
      </c>
      <c r="B29" s="7074"/>
      <c r="C29" s="1243">
        <f t="shared" si="13"/>
        <v>0</v>
      </c>
      <c r="D29" s="1244"/>
      <c r="E29" s="1244"/>
      <c r="F29" s="1244"/>
      <c r="G29" s="1244"/>
      <c r="H29" s="365"/>
      <c r="I29" s="365"/>
      <c r="J29" s="1244"/>
      <c r="K29" s="1244"/>
      <c r="L29" s="1244"/>
      <c r="M29" s="972"/>
      <c r="N29" s="973"/>
      <c r="O29" s="973"/>
      <c r="P29" s="973"/>
      <c r="Q29" s="1249"/>
      <c r="R29" s="973"/>
      <c r="S29" s="966"/>
      <c r="T29" s="19" t="str">
        <f>BQ29&amp;BR29&amp;BS29&amp;BT29&amp;BU29&amp;BW29&amp;BX29</f>
        <v/>
      </c>
      <c r="BQ29" s="1774" t="str">
        <f t="shared" si="2"/>
        <v/>
      </c>
      <c r="BR29" s="1774" t="str">
        <f t="shared" ref="BR29:BR35" si="18">IF(AND(C29&gt;0,M29="")," * No olvide digitar la variable Programa de Acompañamiento Psicosocial en APS. Si no tiene digite Cero.",IF(M29&gt;C29," * La variable Programa de Acompañamiento Psicosocial en APS no puede ser mayor al Total.",""))</f>
        <v/>
      </c>
      <c r="BS29" s="1774" t="str">
        <f t="shared" si="3"/>
        <v/>
      </c>
      <c r="BT29" s="1774" t="str">
        <f t="shared" si="4"/>
        <v/>
      </c>
      <c r="BU29" s="1774" t="str">
        <f t="shared" si="5"/>
        <v/>
      </c>
      <c r="BV29" s="135"/>
      <c r="BW29" s="1774" t="str">
        <f t="shared" si="6"/>
        <v/>
      </c>
      <c r="BX29" s="1774" t="str">
        <f t="shared" si="7"/>
        <v/>
      </c>
      <c r="BZ29" s="84">
        <f t="shared" si="0"/>
        <v>0</v>
      </c>
      <c r="CA29" s="84">
        <f t="shared" ref="CA29:CA35" si="19">IF(AND(C29&gt;0,M29=""),1,IF(M29&gt;C29,1,0))</f>
        <v>0</v>
      </c>
      <c r="CB29" s="84">
        <f t="shared" si="8"/>
        <v>0</v>
      </c>
      <c r="CC29" s="84">
        <f t="shared" si="9"/>
        <v>0</v>
      </c>
      <c r="CD29" s="84">
        <f t="shared" si="10"/>
        <v>0</v>
      </c>
      <c r="CE29" s="83"/>
      <c r="CF29" s="84">
        <f t="shared" si="11"/>
        <v>0</v>
      </c>
      <c r="CG29" s="84">
        <f t="shared" si="12"/>
        <v>0</v>
      </c>
    </row>
    <row r="30" spans="1:85" s="19" customFormat="1" ht="15" customHeight="1" x14ac:dyDescent="0.2">
      <c r="A30" s="7073" t="s">
        <v>3072</v>
      </c>
      <c r="B30" s="7074"/>
      <c r="C30" s="1243">
        <f t="shared" si="13"/>
        <v>0</v>
      </c>
      <c r="D30" s="1244"/>
      <c r="E30" s="1244"/>
      <c r="F30" s="1244"/>
      <c r="G30" s="1244"/>
      <c r="H30" s="365"/>
      <c r="I30" s="365"/>
      <c r="J30" s="1244"/>
      <c r="K30" s="1244"/>
      <c r="L30" s="1244"/>
      <c r="M30" s="972"/>
      <c r="N30" s="973"/>
      <c r="O30" s="973"/>
      <c r="P30" s="973"/>
      <c r="Q30" s="1249"/>
      <c r="R30" s="973"/>
      <c r="S30" s="966"/>
      <c r="T30" s="19" t="str">
        <f t="shared" ref="T30:T35" si="20">BQ30&amp;BR30&amp;BS30&amp;BT30&amp;BU30&amp;BW30&amp;BX30</f>
        <v/>
      </c>
      <c r="BQ30" s="1774" t="str">
        <f t="shared" si="2"/>
        <v/>
      </c>
      <c r="BR30" s="1774" t="str">
        <f t="shared" si="18"/>
        <v/>
      </c>
      <c r="BS30" s="1774" t="str">
        <f t="shared" si="3"/>
        <v/>
      </c>
      <c r="BT30" s="1774" t="str">
        <f t="shared" si="4"/>
        <v/>
      </c>
      <c r="BU30" s="1774" t="str">
        <f t="shared" si="5"/>
        <v/>
      </c>
      <c r="BV30" s="135"/>
      <c r="BW30" s="1774" t="str">
        <f t="shared" si="6"/>
        <v/>
      </c>
      <c r="BX30" s="1774" t="str">
        <f t="shared" si="7"/>
        <v/>
      </c>
      <c r="BZ30" s="84">
        <f t="shared" si="0"/>
        <v>0</v>
      </c>
      <c r="CA30" s="84">
        <f t="shared" si="19"/>
        <v>0</v>
      </c>
      <c r="CB30" s="84">
        <f t="shared" si="8"/>
        <v>0</v>
      </c>
      <c r="CC30" s="84">
        <f t="shared" si="9"/>
        <v>0</v>
      </c>
      <c r="CD30" s="84">
        <f t="shared" si="10"/>
        <v>0</v>
      </c>
      <c r="CE30" s="83"/>
      <c r="CF30" s="84">
        <f t="shared" si="11"/>
        <v>0</v>
      </c>
      <c r="CG30" s="84">
        <f t="shared" si="12"/>
        <v>0</v>
      </c>
    </row>
    <row r="31" spans="1:85" s="19" customFormat="1" ht="15" customHeight="1" x14ac:dyDescent="0.2">
      <c r="A31" s="7202" t="s">
        <v>3073</v>
      </c>
      <c r="B31" s="7203"/>
      <c r="C31" s="1243">
        <f>SUM(D31:G31)</f>
        <v>0</v>
      </c>
      <c r="D31" s="1244"/>
      <c r="E31" s="1244"/>
      <c r="F31" s="1244"/>
      <c r="G31" s="1244"/>
      <c r="H31" s="365"/>
      <c r="I31" s="365"/>
      <c r="J31" s="1244"/>
      <c r="K31" s="1244"/>
      <c r="L31" s="1244"/>
      <c r="M31" s="972"/>
      <c r="N31" s="973"/>
      <c r="O31" s="973"/>
      <c r="P31" s="973"/>
      <c r="Q31" s="1249"/>
      <c r="R31" s="973"/>
      <c r="S31" s="966"/>
      <c r="T31" s="19" t="str">
        <f t="shared" si="20"/>
        <v/>
      </c>
      <c r="BQ31" s="1774" t="str">
        <f t="shared" si="2"/>
        <v/>
      </c>
      <c r="BR31" s="1774" t="str">
        <f t="shared" si="18"/>
        <v/>
      </c>
      <c r="BS31" s="1774" t="str">
        <f t="shared" si="3"/>
        <v/>
      </c>
      <c r="BT31" s="1774" t="str">
        <f t="shared" si="4"/>
        <v/>
      </c>
      <c r="BU31" s="1774" t="str">
        <f t="shared" si="5"/>
        <v/>
      </c>
      <c r="BV31" s="135"/>
      <c r="BW31" s="1774" t="str">
        <f t="shared" si="6"/>
        <v/>
      </c>
      <c r="BX31" s="1774" t="str">
        <f t="shared" si="7"/>
        <v/>
      </c>
      <c r="BZ31" s="84">
        <f t="shared" si="0"/>
        <v>0</v>
      </c>
      <c r="CA31" s="84">
        <f t="shared" si="19"/>
        <v>0</v>
      </c>
      <c r="CB31" s="84">
        <f t="shared" si="8"/>
        <v>0</v>
      </c>
      <c r="CC31" s="84">
        <f t="shared" si="9"/>
        <v>0</v>
      </c>
      <c r="CD31" s="84">
        <f t="shared" si="10"/>
        <v>0</v>
      </c>
      <c r="CE31" s="83"/>
      <c r="CF31" s="84">
        <f t="shared" si="11"/>
        <v>0</v>
      </c>
      <c r="CG31" s="84">
        <f t="shared" si="12"/>
        <v>0</v>
      </c>
    </row>
    <row r="32" spans="1:85" s="19" customFormat="1" ht="15" customHeight="1" x14ac:dyDescent="0.2">
      <c r="A32" s="7202" t="s">
        <v>3074</v>
      </c>
      <c r="B32" s="7203"/>
      <c r="C32" s="1243">
        <f>SUM(D32:G32)</f>
        <v>0</v>
      </c>
      <c r="D32" s="1244"/>
      <c r="E32" s="1244"/>
      <c r="F32" s="1244"/>
      <c r="G32" s="1244"/>
      <c r="H32" s="365"/>
      <c r="I32" s="365"/>
      <c r="J32" s="1244"/>
      <c r="K32" s="1244"/>
      <c r="L32" s="1244"/>
      <c r="M32" s="5709"/>
      <c r="N32" s="973"/>
      <c r="O32" s="973"/>
      <c r="P32" s="973"/>
      <c r="Q32" s="1249"/>
      <c r="R32" s="973"/>
      <c r="S32" s="966"/>
      <c r="T32" s="19" t="str">
        <f t="shared" si="20"/>
        <v/>
      </c>
      <c r="BQ32" s="1774" t="str">
        <f t="shared" si="2"/>
        <v/>
      </c>
      <c r="BR32" s="1774" t="str">
        <f t="shared" si="18"/>
        <v/>
      </c>
      <c r="BS32" s="1774" t="str">
        <f t="shared" si="3"/>
        <v/>
      </c>
      <c r="BT32" s="1774" t="str">
        <f t="shared" si="4"/>
        <v/>
      </c>
      <c r="BU32" s="1774" t="str">
        <f t="shared" si="5"/>
        <v/>
      </c>
      <c r="BV32" s="135"/>
      <c r="BW32" s="1774" t="str">
        <f t="shared" si="6"/>
        <v/>
      </c>
      <c r="BX32" s="1774" t="str">
        <f t="shared" si="7"/>
        <v/>
      </c>
      <c r="BZ32" s="84">
        <f t="shared" si="0"/>
        <v>0</v>
      </c>
      <c r="CA32" s="84">
        <f t="shared" si="19"/>
        <v>0</v>
      </c>
      <c r="CB32" s="84">
        <f t="shared" si="8"/>
        <v>0</v>
      </c>
      <c r="CC32" s="84">
        <f t="shared" si="9"/>
        <v>0</v>
      </c>
      <c r="CD32" s="84">
        <f t="shared" si="10"/>
        <v>0</v>
      </c>
      <c r="CE32" s="83"/>
      <c r="CF32" s="84">
        <f t="shared" si="11"/>
        <v>0</v>
      </c>
      <c r="CG32" s="84">
        <f t="shared" si="12"/>
        <v>0</v>
      </c>
    </row>
    <row r="33" spans="1:85" s="19" customFormat="1" ht="15" customHeight="1" x14ac:dyDescent="0.2">
      <c r="A33" s="7202" t="s">
        <v>3075</v>
      </c>
      <c r="B33" s="7203"/>
      <c r="C33" s="1243">
        <f>SUM(D33:G33)</f>
        <v>0</v>
      </c>
      <c r="D33" s="1244"/>
      <c r="E33" s="1244"/>
      <c r="F33" s="1244"/>
      <c r="G33" s="1244"/>
      <c r="H33" s="365"/>
      <c r="I33" s="365"/>
      <c r="J33" s="1244"/>
      <c r="K33" s="1244"/>
      <c r="L33" s="1244"/>
      <c r="M33" s="5709"/>
      <c r="N33" s="973"/>
      <c r="O33" s="973"/>
      <c r="P33" s="973"/>
      <c r="Q33" s="1249"/>
      <c r="R33" s="973"/>
      <c r="S33" s="966"/>
      <c r="T33" s="19" t="str">
        <f>BQ33&amp;BR33&amp;BS33&amp;BT33&amp;BU33&amp;BW33&amp;BX33</f>
        <v/>
      </c>
      <c r="BQ33" s="1774" t="str">
        <f t="shared" si="2"/>
        <v/>
      </c>
      <c r="BR33" s="1774" t="str">
        <f t="shared" si="18"/>
        <v/>
      </c>
      <c r="BS33" s="1774" t="str">
        <f t="shared" si="3"/>
        <v/>
      </c>
      <c r="BT33" s="1774" t="str">
        <f t="shared" si="4"/>
        <v/>
      </c>
      <c r="BU33" s="1774" t="str">
        <f t="shared" si="5"/>
        <v/>
      </c>
      <c r="BV33" s="135"/>
      <c r="BW33" s="1774" t="str">
        <f t="shared" si="6"/>
        <v/>
      </c>
      <c r="BX33" s="1774" t="str">
        <f t="shared" si="7"/>
        <v/>
      </c>
      <c r="BZ33" s="84">
        <f t="shared" si="0"/>
        <v>0</v>
      </c>
      <c r="CA33" s="84">
        <f t="shared" si="19"/>
        <v>0</v>
      </c>
      <c r="CB33" s="84">
        <f t="shared" si="8"/>
        <v>0</v>
      </c>
      <c r="CC33" s="84">
        <f t="shared" si="9"/>
        <v>0</v>
      </c>
      <c r="CD33" s="84">
        <f t="shared" si="10"/>
        <v>0</v>
      </c>
      <c r="CE33" s="83"/>
      <c r="CF33" s="84">
        <f t="shared" si="11"/>
        <v>0</v>
      </c>
      <c r="CG33" s="84">
        <f t="shared" si="12"/>
        <v>0</v>
      </c>
    </row>
    <row r="34" spans="1:85" s="19" customFormat="1" ht="15" customHeight="1" x14ac:dyDescent="0.2">
      <c r="A34" s="7202" t="s">
        <v>3076</v>
      </c>
      <c r="B34" s="7203"/>
      <c r="C34" s="366">
        <f>SUM(D34:G34)</f>
        <v>0</v>
      </c>
      <c r="D34" s="1244"/>
      <c r="E34" s="1244"/>
      <c r="F34" s="1244"/>
      <c r="G34" s="1244"/>
      <c r="H34" s="365"/>
      <c r="I34" s="365"/>
      <c r="J34" s="1244"/>
      <c r="K34" s="1244"/>
      <c r="L34" s="1244"/>
      <c r="M34" s="972"/>
      <c r="N34" s="1039"/>
      <c r="O34" s="1039"/>
      <c r="P34" s="1039"/>
      <c r="Q34" s="1249"/>
      <c r="R34" s="1039"/>
      <c r="S34" s="142"/>
      <c r="T34" s="19" t="str">
        <f t="shared" si="20"/>
        <v/>
      </c>
      <c r="BQ34" s="1774" t="str">
        <f t="shared" si="2"/>
        <v/>
      </c>
      <c r="BR34" s="1774" t="str">
        <f t="shared" si="18"/>
        <v/>
      </c>
      <c r="BS34" s="1774" t="str">
        <f t="shared" si="3"/>
        <v/>
      </c>
      <c r="BT34" s="1774" t="str">
        <f t="shared" si="4"/>
        <v/>
      </c>
      <c r="BU34" s="1774" t="str">
        <f t="shared" si="5"/>
        <v/>
      </c>
      <c r="BV34" s="135"/>
      <c r="BW34" s="1774" t="str">
        <f t="shared" si="6"/>
        <v/>
      </c>
      <c r="BX34" s="1774" t="str">
        <f t="shared" si="7"/>
        <v/>
      </c>
      <c r="BZ34" s="84">
        <f t="shared" si="0"/>
        <v>0</v>
      </c>
      <c r="CA34" s="84">
        <f t="shared" si="19"/>
        <v>0</v>
      </c>
      <c r="CB34" s="84">
        <f t="shared" si="8"/>
        <v>0</v>
      </c>
      <c r="CC34" s="84">
        <f t="shared" si="9"/>
        <v>0</v>
      </c>
      <c r="CD34" s="84">
        <f t="shared" si="10"/>
        <v>0</v>
      </c>
      <c r="CE34" s="83"/>
      <c r="CF34" s="84">
        <f t="shared" si="11"/>
        <v>0</v>
      </c>
      <c r="CG34" s="84">
        <f t="shared" si="12"/>
        <v>0</v>
      </c>
    </row>
    <row r="35" spans="1:85" s="19" customFormat="1" ht="15" customHeight="1" x14ac:dyDescent="0.2">
      <c r="A35" s="7209" t="s">
        <v>3077</v>
      </c>
      <c r="B35" s="7210"/>
      <c r="C35" s="1250">
        <f>SUM(D35:G35)</f>
        <v>0</v>
      </c>
      <c r="D35" s="1244"/>
      <c r="E35" s="1244"/>
      <c r="F35" s="1244"/>
      <c r="G35" s="1244"/>
      <c r="H35" s="256"/>
      <c r="I35" s="256"/>
      <c r="J35" s="1244"/>
      <c r="K35" s="1244"/>
      <c r="L35" s="1244"/>
      <c r="M35" s="1030"/>
      <c r="N35" s="1031"/>
      <c r="O35" s="1031"/>
      <c r="P35" s="1031"/>
      <c r="Q35" s="1251"/>
      <c r="R35" s="1031"/>
      <c r="S35" s="877"/>
      <c r="T35" s="19" t="str">
        <f t="shared" si="20"/>
        <v/>
      </c>
      <c r="BQ35" s="1774" t="str">
        <f t="shared" si="2"/>
        <v/>
      </c>
      <c r="BR35" s="1774" t="str">
        <f t="shared" si="18"/>
        <v/>
      </c>
      <c r="BS35" s="1774" t="str">
        <f t="shared" si="3"/>
        <v/>
      </c>
      <c r="BT35" s="1774" t="str">
        <f t="shared" si="4"/>
        <v/>
      </c>
      <c r="BU35" s="1774" t="str">
        <f t="shared" si="5"/>
        <v/>
      </c>
      <c r="BV35" s="135"/>
      <c r="BW35" s="1774" t="str">
        <f t="shared" si="6"/>
        <v/>
      </c>
      <c r="BX35" s="1774" t="str">
        <f t="shared" si="7"/>
        <v/>
      </c>
      <c r="BZ35" s="84">
        <f t="shared" si="0"/>
        <v>0</v>
      </c>
      <c r="CA35" s="84">
        <f t="shared" si="19"/>
        <v>0</v>
      </c>
      <c r="CB35" s="84">
        <f t="shared" si="8"/>
        <v>0</v>
      </c>
      <c r="CC35" s="84">
        <f t="shared" si="9"/>
        <v>0</v>
      </c>
      <c r="CD35" s="84">
        <f t="shared" si="10"/>
        <v>0</v>
      </c>
      <c r="CE35" s="83"/>
      <c r="CF35" s="84">
        <f t="shared" si="11"/>
        <v>0</v>
      </c>
      <c r="CG35" s="84">
        <f t="shared" si="12"/>
        <v>0</v>
      </c>
    </row>
    <row r="36" spans="1:85" s="25" customFormat="1" ht="18" customHeight="1" x14ac:dyDescent="0.2">
      <c r="A36" s="7055" t="s">
        <v>3078</v>
      </c>
      <c r="B36" s="7055"/>
      <c r="C36" s="7055"/>
      <c r="D36" s="7055"/>
      <c r="E36" s="7055"/>
      <c r="F36" s="7055"/>
      <c r="G36" s="7055"/>
      <c r="H36" s="7055"/>
      <c r="I36" s="7055"/>
      <c r="J36" s="7055"/>
      <c r="K36" s="7055"/>
      <c r="L36" s="7055"/>
      <c r="M36" s="7055"/>
      <c r="N36" s="7055"/>
    </row>
    <row r="37" spans="1:85" s="19" customFormat="1" ht="51" x14ac:dyDescent="0.2">
      <c r="A37" s="6545" t="s">
        <v>651</v>
      </c>
      <c r="B37" s="7322"/>
      <c r="C37" s="4806" t="s">
        <v>3079</v>
      </c>
      <c r="D37" s="1837" t="s">
        <v>4383</v>
      </c>
      <c r="E37" s="1664" t="s">
        <v>4384</v>
      </c>
      <c r="F37" s="1838" t="s">
        <v>4385</v>
      </c>
      <c r="G37" s="1839" t="s">
        <v>4386</v>
      </c>
      <c r="H37" s="1664" t="s">
        <v>4387</v>
      </c>
      <c r="I37" s="1664" t="s">
        <v>3080</v>
      </c>
      <c r="J37" s="1664" t="s">
        <v>4388</v>
      </c>
      <c r="K37" s="1840" t="s">
        <v>37</v>
      </c>
      <c r="L37" s="1664" t="s">
        <v>322</v>
      </c>
      <c r="M37" s="1664" t="s">
        <v>3105</v>
      </c>
      <c r="N37" s="1841" t="s">
        <v>3081</v>
      </c>
    </row>
    <row r="38" spans="1:85" s="19" customFormat="1" ht="30" customHeight="1" x14ac:dyDescent="0.2">
      <c r="A38" s="7314" t="s">
        <v>4389</v>
      </c>
      <c r="B38" s="1754" t="s">
        <v>3082</v>
      </c>
      <c r="C38" s="1842"/>
      <c r="D38" s="1843"/>
      <c r="E38" s="1764"/>
      <c r="F38" s="1844"/>
      <c r="G38" s="1843"/>
      <c r="H38" s="1764"/>
      <c r="I38" s="1764"/>
      <c r="J38" s="1764"/>
      <c r="K38" s="1763"/>
      <c r="L38" s="1764"/>
      <c r="M38" s="1764"/>
      <c r="N38" s="1765"/>
      <c r="O38" s="19" t="str">
        <f>BQ38&amp;BR38&amp;BS38&amp;BT38</f>
        <v/>
      </c>
      <c r="BQ38" s="1774" t="str">
        <f>IF(AND(SUM($C38:$F38)&gt;0,K38="")," * No olvide digitar la variable Migrantes. Digite Cero si no tiene.",IF(K38&gt;SUM($C38:$F38)," * La variable Migrantes no puede ser mayor a la suma de las variables de Visitas.",""))</f>
        <v/>
      </c>
      <c r="BR38" s="1774" t="str">
        <f>IF(AND(SUM($C38:$F38)&gt;0,L38="")," * No olvide digitar la variable Pueblos originarios. Digite Cero si no tiene.",IF(L38&gt;SUM($C38:$F38)," * La variable Pueblos originarios no puede ser mayor a la suma de las variables de Visitas.",""))</f>
        <v/>
      </c>
      <c r="BS38" s="1774" t="str">
        <f>IF(AND(SUM($C38:$F38)&gt;0,M38="")," * No olvide digitar la variable Población en ECICEP. Digite Cero si no tiene.",IF(M38&gt;SUM($C38:$F38)," * La variable Población en ECICEP no puede ser mayor a la suma de las variables de Visitas.",""))</f>
        <v/>
      </c>
      <c r="BT38" s="1774" t="str">
        <f>IF(AND(SUM($C38:$F38)&gt;0,N38="")," * No olvide digitar la variable Población ELEAM o institucionalizada. Digite Cero si no tiene.",IF(N38&gt;SUM($C38:$F38)," * La variable Población ELEAM o institucionalizada no puede ser mayor a la suma de las variables de Visitas.",""))</f>
        <v/>
      </c>
      <c r="BZ38" s="84">
        <f>IF(AND(SUM($C38:$F38)&gt;0,K38=""),1,IF(K38&gt;SUM($C38:$F38),1,0))</f>
        <v>0</v>
      </c>
      <c r="CA38" s="84">
        <f>IF(AND(SUM($C38:$F38)&gt;0,L38=""),1,IF(L38&gt;SUM($C38:$F38),1,0))</f>
        <v>0</v>
      </c>
      <c r="CB38" s="84">
        <f>IF(AND(SUM($C38:$F38)&gt;0,M38=""),1,IF(M38&gt;SUM($C38:$F38),1,0))</f>
        <v>0</v>
      </c>
      <c r="CC38" s="84">
        <f>IF(AND(SUM($C38:$F38)&gt;0,N38=""),1,IF(N38&gt;SUM($C38:$F38),1,0))</f>
        <v>0</v>
      </c>
    </row>
    <row r="39" spans="1:85" s="19" customFormat="1" ht="30.6" x14ac:dyDescent="0.2">
      <c r="A39" s="5755"/>
      <c r="B39" s="4807" t="s">
        <v>3083</v>
      </c>
      <c r="C39" s="1845"/>
      <c r="D39" s="1846"/>
      <c r="E39" s="1244"/>
      <c r="F39" s="1253"/>
      <c r="G39" s="1846"/>
      <c r="H39" s="1254"/>
      <c r="I39" s="1254"/>
      <c r="J39" s="1254"/>
      <c r="K39" s="1255"/>
      <c r="L39" s="1244"/>
      <c r="M39" s="1244"/>
      <c r="N39" s="1256"/>
      <c r="O39" s="19" t="str">
        <f t="shared" ref="O39:O46" si="21">BQ39&amp;BR39&amp;BS39&amp;BT39</f>
        <v/>
      </c>
      <c r="BQ39" s="1774" t="str">
        <f t="shared" ref="BQ39:BQ40" si="22">IF(AND(SUM($C39:$F39)&gt;0,K39="")," * No olvide digitar la variable Migrantes. Digite Cero si no tiene.",IF(K39&gt;SUM($C39:$F39)," * La variable Migrantes no puede ser mayor a la suma de las variables de Visitas.",""))</f>
        <v/>
      </c>
      <c r="BR39" s="1774" t="str">
        <f t="shared" ref="BR39:BR40" si="23">IF(AND(SUM($C39:$F39)&gt;0,L39="")," * No olvide digitar la variable Pueblos originarios. Digite Cero si no tiene.",IF(L39&gt;SUM($C39:$F39)," * La variable Pueblos originarios no puede ser mayor a la suma de las variables de Visitas.",""))</f>
        <v/>
      </c>
      <c r="BS39" s="1774" t="str">
        <f t="shared" ref="BS39:BS40" si="24">IF(AND(SUM($C39:$F39)&gt;0,M39="")," * No olvide digitar la variable Población en ECICEP. Digite Cero si no tiene.",IF(M39&gt;SUM($C39:$F39)," * La variable Población en ECICEP no puede ser mayor a la suma de las variables de Visitas.",""))</f>
        <v/>
      </c>
      <c r="BT39" s="1774" t="str">
        <f t="shared" ref="BT39:BT40" si="25">IF(AND(SUM($C39:$F39)&gt;0,N39="")," * No olvide digitar la variable Población ELEAM o institucionalizada. Digite Cero si no tiene.",IF(N39&gt;SUM($C39:$F39)," * La variable Población ELEAM o institucionalizada no puede ser mayor a la suma de las variables de Visitas.",""))</f>
        <v/>
      </c>
      <c r="BZ39" s="84">
        <f t="shared" ref="BZ39:BZ40" si="26">IF(AND(SUM($C39:$F39)&gt;0,K39=""),1,IF(K39&gt;SUM($C39:$F39),1,0))</f>
        <v>0</v>
      </c>
      <c r="CA39" s="84">
        <f t="shared" ref="CA39:CA40" si="27">IF(AND(SUM($C39:$F39)&gt;0,L39=""),1,IF(L39&gt;SUM($C39:$F39),1,0))</f>
        <v>0</v>
      </c>
      <c r="CB39" s="84">
        <f t="shared" ref="CB39:CB40" si="28">IF(AND(SUM($C39:$F39)&gt;0,M39=""),1,IF(M39&gt;SUM($C39:$F39),1,0))</f>
        <v>0</v>
      </c>
      <c r="CC39" s="84">
        <f t="shared" ref="CC39:CC40" si="29">IF(AND(SUM($C39:$F39)&gt;0,N39=""),1,IF(N39&gt;SUM($C39:$F39),1,0))</f>
        <v>0</v>
      </c>
    </row>
    <row r="40" spans="1:85" s="19" customFormat="1" ht="30.6" x14ac:dyDescent="0.2">
      <c r="A40" s="6540"/>
      <c r="B40" s="4808" t="s">
        <v>3084</v>
      </c>
      <c r="C40" s="1847"/>
      <c r="D40" s="1848"/>
      <c r="E40" s="257"/>
      <c r="F40" s="258"/>
      <c r="G40" s="1848"/>
      <c r="H40" s="1257"/>
      <c r="I40" s="1257"/>
      <c r="J40" s="1257"/>
      <c r="K40" s="1258"/>
      <c r="L40" s="257"/>
      <c r="M40" s="257"/>
      <c r="N40" s="1773"/>
      <c r="O40" s="19" t="str">
        <f t="shared" si="21"/>
        <v/>
      </c>
      <c r="BQ40" s="1774" t="str">
        <f t="shared" si="22"/>
        <v/>
      </c>
      <c r="BR40" s="1774" t="str">
        <f t="shared" si="23"/>
        <v/>
      </c>
      <c r="BS40" s="1774" t="str">
        <f t="shared" si="24"/>
        <v/>
      </c>
      <c r="BT40" s="1774" t="str">
        <f t="shared" si="25"/>
        <v/>
      </c>
      <c r="BZ40" s="84">
        <f t="shared" si="26"/>
        <v>0</v>
      </c>
      <c r="CA40" s="84">
        <f t="shared" si="27"/>
        <v>0</v>
      </c>
      <c r="CB40" s="84">
        <f t="shared" si="28"/>
        <v>0</v>
      </c>
      <c r="CC40" s="84">
        <f t="shared" si="29"/>
        <v>0</v>
      </c>
    </row>
    <row r="41" spans="1:85" s="19" customFormat="1" ht="15" customHeight="1" x14ac:dyDescent="0.2">
      <c r="A41" s="7319" t="s">
        <v>77</v>
      </c>
      <c r="B41" s="7320"/>
      <c r="C41" s="1849">
        <f>SUM(C38:C40)</f>
        <v>0</v>
      </c>
      <c r="D41" s="1850">
        <f t="shared" ref="D41:N41" si="30">SUM(D38:D40)</f>
        <v>0</v>
      </c>
      <c r="E41" s="1851">
        <f t="shared" si="30"/>
        <v>0</v>
      </c>
      <c r="F41" s="1852">
        <f t="shared" si="30"/>
        <v>0</v>
      </c>
      <c r="G41" s="1850">
        <f t="shared" si="30"/>
        <v>0</v>
      </c>
      <c r="H41" s="1851">
        <f t="shared" si="30"/>
        <v>0</v>
      </c>
      <c r="I41" s="1851">
        <f t="shared" si="30"/>
        <v>0</v>
      </c>
      <c r="J41" s="1853">
        <f t="shared" si="30"/>
        <v>0</v>
      </c>
      <c r="K41" s="1854">
        <f t="shared" si="30"/>
        <v>0</v>
      </c>
      <c r="L41" s="1855">
        <f t="shared" si="30"/>
        <v>0</v>
      </c>
      <c r="M41" s="1855">
        <f t="shared" si="30"/>
        <v>0</v>
      </c>
      <c r="N41" s="1856">
        <f t="shared" si="30"/>
        <v>0</v>
      </c>
    </row>
    <row r="42" spans="1:85" s="19" customFormat="1" ht="15" customHeight="1" x14ac:dyDescent="0.2">
      <c r="A42" s="7314" t="s">
        <v>3085</v>
      </c>
      <c r="B42" s="4809" t="s">
        <v>2349</v>
      </c>
      <c r="C42" s="1857"/>
      <c r="D42" s="1857"/>
      <c r="E42" s="1259"/>
      <c r="F42" s="190"/>
      <c r="G42" s="191"/>
      <c r="H42" s="216"/>
      <c r="I42" s="1259"/>
      <c r="J42" s="216"/>
      <c r="K42" s="367"/>
      <c r="L42" s="216"/>
      <c r="M42" s="216"/>
      <c r="N42" s="1858"/>
      <c r="O42" s="19" t="str">
        <f>BQ42&amp;BR42&amp;BS42</f>
        <v/>
      </c>
      <c r="BQ42" s="1774" t="str">
        <f>IF(AND(SUM($C42:$F42)&gt;0,K42="")," * No olvide digitar la variable Migrantes. Digite Cero si no tiene.",IF(K42&gt;SUM($C42:$F42)," * La variable Migrantes no puede ser mayor a la suma de las variables de Visitas.",""))</f>
        <v/>
      </c>
      <c r="BR42" s="1774" t="str">
        <f>IF(AND(SUM($C42:$F42)&gt;0,L42="")," * No olvide digitar la variable Pueblos originarios. Digite Cero si no tiene.",IF(L42&gt;SUM($C42:$F42)," * La variable Pueblos originarios no puede ser mayor a la suma de las variables de Visitas.",""))</f>
        <v/>
      </c>
      <c r="BS42" s="1774" t="str">
        <f>IF(AND(SUM($C42:$F42)&gt;0,M42="")," * No olvide digitar la variable Población en ECICEP. Digite Cero si no tiene.",IF(M42&gt;SUM($C42:$F42)," * La variable Población en ECICEP no puede ser mayor a la suma de las variables de Visitas.",""))</f>
        <v/>
      </c>
      <c r="BT42" s="135"/>
      <c r="BZ42" s="84">
        <f>IF(AND(SUM($C42:$F42)&gt;0,K42=""),1,IF(K42&gt;SUM($C42:$F42),1,0))</f>
        <v>0</v>
      </c>
      <c r="CA42" s="84">
        <f t="shared" ref="CA42:CB42" si="31">IF(AND(SUM($C42:$F42)&gt;0,L42=""),1,IF(L42&gt;SUM($C42:$F42),1,0))</f>
        <v>0</v>
      </c>
      <c r="CB42" s="84">
        <f t="shared" si="31"/>
        <v>0</v>
      </c>
      <c r="CC42" s="83"/>
    </row>
    <row r="43" spans="1:85" s="19" customFormat="1" ht="15" customHeight="1" x14ac:dyDescent="0.2">
      <c r="A43" s="5755"/>
      <c r="B43" s="4810" t="s">
        <v>3086</v>
      </c>
      <c r="C43" s="4811"/>
      <c r="D43" s="1260"/>
      <c r="E43" s="1244"/>
      <c r="F43" s="1253"/>
      <c r="G43" s="1261"/>
      <c r="H43" s="1244"/>
      <c r="I43" s="1244"/>
      <c r="J43" s="1262"/>
      <c r="K43" s="1263"/>
      <c r="L43" s="1244"/>
      <c r="M43" s="1244"/>
      <c r="N43" s="1264"/>
      <c r="O43" s="19" t="str">
        <f t="shared" ref="O43:O45" si="32">BQ43&amp;BR43&amp;BS43</f>
        <v/>
      </c>
      <c r="BQ43" s="1774" t="str">
        <f t="shared" ref="BQ43:BQ46" si="33">IF(AND(SUM($C43:$F43)&gt;0,K43="")," * No olvide digitar la variable Migrantes. Digite Cero si no tiene.",IF(K43&gt;SUM($C43:$F43)," * La variable Migrantes no puede ser mayor a la suma de las variables de Visitas.",""))</f>
        <v/>
      </c>
      <c r="BR43" s="1774" t="str">
        <f t="shared" ref="BR43:BR46" si="34">IF(AND(SUM($C43:$F43)&gt;0,L43="")," * No olvide digitar la variable Pueblos originarios. Digite Cero si no tiene.",IF(L43&gt;SUM($C43:$F43)," * La variable Pueblos originarios no puede ser mayor a la suma de las variables de Visitas.",""))</f>
        <v/>
      </c>
      <c r="BS43" s="1774" t="str">
        <f t="shared" ref="BS43:BS46" si="35">IF(AND(SUM($C43:$F43)&gt;0,M43="")," * No olvide digitar la variable Población en ECICEP. Digite Cero si no tiene.",IF(M43&gt;SUM($C43:$F43)," * La variable Población en ECICEP no puede ser mayor a la suma de las variables de Visitas.",""))</f>
        <v/>
      </c>
      <c r="BT43" s="135"/>
      <c r="BZ43" s="84">
        <f t="shared" ref="BZ43:BZ46" si="36">IF(AND(SUM($C43:$F43)&gt;0,K43=""),1,IF(K43&gt;SUM($C43:$F43),1,0))</f>
        <v>0</v>
      </c>
      <c r="CA43" s="84">
        <f t="shared" ref="CA43:CA46" si="37">IF(AND(SUM($C43:$F43)&gt;0,L43=""),1,IF(L43&gt;SUM($C43:$F43),1,0))</f>
        <v>0</v>
      </c>
      <c r="CB43" s="84">
        <f t="shared" ref="CB43:CB46" si="38">IF(AND(SUM($C43:$F43)&gt;0,M43=""),1,IF(M43&gt;SUM($C43:$F43),1,0))</f>
        <v>0</v>
      </c>
      <c r="CC43" s="83"/>
    </row>
    <row r="44" spans="1:85" s="19" customFormat="1" ht="15" customHeight="1" x14ac:dyDescent="0.2">
      <c r="A44" s="5755"/>
      <c r="B44" s="4812" t="s">
        <v>44</v>
      </c>
      <c r="C44" s="1845"/>
      <c r="D44" s="1260"/>
      <c r="E44" s="216"/>
      <c r="F44" s="1265"/>
      <c r="G44" s="1261"/>
      <c r="H44" s="1244"/>
      <c r="I44" s="216"/>
      <c r="J44" s="1266"/>
      <c r="K44" s="241"/>
      <c r="L44" s="1244"/>
      <c r="M44" s="216"/>
      <c r="N44" s="1264"/>
      <c r="O44" s="19" t="str">
        <f t="shared" si="32"/>
        <v/>
      </c>
      <c r="BQ44" s="1774" t="str">
        <f t="shared" si="33"/>
        <v/>
      </c>
      <c r="BR44" s="1774" t="str">
        <f t="shared" si="34"/>
        <v/>
      </c>
      <c r="BS44" s="1774" t="str">
        <f t="shared" si="35"/>
        <v/>
      </c>
      <c r="BT44" s="135"/>
      <c r="BZ44" s="84">
        <f t="shared" si="36"/>
        <v>0</v>
      </c>
      <c r="CA44" s="84">
        <f t="shared" si="37"/>
        <v>0</v>
      </c>
      <c r="CB44" s="84">
        <f t="shared" si="38"/>
        <v>0</v>
      </c>
      <c r="CC44" s="83"/>
    </row>
    <row r="45" spans="1:85" s="19" customFormat="1" ht="15" customHeight="1" x14ac:dyDescent="0.2">
      <c r="A45" s="5755"/>
      <c r="B45" s="2864" t="s">
        <v>3087</v>
      </c>
      <c r="C45" s="1857"/>
      <c r="D45" s="1260"/>
      <c r="E45" s="1244"/>
      <c r="F45" s="1253"/>
      <c r="G45" s="1846"/>
      <c r="H45" s="1244"/>
      <c r="I45" s="1244"/>
      <c r="J45" s="1266"/>
      <c r="K45" s="1263"/>
      <c r="L45" s="1244"/>
      <c r="M45" s="1244"/>
      <c r="N45" s="1858"/>
      <c r="O45" s="19" t="str">
        <f t="shared" si="32"/>
        <v/>
      </c>
      <c r="BQ45" s="1774" t="str">
        <f t="shared" si="33"/>
        <v/>
      </c>
      <c r="BR45" s="1774" t="str">
        <f t="shared" si="34"/>
        <v/>
      </c>
      <c r="BS45" s="1774" t="str">
        <f t="shared" si="35"/>
        <v/>
      </c>
      <c r="BT45" s="135"/>
      <c r="BZ45" s="84">
        <f t="shared" si="36"/>
        <v>0</v>
      </c>
      <c r="CA45" s="84">
        <f t="shared" si="37"/>
        <v>0</v>
      </c>
      <c r="CB45" s="84">
        <f t="shared" si="38"/>
        <v>0</v>
      </c>
      <c r="CC45" s="83"/>
    </row>
    <row r="46" spans="1:85" s="19" customFormat="1" ht="15" customHeight="1" x14ac:dyDescent="0.2">
      <c r="A46" s="5755"/>
      <c r="B46" s="3161" t="s">
        <v>664</v>
      </c>
      <c r="C46" s="4813"/>
      <c r="D46" s="1267"/>
      <c r="E46" s="257"/>
      <c r="F46" s="258"/>
      <c r="G46" s="1859"/>
      <c r="H46" s="257"/>
      <c r="I46" s="257"/>
      <c r="J46" s="259"/>
      <c r="K46" s="260"/>
      <c r="L46" s="257"/>
      <c r="M46" s="1257"/>
      <c r="N46" s="388"/>
      <c r="O46" s="19" t="str">
        <f t="shared" si="21"/>
        <v/>
      </c>
      <c r="BQ46" s="1774" t="str">
        <f t="shared" si="33"/>
        <v/>
      </c>
      <c r="BR46" s="1774" t="str">
        <f t="shared" si="34"/>
        <v/>
      </c>
      <c r="BS46" s="1774" t="str">
        <f t="shared" si="35"/>
        <v/>
      </c>
      <c r="BT46" s="1774" t="str">
        <f>IF(AND(SUM($C46:$F46)&gt;0,N46="")," * No olvide digitar la variable Población ELEAM o institucionalizada. Digite Cero si no tiene.",IF(N46&gt;SUM($C46:$F46)," * La variable Población ELEAM o institucionalizada no puede ser mayor a la suma de las variables de Visitas.",""))</f>
        <v/>
      </c>
      <c r="BZ46" s="84">
        <f t="shared" si="36"/>
        <v>0</v>
      </c>
      <c r="CA46" s="84">
        <f t="shared" si="37"/>
        <v>0</v>
      </c>
      <c r="CB46" s="84">
        <f t="shared" si="38"/>
        <v>0</v>
      </c>
      <c r="CC46" s="84">
        <f>IF(AND(SUM($C46:$F46)&gt;0,N46=""),1,IF(N46&gt;SUM($C46:$F46),1,0))</f>
        <v>0</v>
      </c>
    </row>
    <row r="47" spans="1:85" s="19" customFormat="1" ht="15" customHeight="1" x14ac:dyDescent="0.2">
      <c r="A47" s="7319" t="s">
        <v>77</v>
      </c>
      <c r="B47" s="7320"/>
      <c r="C47" s="1860">
        <f>SUM(C42:C46)</f>
        <v>0</v>
      </c>
      <c r="D47" s="1861">
        <f>SUM(D42:D46)</f>
        <v>0</v>
      </c>
      <c r="E47" s="1862">
        <f t="shared" ref="E47:N47" si="39">SUM(E42:E46)</f>
        <v>0</v>
      </c>
      <c r="F47" s="1863">
        <f t="shared" si="39"/>
        <v>0</v>
      </c>
      <c r="G47" s="1861">
        <f t="shared" si="39"/>
        <v>0</v>
      </c>
      <c r="H47" s="1862">
        <f t="shared" si="39"/>
        <v>0</v>
      </c>
      <c r="I47" s="1862">
        <f t="shared" si="39"/>
        <v>0</v>
      </c>
      <c r="J47" s="1864">
        <f t="shared" si="39"/>
        <v>0</v>
      </c>
      <c r="K47" s="1865">
        <f t="shared" si="39"/>
        <v>0</v>
      </c>
      <c r="L47" s="261">
        <f t="shared" si="39"/>
        <v>0</v>
      </c>
      <c r="M47" s="261">
        <f t="shared" si="39"/>
        <v>0</v>
      </c>
      <c r="N47" s="1866">
        <f t="shared" si="39"/>
        <v>0</v>
      </c>
    </row>
    <row r="48" spans="1:85" s="25" customFormat="1" ht="18" customHeight="1" x14ac:dyDescent="0.2">
      <c r="A48" s="1270" t="s">
        <v>3088</v>
      </c>
    </row>
    <row r="49" spans="1:82" s="19" customFormat="1" ht="40.799999999999997" x14ac:dyDescent="0.2">
      <c r="A49" s="7023" t="s">
        <v>651</v>
      </c>
      <c r="B49" s="6976"/>
      <c r="C49" s="944" t="s">
        <v>77</v>
      </c>
      <c r="D49" s="944" t="s">
        <v>3040</v>
      </c>
      <c r="E49" s="943" t="s">
        <v>3089</v>
      </c>
      <c r="F49" s="1238" t="s">
        <v>3090</v>
      </c>
      <c r="G49" s="1101" t="s">
        <v>3043</v>
      </c>
      <c r="H49" s="1271" t="s">
        <v>3044</v>
      </c>
      <c r="I49" s="1272" t="s">
        <v>3045</v>
      </c>
      <c r="J49" s="1092" t="s">
        <v>36</v>
      </c>
      <c r="K49" s="1092" t="s">
        <v>37</v>
      </c>
      <c r="L49" s="1092" t="s">
        <v>3091</v>
      </c>
      <c r="M49" s="1092" t="s">
        <v>3092</v>
      </c>
    </row>
    <row r="50" spans="1:82" s="19" customFormat="1" ht="15" customHeight="1" x14ac:dyDescent="0.2">
      <c r="A50" s="7076" t="s">
        <v>654</v>
      </c>
      <c r="B50" s="7077"/>
      <c r="C50" s="1273">
        <f>SUM(D50:F50)</f>
        <v>0</v>
      </c>
      <c r="D50" s="1106"/>
      <c r="E50" s="773"/>
      <c r="F50" s="773"/>
      <c r="G50" s="1274"/>
      <c r="H50" s="1275"/>
      <c r="I50" s="1276"/>
      <c r="J50" s="1115"/>
      <c r="K50" s="1115"/>
      <c r="L50" s="1115"/>
      <c r="M50" s="1115"/>
      <c r="N50" s="19" t="str">
        <f>BQ50&amp;BR50&amp;BS50&amp;BT50&amp;BU50</f>
        <v/>
      </c>
      <c r="BQ50" s="1774" t="str">
        <f>IF(AND(C50&gt;0,J50="")," * No olvide digitar la variable Pueblos Originarios. Digite Cero si no tiene.",IF(J50&gt;C50," * La variable Pueblos Originarios No puede ser mayor al Total.",""))</f>
        <v/>
      </c>
      <c r="BR50" s="1774" t="str">
        <f>IF(AND(C50&gt;0,K50="")," * No olvide digitar la variable Migrantes. Digite Cero si no tiene.",IF(K50&gt;C50," * La variable Migrantes No puede ser mayor al Total.",""))</f>
        <v/>
      </c>
      <c r="BS50" s="1774" t="str">
        <f>IF(AND(C50&gt;0,L50="")," * No olvide digitar la variable Niños, niñas, adolescentes y jóvenes SENAME. Digite Cero si no tiene.",IF(L50&gt;C50," * La variable Niños, niñas, adolescentes y jóvenes SENAME No puede ser mayor al Total.",""))</f>
        <v/>
      </c>
      <c r="BT50" s="1774" t="str">
        <f>IF(AND(C50&gt;0,M50="")," * No olvide digitar la variable Niños, niñas, adolescentes y jóvenes Mejor Niñez. Digite Cero si no tiene.",IF(M50&gt;C50," * La variable Niños, niñas, adolescentes y jóvenes Mejor Niñez No puede ser mayor al Total.",""))</f>
        <v/>
      </c>
      <c r="BZ50" s="84">
        <f t="shared" ref="BZ50:BZ58" si="40">IF(AND(C50&gt;0,J50=""),1,IF(J50&gt;C50,1,0))</f>
        <v>0</v>
      </c>
      <c r="CA50" s="84">
        <f t="shared" ref="CA50:CA58" si="41">IF(AND(C50&gt;0,K50=""),1,IF(K50&gt;C50,1,0))</f>
        <v>0</v>
      </c>
      <c r="CB50" s="84">
        <f t="shared" ref="CB50:CB58" si="42">IF(AND(C50&gt;0,L50=""),1,IF(L50&gt;C50,1,0))</f>
        <v>0</v>
      </c>
      <c r="CC50" s="84">
        <f t="shared" ref="CC50:CC58" si="43">IF(AND(C50&gt;0,M50=""),1,IF(M50&gt;C50,1,0))</f>
        <v>0</v>
      </c>
    </row>
    <row r="51" spans="1:82" s="19" customFormat="1" ht="15" customHeight="1" x14ac:dyDescent="0.2">
      <c r="A51" s="7073" t="s">
        <v>3093</v>
      </c>
      <c r="B51" s="7074"/>
      <c r="C51" s="1277">
        <f t="shared" ref="C51:C56" si="44">SUM(D51:F51)</f>
        <v>0</v>
      </c>
      <c r="D51" s="1114"/>
      <c r="E51" s="1278"/>
      <c r="F51" s="1278"/>
      <c r="G51" s="1279"/>
      <c r="H51" s="1275"/>
      <c r="I51" s="1276"/>
      <c r="J51" s="1115"/>
      <c r="K51" s="1115"/>
      <c r="L51" s="1115"/>
      <c r="M51" s="1115"/>
      <c r="N51" s="19" t="str">
        <f t="shared" ref="N51:N58" si="45">BQ51&amp;BR51&amp;BS51&amp;BT51&amp;BU51</f>
        <v/>
      </c>
      <c r="BQ51" s="1774" t="str">
        <f t="shared" ref="BQ51:BQ58" si="46">IF(AND(C51&gt;0,J51="")," * No olvide digitar la variable Pueblos Originarios. Digite Cero si no tiene.",IF(J51&gt;C51," * La variable Pueblos Originarios No puede ser mayor al Total.",""))</f>
        <v/>
      </c>
      <c r="BR51" s="1774" t="str">
        <f t="shared" ref="BR51:BR58" si="47">IF(AND(C51&gt;0,K51="")," * No olvide digitar la variable Migrantes. Digite Cero si no tiene.",IF(K51&gt;C51," * La variable Migrantes No puede ser mayor al Total.",""))</f>
        <v/>
      </c>
      <c r="BS51" s="1774" t="str">
        <f t="shared" ref="BS51:BS58" si="48">IF(AND(C51&gt;0,L51="")," * No olvide digitar la variable Niños, niñas, adolescentes y jóvenes SENAME. Digite Cero si no tiene.",IF(L51&gt;C51," * La variable Niños, niñas, adolescentes y jóvenes SENAME No puede ser mayor al Total.",""))</f>
        <v/>
      </c>
      <c r="BT51" s="1774" t="str">
        <f t="shared" ref="BT51:BT58" si="49">IF(AND(C51&gt;0,M51="")," * No olvide digitar la variable Niños, niñas, adolescentes y jóvenes Mejor Niñez. Digite Cero si no tiene.",IF(M51&gt;C51," * La variable Niños, niñas, adolescentes y jóvenes Mejor Niñez No puede ser mayor al Total.",""))</f>
        <v/>
      </c>
      <c r="BZ51" s="84">
        <f t="shared" si="40"/>
        <v>0</v>
      </c>
      <c r="CA51" s="84">
        <f t="shared" si="41"/>
        <v>0</v>
      </c>
      <c r="CB51" s="84">
        <f t="shared" si="42"/>
        <v>0</v>
      </c>
      <c r="CC51" s="84">
        <f t="shared" si="43"/>
        <v>0</v>
      </c>
    </row>
    <row r="52" spans="1:82" s="19" customFormat="1" ht="15" customHeight="1" x14ac:dyDescent="0.2">
      <c r="A52" s="7073" t="s">
        <v>3094</v>
      </c>
      <c r="B52" s="7074"/>
      <c r="C52" s="1243">
        <f t="shared" si="44"/>
        <v>0</v>
      </c>
      <c r="D52" s="1114"/>
      <c r="E52" s="1278"/>
      <c r="F52" s="1278"/>
      <c r="G52" s="1279"/>
      <c r="H52" s="1275"/>
      <c r="I52" s="1276"/>
      <c r="J52" s="1115"/>
      <c r="K52" s="1115"/>
      <c r="L52" s="1115"/>
      <c r="M52" s="1115"/>
      <c r="N52" s="19" t="str">
        <f t="shared" si="45"/>
        <v/>
      </c>
      <c r="BQ52" s="1774" t="str">
        <f t="shared" si="46"/>
        <v/>
      </c>
      <c r="BR52" s="1774" t="str">
        <f t="shared" si="47"/>
        <v/>
      </c>
      <c r="BS52" s="1774" t="str">
        <f t="shared" si="48"/>
        <v/>
      </c>
      <c r="BT52" s="1774" t="str">
        <f t="shared" si="49"/>
        <v/>
      </c>
      <c r="BZ52" s="84">
        <f t="shared" si="40"/>
        <v>0</v>
      </c>
      <c r="CA52" s="84">
        <f t="shared" si="41"/>
        <v>0</v>
      </c>
      <c r="CB52" s="84">
        <f t="shared" si="42"/>
        <v>0</v>
      </c>
      <c r="CC52" s="84">
        <f t="shared" si="43"/>
        <v>0</v>
      </c>
    </row>
    <row r="53" spans="1:82" s="19" customFormat="1" ht="15" customHeight="1" x14ac:dyDescent="0.2">
      <c r="A53" s="7321" t="s">
        <v>657</v>
      </c>
      <c r="B53" s="6649"/>
      <c r="C53" s="1243">
        <f t="shared" si="44"/>
        <v>0</v>
      </c>
      <c r="D53" s="1114"/>
      <c r="E53" s="594"/>
      <c r="F53" s="1278"/>
      <c r="G53" s="284"/>
      <c r="H53" s="1280"/>
      <c r="I53" s="1281"/>
      <c r="J53" s="388"/>
      <c r="K53" s="388"/>
      <c r="L53" s="388"/>
      <c r="M53" s="388"/>
      <c r="N53" s="19" t="str">
        <f t="shared" si="45"/>
        <v/>
      </c>
      <c r="BQ53" s="1774" t="str">
        <f t="shared" si="46"/>
        <v/>
      </c>
      <c r="BR53" s="1774" t="str">
        <f t="shared" si="47"/>
        <v/>
      </c>
      <c r="BS53" s="1774" t="str">
        <f t="shared" si="48"/>
        <v/>
      </c>
      <c r="BT53" s="1774" t="str">
        <f t="shared" si="49"/>
        <v/>
      </c>
      <c r="BZ53" s="84">
        <f t="shared" si="40"/>
        <v>0</v>
      </c>
      <c r="CA53" s="84">
        <f t="shared" si="41"/>
        <v>0</v>
      </c>
      <c r="CB53" s="84">
        <f t="shared" si="42"/>
        <v>0</v>
      </c>
      <c r="CC53" s="84">
        <f t="shared" si="43"/>
        <v>0</v>
      </c>
    </row>
    <row r="54" spans="1:82" s="19" customFormat="1" ht="15" customHeight="1" x14ac:dyDescent="0.2">
      <c r="A54" s="7060" t="s">
        <v>3095</v>
      </c>
      <c r="B54" s="1010" t="s">
        <v>3096</v>
      </c>
      <c r="C54" s="1282">
        <f t="shared" si="44"/>
        <v>0</v>
      </c>
      <c r="D54" s="1106"/>
      <c r="E54" s="773"/>
      <c r="F54" s="773"/>
      <c r="G54" s="1274"/>
      <c r="H54" s="370"/>
      <c r="I54" s="371"/>
      <c r="J54" s="107"/>
      <c r="K54" s="107"/>
      <c r="L54" s="107"/>
      <c r="M54" s="107"/>
      <c r="N54" s="19" t="str">
        <f t="shared" si="45"/>
        <v/>
      </c>
      <c r="BQ54" s="1774" t="str">
        <f t="shared" si="46"/>
        <v/>
      </c>
      <c r="BR54" s="1774" t="str">
        <f t="shared" si="47"/>
        <v/>
      </c>
      <c r="BS54" s="1774" t="str">
        <f t="shared" si="48"/>
        <v/>
      </c>
      <c r="BT54" s="1774" t="str">
        <f t="shared" si="49"/>
        <v/>
      </c>
      <c r="BZ54" s="84">
        <f t="shared" si="40"/>
        <v>0</v>
      </c>
      <c r="CA54" s="84">
        <f t="shared" si="41"/>
        <v>0</v>
      </c>
      <c r="CB54" s="84">
        <f t="shared" si="42"/>
        <v>0</v>
      </c>
      <c r="CC54" s="84">
        <f t="shared" si="43"/>
        <v>0</v>
      </c>
    </row>
    <row r="55" spans="1:82" s="19" customFormat="1" ht="15" customHeight="1" x14ac:dyDescent="0.2">
      <c r="A55" s="5844"/>
      <c r="B55" s="1015" t="s">
        <v>3097</v>
      </c>
      <c r="C55" s="1243">
        <f t="shared" si="44"/>
        <v>0</v>
      </c>
      <c r="D55" s="1114"/>
      <c r="E55" s="1278"/>
      <c r="F55" s="1278"/>
      <c r="G55" s="1279"/>
      <c r="H55" s="370"/>
      <c r="I55" s="371"/>
      <c r="J55" s="107"/>
      <c r="K55" s="107"/>
      <c r="L55" s="107"/>
      <c r="M55" s="107"/>
      <c r="N55" s="19" t="str">
        <f t="shared" si="45"/>
        <v/>
      </c>
      <c r="BQ55" s="1774" t="str">
        <f t="shared" si="46"/>
        <v/>
      </c>
      <c r="BR55" s="1774" t="str">
        <f t="shared" si="47"/>
        <v/>
      </c>
      <c r="BS55" s="1774" t="str">
        <f t="shared" si="48"/>
        <v/>
      </c>
      <c r="BT55" s="1774" t="str">
        <f t="shared" si="49"/>
        <v/>
      </c>
      <c r="BZ55" s="84">
        <f t="shared" si="40"/>
        <v>0</v>
      </c>
      <c r="CA55" s="84">
        <f t="shared" si="41"/>
        <v>0</v>
      </c>
      <c r="CB55" s="84">
        <f t="shared" si="42"/>
        <v>0</v>
      </c>
      <c r="CC55" s="84">
        <f t="shared" si="43"/>
        <v>0</v>
      </c>
    </row>
    <row r="56" spans="1:82" s="19" customFormat="1" ht="15" customHeight="1" x14ac:dyDescent="0.2">
      <c r="A56" s="7196"/>
      <c r="B56" s="1028" t="s">
        <v>3098</v>
      </c>
      <c r="C56" s="1250">
        <f t="shared" si="44"/>
        <v>0</v>
      </c>
      <c r="D56" s="1139"/>
      <c r="E56" s="1283"/>
      <c r="F56" s="1283"/>
      <c r="G56" s="745"/>
      <c r="H56" s="1275"/>
      <c r="I56" s="1276"/>
      <c r="J56" s="1115"/>
      <c r="K56" s="1115"/>
      <c r="L56" s="1115"/>
      <c r="M56" s="1115"/>
      <c r="N56" s="19" t="str">
        <f t="shared" si="45"/>
        <v/>
      </c>
      <c r="BQ56" s="1774" t="str">
        <f t="shared" si="46"/>
        <v/>
      </c>
      <c r="BR56" s="1774" t="str">
        <f t="shared" si="47"/>
        <v/>
      </c>
      <c r="BS56" s="1774" t="str">
        <f t="shared" si="48"/>
        <v/>
      </c>
      <c r="BT56" s="1774" t="str">
        <f t="shared" si="49"/>
        <v/>
      </c>
      <c r="BZ56" s="84">
        <f t="shared" si="40"/>
        <v>0</v>
      </c>
      <c r="CA56" s="84">
        <f t="shared" si="41"/>
        <v>0</v>
      </c>
      <c r="CB56" s="84">
        <f t="shared" si="42"/>
        <v>0</v>
      </c>
      <c r="CC56" s="84">
        <f t="shared" si="43"/>
        <v>0</v>
      </c>
    </row>
    <row r="57" spans="1:82" s="19" customFormat="1" ht="15" customHeight="1" x14ac:dyDescent="0.2">
      <c r="A57" s="7076" t="s">
        <v>3099</v>
      </c>
      <c r="B57" s="7077"/>
      <c r="C57" s="1282">
        <f>SUM(D57:G57)</f>
        <v>0</v>
      </c>
      <c r="D57" s="1106"/>
      <c r="E57" s="773"/>
      <c r="F57" s="773"/>
      <c r="G57" s="1284"/>
      <c r="H57" s="1285"/>
      <c r="I57" s="1286"/>
      <c r="J57" s="1107"/>
      <c r="K57" s="1107"/>
      <c r="L57" s="1107"/>
      <c r="M57" s="1107"/>
      <c r="N57" s="19" t="str">
        <f t="shared" si="45"/>
        <v/>
      </c>
      <c r="BQ57" s="1774" t="str">
        <f t="shared" si="46"/>
        <v/>
      </c>
      <c r="BR57" s="1774" t="str">
        <f t="shared" si="47"/>
        <v/>
      </c>
      <c r="BS57" s="1774" t="str">
        <f t="shared" si="48"/>
        <v/>
      </c>
      <c r="BT57" s="1774" t="str">
        <f t="shared" si="49"/>
        <v/>
      </c>
      <c r="BZ57" s="84">
        <f t="shared" si="40"/>
        <v>0</v>
      </c>
      <c r="CA57" s="84">
        <f t="shared" si="41"/>
        <v>0</v>
      </c>
      <c r="CB57" s="84">
        <f t="shared" si="42"/>
        <v>0</v>
      </c>
      <c r="CC57" s="84">
        <f t="shared" si="43"/>
        <v>0</v>
      </c>
    </row>
    <row r="58" spans="1:82" s="19" customFormat="1" ht="15" customHeight="1" x14ac:dyDescent="0.2">
      <c r="A58" s="7208" t="s">
        <v>902</v>
      </c>
      <c r="B58" s="7210"/>
      <c r="C58" s="1250">
        <f>SUM(D58:G58)</f>
        <v>0</v>
      </c>
      <c r="D58" s="1139"/>
      <c r="E58" s="1283"/>
      <c r="F58" s="1283"/>
      <c r="G58" s="392"/>
      <c r="H58" s="1280"/>
      <c r="I58" s="1281"/>
      <c r="J58" s="388"/>
      <c r="K58" s="388"/>
      <c r="L58" s="388"/>
      <c r="M58" s="388"/>
      <c r="N58" s="19" t="str">
        <f t="shared" si="45"/>
        <v/>
      </c>
      <c r="BQ58" s="1774" t="str">
        <f t="shared" si="46"/>
        <v/>
      </c>
      <c r="BR58" s="1774" t="str">
        <f t="shared" si="47"/>
        <v/>
      </c>
      <c r="BS58" s="1774" t="str">
        <f t="shared" si="48"/>
        <v/>
      </c>
      <c r="BT58" s="1774" t="str">
        <f t="shared" si="49"/>
        <v/>
      </c>
      <c r="BZ58" s="84">
        <f t="shared" si="40"/>
        <v>0</v>
      </c>
      <c r="CA58" s="84">
        <f t="shared" si="41"/>
        <v>0</v>
      </c>
      <c r="CB58" s="84">
        <f t="shared" si="42"/>
        <v>0</v>
      </c>
      <c r="CC58" s="84">
        <f t="shared" si="43"/>
        <v>0</v>
      </c>
    </row>
    <row r="59" spans="1:82" s="19" customFormat="1" ht="15" customHeight="1" x14ac:dyDescent="0.2">
      <c r="A59" s="7024" t="s">
        <v>77</v>
      </c>
      <c r="B59" s="7026"/>
      <c r="C59" s="998">
        <f>SUM(C54:C58)+C50</f>
        <v>0</v>
      </c>
      <c r="D59" s="5650">
        <f t="shared" ref="D59:M59" si="50">SUM(D54:D58)+D50</f>
        <v>0</v>
      </c>
      <c r="E59" s="1851">
        <f t="shared" si="50"/>
        <v>0</v>
      </c>
      <c r="F59" s="1851">
        <f t="shared" si="50"/>
        <v>0</v>
      </c>
      <c r="G59" s="1851">
        <f t="shared" si="50"/>
        <v>0</v>
      </c>
      <c r="H59" s="5649">
        <f t="shared" si="50"/>
        <v>0</v>
      </c>
      <c r="I59" s="1850">
        <f t="shared" si="50"/>
        <v>0</v>
      </c>
      <c r="J59" s="5649">
        <f t="shared" si="50"/>
        <v>0</v>
      </c>
      <c r="K59" s="998">
        <f t="shared" si="50"/>
        <v>0</v>
      </c>
      <c r="L59" s="998">
        <f t="shared" si="50"/>
        <v>0</v>
      </c>
      <c r="M59" s="998">
        <f t="shared" si="50"/>
        <v>0</v>
      </c>
    </row>
    <row r="60" spans="1:82" s="87" customFormat="1" ht="15" customHeight="1" x14ac:dyDescent="0.2">
      <c r="A60" s="87" t="s">
        <v>3100</v>
      </c>
    </row>
    <row r="61" spans="1:82" s="25" customFormat="1" ht="18" customHeight="1" x14ac:dyDescent="0.2">
      <c r="A61" s="3" t="s">
        <v>3101</v>
      </c>
    </row>
    <row r="62" spans="1:82" s="25" customFormat="1" ht="18" customHeight="1" x14ac:dyDescent="0.2">
      <c r="A62" s="7316" t="s">
        <v>3102</v>
      </c>
      <c r="B62" s="6308"/>
      <c r="C62" s="7326" t="s">
        <v>4323</v>
      </c>
      <c r="D62" s="7326"/>
      <c r="E62" s="7326"/>
      <c r="F62" s="7326"/>
      <c r="G62" s="7326"/>
      <c r="H62" s="7326"/>
      <c r="I62" s="7326"/>
      <c r="J62" s="7326"/>
      <c r="K62" s="7326"/>
      <c r="L62" s="7326"/>
      <c r="M62" s="7326"/>
      <c r="N62" s="7326"/>
      <c r="O62" s="7326"/>
      <c r="P62" s="7327"/>
      <c r="Q62" s="7328" t="s">
        <v>36</v>
      </c>
      <c r="R62" s="7324" t="s">
        <v>37</v>
      </c>
      <c r="S62" s="7324" t="s">
        <v>3105</v>
      </c>
      <c r="T62" s="7324" t="s">
        <v>3106</v>
      </c>
      <c r="U62" s="7325" t="s">
        <v>3107</v>
      </c>
    </row>
    <row r="63" spans="1:82" s="19" customFormat="1" ht="24" customHeight="1" x14ac:dyDescent="0.2">
      <c r="A63" s="7317"/>
      <c r="B63" s="7318"/>
      <c r="C63" s="1841" t="s">
        <v>4322</v>
      </c>
      <c r="D63" s="1757" t="s">
        <v>77</v>
      </c>
      <c r="E63" s="1837" t="s">
        <v>64</v>
      </c>
      <c r="F63" s="1664" t="s">
        <v>3103</v>
      </c>
      <c r="G63" s="1664" t="s">
        <v>3104</v>
      </c>
      <c r="H63" s="1664" t="s">
        <v>1074</v>
      </c>
      <c r="I63" s="1664" t="s">
        <v>1406</v>
      </c>
      <c r="J63" s="1664" t="s">
        <v>1037</v>
      </c>
      <c r="K63" s="1664" t="s">
        <v>504</v>
      </c>
      <c r="L63" s="1664" t="s">
        <v>1034</v>
      </c>
      <c r="M63" s="1664" t="s">
        <v>105</v>
      </c>
      <c r="N63" s="1664" t="s">
        <v>1035</v>
      </c>
      <c r="O63" s="1664" t="s">
        <v>99</v>
      </c>
      <c r="P63" s="1758" t="s">
        <v>1161</v>
      </c>
      <c r="Q63" s="5767"/>
      <c r="R63" s="5818"/>
      <c r="S63" s="5818"/>
      <c r="T63" s="5818"/>
      <c r="U63" s="5799"/>
    </row>
    <row r="64" spans="1:82" s="19" customFormat="1" ht="15" customHeight="1" x14ac:dyDescent="0.2">
      <c r="A64" s="7312" t="s">
        <v>3108</v>
      </c>
      <c r="B64" s="7313"/>
      <c r="C64" s="1867"/>
      <c r="D64" s="1759">
        <f t="shared" ref="D64:D69" si="51">SUM(E64:P64)</f>
        <v>0</v>
      </c>
      <c r="E64" s="1760"/>
      <c r="F64" s="1761"/>
      <c r="G64" s="1761"/>
      <c r="H64" s="1761"/>
      <c r="I64" s="1761"/>
      <c r="J64" s="1761"/>
      <c r="K64" s="1761"/>
      <c r="L64" s="1761"/>
      <c r="M64" s="1761"/>
      <c r="N64" s="1761"/>
      <c r="O64" s="1761"/>
      <c r="P64" s="1762"/>
      <c r="Q64" s="1763"/>
      <c r="R64" s="1764"/>
      <c r="S64" s="1764"/>
      <c r="T64" s="1764"/>
      <c r="U64" s="1765"/>
      <c r="V64" s="19" t="str">
        <f>BQ64&amp;BR64&amp;BS64&amp;BT64&amp;BU64</f>
        <v/>
      </c>
      <c r="BQ64" s="1774" t="str">
        <f>IF(AND($D64&gt;0,Q64="")," * No olvide digitar la variable Pueblos originarios. Digite Cero si no tiene.",IF(Q64&gt;$D64," * La variable Pueblos originarios No puede ser mayor al Total.",""))</f>
        <v/>
      </c>
      <c r="BR64" s="1774" t="str">
        <f>IF(AND($D64&gt;0,R64="")," * No olvide digitar la variable Migrantes. Digite Cero si no tiene.",IF(R64&gt;$D64," * La variable Migrantes No puede ser mayor al Total.",""))</f>
        <v/>
      </c>
      <c r="BS64" s="1774" t="str">
        <f>IF(AND($D64&gt;0,S64="")," * No olvide digitar la variable Población en ECICEP. Digite Cero si no tiene.",IF(S64&gt;$D64," * La variable Población en ECICEP No puede ser mayor al Total.",""))</f>
        <v/>
      </c>
      <c r="BT64" s="1774" t="str">
        <f>IF(AND($D64&gt;0,T64="")," * No olvide digitar la variable Población ELEAM o Institucionalizada. Digite Cero si no tiene.",IF(T64&gt;$D64," * La variable Población ELEAM o Institucionalizada No puede ser mayor al Total.",""))</f>
        <v/>
      </c>
      <c r="BU64" s="1774" t="str">
        <f>IF(AND($D64&gt;0,U64="")," * No olvide digitar la variable Atención nutricional a personas con NED. Digite Cero si no tiene.",IF(U64&gt;$D64," * La variable Atención nutricional a personas con NED No puede ser mayor al Total.",""))</f>
        <v/>
      </c>
      <c r="BZ64" s="84">
        <f>IF(AND($D64&gt;0,Q64=""),1,IF(Q64&gt;$D64,1,0))</f>
        <v>0</v>
      </c>
      <c r="CA64" s="84">
        <f>IF(AND($D64&gt;0,R64=""),1,IF(R64&gt;$D64,1,0))</f>
        <v>0</v>
      </c>
      <c r="CB64" s="84">
        <f>IF(AND($D64&gt;0,S64=""),1,IF(S64&gt;$D64,1,0))</f>
        <v>0</v>
      </c>
      <c r="CC64" s="84">
        <f>IF(AND($D64&gt;0,T64=""),1,IF(T64&gt;$D64,1,0))</f>
        <v>0</v>
      </c>
      <c r="CD64" s="84">
        <f>IF(AND($D64&gt;0,U64=""),1,IF(U64&gt;$D64,1,0))</f>
        <v>0</v>
      </c>
    </row>
    <row r="65" spans="1:82" s="19" customFormat="1" ht="15" customHeight="1" x14ac:dyDescent="0.2">
      <c r="A65" s="7315" t="s">
        <v>3109</v>
      </c>
      <c r="B65" s="6649"/>
      <c r="C65" s="1868"/>
      <c r="D65" s="1766">
        <f t="shared" si="51"/>
        <v>0</v>
      </c>
      <c r="E65" s="1767"/>
      <c r="F65" s="1283"/>
      <c r="G65" s="1283"/>
      <c r="H65" s="1283"/>
      <c r="I65" s="1283"/>
      <c r="J65" s="1283"/>
      <c r="K65" s="1283"/>
      <c r="L65" s="1283"/>
      <c r="M65" s="1283"/>
      <c r="N65" s="1283"/>
      <c r="O65" s="1283"/>
      <c r="P65" s="392"/>
      <c r="Q65" s="1258"/>
      <c r="R65" s="1257"/>
      <c r="S65" s="1257"/>
      <c r="T65" s="1257"/>
      <c r="U65" s="1287"/>
      <c r="V65" s="19" t="str">
        <f>BQ65&amp;BR65</f>
        <v/>
      </c>
      <c r="BQ65" s="1774" t="str">
        <f>IF(AND(D65&gt;0,Q65="")," * No olvide digitar la variable Pueblos originarios. Digite Cero si no tiene.",IF(Q65&gt;D65," * La variable Pueblos originarios No puede ser mayor al Total.",""))</f>
        <v/>
      </c>
      <c r="BR65" s="1774" t="str">
        <f>IF(AND(D65&gt;0,R65="")," * No olvide digitar la variable Migrantes. Digite Cero si no tiene.",IF(R65&gt;D65," * La variable Migrantes No puede ser mayor al Total.",""))</f>
        <v/>
      </c>
      <c r="BS65" s="1774" t="str">
        <f t="shared" ref="BS65:BS69" si="52">IF(AND($D65&gt;0,S65="")," * No olvide digitar la variable Población en ECICEP. Digite Cero si no tiene.",IF(S65&gt;$D65," * La variable Población en ECICEP No puede ser mayor al Total.",""))</f>
        <v/>
      </c>
      <c r="BT65" s="1774" t="str">
        <f t="shared" ref="BT65:BT69" si="53">IF(AND($D65&gt;0,T65="")," * No olvide digitar la variable Población ELEAM o Institucionalizada. Digite Cero si no tiene.",IF(T65&gt;$D65," * La variable Población ELEAM o Institucionalizada No puede ser mayor al Total.",""))</f>
        <v/>
      </c>
      <c r="BU65" s="1774" t="str">
        <f t="shared" ref="BU65:BU69" si="54">IF(AND($D65&gt;0,U65="")," * No olvide digitar la variable Atención nutricional a personas con NED. Digite Cero si no tiene.",IF(U65&gt;$D65," * La variable Atención nutricional a personas con NED No puede ser mayor al Total.",""))</f>
        <v/>
      </c>
      <c r="BZ65" s="84">
        <f>IF(AND(D65&gt;0,Q65=""),1,IF(Q65&gt;D65,1,0))</f>
        <v>0</v>
      </c>
      <c r="CA65" s="84">
        <f>IF(AND(D65&gt;0,R65=""),1,IF(R65&gt;D65,1,0))</f>
        <v>0</v>
      </c>
      <c r="CB65" s="84">
        <f t="shared" ref="CB65:CD69" si="55">IF(AND($D65&gt;0,S65=""),1,IF(S65&gt;$D65,1,0))</f>
        <v>0</v>
      </c>
      <c r="CC65" s="84">
        <f t="shared" si="55"/>
        <v>0</v>
      </c>
      <c r="CD65" s="84">
        <f t="shared" si="55"/>
        <v>0</v>
      </c>
    </row>
    <row r="66" spans="1:82" s="19" customFormat="1" ht="15" customHeight="1" x14ac:dyDescent="0.2">
      <c r="A66" s="7314" t="s">
        <v>3110</v>
      </c>
      <c r="B66" s="1754" t="s">
        <v>3111</v>
      </c>
      <c r="C66" s="1867"/>
      <c r="D66" s="1759">
        <f t="shared" si="51"/>
        <v>0</v>
      </c>
      <c r="E66" s="290"/>
      <c r="F66" s="535"/>
      <c r="G66" s="535"/>
      <c r="H66" s="535"/>
      <c r="I66" s="535"/>
      <c r="J66" s="535"/>
      <c r="K66" s="535"/>
      <c r="L66" s="535"/>
      <c r="M66" s="535"/>
      <c r="N66" s="535"/>
      <c r="O66" s="535"/>
      <c r="P66" s="1768"/>
      <c r="Q66" s="367"/>
      <c r="R66" s="1259"/>
      <c r="S66" s="1259"/>
      <c r="T66" s="1259"/>
      <c r="U66" s="1769"/>
      <c r="V66" s="19" t="str">
        <f>BQ66&amp;BR66</f>
        <v/>
      </c>
      <c r="BQ66" s="1774" t="str">
        <f>IF(AND(D66&gt;0,Q66="")," * No olvide digitar la variable Pueblos originarios. Digite Cero si no tiene.",IF(Q66&gt;D66," * La variable Pueblos originarios No puede ser mayor al Total.",""))</f>
        <v/>
      </c>
      <c r="BR66" s="1774" t="str">
        <f>IF(AND(D66&gt;0,R66="")," * No olvide digitar la variable Migrantes. Digite Cero si no tiene.",IF(R66&gt;D66," * La variable Migrantes No puede ser mayor al Total.",""))</f>
        <v/>
      </c>
      <c r="BS66" s="1774" t="str">
        <f t="shared" si="52"/>
        <v/>
      </c>
      <c r="BT66" s="1774" t="str">
        <f t="shared" si="53"/>
        <v/>
      </c>
      <c r="BU66" s="1774" t="str">
        <f t="shared" si="54"/>
        <v/>
      </c>
      <c r="BZ66" s="84">
        <f>IF(AND(D66&gt;0,Q66=""),1,IF(Q66&gt;D66,1,0))</f>
        <v>0</v>
      </c>
      <c r="CA66" s="84">
        <f>IF(AND(D66&gt;0,R66=""),1,IF(R66&gt;D66,1,0))</f>
        <v>0</v>
      </c>
      <c r="CB66" s="84">
        <f t="shared" si="55"/>
        <v>0</v>
      </c>
      <c r="CC66" s="84">
        <f t="shared" si="55"/>
        <v>0</v>
      </c>
      <c r="CD66" s="84">
        <f t="shared" si="55"/>
        <v>0</v>
      </c>
    </row>
    <row r="67" spans="1:82" s="19" customFormat="1" ht="15" customHeight="1" x14ac:dyDescent="0.2">
      <c r="A67" s="5755"/>
      <c r="B67" s="1755" t="s">
        <v>3112</v>
      </c>
      <c r="C67" s="1869"/>
      <c r="D67" s="1770">
        <f t="shared" si="51"/>
        <v>0</v>
      </c>
      <c r="E67" s="1139"/>
      <c r="F67" s="1283"/>
      <c r="G67" s="1283"/>
      <c r="H67" s="1283"/>
      <c r="I67" s="1283"/>
      <c r="J67" s="1283"/>
      <c r="K67" s="1283"/>
      <c r="L67" s="1283"/>
      <c r="M67" s="1283"/>
      <c r="N67" s="1283"/>
      <c r="O67" s="1283"/>
      <c r="P67" s="392"/>
      <c r="Q67" s="1258"/>
      <c r="R67" s="1257"/>
      <c r="S67" s="1257"/>
      <c r="T67" s="1257"/>
      <c r="U67" s="1287"/>
      <c r="V67" s="19" t="str">
        <f>BQ67&amp;BR67</f>
        <v/>
      </c>
      <c r="BQ67" s="1774" t="str">
        <f>IF(AND(D67&gt;0,Q67="")," * No olvide digitar la variable Pueblos originarios. Digite Cero si no tiene.",IF(Q67&gt;D67," * La variable Pueblos originarios No puede ser mayor al Total.",""))</f>
        <v/>
      </c>
      <c r="BR67" s="1774" t="str">
        <f>IF(AND(D67&gt;0,R67="")," * No olvide digitar la variable Migrantes. Digite Cero si no tiene.",IF(R67&gt;D67," * La variable Migrantes No puede ser mayor al Total.",""))</f>
        <v/>
      </c>
      <c r="BS67" s="1774" t="str">
        <f t="shared" si="52"/>
        <v/>
      </c>
      <c r="BT67" s="1774" t="str">
        <f t="shared" si="53"/>
        <v/>
      </c>
      <c r="BU67" s="1774" t="str">
        <f t="shared" si="54"/>
        <v/>
      </c>
      <c r="BZ67" s="84">
        <f>IF(AND(D67&gt;0,Q67=""),1,IF(Q67&gt;D67,1,0))</f>
        <v>0</v>
      </c>
      <c r="CA67" s="84">
        <f>IF(AND(D67&gt;0,R67=""),1,IF(R67&gt;D67,1,0))</f>
        <v>0</v>
      </c>
      <c r="CB67" s="84">
        <f t="shared" si="55"/>
        <v>0</v>
      </c>
      <c r="CC67" s="84">
        <f t="shared" si="55"/>
        <v>0</v>
      </c>
      <c r="CD67" s="84">
        <f t="shared" si="55"/>
        <v>0</v>
      </c>
    </row>
    <row r="68" spans="1:82" s="19" customFormat="1" ht="15" customHeight="1" x14ac:dyDescent="0.2">
      <c r="A68" s="5755"/>
      <c r="B68" s="319" t="s">
        <v>3113</v>
      </c>
      <c r="C68" s="1870"/>
      <c r="D68" s="1916">
        <f t="shared" si="51"/>
        <v>0</v>
      </c>
      <c r="E68" s="290"/>
      <c r="F68" s="535"/>
      <c r="G68" s="535"/>
      <c r="H68" s="535"/>
      <c r="I68" s="535"/>
      <c r="J68" s="535"/>
      <c r="K68" s="535"/>
      <c r="L68" s="535"/>
      <c r="M68" s="535"/>
      <c r="N68" s="535"/>
      <c r="O68" s="535"/>
      <c r="P68" s="1768"/>
      <c r="Q68" s="367"/>
      <c r="R68" s="1259"/>
      <c r="S68" s="1259"/>
      <c r="T68" s="1259"/>
      <c r="U68" s="1769"/>
      <c r="V68" s="19" t="str">
        <f>BQ68&amp;BR68</f>
        <v/>
      </c>
      <c r="BQ68" s="1774" t="str">
        <f>IF(AND(D68&gt;0,Q68="")," * No olvide digitar la variable Pueblos originarios. Digite Cero si no tiene.",IF(Q68&gt;D68," * La variable Pueblos originarios No puede ser mayor al Total.",""))</f>
        <v/>
      </c>
      <c r="BR68" s="1774" t="str">
        <f>IF(AND(D68&gt;0,R68="")," * No olvide digitar la variable Migrantes. Digite Cero si no tiene.",IF(R68&gt;D68," * La variable Migrantes No puede ser mayor al Total.",""))</f>
        <v/>
      </c>
      <c r="BS68" s="1774" t="str">
        <f t="shared" si="52"/>
        <v/>
      </c>
      <c r="BT68" s="1774" t="str">
        <f t="shared" si="53"/>
        <v/>
      </c>
      <c r="BU68" s="1774" t="str">
        <f t="shared" si="54"/>
        <v/>
      </c>
      <c r="BZ68" s="84">
        <f>IF(AND(D68&gt;0,Q68=""),1,IF(Q68&gt;D68,1,0))</f>
        <v>0</v>
      </c>
      <c r="CA68" s="84">
        <f>IF(AND(D68&gt;0,R68=""),1,IF(R68&gt;D68,1,0))</f>
        <v>0</v>
      </c>
      <c r="CB68" s="84">
        <f t="shared" si="55"/>
        <v>0</v>
      </c>
      <c r="CC68" s="84">
        <f t="shared" si="55"/>
        <v>0</v>
      </c>
      <c r="CD68" s="84">
        <f t="shared" si="55"/>
        <v>0</v>
      </c>
    </row>
    <row r="69" spans="1:82" s="19" customFormat="1" ht="15" customHeight="1" x14ac:dyDescent="0.2">
      <c r="A69" s="6540"/>
      <c r="B69" s="1756" t="s">
        <v>3114</v>
      </c>
      <c r="C69" s="1871"/>
      <c r="D69" s="1766">
        <f t="shared" si="51"/>
        <v>0</v>
      </c>
      <c r="E69" s="1771"/>
      <c r="F69" s="262"/>
      <c r="G69" s="262"/>
      <c r="H69" s="262"/>
      <c r="I69" s="262"/>
      <c r="J69" s="262"/>
      <c r="K69" s="262"/>
      <c r="L69" s="262"/>
      <c r="M69" s="262"/>
      <c r="N69" s="262"/>
      <c r="O69" s="262"/>
      <c r="P69" s="1772"/>
      <c r="Q69" s="260"/>
      <c r="R69" s="257"/>
      <c r="S69" s="257"/>
      <c r="T69" s="257"/>
      <c r="U69" s="1773"/>
      <c r="V69" s="19" t="str">
        <f>BQ69&amp;BR69</f>
        <v/>
      </c>
      <c r="BQ69" s="1774" t="str">
        <f>IF(AND(D69&gt;0,Q69="")," * No olvide digitar la variable Pueblos originarios. Digite Cero si no tiene.",IF(Q69&gt;D69," * La variable Pueblos originarios No puede ser mayor al Total.",""))</f>
        <v/>
      </c>
      <c r="BR69" s="1774" t="str">
        <f>IF(AND(D69&gt;0,R69="")," * No olvide digitar la variable Migrantes. Digite Cero si no tiene.",IF(R69&gt;D69," * La variable Migrantes No puede ser mayor al Total.",""))</f>
        <v/>
      </c>
      <c r="BS69" s="1774" t="str">
        <f t="shared" si="52"/>
        <v/>
      </c>
      <c r="BT69" s="1774" t="str">
        <f t="shared" si="53"/>
        <v/>
      </c>
      <c r="BU69" s="1774" t="str">
        <f t="shared" si="54"/>
        <v/>
      </c>
      <c r="BZ69" s="84">
        <f>IF(AND(D69&gt;0,Q69=""),1,IF(Q69&gt;D69,1,0))</f>
        <v>0</v>
      </c>
      <c r="CA69" s="84">
        <f>IF(AND(D69&gt;0,R69=""),1,IF(R69&gt;D69,1,0))</f>
        <v>0</v>
      </c>
      <c r="CB69" s="84">
        <f t="shared" si="55"/>
        <v>0</v>
      </c>
      <c r="CC69" s="84">
        <f t="shared" si="55"/>
        <v>0</v>
      </c>
      <c r="CD69" s="84">
        <f t="shared" si="55"/>
        <v>0</v>
      </c>
    </row>
    <row r="70" spans="1:82" s="25" customFormat="1" ht="18" customHeight="1" x14ac:dyDescent="0.2">
      <c r="A70" s="922" t="s">
        <v>3115</v>
      </c>
    </row>
    <row r="71" spans="1:82" s="19" customFormat="1" ht="15" customHeight="1" x14ac:dyDescent="0.2">
      <c r="A71" s="7031" t="s">
        <v>29</v>
      </c>
      <c r="B71" s="7022"/>
      <c r="C71" s="7072" t="s">
        <v>1155</v>
      </c>
      <c r="D71" s="7072"/>
      <c r="E71" s="7072"/>
      <c r="F71" s="7072"/>
      <c r="G71" s="7310"/>
      <c r="H71" s="6223" t="s">
        <v>3116</v>
      </c>
      <c r="I71" s="6954"/>
    </row>
    <row r="72" spans="1:82" s="19" customFormat="1" ht="15" customHeight="1" x14ac:dyDescent="0.2">
      <c r="A72" s="6131"/>
      <c r="B72" s="6063"/>
      <c r="C72" s="7031" t="s">
        <v>77</v>
      </c>
      <c r="D72" s="7023" t="s">
        <v>1158</v>
      </c>
      <c r="E72" s="7030"/>
      <c r="F72" s="6976"/>
      <c r="G72" s="7129" t="s">
        <v>1156</v>
      </c>
      <c r="H72" s="6481"/>
      <c r="I72" s="6954"/>
    </row>
    <row r="73" spans="1:82" s="19" customFormat="1" ht="20.399999999999999" x14ac:dyDescent="0.2">
      <c r="A73" s="7311"/>
      <c r="B73" s="6645"/>
      <c r="C73" s="7311"/>
      <c r="D73" s="1134" t="s">
        <v>3117</v>
      </c>
      <c r="E73" s="1238" t="s">
        <v>1160</v>
      </c>
      <c r="F73" s="1252" t="s">
        <v>1161</v>
      </c>
      <c r="G73" s="7130"/>
      <c r="H73" s="1092" t="s">
        <v>1162</v>
      </c>
      <c r="I73" s="1237" t="s">
        <v>1156</v>
      </c>
    </row>
    <row r="74" spans="1:82" s="19" customFormat="1" ht="15" customHeight="1" x14ac:dyDescent="0.2">
      <c r="A74" s="7181" t="s">
        <v>3118</v>
      </c>
      <c r="B74" s="7183"/>
      <c r="C74" s="1273">
        <f t="shared" ref="C74:C81" si="56">SUM(D74:F74)+H74</f>
        <v>0</v>
      </c>
      <c r="D74" s="954"/>
      <c r="E74" s="960"/>
      <c r="F74" s="890"/>
      <c r="G74" s="1023"/>
      <c r="H74" s="1175"/>
      <c r="I74" s="1290"/>
    </row>
    <row r="75" spans="1:82" s="19" customFormat="1" ht="15" customHeight="1" x14ac:dyDescent="0.2">
      <c r="A75" s="7305" t="s">
        <v>475</v>
      </c>
      <c r="B75" s="7306"/>
      <c r="C75" s="1277">
        <f t="shared" si="56"/>
        <v>0</v>
      </c>
      <c r="D75" s="965"/>
      <c r="E75" s="973"/>
      <c r="F75" s="967"/>
      <c r="G75" s="1042"/>
      <c r="H75" s="1180"/>
      <c r="I75" s="1292"/>
    </row>
    <row r="76" spans="1:82" s="19" customFormat="1" ht="15" customHeight="1" x14ac:dyDescent="0.2">
      <c r="A76" s="7305" t="s">
        <v>326</v>
      </c>
      <c r="B76" s="7306"/>
      <c r="C76" s="1277">
        <f t="shared" si="56"/>
        <v>0</v>
      </c>
      <c r="D76" s="965"/>
      <c r="E76" s="973"/>
      <c r="F76" s="967"/>
      <c r="G76" s="1042"/>
      <c r="H76" s="1180"/>
      <c r="I76" s="1292"/>
    </row>
    <row r="77" spans="1:82" s="19" customFormat="1" ht="15" customHeight="1" x14ac:dyDescent="0.2">
      <c r="A77" s="7309" t="s">
        <v>3086</v>
      </c>
      <c r="B77" s="7306"/>
      <c r="C77" s="1277">
        <f t="shared" si="56"/>
        <v>0</v>
      </c>
      <c r="D77" s="965"/>
      <c r="E77" s="973"/>
      <c r="F77" s="967"/>
      <c r="G77" s="1042"/>
      <c r="H77" s="1180"/>
      <c r="I77" s="1292"/>
    </row>
    <row r="78" spans="1:82" s="19" customFormat="1" ht="15" customHeight="1" x14ac:dyDescent="0.2">
      <c r="A78" s="7309" t="s">
        <v>44</v>
      </c>
      <c r="B78" s="7306"/>
      <c r="C78" s="1277">
        <f t="shared" si="56"/>
        <v>0</v>
      </c>
      <c r="D78" s="965"/>
      <c r="E78" s="973"/>
      <c r="F78" s="967"/>
      <c r="G78" s="1042"/>
      <c r="H78" s="1180"/>
      <c r="I78" s="1292"/>
    </row>
    <row r="79" spans="1:82" s="19" customFormat="1" ht="15" customHeight="1" x14ac:dyDescent="0.2">
      <c r="A79" s="7305" t="s">
        <v>45</v>
      </c>
      <c r="B79" s="7306"/>
      <c r="C79" s="1277">
        <f t="shared" si="56"/>
        <v>0</v>
      </c>
      <c r="D79" s="965"/>
      <c r="E79" s="973"/>
      <c r="F79" s="967"/>
      <c r="G79" s="1042"/>
      <c r="H79" s="1180"/>
      <c r="I79" s="1292"/>
    </row>
    <row r="80" spans="1:82" s="19" customFormat="1" ht="15" customHeight="1" x14ac:dyDescent="0.2">
      <c r="A80" s="7305" t="s">
        <v>327</v>
      </c>
      <c r="B80" s="7306"/>
      <c r="C80" s="1277">
        <f t="shared" si="56"/>
        <v>0</v>
      </c>
      <c r="D80" s="965"/>
      <c r="E80" s="973"/>
      <c r="F80" s="967"/>
      <c r="G80" s="1042"/>
      <c r="H80" s="1180"/>
      <c r="I80" s="1292"/>
    </row>
    <row r="81" spans="1:78" s="19" customFormat="1" ht="15" customHeight="1" x14ac:dyDescent="0.2">
      <c r="A81" s="7184" t="s">
        <v>664</v>
      </c>
      <c r="B81" s="6057"/>
      <c r="C81" s="1294">
        <f t="shared" si="56"/>
        <v>0</v>
      </c>
      <c r="D81" s="989"/>
      <c r="E81" s="1031"/>
      <c r="F81" s="990"/>
      <c r="G81" s="1029"/>
      <c r="H81" s="1182"/>
      <c r="I81" s="1295"/>
    </row>
    <row r="82" spans="1:78" s="19" customFormat="1" ht="15" customHeight="1" x14ac:dyDescent="0.2">
      <c r="A82" s="50" t="s">
        <v>3119</v>
      </c>
    </row>
    <row r="83" spans="1:78" s="25" customFormat="1" ht="18" customHeight="1" x14ac:dyDescent="0.2">
      <c r="A83" s="3" t="s">
        <v>3120</v>
      </c>
    </row>
    <row r="84" spans="1:78" s="19" customFormat="1" ht="15" customHeight="1" x14ac:dyDescent="0.2">
      <c r="A84" s="7307" t="s">
        <v>3121</v>
      </c>
      <c r="B84" s="7307" t="s">
        <v>3122</v>
      </c>
      <c r="C84" s="7023" t="s">
        <v>1960</v>
      </c>
      <c r="D84" s="7030"/>
      <c r="E84" s="7030"/>
      <c r="F84" s="7030"/>
      <c r="G84" s="6976"/>
    </row>
    <row r="85" spans="1:78" s="19" customFormat="1" ht="15" customHeight="1" x14ac:dyDescent="0.2">
      <c r="A85" s="7308"/>
      <c r="B85" s="7308"/>
      <c r="C85" s="1134" t="s">
        <v>343</v>
      </c>
      <c r="D85" s="1135" t="s">
        <v>326</v>
      </c>
      <c r="E85" s="1238" t="s">
        <v>94</v>
      </c>
      <c r="F85" s="1238" t="s">
        <v>44</v>
      </c>
      <c r="G85" s="1252" t="s">
        <v>45</v>
      </c>
    </row>
    <row r="86" spans="1:78" s="19" customFormat="1" ht="15" customHeight="1" x14ac:dyDescent="0.2">
      <c r="A86" s="1297" t="s">
        <v>3123</v>
      </c>
      <c r="B86" s="1298">
        <f>SUM(C86:G86)</f>
        <v>0</v>
      </c>
      <c r="C86" s="954"/>
      <c r="D86" s="956"/>
      <c r="E86" s="956"/>
      <c r="F86" s="956"/>
      <c r="G86" s="955"/>
    </row>
    <row r="87" spans="1:78" s="19" customFormat="1" ht="15" customHeight="1" x14ac:dyDescent="0.2">
      <c r="A87" s="1299" t="s">
        <v>3097</v>
      </c>
      <c r="B87" s="1300">
        <f>SUM(C87:G87)</f>
        <v>0</v>
      </c>
      <c r="C87" s="989"/>
      <c r="D87" s="991"/>
      <c r="E87" s="991"/>
      <c r="F87" s="991"/>
      <c r="G87" s="877"/>
    </row>
    <row r="88" spans="1:78" s="6" customFormat="1" ht="18" customHeight="1" x14ac:dyDescent="0.25">
      <c r="A88" s="3" t="s">
        <v>3124</v>
      </c>
    </row>
    <row r="89" spans="1:78" s="19" customFormat="1" ht="20.399999999999999" x14ac:dyDescent="0.2">
      <c r="A89" s="1296" t="s">
        <v>285</v>
      </c>
      <c r="B89" s="1132" t="s">
        <v>3125</v>
      </c>
      <c r="C89" s="1132" t="s">
        <v>3126</v>
      </c>
    </row>
    <row r="90" spans="1:78" s="19" customFormat="1" ht="15" customHeight="1" x14ac:dyDescent="0.2">
      <c r="A90" s="1301" t="s">
        <v>3123</v>
      </c>
      <c r="B90" s="1302"/>
      <c r="C90" s="1302"/>
    </row>
    <row r="91" spans="1:78" s="25" customFormat="1" ht="18" customHeight="1" x14ac:dyDescent="0.2">
      <c r="A91" s="3" t="s">
        <v>3127</v>
      </c>
    </row>
    <row r="92" spans="1:78" s="19" customFormat="1" ht="15" customHeight="1" x14ac:dyDescent="0.2">
      <c r="A92" s="7296" t="s">
        <v>1093</v>
      </c>
      <c r="B92" s="7296" t="s">
        <v>77</v>
      </c>
      <c r="C92" s="7297" t="s">
        <v>3128</v>
      </c>
      <c r="D92" s="7298"/>
      <c r="E92" s="7298"/>
      <c r="F92" s="7298"/>
      <c r="G92" s="7298"/>
      <c r="H92" s="7298"/>
      <c r="I92" s="7298"/>
      <c r="J92" s="7298"/>
      <c r="K92" s="7298"/>
      <c r="L92" s="7298"/>
      <c r="M92" s="7298"/>
      <c r="N92" s="7298"/>
      <c r="O92" s="7298"/>
      <c r="P92" s="7298"/>
      <c r="Q92" s="7298"/>
      <c r="R92" s="7298"/>
      <c r="S92" s="7298"/>
      <c r="T92" s="7299" t="s">
        <v>2409</v>
      </c>
      <c r="U92" s="7300"/>
    </row>
    <row r="93" spans="1:78" s="19" customFormat="1" ht="15" customHeight="1" x14ac:dyDescent="0.2">
      <c r="A93" s="7296"/>
      <c r="B93" s="7296"/>
      <c r="C93" s="7303" t="s">
        <v>29</v>
      </c>
      <c r="D93" s="7304"/>
      <c r="E93" s="7304"/>
      <c r="F93" s="7304"/>
      <c r="G93" s="7304"/>
      <c r="H93" s="7304"/>
      <c r="I93" s="7304"/>
      <c r="J93" s="7304"/>
      <c r="K93" s="7304"/>
      <c r="L93" s="7304"/>
      <c r="M93" s="7304"/>
      <c r="N93" s="7304"/>
      <c r="O93" s="7304"/>
      <c r="P93" s="7304"/>
      <c r="Q93" s="7304"/>
      <c r="R93" s="7304"/>
      <c r="S93" s="7304"/>
      <c r="T93" s="7301"/>
      <c r="U93" s="7302"/>
    </row>
    <row r="94" spans="1:78" s="19" customFormat="1" ht="24.9" customHeight="1" x14ac:dyDescent="0.2">
      <c r="A94" s="7296"/>
      <c r="B94" s="7296"/>
      <c r="C94" s="1134" t="s">
        <v>343</v>
      </c>
      <c r="D94" s="1238" t="s">
        <v>326</v>
      </c>
      <c r="E94" s="1238" t="s">
        <v>94</v>
      </c>
      <c r="F94" s="1238" t="s">
        <v>44</v>
      </c>
      <c r="G94" s="1238" t="s">
        <v>45</v>
      </c>
      <c r="H94" s="1238" t="s">
        <v>46</v>
      </c>
      <c r="I94" s="1238" t="s">
        <v>47</v>
      </c>
      <c r="J94" s="1238" t="s">
        <v>48</v>
      </c>
      <c r="K94" s="1238" t="s">
        <v>49</v>
      </c>
      <c r="L94" s="1238" t="s">
        <v>50</v>
      </c>
      <c r="M94" s="1238" t="s">
        <v>51</v>
      </c>
      <c r="N94" s="1238" t="s">
        <v>52</v>
      </c>
      <c r="O94" s="1007" t="s">
        <v>53</v>
      </c>
      <c r="P94" s="1238" t="s">
        <v>54</v>
      </c>
      <c r="Q94" s="1238" t="s">
        <v>55</v>
      </c>
      <c r="R94" s="1238" t="s">
        <v>56</v>
      </c>
      <c r="S94" s="1252" t="s">
        <v>57</v>
      </c>
      <c r="T94" s="1304" t="s">
        <v>58</v>
      </c>
      <c r="U94" s="1305" t="s">
        <v>59</v>
      </c>
    </row>
    <row r="95" spans="1:78" s="19" customFormat="1" ht="21" customHeight="1" x14ac:dyDescent="0.2">
      <c r="A95" s="1306" t="s">
        <v>3129</v>
      </c>
      <c r="B95" s="374">
        <f>SUM(C95:S95)</f>
        <v>0</v>
      </c>
      <c r="C95" s="954"/>
      <c r="D95" s="960"/>
      <c r="E95" s="960"/>
      <c r="F95" s="960"/>
      <c r="G95" s="960"/>
      <c r="H95" s="960"/>
      <c r="I95" s="960"/>
      <c r="J95" s="960"/>
      <c r="K95" s="960"/>
      <c r="L95" s="960"/>
      <c r="M95" s="960"/>
      <c r="N95" s="960"/>
      <c r="O95" s="960"/>
      <c r="P95" s="960"/>
      <c r="Q95" s="960"/>
      <c r="R95" s="960"/>
      <c r="S95" s="890"/>
      <c r="T95" s="954"/>
      <c r="U95" s="955"/>
      <c r="V95" s="19" t="str">
        <f>BQ95&amp;BR95</f>
        <v/>
      </c>
      <c r="BQ95" s="1774" t="str">
        <f>IF((T95+U95)&lt;&gt;B95," * El total de Consultas por Sexo debe ser igual al Total de Consultas por grupo de Edad","")</f>
        <v/>
      </c>
      <c r="BZ95" s="84">
        <f t="shared" ref="BZ95:BZ109" si="57">IF((T95+U95)&lt;&gt;B95,1,0)</f>
        <v>0</v>
      </c>
    </row>
    <row r="96" spans="1:78" s="19" customFormat="1" ht="15" customHeight="1" x14ac:dyDescent="0.2">
      <c r="A96" s="1293" t="s">
        <v>1209</v>
      </c>
      <c r="B96" s="374">
        <f t="shared" ref="B96:B109" si="58">SUM(C96:S96)</f>
        <v>0</v>
      </c>
      <c r="C96" s="965"/>
      <c r="D96" s="973"/>
      <c r="E96" s="973"/>
      <c r="F96" s="973"/>
      <c r="G96" s="973"/>
      <c r="H96" s="973"/>
      <c r="I96" s="973"/>
      <c r="J96" s="973"/>
      <c r="K96" s="973"/>
      <c r="L96" s="973"/>
      <c r="M96" s="973"/>
      <c r="N96" s="973"/>
      <c r="O96" s="973"/>
      <c r="P96" s="973"/>
      <c r="Q96" s="973"/>
      <c r="R96" s="973"/>
      <c r="S96" s="967"/>
      <c r="T96" s="965"/>
      <c r="U96" s="966"/>
      <c r="V96" s="19" t="str">
        <f t="shared" ref="V96:V109" si="59">BQ96&amp;BR96</f>
        <v/>
      </c>
      <c r="BQ96" s="1774" t="str">
        <f t="shared" ref="BQ96:BQ109" si="60">IF((T96+U96)&lt;&gt;B96," * El total de Consultas por Sexo debe ser igual al Total de Consultas por grupo de Edad","")</f>
        <v/>
      </c>
      <c r="BZ96" s="84">
        <f t="shared" si="57"/>
        <v>0</v>
      </c>
    </row>
    <row r="97" spans="1:78" s="19" customFormat="1" ht="15" customHeight="1" x14ac:dyDescent="0.2">
      <c r="A97" s="1293" t="s">
        <v>3130</v>
      </c>
      <c r="B97" s="374">
        <f t="shared" si="58"/>
        <v>0</v>
      </c>
      <c r="C97" s="965"/>
      <c r="D97" s="973"/>
      <c r="E97" s="973"/>
      <c r="F97" s="973"/>
      <c r="G97" s="973"/>
      <c r="H97" s="973"/>
      <c r="I97" s="973"/>
      <c r="J97" s="973"/>
      <c r="K97" s="973"/>
      <c r="L97" s="973"/>
      <c r="M97" s="973"/>
      <c r="N97" s="973"/>
      <c r="O97" s="973"/>
      <c r="P97" s="973"/>
      <c r="Q97" s="973"/>
      <c r="R97" s="973"/>
      <c r="S97" s="967"/>
      <c r="T97" s="965"/>
      <c r="U97" s="966"/>
      <c r="V97" s="19" t="str">
        <f t="shared" si="59"/>
        <v/>
      </c>
      <c r="BQ97" s="1774" t="str">
        <f t="shared" si="60"/>
        <v/>
      </c>
      <c r="BZ97" s="84">
        <f t="shared" si="57"/>
        <v>0</v>
      </c>
    </row>
    <row r="98" spans="1:78" s="19" customFormat="1" ht="10.199999999999999" x14ac:dyDescent="0.2">
      <c r="A98" s="1306" t="s">
        <v>3131</v>
      </c>
      <c r="B98" s="374">
        <f t="shared" si="58"/>
        <v>0</v>
      </c>
      <c r="C98" s="965"/>
      <c r="D98" s="973"/>
      <c r="E98" s="973"/>
      <c r="F98" s="973"/>
      <c r="G98" s="973"/>
      <c r="H98" s="973"/>
      <c r="I98" s="973"/>
      <c r="J98" s="973"/>
      <c r="K98" s="973"/>
      <c r="L98" s="973"/>
      <c r="M98" s="973"/>
      <c r="N98" s="973"/>
      <c r="O98" s="973"/>
      <c r="P98" s="973"/>
      <c r="Q98" s="973"/>
      <c r="R98" s="973"/>
      <c r="S98" s="967"/>
      <c r="T98" s="965"/>
      <c r="U98" s="966"/>
      <c r="V98" s="19" t="str">
        <f t="shared" si="59"/>
        <v/>
      </c>
      <c r="BQ98" s="1774" t="str">
        <f t="shared" si="60"/>
        <v/>
      </c>
      <c r="BZ98" s="84">
        <f t="shared" si="57"/>
        <v>0</v>
      </c>
    </row>
    <row r="99" spans="1:78" s="19" customFormat="1" ht="15" customHeight="1" x14ac:dyDescent="0.2">
      <c r="A99" s="1293" t="s">
        <v>3132</v>
      </c>
      <c r="B99" s="374">
        <f t="shared" si="58"/>
        <v>0</v>
      </c>
      <c r="C99" s="965"/>
      <c r="D99" s="973"/>
      <c r="E99" s="973"/>
      <c r="F99" s="973"/>
      <c r="G99" s="973"/>
      <c r="H99" s="973"/>
      <c r="I99" s="973"/>
      <c r="J99" s="973"/>
      <c r="K99" s="973"/>
      <c r="L99" s="973"/>
      <c r="M99" s="973"/>
      <c r="N99" s="973"/>
      <c r="O99" s="973"/>
      <c r="P99" s="973"/>
      <c r="Q99" s="973"/>
      <c r="R99" s="973"/>
      <c r="S99" s="967"/>
      <c r="T99" s="965"/>
      <c r="U99" s="966"/>
      <c r="V99" s="19" t="str">
        <f t="shared" si="59"/>
        <v/>
      </c>
      <c r="BQ99" s="1774" t="str">
        <f t="shared" si="60"/>
        <v/>
      </c>
      <c r="BZ99" s="84">
        <f t="shared" si="57"/>
        <v>0</v>
      </c>
    </row>
    <row r="100" spans="1:78" s="19" customFormat="1" ht="15" customHeight="1" x14ac:dyDescent="0.2">
      <c r="A100" s="1293" t="s">
        <v>3133</v>
      </c>
      <c r="B100" s="374">
        <f t="shared" si="58"/>
        <v>0</v>
      </c>
      <c r="C100" s="965"/>
      <c r="D100" s="973"/>
      <c r="E100" s="973"/>
      <c r="F100" s="973"/>
      <c r="G100" s="973"/>
      <c r="H100" s="973"/>
      <c r="I100" s="973"/>
      <c r="J100" s="973"/>
      <c r="K100" s="973"/>
      <c r="L100" s="973"/>
      <c r="M100" s="973"/>
      <c r="N100" s="973"/>
      <c r="O100" s="973"/>
      <c r="P100" s="973"/>
      <c r="Q100" s="973"/>
      <c r="R100" s="973"/>
      <c r="S100" s="967"/>
      <c r="T100" s="965"/>
      <c r="U100" s="966"/>
      <c r="V100" s="19" t="str">
        <f t="shared" si="59"/>
        <v/>
      </c>
      <c r="BQ100" s="1774" t="str">
        <f t="shared" si="60"/>
        <v/>
      </c>
      <c r="BZ100" s="84">
        <f t="shared" si="57"/>
        <v>0</v>
      </c>
    </row>
    <row r="101" spans="1:78" s="19" customFormat="1" ht="15" customHeight="1" x14ac:dyDescent="0.2">
      <c r="A101" s="1293" t="s">
        <v>3134</v>
      </c>
      <c r="B101" s="374">
        <f t="shared" si="58"/>
        <v>0</v>
      </c>
      <c r="C101" s="965"/>
      <c r="D101" s="973"/>
      <c r="E101" s="973"/>
      <c r="F101" s="973"/>
      <c r="G101" s="973"/>
      <c r="H101" s="973"/>
      <c r="I101" s="973"/>
      <c r="J101" s="973"/>
      <c r="K101" s="973"/>
      <c r="L101" s="973"/>
      <c r="M101" s="973"/>
      <c r="N101" s="973"/>
      <c r="O101" s="973"/>
      <c r="P101" s="973"/>
      <c r="Q101" s="973"/>
      <c r="R101" s="973"/>
      <c r="S101" s="967"/>
      <c r="T101" s="965"/>
      <c r="U101" s="966"/>
      <c r="V101" s="19" t="str">
        <f t="shared" si="59"/>
        <v/>
      </c>
      <c r="BQ101" s="1774" t="str">
        <f t="shared" si="60"/>
        <v/>
      </c>
      <c r="BZ101" s="84">
        <f t="shared" si="57"/>
        <v>0</v>
      </c>
    </row>
    <row r="102" spans="1:78" s="19" customFormat="1" ht="15" customHeight="1" x14ac:dyDescent="0.2">
      <c r="A102" s="1293" t="s">
        <v>3135</v>
      </c>
      <c r="B102" s="374">
        <f t="shared" si="58"/>
        <v>0</v>
      </c>
      <c r="C102" s="965"/>
      <c r="D102" s="973"/>
      <c r="E102" s="973"/>
      <c r="F102" s="973"/>
      <c r="G102" s="973"/>
      <c r="H102" s="973"/>
      <c r="I102" s="973"/>
      <c r="J102" s="973"/>
      <c r="K102" s="973"/>
      <c r="L102" s="973"/>
      <c r="M102" s="973"/>
      <c r="N102" s="973"/>
      <c r="O102" s="973"/>
      <c r="P102" s="973"/>
      <c r="Q102" s="973"/>
      <c r="R102" s="973"/>
      <c r="S102" s="967"/>
      <c r="T102" s="965"/>
      <c r="U102" s="966"/>
      <c r="V102" s="19" t="str">
        <f t="shared" si="59"/>
        <v/>
      </c>
      <c r="BQ102" s="1774" t="str">
        <f t="shared" si="60"/>
        <v/>
      </c>
      <c r="BZ102" s="84">
        <f t="shared" si="57"/>
        <v>0</v>
      </c>
    </row>
    <row r="103" spans="1:78" s="19" customFormat="1" ht="15" customHeight="1" x14ac:dyDescent="0.2">
      <c r="A103" s="1293" t="s">
        <v>1240</v>
      </c>
      <c r="B103" s="374">
        <f t="shared" si="58"/>
        <v>0</v>
      </c>
      <c r="C103" s="965"/>
      <c r="D103" s="973"/>
      <c r="E103" s="973"/>
      <c r="F103" s="973"/>
      <c r="G103" s="973"/>
      <c r="H103" s="973"/>
      <c r="I103" s="973"/>
      <c r="J103" s="973"/>
      <c r="K103" s="973"/>
      <c r="L103" s="973"/>
      <c r="M103" s="973"/>
      <c r="N103" s="973"/>
      <c r="O103" s="973"/>
      <c r="P103" s="973"/>
      <c r="Q103" s="973"/>
      <c r="R103" s="973"/>
      <c r="S103" s="967"/>
      <c r="T103" s="965"/>
      <c r="U103" s="966"/>
      <c r="V103" s="19" t="str">
        <f t="shared" si="59"/>
        <v/>
      </c>
      <c r="BQ103" s="1774" t="str">
        <f t="shared" si="60"/>
        <v/>
      </c>
      <c r="BZ103" s="84">
        <f t="shared" si="57"/>
        <v>0</v>
      </c>
    </row>
    <row r="104" spans="1:78" s="19" customFormat="1" ht="15" customHeight="1" x14ac:dyDescent="0.2">
      <c r="A104" s="1293" t="s">
        <v>3136</v>
      </c>
      <c r="B104" s="374">
        <f t="shared" si="58"/>
        <v>0</v>
      </c>
      <c r="C104" s="965"/>
      <c r="D104" s="973"/>
      <c r="E104" s="973"/>
      <c r="F104" s="973"/>
      <c r="G104" s="973"/>
      <c r="H104" s="973"/>
      <c r="I104" s="973"/>
      <c r="J104" s="973"/>
      <c r="K104" s="973"/>
      <c r="L104" s="973"/>
      <c r="M104" s="973"/>
      <c r="N104" s="973"/>
      <c r="O104" s="973"/>
      <c r="P104" s="973"/>
      <c r="Q104" s="973"/>
      <c r="R104" s="973"/>
      <c r="S104" s="967"/>
      <c r="T104" s="965"/>
      <c r="U104" s="966"/>
      <c r="V104" s="19" t="str">
        <f t="shared" si="59"/>
        <v/>
      </c>
      <c r="BQ104" s="1774" t="str">
        <f t="shared" si="60"/>
        <v/>
      </c>
      <c r="BZ104" s="84">
        <f t="shared" si="57"/>
        <v>0</v>
      </c>
    </row>
    <row r="105" spans="1:78" s="19" customFormat="1" ht="15" customHeight="1" x14ac:dyDescent="0.2">
      <c r="A105" s="1293" t="s">
        <v>1237</v>
      </c>
      <c r="B105" s="374">
        <f t="shared" si="58"/>
        <v>0</v>
      </c>
      <c r="C105" s="965"/>
      <c r="D105" s="973"/>
      <c r="E105" s="973"/>
      <c r="F105" s="973"/>
      <c r="G105" s="973"/>
      <c r="H105" s="973"/>
      <c r="I105" s="973"/>
      <c r="J105" s="973"/>
      <c r="K105" s="973"/>
      <c r="L105" s="973"/>
      <c r="M105" s="973"/>
      <c r="N105" s="973"/>
      <c r="O105" s="973"/>
      <c r="P105" s="973"/>
      <c r="Q105" s="973"/>
      <c r="R105" s="973"/>
      <c r="S105" s="967"/>
      <c r="T105" s="965"/>
      <c r="U105" s="966"/>
      <c r="V105" s="19" t="str">
        <f t="shared" si="59"/>
        <v/>
      </c>
      <c r="BQ105" s="1774" t="str">
        <f t="shared" si="60"/>
        <v/>
      </c>
      <c r="BZ105" s="84">
        <f t="shared" si="57"/>
        <v>0</v>
      </c>
    </row>
    <row r="106" spans="1:78" s="19" customFormat="1" ht="15" customHeight="1" x14ac:dyDescent="0.2">
      <c r="A106" s="1293" t="s">
        <v>1238</v>
      </c>
      <c r="B106" s="374">
        <f t="shared" si="58"/>
        <v>0</v>
      </c>
      <c r="C106" s="965"/>
      <c r="D106" s="973"/>
      <c r="E106" s="973"/>
      <c r="F106" s="973"/>
      <c r="G106" s="973"/>
      <c r="H106" s="973"/>
      <c r="I106" s="973"/>
      <c r="J106" s="973"/>
      <c r="K106" s="973"/>
      <c r="L106" s="973"/>
      <c r="M106" s="973"/>
      <c r="N106" s="973"/>
      <c r="O106" s="973"/>
      <c r="P106" s="973"/>
      <c r="Q106" s="973"/>
      <c r="R106" s="973"/>
      <c r="S106" s="967"/>
      <c r="T106" s="965"/>
      <c r="U106" s="966"/>
      <c r="V106" s="19" t="str">
        <f t="shared" si="59"/>
        <v/>
      </c>
      <c r="BQ106" s="1774" t="str">
        <f t="shared" si="60"/>
        <v/>
      </c>
      <c r="BZ106" s="84">
        <f t="shared" si="57"/>
        <v>0</v>
      </c>
    </row>
    <row r="107" spans="1:78" s="19" customFormat="1" ht="15" customHeight="1" x14ac:dyDescent="0.2">
      <c r="A107" s="1293" t="s">
        <v>1427</v>
      </c>
      <c r="B107" s="374">
        <f t="shared" si="58"/>
        <v>0</v>
      </c>
      <c r="C107" s="965"/>
      <c r="D107" s="973"/>
      <c r="E107" s="973"/>
      <c r="F107" s="973"/>
      <c r="G107" s="973"/>
      <c r="H107" s="973"/>
      <c r="I107" s="973"/>
      <c r="J107" s="973"/>
      <c r="K107" s="973"/>
      <c r="L107" s="973"/>
      <c r="M107" s="973"/>
      <c r="N107" s="973"/>
      <c r="O107" s="973"/>
      <c r="P107" s="973"/>
      <c r="Q107" s="973"/>
      <c r="R107" s="973"/>
      <c r="S107" s="967"/>
      <c r="T107" s="965"/>
      <c r="U107" s="966"/>
      <c r="V107" s="19" t="str">
        <f t="shared" si="59"/>
        <v/>
      </c>
      <c r="BQ107" s="1774" t="str">
        <f t="shared" si="60"/>
        <v/>
      </c>
      <c r="BZ107" s="84">
        <f t="shared" si="57"/>
        <v>0</v>
      </c>
    </row>
    <row r="108" spans="1:78" s="19" customFormat="1" ht="15" customHeight="1" x14ac:dyDescent="0.2">
      <c r="A108" s="1293" t="s">
        <v>2393</v>
      </c>
      <c r="B108" s="374">
        <f t="shared" si="58"/>
        <v>0</v>
      </c>
      <c r="C108" s="965"/>
      <c r="D108" s="973"/>
      <c r="E108" s="973"/>
      <c r="F108" s="973"/>
      <c r="G108" s="973"/>
      <c r="H108" s="973"/>
      <c r="I108" s="973"/>
      <c r="J108" s="973"/>
      <c r="K108" s="973"/>
      <c r="L108" s="973"/>
      <c r="M108" s="973"/>
      <c r="N108" s="973"/>
      <c r="O108" s="973"/>
      <c r="P108" s="973"/>
      <c r="Q108" s="973"/>
      <c r="R108" s="973"/>
      <c r="S108" s="967"/>
      <c r="T108" s="965"/>
      <c r="U108" s="966"/>
      <c r="V108" s="19" t="str">
        <f t="shared" si="59"/>
        <v/>
      </c>
      <c r="BQ108" s="1774" t="str">
        <f t="shared" si="60"/>
        <v/>
      </c>
      <c r="BZ108" s="84">
        <f t="shared" si="57"/>
        <v>0</v>
      </c>
    </row>
    <row r="109" spans="1:78" s="19" customFormat="1" ht="15" customHeight="1" x14ac:dyDescent="0.2">
      <c r="A109" s="1293" t="s">
        <v>3137</v>
      </c>
      <c r="B109" s="374">
        <f t="shared" si="58"/>
        <v>0</v>
      </c>
      <c r="C109" s="989"/>
      <c r="D109" s="1031"/>
      <c r="E109" s="1031"/>
      <c r="F109" s="1031"/>
      <c r="G109" s="1031"/>
      <c r="H109" s="1031"/>
      <c r="I109" s="1031"/>
      <c r="J109" s="1031"/>
      <c r="K109" s="1031"/>
      <c r="L109" s="1031"/>
      <c r="M109" s="1031"/>
      <c r="N109" s="1031"/>
      <c r="O109" s="1031"/>
      <c r="P109" s="1031"/>
      <c r="Q109" s="1031"/>
      <c r="R109" s="1031"/>
      <c r="S109" s="990"/>
      <c r="T109" s="989"/>
      <c r="U109" s="877"/>
      <c r="V109" s="19" t="str">
        <f t="shared" si="59"/>
        <v/>
      </c>
      <c r="BQ109" s="1774" t="str">
        <f t="shared" si="60"/>
        <v/>
      </c>
      <c r="BZ109" s="84">
        <f t="shared" si="57"/>
        <v>0</v>
      </c>
    </row>
    <row r="110" spans="1:78" s="19" customFormat="1" ht="15" customHeight="1" x14ac:dyDescent="0.2">
      <c r="A110" s="1303" t="s">
        <v>77</v>
      </c>
      <c r="B110" s="1307">
        <f>SUM(C110:S110)</f>
        <v>0</v>
      </c>
      <c r="C110" s="1308">
        <f>SUM(C95:C109)</f>
        <v>0</v>
      </c>
      <c r="D110" s="1309">
        <f t="shared" ref="D110:U110" si="61">SUM(D95:D109)</f>
        <v>0</v>
      </c>
      <c r="E110" s="1309">
        <f t="shared" si="61"/>
        <v>0</v>
      </c>
      <c r="F110" s="1309">
        <f t="shared" si="61"/>
        <v>0</v>
      </c>
      <c r="G110" s="1309">
        <f t="shared" si="61"/>
        <v>0</v>
      </c>
      <c r="H110" s="1310">
        <f t="shared" si="61"/>
        <v>0</v>
      </c>
      <c r="I110" s="1309">
        <f t="shared" si="61"/>
        <v>0</v>
      </c>
      <c r="J110" s="1309">
        <f t="shared" si="61"/>
        <v>0</v>
      </c>
      <c r="K110" s="1309">
        <f t="shared" si="61"/>
        <v>0</v>
      </c>
      <c r="L110" s="1309">
        <f t="shared" si="61"/>
        <v>0</v>
      </c>
      <c r="M110" s="1309">
        <f t="shared" si="61"/>
        <v>0</v>
      </c>
      <c r="N110" s="1309">
        <f t="shared" si="61"/>
        <v>0</v>
      </c>
      <c r="O110" s="1309">
        <f t="shared" si="61"/>
        <v>0</v>
      </c>
      <c r="P110" s="1309">
        <f t="shared" si="61"/>
        <v>0</v>
      </c>
      <c r="Q110" s="1309">
        <f t="shared" si="61"/>
        <v>0</v>
      </c>
      <c r="R110" s="1309">
        <f t="shared" si="61"/>
        <v>0</v>
      </c>
      <c r="S110" s="1311">
        <f t="shared" si="61"/>
        <v>0</v>
      </c>
      <c r="T110" s="1308">
        <f t="shared" si="61"/>
        <v>0</v>
      </c>
      <c r="U110" s="1311">
        <f t="shared" si="61"/>
        <v>0</v>
      </c>
    </row>
    <row r="111" spans="1:78" s="25" customFormat="1" ht="18" customHeight="1" x14ac:dyDescent="0.2">
      <c r="A111" s="1270" t="s">
        <v>3138</v>
      </c>
    </row>
    <row r="112" spans="1:78" s="19" customFormat="1" ht="15" customHeight="1" x14ac:dyDescent="0.2">
      <c r="A112" s="6223" t="s">
        <v>3139</v>
      </c>
      <c r="B112" s="7291" t="s">
        <v>4427</v>
      </c>
      <c r="C112" s="7021" t="s">
        <v>302</v>
      </c>
      <c r="D112" s="6242"/>
      <c r="E112" s="6969"/>
      <c r="F112" s="7023" t="s">
        <v>101</v>
      </c>
      <c r="G112" s="7030"/>
      <c r="H112" s="7030"/>
      <c r="I112" s="7030"/>
      <c r="J112" s="7030"/>
      <c r="K112" s="7030"/>
      <c r="L112" s="7030"/>
      <c r="M112" s="7030"/>
      <c r="N112" s="7030"/>
      <c r="O112" s="7030"/>
      <c r="P112" s="7030"/>
      <c r="Q112" s="7030"/>
      <c r="R112" s="7030"/>
      <c r="S112" s="7030"/>
      <c r="T112" s="408"/>
      <c r="U112" s="167"/>
      <c r="V112" s="167"/>
      <c r="W112" s="167"/>
      <c r="X112" s="167"/>
      <c r="Y112" s="167"/>
      <c r="Z112" s="167"/>
      <c r="AA112" s="167"/>
      <c r="AB112" s="167"/>
      <c r="AC112" s="167"/>
      <c r="AD112" s="167"/>
      <c r="AE112" s="167"/>
      <c r="AF112" s="167"/>
      <c r="AG112" s="167"/>
      <c r="AH112" s="167"/>
      <c r="AI112" s="167"/>
      <c r="AJ112" s="167"/>
      <c r="AK112" s="167"/>
      <c r="AL112" s="167"/>
      <c r="AM112" s="167"/>
    </row>
    <row r="113" spans="1:78" s="19" customFormat="1" ht="15" customHeight="1" x14ac:dyDescent="0.2">
      <c r="A113" s="6686"/>
      <c r="B113" s="7292"/>
      <c r="C113" s="7180"/>
      <c r="D113" s="6467"/>
      <c r="E113" s="6687"/>
      <c r="F113" s="6954" t="s">
        <v>3140</v>
      </c>
      <c r="G113" s="6954"/>
      <c r="H113" s="6989" t="s">
        <v>3141</v>
      </c>
      <c r="I113" s="7078"/>
      <c r="J113" s="6989" t="s">
        <v>438</v>
      </c>
      <c r="K113" s="7078"/>
      <c r="L113" s="7294" t="s">
        <v>4425</v>
      </c>
      <c r="M113" s="7295"/>
      <c r="N113" s="6989" t="s">
        <v>53</v>
      </c>
      <c r="O113" s="7078"/>
      <c r="P113" s="6989" t="s">
        <v>460</v>
      </c>
      <c r="Q113" s="7078"/>
      <c r="R113" s="6989" t="s">
        <v>57</v>
      </c>
      <c r="S113" s="7078"/>
    </row>
    <row r="114" spans="1:78" s="19" customFormat="1" ht="15" customHeight="1" x14ac:dyDescent="0.2">
      <c r="A114" s="6481"/>
      <c r="B114" s="7293"/>
      <c r="C114" s="1134" t="s">
        <v>79</v>
      </c>
      <c r="D114" s="1135" t="s">
        <v>58</v>
      </c>
      <c r="E114" s="1092" t="s">
        <v>59</v>
      </c>
      <c r="F114" s="1134" t="s">
        <v>58</v>
      </c>
      <c r="G114" s="1092" t="s">
        <v>59</v>
      </c>
      <c r="H114" s="1134" t="s">
        <v>58</v>
      </c>
      <c r="I114" s="1092" t="s">
        <v>59</v>
      </c>
      <c r="J114" s="1134" t="s">
        <v>58</v>
      </c>
      <c r="K114" s="1092" t="s">
        <v>59</v>
      </c>
      <c r="L114" s="1134" t="s">
        <v>58</v>
      </c>
      <c r="M114" s="1092" t="s">
        <v>59</v>
      </c>
      <c r="N114" s="1134" t="s">
        <v>58</v>
      </c>
      <c r="O114" s="1092" t="s">
        <v>59</v>
      </c>
      <c r="P114" s="1134" t="s">
        <v>58</v>
      </c>
      <c r="Q114" s="1092" t="s">
        <v>59</v>
      </c>
      <c r="R114" s="1134" t="s">
        <v>58</v>
      </c>
      <c r="S114" s="1092" t="s">
        <v>59</v>
      </c>
    </row>
    <row r="115" spans="1:78" s="19" customFormat="1" ht="15" customHeight="1" x14ac:dyDescent="0.2">
      <c r="A115" s="1167" t="s">
        <v>3142</v>
      </c>
      <c r="B115" s="5651"/>
      <c r="C115" s="4814">
        <f t="shared" ref="C115:C118" si="62">SUM(D115+E115)</f>
        <v>0</v>
      </c>
      <c r="D115" s="4238">
        <f>+F115+H115+J115+L115+N115+P115+R115</f>
        <v>0</v>
      </c>
      <c r="E115" s="3119">
        <f>+G115+I115+K115+M115+O115+Q115+S115</f>
        <v>0</v>
      </c>
      <c r="F115" s="1216"/>
      <c r="G115" s="1218"/>
      <c r="H115" s="1216"/>
      <c r="I115" s="1218"/>
      <c r="J115" s="1216"/>
      <c r="K115" s="4815"/>
      <c r="L115" s="1216"/>
      <c r="M115" s="4815"/>
      <c r="N115" s="1216"/>
      <c r="O115" s="4815"/>
      <c r="P115" s="1216"/>
      <c r="Q115" s="4815"/>
      <c r="R115" s="1216"/>
      <c r="S115" s="4815"/>
    </row>
    <row r="116" spans="1:78" s="19" customFormat="1" ht="15" customHeight="1" x14ac:dyDescent="0.2">
      <c r="A116" s="974" t="s">
        <v>3143</v>
      </c>
      <c r="B116" s="965"/>
      <c r="C116" s="1075">
        <f t="shared" si="62"/>
        <v>0</v>
      </c>
      <c r="D116" s="4182">
        <f>+F116+H116+J116+L116+N116+P116+R116</f>
        <v>0</v>
      </c>
      <c r="E116" s="4816">
        <f t="shared" ref="E116:E118" si="63">+G116+I116+K116+M116+O116+Q116+S116</f>
        <v>0</v>
      </c>
      <c r="F116" s="2244"/>
      <c r="G116" s="1118"/>
      <c r="H116" s="965"/>
      <c r="I116" s="966"/>
      <c r="J116" s="965"/>
      <c r="K116" s="967"/>
      <c r="L116" s="965"/>
      <c r="M116" s="967"/>
      <c r="N116" s="965"/>
      <c r="O116" s="967"/>
      <c r="P116" s="965"/>
      <c r="Q116" s="967"/>
      <c r="R116" s="965"/>
      <c r="S116" s="967"/>
    </row>
    <row r="117" spans="1:78" s="19" customFormat="1" ht="15" customHeight="1" x14ac:dyDescent="0.2">
      <c r="A117" s="1015" t="s">
        <v>3144</v>
      </c>
      <c r="B117" s="107"/>
      <c r="C117" s="231">
        <f t="shared" si="62"/>
        <v>0</v>
      </c>
      <c r="D117" s="4182">
        <f t="shared" ref="D117" si="64">+F117+H117+J117+L117+N117+P117+R117</f>
        <v>0</v>
      </c>
      <c r="E117" s="4041">
        <f t="shared" si="63"/>
        <v>0</v>
      </c>
      <c r="F117" s="1114"/>
      <c r="G117" s="383"/>
      <c r="H117" s="65"/>
      <c r="I117" s="1118"/>
      <c r="J117" s="1116"/>
      <c r="K117" s="107"/>
      <c r="L117" s="65"/>
      <c r="M117" s="1118"/>
      <c r="N117" s="65"/>
      <c r="O117" s="1118"/>
      <c r="P117" s="65"/>
      <c r="Q117" s="1118"/>
      <c r="R117" s="1114"/>
      <c r="S117" s="107"/>
    </row>
    <row r="118" spans="1:78" s="19" customFormat="1" ht="15" customHeight="1" x14ac:dyDescent="0.2">
      <c r="A118" s="205" t="s">
        <v>3145</v>
      </c>
      <c r="B118" s="42"/>
      <c r="C118" s="1075">
        <f t="shared" si="62"/>
        <v>0</v>
      </c>
      <c r="D118" s="4182">
        <f>+F118+H118+J118+L118+N118+P118+R118</f>
        <v>0</v>
      </c>
      <c r="E118" s="4816">
        <f t="shared" si="63"/>
        <v>0</v>
      </c>
      <c r="F118" s="3181"/>
      <c r="G118" s="1118"/>
      <c r="H118" s="1338"/>
      <c r="I118" s="383"/>
      <c r="J118" s="482"/>
      <c r="K118" s="42"/>
      <c r="L118" s="66"/>
      <c r="M118" s="1118"/>
      <c r="N118" s="192"/>
      <c r="O118" s="42"/>
      <c r="P118" s="1119"/>
      <c r="Q118" s="383"/>
      <c r="R118" s="1119"/>
      <c r="S118" s="383"/>
    </row>
    <row r="119" spans="1:78" s="19" customFormat="1" ht="15" customHeight="1" x14ac:dyDescent="0.2">
      <c r="A119" s="1028" t="s">
        <v>3146</v>
      </c>
      <c r="B119" s="388"/>
      <c r="C119" s="1139"/>
      <c r="D119" s="5707"/>
      <c r="E119" s="5703"/>
      <c r="F119" s="1248"/>
      <c r="G119" s="5703"/>
      <c r="H119" s="5702"/>
      <c r="I119" s="5701"/>
      <c r="J119" s="5704"/>
      <c r="K119" s="5701"/>
      <c r="L119" s="5704"/>
      <c r="M119" s="5703"/>
      <c r="N119" s="5705"/>
      <c r="O119" s="5701"/>
      <c r="P119" s="5704"/>
      <c r="Q119" s="5706"/>
      <c r="R119" s="5704"/>
      <c r="S119" s="5703"/>
    </row>
    <row r="120" spans="1:78" s="19" customFormat="1" ht="15" customHeight="1" x14ac:dyDescent="0.2">
      <c r="A120" s="1124" t="s">
        <v>77</v>
      </c>
      <c r="B120" s="1126">
        <f>SUM(B115:B119)</f>
        <v>0</v>
      </c>
      <c r="C120" s="998">
        <f>SUM(C115:C119)</f>
        <v>0</v>
      </c>
      <c r="D120" s="1048">
        <f>SUM(D115:D119)</f>
        <v>0</v>
      </c>
      <c r="E120" s="1000">
        <f t="shared" ref="E120:S120" si="65">SUM(E115:E119)</f>
        <v>0</v>
      </c>
      <c r="F120" s="1047">
        <f t="shared" si="65"/>
        <v>0</v>
      </c>
      <c r="G120" s="1000">
        <f t="shared" si="65"/>
        <v>0</v>
      </c>
      <c r="H120" s="1047">
        <f t="shared" si="65"/>
        <v>0</v>
      </c>
      <c r="I120" s="1000">
        <f t="shared" si="65"/>
        <v>0</v>
      </c>
      <c r="J120" s="998">
        <f t="shared" si="65"/>
        <v>0</v>
      </c>
      <c r="K120" s="1001">
        <f t="shared" si="65"/>
        <v>0</v>
      </c>
      <c r="L120" s="1047">
        <f t="shared" si="65"/>
        <v>0</v>
      </c>
      <c r="M120" s="1000">
        <f t="shared" si="65"/>
        <v>0</v>
      </c>
      <c r="N120" s="1047">
        <f t="shared" si="65"/>
        <v>0</v>
      </c>
      <c r="O120" s="1000">
        <f t="shared" si="65"/>
        <v>0</v>
      </c>
      <c r="P120" s="1047">
        <f t="shared" si="65"/>
        <v>0</v>
      </c>
      <c r="Q120" s="1000">
        <f t="shared" si="65"/>
        <v>0</v>
      </c>
      <c r="R120" s="1047">
        <f t="shared" si="65"/>
        <v>0</v>
      </c>
      <c r="S120" s="1002">
        <f t="shared" si="65"/>
        <v>0</v>
      </c>
      <c r="T120" s="4817"/>
    </row>
    <row r="121" spans="1:78" x14ac:dyDescent="0.3">
      <c r="BQ121"/>
      <c r="BR121"/>
      <c r="BS121"/>
      <c r="BT121"/>
      <c r="BU121"/>
      <c r="BW121"/>
      <c r="BX121"/>
      <c r="BY121"/>
      <c r="BZ121"/>
    </row>
    <row r="122" spans="1:78" x14ac:dyDescent="0.3">
      <c r="BQ122"/>
      <c r="BR122"/>
      <c r="BS122"/>
      <c r="BT122"/>
      <c r="BU122"/>
      <c r="BW122"/>
      <c r="BX122"/>
      <c r="BY122"/>
      <c r="BZ122"/>
    </row>
    <row r="123" spans="1:78" x14ac:dyDescent="0.3">
      <c r="BQ123"/>
      <c r="BR123"/>
      <c r="BS123"/>
      <c r="BT123"/>
      <c r="BU123"/>
      <c r="BW123"/>
      <c r="BX123"/>
      <c r="BY123"/>
      <c r="BZ123"/>
    </row>
    <row r="124" spans="1:78" x14ac:dyDescent="0.3">
      <c r="BQ124"/>
      <c r="BR124"/>
      <c r="BS124"/>
      <c r="BT124"/>
      <c r="BU124"/>
      <c r="BW124"/>
      <c r="BX124"/>
      <c r="BY124"/>
      <c r="BZ124"/>
    </row>
    <row r="125" spans="1:78" x14ac:dyDescent="0.3">
      <c r="BQ125"/>
      <c r="BR125"/>
      <c r="BS125"/>
      <c r="BT125"/>
      <c r="BU125"/>
      <c r="BW125"/>
      <c r="BX125"/>
      <c r="BY125"/>
      <c r="BZ125"/>
    </row>
    <row r="126" spans="1:78" x14ac:dyDescent="0.3">
      <c r="BQ126"/>
      <c r="BR126"/>
      <c r="BS126"/>
      <c r="BT126"/>
      <c r="BU126"/>
      <c r="BW126"/>
      <c r="BX126"/>
      <c r="BY126"/>
      <c r="BZ126"/>
    </row>
    <row r="127" spans="1:78" x14ac:dyDescent="0.3">
      <c r="BQ127"/>
      <c r="BR127"/>
      <c r="BS127"/>
      <c r="BT127"/>
      <c r="BU127"/>
      <c r="BW127"/>
      <c r="BX127"/>
      <c r="BY127"/>
      <c r="BZ127"/>
    </row>
    <row r="128" spans="1:78" x14ac:dyDescent="0.3">
      <c r="BQ128"/>
      <c r="BR128"/>
      <c r="BS128"/>
      <c r="BT128"/>
      <c r="BU128"/>
      <c r="BW128"/>
      <c r="BX128"/>
      <c r="BY128"/>
      <c r="BZ128"/>
    </row>
    <row r="129" spans="1:78" x14ac:dyDescent="0.3">
      <c r="BQ129"/>
      <c r="BR129"/>
      <c r="BS129"/>
      <c r="BT129"/>
      <c r="BU129"/>
      <c r="BW129"/>
      <c r="BX129"/>
      <c r="BY129"/>
      <c r="BZ129"/>
    </row>
    <row r="130" spans="1:78" x14ac:dyDescent="0.3">
      <c r="BQ130"/>
      <c r="BR130"/>
      <c r="BS130"/>
      <c r="BT130"/>
      <c r="BU130"/>
      <c r="BW130"/>
      <c r="BX130"/>
      <c r="BY130"/>
      <c r="BZ130"/>
    </row>
    <row r="131" spans="1:78" x14ac:dyDescent="0.3">
      <c r="BQ131"/>
      <c r="BR131"/>
      <c r="BS131"/>
      <c r="BT131"/>
      <c r="BU131"/>
      <c r="BW131"/>
      <c r="BX131"/>
      <c r="BY131"/>
      <c r="BZ131"/>
    </row>
    <row r="132" spans="1:78" x14ac:dyDescent="0.3">
      <c r="BQ132"/>
      <c r="BR132"/>
      <c r="BS132"/>
      <c r="BT132"/>
      <c r="BU132"/>
      <c r="BW132"/>
      <c r="BX132"/>
      <c r="BY132"/>
      <c r="BZ132"/>
    </row>
    <row r="133" spans="1:78" x14ac:dyDescent="0.3">
      <c r="BQ133"/>
      <c r="BR133"/>
      <c r="BS133"/>
      <c r="BT133"/>
      <c r="BU133"/>
      <c r="BW133"/>
      <c r="BX133"/>
      <c r="BY133"/>
      <c r="BZ133"/>
    </row>
    <row r="134" spans="1:78" x14ac:dyDescent="0.3">
      <c r="BQ134"/>
      <c r="BR134"/>
      <c r="BS134"/>
      <c r="BT134"/>
      <c r="BU134"/>
      <c r="BW134"/>
      <c r="BX134"/>
      <c r="BY134"/>
      <c r="BZ134"/>
    </row>
    <row r="135" spans="1:78" x14ac:dyDescent="0.3">
      <c r="BQ135"/>
      <c r="BR135"/>
      <c r="BS135"/>
      <c r="BT135"/>
      <c r="BU135"/>
      <c r="BW135"/>
      <c r="BX135"/>
      <c r="BY135"/>
      <c r="BZ135"/>
    </row>
    <row r="136" spans="1:78" x14ac:dyDescent="0.3">
      <c r="BQ136"/>
      <c r="BR136"/>
      <c r="BS136"/>
      <c r="BT136"/>
      <c r="BU136"/>
      <c r="BW136"/>
      <c r="BX136"/>
      <c r="BY136"/>
      <c r="BZ136"/>
    </row>
    <row r="137" spans="1:78" x14ac:dyDescent="0.3">
      <c r="BQ137"/>
      <c r="BR137"/>
      <c r="BS137"/>
      <c r="BT137"/>
      <c r="BU137"/>
      <c r="BW137"/>
      <c r="BX137"/>
      <c r="BY137"/>
      <c r="BZ137"/>
    </row>
    <row r="138" spans="1:78" x14ac:dyDescent="0.3">
      <c r="BQ138"/>
      <c r="BR138"/>
      <c r="BS138"/>
      <c r="BT138"/>
      <c r="BU138"/>
      <c r="BW138"/>
      <c r="BX138"/>
      <c r="BY138"/>
      <c r="BZ138"/>
    </row>
    <row r="139" spans="1:78" hidden="1" x14ac:dyDescent="0.3">
      <c r="A139" s="4580" t="e">
        <f>SUM(C10:C35,D38:J47,#REF!,C50:C59,D64:D69,C74:C81,B86:B87,B90:C90,B95:B110)</f>
        <v>#REF!</v>
      </c>
      <c r="B139" s="4581">
        <f>SUM(BW10:CA109)</f>
        <v>0</v>
      </c>
      <c r="BQ139"/>
      <c r="BR139"/>
      <c r="BS139"/>
      <c r="BT139"/>
      <c r="BU139"/>
      <c r="BW139"/>
      <c r="BX139"/>
      <c r="BY139"/>
      <c r="BZ139"/>
    </row>
    <row r="140" spans="1:78" x14ac:dyDescent="0.3">
      <c r="BQ140"/>
      <c r="BR140"/>
      <c r="BS140"/>
      <c r="BT140"/>
      <c r="BU140"/>
      <c r="BW140"/>
      <c r="BX140"/>
      <c r="BY140"/>
      <c r="BZ140"/>
    </row>
    <row r="141" spans="1:78" x14ac:dyDescent="0.3">
      <c r="BQ141"/>
      <c r="BR141"/>
      <c r="BS141"/>
      <c r="BT141"/>
      <c r="BU141"/>
      <c r="BW141"/>
      <c r="BX141"/>
      <c r="BY141"/>
      <c r="BZ141"/>
    </row>
    <row r="142" spans="1:78" x14ac:dyDescent="0.3">
      <c r="BQ142"/>
      <c r="BR142"/>
      <c r="BS142"/>
      <c r="BT142"/>
      <c r="BU142"/>
      <c r="BW142"/>
      <c r="BX142"/>
      <c r="BY142"/>
      <c r="BZ142"/>
    </row>
    <row r="143" spans="1:78" x14ac:dyDescent="0.3">
      <c r="BQ143"/>
      <c r="BR143"/>
      <c r="BS143"/>
      <c r="BT143"/>
      <c r="BU143"/>
      <c r="BW143"/>
      <c r="BX143"/>
      <c r="BY143"/>
      <c r="BZ143"/>
    </row>
    <row r="144" spans="1:78" x14ac:dyDescent="0.3">
      <c r="BQ144"/>
      <c r="BR144"/>
      <c r="BS144"/>
      <c r="BT144"/>
      <c r="BU144"/>
      <c r="BW144"/>
      <c r="BX144"/>
      <c r="BY144"/>
      <c r="BZ144"/>
    </row>
    <row r="145" spans="1:78" x14ac:dyDescent="0.3">
      <c r="BQ145"/>
      <c r="BR145"/>
      <c r="BS145"/>
      <c r="BT145"/>
      <c r="BU145"/>
      <c r="BW145"/>
      <c r="BX145"/>
      <c r="BY145"/>
      <c r="BZ145"/>
    </row>
    <row r="146" spans="1:78" x14ac:dyDescent="0.3">
      <c r="BQ146"/>
      <c r="BR146"/>
      <c r="BS146"/>
      <c r="BT146"/>
      <c r="BU146"/>
      <c r="BW146"/>
      <c r="BX146"/>
      <c r="BY146"/>
      <c r="BZ146"/>
    </row>
    <row r="147" spans="1:78" x14ac:dyDescent="0.3">
      <c r="BQ147"/>
      <c r="BR147"/>
      <c r="BS147"/>
      <c r="BT147"/>
      <c r="BU147"/>
      <c r="BW147"/>
      <c r="BX147"/>
      <c r="BY147"/>
      <c r="BZ147"/>
    </row>
    <row r="148" spans="1:78" x14ac:dyDescent="0.3">
      <c r="BQ148"/>
      <c r="BR148"/>
      <c r="BS148"/>
      <c r="BT148"/>
      <c r="BU148"/>
      <c r="BW148"/>
      <c r="BX148"/>
      <c r="BY148"/>
      <c r="BZ148"/>
    </row>
    <row r="149" spans="1:78" x14ac:dyDescent="0.3">
      <c r="BQ149"/>
      <c r="BR149"/>
      <c r="BS149"/>
      <c r="BT149"/>
      <c r="BU149"/>
      <c r="BW149"/>
      <c r="BX149"/>
      <c r="BY149"/>
      <c r="BZ149"/>
    </row>
    <row r="150" spans="1:78" hidden="1" x14ac:dyDescent="0.3">
      <c r="A150" s="105">
        <f>SUM(C10:C35,C38:J40,C42:J46,C50:C58,C64:D69,C74:C81,B86:B87,B95:B109,B90:C90,B115:C119)</f>
        <v>0</v>
      </c>
      <c r="B150" s="105">
        <f>SUM(BZ10:CG109)</f>
        <v>0</v>
      </c>
      <c r="BQ150"/>
      <c r="BR150"/>
      <c r="BS150"/>
      <c r="BT150"/>
      <c r="BU150"/>
      <c r="BW150"/>
      <c r="BX150"/>
      <c r="BY150"/>
      <c r="BZ150"/>
    </row>
    <row r="151" spans="1:78" x14ac:dyDescent="0.3">
      <c r="BQ151"/>
      <c r="BR151"/>
      <c r="BS151"/>
      <c r="BT151"/>
      <c r="BU151"/>
      <c r="BW151"/>
      <c r="BX151"/>
      <c r="BY151"/>
      <c r="BZ151"/>
    </row>
    <row r="152" spans="1:78" x14ac:dyDescent="0.3">
      <c r="BQ152"/>
      <c r="BR152"/>
      <c r="BS152"/>
      <c r="BT152"/>
      <c r="BU152"/>
      <c r="BW152"/>
      <c r="BX152"/>
      <c r="BY152"/>
      <c r="BZ152"/>
    </row>
    <row r="153" spans="1:78" x14ac:dyDescent="0.3">
      <c r="BQ153"/>
      <c r="BR153"/>
      <c r="BS153"/>
      <c r="BT153"/>
      <c r="BU153"/>
      <c r="BW153"/>
      <c r="BX153"/>
      <c r="BY153"/>
      <c r="BZ153"/>
    </row>
    <row r="154" spans="1:78" x14ac:dyDescent="0.3">
      <c r="BQ154"/>
      <c r="BR154"/>
      <c r="BS154"/>
      <c r="BT154"/>
      <c r="BU154"/>
      <c r="BW154"/>
      <c r="BX154"/>
      <c r="BY154"/>
      <c r="BZ154"/>
    </row>
    <row r="155" spans="1:78" x14ac:dyDescent="0.3">
      <c r="BQ155"/>
      <c r="BR155"/>
      <c r="BS155"/>
      <c r="BT155"/>
      <c r="BU155"/>
      <c r="BW155"/>
      <c r="BX155"/>
      <c r="BY155"/>
      <c r="BZ155"/>
    </row>
    <row r="156" spans="1:78" x14ac:dyDescent="0.3">
      <c r="BQ156"/>
      <c r="BR156"/>
      <c r="BS156"/>
      <c r="BT156"/>
      <c r="BU156"/>
      <c r="BW156"/>
      <c r="BX156"/>
      <c r="BY156"/>
      <c r="BZ156"/>
    </row>
    <row r="157" spans="1:78" x14ac:dyDescent="0.3">
      <c r="BQ157"/>
      <c r="BR157"/>
      <c r="BS157"/>
      <c r="BT157"/>
      <c r="BU157"/>
      <c r="BW157"/>
      <c r="BX157"/>
      <c r="BY157"/>
      <c r="BZ157"/>
    </row>
    <row r="158" spans="1:78" x14ac:dyDescent="0.3">
      <c r="BQ158"/>
      <c r="BR158"/>
      <c r="BS158"/>
      <c r="BT158"/>
      <c r="BU158"/>
      <c r="BW158"/>
      <c r="BX158"/>
      <c r="BY158"/>
      <c r="BZ158"/>
    </row>
    <row r="159" spans="1:78" x14ac:dyDescent="0.3">
      <c r="BQ159"/>
      <c r="BR159"/>
      <c r="BS159"/>
      <c r="BT159"/>
      <c r="BU159"/>
      <c r="BW159"/>
      <c r="BX159"/>
      <c r="BY159"/>
      <c r="BZ159"/>
    </row>
    <row r="160" spans="1:78" x14ac:dyDescent="0.3">
      <c r="BQ160"/>
      <c r="BR160"/>
      <c r="BS160"/>
      <c r="BT160"/>
      <c r="BU160"/>
      <c r="BW160"/>
      <c r="BX160"/>
      <c r="BY160"/>
      <c r="BZ160"/>
    </row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</sheetData>
  <sheetProtection algorithmName="SHA-512" hashValue="aGEDc0PRNjzT3MzLC+cb4vW6fNmoqtm7pZ4srXZ2IxXb6JimGoeOwOSaioGYDmLaI99ZnRM/2sox/470jIvAoA==" saltValue="MC+I0DqJihBxO8S67KZxMQ==" spinCount="100000" sheet="1" objects="1" scenarios="1"/>
  <mergeCells count="86">
    <mergeCell ref="T62:T63"/>
    <mergeCell ref="U62:U63"/>
    <mergeCell ref="C62:P62"/>
    <mergeCell ref="Q62:Q63"/>
    <mergeCell ref="R62:R63"/>
    <mergeCell ref="S62:S63"/>
    <mergeCell ref="A13:B13"/>
    <mergeCell ref="A6:P6"/>
    <mergeCell ref="A9:B9"/>
    <mergeCell ref="A10:B10"/>
    <mergeCell ref="A11:B11"/>
    <mergeCell ref="A12:B12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38:A40"/>
    <mergeCell ref="A41:B41"/>
    <mergeCell ref="A42:A46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N36"/>
    <mergeCell ref="A47:B47"/>
    <mergeCell ref="A49:B49"/>
    <mergeCell ref="A50:B50"/>
    <mergeCell ref="A54:A56"/>
    <mergeCell ref="A57:B57"/>
    <mergeCell ref="A51:B51"/>
    <mergeCell ref="A52:B52"/>
    <mergeCell ref="A53:B53"/>
    <mergeCell ref="A58:B58"/>
    <mergeCell ref="A64:B64"/>
    <mergeCell ref="A66:A69"/>
    <mergeCell ref="A71:B73"/>
    <mergeCell ref="A59:B59"/>
    <mergeCell ref="A65:B65"/>
    <mergeCell ref="A62:B63"/>
    <mergeCell ref="C71:G71"/>
    <mergeCell ref="H71:I72"/>
    <mergeCell ref="C72:C73"/>
    <mergeCell ref="D72:F72"/>
    <mergeCell ref="G72:G73"/>
    <mergeCell ref="A74:B74"/>
    <mergeCell ref="A75:B75"/>
    <mergeCell ref="A76:B76"/>
    <mergeCell ref="A77:B77"/>
    <mergeCell ref="A78:B78"/>
    <mergeCell ref="A79:B79"/>
    <mergeCell ref="A80:B80"/>
    <mergeCell ref="A81:B81"/>
    <mergeCell ref="A84:A85"/>
    <mergeCell ref="B84:B85"/>
    <mergeCell ref="C84:G84"/>
    <mergeCell ref="A92:A94"/>
    <mergeCell ref="B92:B94"/>
    <mergeCell ref="C92:S92"/>
    <mergeCell ref="T92:U93"/>
    <mergeCell ref="C93:S93"/>
    <mergeCell ref="A112:A114"/>
    <mergeCell ref="B112:B114"/>
    <mergeCell ref="C112:E113"/>
    <mergeCell ref="F112:S112"/>
    <mergeCell ref="F113:G113"/>
    <mergeCell ref="H113:I113"/>
    <mergeCell ref="J113:K113"/>
    <mergeCell ref="L113:M113"/>
    <mergeCell ref="N113:O113"/>
    <mergeCell ref="P113:Q113"/>
    <mergeCell ref="R113:S113"/>
  </mergeCells>
  <dataValidations count="5">
    <dataValidation type="whole" operator="greaterThanOrEqual" allowBlank="1" showInputMessage="1" showErrorMessage="1" sqref="D74:I81 C86:G87 B90:C90 C95:U109 F115:S118 C64:C69 C47:N47 C38:N41 E64:U69 B115:B119 C119" xr:uid="{AA31D66D-7850-4DAC-A7C5-6B593C87F529}">
      <formula1>0</formula1>
    </dataValidation>
    <dataValidation type="whole" allowBlank="1" showInputMessage="1" showErrorMessage="1" sqref="D50:M58" xr:uid="{E595536B-B74B-414D-9E0A-3C0A7CB4A283}">
      <formula1>0</formula1>
      <formula2>9.99999999999999E+36</formula2>
    </dataValidation>
    <dataValidation type="whole" allowBlank="1" showInputMessage="1" showErrorMessage="1" sqref="C42:N46" xr:uid="{68AA58B9-844A-4F8C-B533-E470D8BDAF69}">
      <formula1>0</formula1>
      <formula2>9.99999999999999E+30</formula2>
    </dataValidation>
    <dataValidation type="whole" allowBlank="1" showInputMessage="1" showErrorMessage="1" sqref="D10:S35" xr:uid="{DCACFD11-4AEA-4E30-AE4D-39B316677DD4}">
      <formula1>0</formula1>
      <formula2>9.99999999999999E+34</formula2>
    </dataValidation>
    <dataValidation type="whole" operator="equal" allowBlank="1" showInputMessage="1" showErrorMessage="1" sqref="F119:S119 D119:E119" xr:uid="{9F18A724-295F-4618-B566-818F73E09FED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CS249"/>
  <sheetViews>
    <sheetView showGridLines="0" zoomScaleNormal="100" workbookViewId="0"/>
  </sheetViews>
  <sheetFormatPr baseColWidth="10" defaultColWidth="11.44140625" defaultRowHeight="14.4" x14ac:dyDescent="0.3"/>
  <cols>
    <col min="1" max="1" width="46.44140625" customWidth="1"/>
    <col min="2" max="2" width="22.88671875" customWidth="1"/>
    <col min="3" max="3" width="28.44140625" customWidth="1"/>
    <col min="4" max="4" width="17.44140625" customWidth="1"/>
    <col min="5" max="6" width="14.109375" customWidth="1"/>
    <col min="7" max="7" width="14.6640625" customWidth="1"/>
    <col min="8" max="8" width="14.109375" customWidth="1"/>
    <col min="9" max="9" width="13.5546875" customWidth="1"/>
    <col min="10" max="13" width="14.6640625" customWidth="1"/>
    <col min="26" max="26" width="10" customWidth="1"/>
    <col min="29" max="29" width="10.33203125" customWidth="1"/>
    <col min="75" max="76" width="11.44140625" customWidth="1"/>
    <col min="77" max="97" width="11.44140625" hidden="1" customWidth="1"/>
    <col min="98" max="98" width="11.44140625" customWidth="1"/>
  </cols>
  <sheetData>
    <row r="1" spans="1:96" x14ac:dyDescent="0.3">
      <c r="A1" s="50" t="s">
        <v>23</v>
      </c>
    </row>
    <row r="2" spans="1:96" x14ac:dyDescent="0.3">
      <c r="A2" s="50" t="str">
        <f>CONCATENATE("COMUNA: ",NOMBRE!B2, " (",NOMBRE!C2,NOMBRE!D2,NOMBRE!E2,NOMBRE!F2,NOMBRE!G2,")")</f>
        <v>COMUNA:  ()</v>
      </c>
    </row>
    <row r="3" spans="1:96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96" x14ac:dyDescent="0.3">
      <c r="A4" s="50" t="str">
        <f>CONCATENATE("MES: ",NOMBRE!B6, " (",NOMBRE!C6,NOMBRE!D6,")")</f>
        <v>MES:  ()</v>
      </c>
    </row>
    <row r="5" spans="1:96" x14ac:dyDescent="0.3">
      <c r="A5" s="50" t="str">
        <f>CONCATENATE("AÑO: ",NOMBRE!B7)</f>
        <v>AÑO: 2025</v>
      </c>
    </row>
    <row r="6" spans="1:96" ht="18" customHeight="1" x14ac:dyDescent="0.3">
      <c r="A6" s="6115" t="s">
        <v>3147</v>
      </c>
      <c r="B6" s="6115"/>
      <c r="C6" s="6115"/>
      <c r="D6" s="6115"/>
      <c r="E6" s="6115"/>
      <c r="F6" s="6115"/>
      <c r="G6" s="6115"/>
      <c r="H6" s="6115"/>
      <c r="I6" s="6115"/>
      <c r="J6" s="6115"/>
      <c r="K6" s="6115"/>
      <c r="L6" s="6115"/>
      <c r="M6" s="6115"/>
      <c r="N6" s="6115"/>
      <c r="O6" s="6115"/>
      <c r="P6" s="6115"/>
      <c r="Q6" s="6115"/>
      <c r="R6" s="6115"/>
      <c r="S6" s="6115"/>
      <c r="T6" s="6115"/>
      <c r="U6" s="6115"/>
      <c r="V6" s="6115"/>
      <c r="W6" s="6115"/>
      <c r="X6" s="6115"/>
    </row>
    <row r="8" spans="1:96" s="6" customFormat="1" ht="18" customHeight="1" x14ac:dyDescent="0.25">
      <c r="A8" s="928" t="s">
        <v>3148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2185"/>
      <c r="AE8" s="2185"/>
      <c r="AF8" s="2185"/>
    </row>
    <row r="9" spans="1:96" s="19" customFormat="1" ht="30" customHeight="1" x14ac:dyDescent="0.2">
      <c r="A9" s="7031" t="s">
        <v>3149</v>
      </c>
      <c r="B9" s="6223"/>
      <c r="C9" s="7022"/>
      <c r="D9" s="6988" t="s">
        <v>77</v>
      </c>
      <c r="E9" s="6989" t="s">
        <v>3150</v>
      </c>
      <c r="F9" s="6990"/>
      <c r="G9" s="6990"/>
      <c r="H9" s="6990"/>
      <c r="I9" s="7078"/>
      <c r="J9" s="7023" t="s">
        <v>29</v>
      </c>
      <c r="K9" s="7030"/>
      <c r="L9" s="7030"/>
      <c r="M9" s="7030"/>
      <c r="N9" s="7030"/>
      <c r="O9" s="7030"/>
      <c r="P9" s="7030"/>
      <c r="Q9" s="7030"/>
      <c r="R9" s="7030"/>
      <c r="S9" s="7030"/>
      <c r="T9" s="7030"/>
      <c r="U9" s="7030"/>
      <c r="V9" s="7030"/>
      <c r="W9" s="7030"/>
      <c r="X9" s="7071"/>
      <c r="Y9" s="7030" t="s">
        <v>453</v>
      </c>
      <c r="Z9" s="7030"/>
      <c r="AA9" s="7071"/>
      <c r="AB9" s="7038" t="s">
        <v>3151</v>
      </c>
      <c r="AC9" s="7037" t="s">
        <v>36</v>
      </c>
      <c r="AD9" s="7037" t="s">
        <v>37</v>
      </c>
      <c r="AE9" s="7142" t="s">
        <v>33</v>
      </c>
      <c r="AF9" s="6990" t="s">
        <v>457</v>
      </c>
      <c r="AG9" s="7078"/>
      <c r="AH9" s="7112" t="s">
        <v>1575</v>
      </c>
      <c r="AI9" s="7112" t="s">
        <v>1576</v>
      </c>
    </row>
    <row r="10" spans="1:96" s="19" customFormat="1" ht="30" customHeight="1" x14ac:dyDescent="0.2">
      <c r="A10" s="7311"/>
      <c r="B10" s="6481"/>
      <c r="C10" s="6645"/>
      <c r="D10" s="7341"/>
      <c r="E10" s="4583" t="s">
        <v>474</v>
      </c>
      <c r="F10" s="943" t="s">
        <v>3152</v>
      </c>
      <c r="G10" s="943" t="s">
        <v>3153</v>
      </c>
      <c r="H10" s="1238" t="s">
        <v>3154</v>
      </c>
      <c r="I10" s="1252" t="s">
        <v>3155</v>
      </c>
      <c r="J10" s="1134" t="s">
        <v>94</v>
      </c>
      <c r="K10" s="1238" t="s">
        <v>44</v>
      </c>
      <c r="L10" s="1238" t="s">
        <v>45</v>
      </c>
      <c r="M10" s="1238" t="s">
        <v>46</v>
      </c>
      <c r="N10" s="1238" t="s">
        <v>47</v>
      </c>
      <c r="O10" s="1238" t="s">
        <v>48</v>
      </c>
      <c r="P10" s="1238" t="s">
        <v>49</v>
      </c>
      <c r="Q10" s="1238" t="s">
        <v>50</v>
      </c>
      <c r="R10" s="1238" t="s">
        <v>51</v>
      </c>
      <c r="S10" s="1238" t="s">
        <v>52</v>
      </c>
      <c r="T10" s="1238" t="s">
        <v>53</v>
      </c>
      <c r="U10" s="1238" t="s">
        <v>54</v>
      </c>
      <c r="V10" s="1238" t="s">
        <v>55</v>
      </c>
      <c r="W10" s="1238" t="s">
        <v>56</v>
      </c>
      <c r="X10" s="1241" t="s">
        <v>57</v>
      </c>
      <c r="Y10" s="1135" t="s">
        <v>1007</v>
      </c>
      <c r="Z10" s="1101" t="s">
        <v>3156</v>
      </c>
      <c r="AA10" s="1241" t="s">
        <v>3157</v>
      </c>
      <c r="AB10" s="5767"/>
      <c r="AC10" s="5818"/>
      <c r="AD10" s="5818"/>
      <c r="AE10" s="5799"/>
      <c r="AF10" s="1134" t="s">
        <v>462</v>
      </c>
      <c r="AG10" s="1802" t="s">
        <v>463</v>
      </c>
      <c r="AH10" s="7113"/>
      <c r="AI10" s="7113"/>
    </row>
    <row r="11" spans="1:96" s="19" customFormat="1" ht="15" customHeight="1" x14ac:dyDescent="0.3">
      <c r="A11" s="7090" t="s">
        <v>3158</v>
      </c>
      <c r="B11" s="7332" t="s">
        <v>3159</v>
      </c>
      <c r="C11" s="7333"/>
      <c r="D11" s="1102">
        <f>SUM(E11:G11)</f>
        <v>0</v>
      </c>
      <c r="E11" s="4601"/>
      <c r="F11" s="4602"/>
      <c r="G11" s="4602"/>
      <c r="H11" s="4818"/>
      <c r="I11" s="4819"/>
      <c r="J11" s="4818"/>
      <c r="K11" s="4820"/>
      <c r="L11" s="4820"/>
      <c r="M11" s="4821"/>
      <c r="N11" s="4821"/>
      <c r="O11" s="4821"/>
      <c r="P11" s="4821"/>
      <c r="Q11" s="4821"/>
      <c r="R11" s="4821"/>
      <c r="S11" s="4821"/>
      <c r="T11" s="4821"/>
      <c r="U11" s="4821"/>
      <c r="V11" s="4821"/>
      <c r="W11" s="4821"/>
      <c r="X11" s="4821"/>
      <c r="Y11" s="4822"/>
      <c r="Z11" s="4820"/>
      <c r="AA11" s="4823"/>
      <c r="AB11" s="4824"/>
      <c r="AC11" s="773"/>
      <c r="AD11" s="773"/>
      <c r="AE11" s="771"/>
      <c r="AF11" s="1106"/>
      <c r="AG11" s="1107"/>
      <c r="AH11" s="1107"/>
      <c r="AI11" s="1107"/>
      <c r="AJ11" t="str">
        <f>CB11&amp;CC11&amp;CD11&amp;CE11&amp;CF11&amp;CG11&amp;CH11</f>
        <v/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 s="1902"/>
      <c r="CC11" s="1899" t="str">
        <f t="shared" ref="CC11:CC52" si="0">IF(AND($D11&lt;&gt;0,AC11=""),"* No olvide ingresar la variable "&amp;AC$9&amp;""&amp;" (Digite CERO si no tiene).  ",IF(AC11&gt;$D11,"* La variable Pueblos Originarios no puede superar el Total. ",""))</f>
        <v/>
      </c>
      <c r="CD11" s="1899" t="str">
        <f t="shared" ref="CD11:CD52" si="1">IF(AND($D11&lt;&gt;0,AD11=""),"* No olvide ingresar la variable "&amp;AD$9&amp;""&amp;" (Digite CERO si no tiene).  ",IF(AD11&gt;$D11,"* La variable Migrantes no puede superar el Total. ",""))</f>
        <v/>
      </c>
      <c r="CE11" s="1899" t="str">
        <f t="shared" ref="CE11:CE22" si="2">IF(AND($D11&lt;&gt;0,AE11=""),"* No olvide ingresar la variable "&amp;AE$9&amp;""&amp;" (Digite CERO si no tiene).  ",IF(AE11&gt;$D11,"* La variable Espacios Amigables/ Adolescentes no puede superar el Total. ",""))</f>
        <v/>
      </c>
      <c r="CF11" s="1899" t="str">
        <f t="shared" ref="CF11:CF52" si="3">IF(AND(D11&gt;0,OR(AF11="",AG11="",))," * No olvide digitar la variable TRANS Masculino/Femenino (Digite CERO si no tiene). ",IF(AF11+AG11&gt;$D11,"* La suma de TRANS Masculino + Femenino no puede superar el Total. ",""))</f>
        <v/>
      </c>
      <c r="CG11" s="1899" t="str">
        <f>IF(AND(D11&gt;0,AH11=""),"* No olvide digitar la variable Niños, niñas, adolescentes y jóvenes SENAME (Digite CERO si no tiene). ",IF(AH11&gt;$D11,"* La suma de Niños, niñas, adolescentes y jóvenes SENAME no puede superar el Total. ",""))</f>
        <v/>
      </c>
      <c r="CH11" s="1899" t="str">
        <f>IF(AND(D11&gt;0,AI11=""),"* No olvide digitar la variable Niños, niñas, adolescentes y jóvenes Mejor Niñez (Digite CERO si no tiene). ",IF(AI11&gt;$D11,"* La suma de Niños, niñas, adolescentes y jóvenes Mejor Niñez no puede superar el Total. ",""))</f>
        <v/>
      </c>
      <c r="CK11" s="1971"/>
      <c r="CL11" s="1902"/>
      <c r="CM11" s="1901">
        <f t="shared" ref="CM11:CM22" si="4">IF(AND($D11&lt;&gt;0,AC11=""),1,IF(AC11&gt;$D11,1,0))</f>
        <v>0</v>
      </c>
      <c r="CN11" s="1901">
        <f t="shared" ref="CN11:CN22" si="5">IF(AND($D11&lt;&gt;0,AD11=""),1,IF(AD11&gt;$D11,1,0))</f>
        <v>0</v>
      </c>
      <c r="CO11" s="1901">
        <f t="shared" ref="CO11:CO22" si="6">IF(AND($D11&lt;&gt;0,AE11=""),1,IF(AE11&gt;$D11,1,0))</f>
        <v>0</v>
      </c>
      <c r="CP11" s="1901">
        <f t="shared" ref="CP11:CP52" si="7">IF(AND(D11&gt;0,OR(AF11="",AG11="",)),1,IF(AF11+AG11&gt;$D11,1,0))</f>
        <v>0</v>
      </c>
      <c r="CQ11" s="4005">
        <f>IF(AND(D11&gt;0,AH11=""),1,IF(AH11&gt;$D11,1,0))</f>
        <v>0</v>
      </c>
      <c r="CR11" s="4005">
        <f>IF(AND(D11&gt;0,AI11=""),1,IF(AI11&gt;$D11,1,0))</f>
        <v>0</v>
      </c>
    </row>
    <row r="12" spans="1:96" s="19" customFormat="1" x14ac:dyDescent="0.3">
      <c r="A12" s="7163"/>
      <c r="B12" s="7090" t="s">
        <v>3160</v>
      </c>
      <c r="C12" s="4728" t="s">
        <v>3161</v>
      </c>
      <c r="D12" s="1184">
        <f>SUM(E12:X12)</f>
        <v>0</v>
      </c>
      <c r="E12" s="1106"/>
      <c r="F12" s="773"/>
      <c r="G12" s="773"/>
      <c r="H12" s="773"/>
      <c r="I12" s="771"/>
      <c r="J12" s="773"/>
      <c r="K12" s="773"/>
      <c r="L12" s="773"/>
      <c r="M12" s="773"/>
      <c r="N12" s="773"/>
      <c r="O12" s="773"/>
      <c r="P12" s="773"/>
      <c r="Q12" s="773"/>
      <c r="R12" s="773"/>
      <c r="S12" s="773"/>
      <c r="T12" s="773"/>
      <c r="U12" s="773"/>
      <c r="V12" s="773"/>
      <c r="W12" s="773"/>
      <c r="X12" s="759"/>
      <c r="Y12" s="4825"/>
      <c r="Z12" s="3728"/>
      <c r="AA12" s="4691"/>
      <c r="AB12" s="1321"/>
      <c r="AC12" s="773"/>
      <c r="AD12" s="773"/>
      <c r="AE12" s="771"/>
      <c r="AF12" s="1106"/>
      <c r="AG12" s="1107"/>
      <c r="AH12" s="1107"/>
      <c r="AI12" s="1107"/>
      <c r="AJ12" t="str">
        <f t="shared" ref="AJ12:AJ52" si="8">CB12&amp;CC12&amp;CD12&amp;CE12&amp;CF12&amp;CG12&amp;CH12</f>
        <v/>
      </c>
      <c r="CB12" s="1899" t="str">
        <f t="shared" ref="CB12:CB50" si="9">IF(AND($D12&lt;&gt;0,AB12=""),"* No olvide ingresar la columna "&amp;AB$9&amp;""&amp;" (Digite CERO si no tiene).  ",IF(AB12&gt;$D12,"* El Número de Familias en Riesgo no puede superar el Total. ",""))</f>
        <v/>
      </c>
      <c r="CC12" s="1899" t="str">
        <f t="shared" si="0"/>
        <v/>
      </c>
      <c r="CD12" s="1899" t="str">
        <f t="shared" si="1"/>
        <v/>
      </c>
      <c r="CE12" s="1899" t="str">
        <f t="shared" si="2"/>
        <v/>
      </c>
      <c r="CF12" s="1899" t="str">
        <f t="shared" si="3"/>
        <v/>
      </c>
      <c r="CG12" s="1899" t="str">
        <f t="shared" ref="CG12:CG52" si="10">IF(AND(D12&gt;0,AI12=""),"* No olvide digitar la variable Niños, niñas, adolescentes y jóvenes SENAME (Digite CERO si no tiene). ",IF(AI12&gt;$D12,"* La suma de Niños, niñas, adolescentes y jóvenes SENAME no puede superar el Total. ",""))</f>
        <v/>
      </c>
      <c r="CH12" s="1899" t="str">
        <f t="shared" ref="CH12:CH52" si="11">IF(AND(D12&gt;0,AI12=""),"* No olvide digitar la variable Niños, niñas, adolescentes y jóvenes Mejor Niñez (Digite CERO si no tiene). ",IF(AI12&gt;$D12,"* La suma de Niños, niñas, adolescentes y jóvenes Mejor Niñez no puede superar el Total. ",""))</f>
        <v/>
      </c>
      <c r="CK12" s="1971"/>
      <c r="CL12" s="1901">
        <f t="shared" ref="CL12:CL50" si="12">IF(AND($D12&lt;&gt;0,AB12=""),1,IF(AB12&gt;$D12,1,0))</f>
        <v>0</v>
      </c>
      <c r="CM12" s="1901">
        <f t="shared" si="4"/>
        <v>0</v>
      </c>
      <c r="CN12" s="1901">
        <f t="shared" si="5"/>
        <v>0</v>
      </c>
      <c r="CO12" s="1901">
        <f t="shared" si="6"/>
        <v>0</v>
      </c>
      <c r="CP12" s="1901">
        <f t="shared" si="7"/>
        <v>0</v>
      </c>
      <c r="CQ12" s="4005">
        <f t="shared" ref="CQ12:CQ52" si="13">IF(AND(D12&gt;0,AI12=""),1,IF(AI12&gt;$D12,1,0))</f>
        <v>0</v>
      </c>
      <c r="CR12" s="4005">
        <f t="shared" ref="CR12:CR52" si="14">IF(AND(D12&gt;0,AI12=""),1,IF(AI12&gt;$D12,1,0))</f>
        <v>0</v>
      </c>
    </row>
    <row r="13" spans="1:96" s="19" customFormat="1" ht="15" customHeight="1" x14ac:dyDescent="0.3">
      <c r="A13" s="7163"/>
      <c r="B13" s="7163"/>
      <c r="C13" s="1812" t="s">
        <v>3162</v>
      </c>
      <c r="D13" s="1187">
        <f t="shared" ref="D13:D21" si="15">SUM(E13:X13)</f>
        <v>0</v>
      </c>
      <c r="E13" s="290"/>
      <c r="F13" s="535"/>
      <c r="G13" s="535"/>
      <c r="H13" s="535"/>
      <c r="I13" s="637"/>
      <c r="J13" s="535"/>
      <c r="K13" s="535"/>
      <c r="L13" s="535"/>
      <c r="M13" s="535"/>
      <c r="N13" s="535"/>
      <c r="O13" s="535"/>
      <c r="P13" s="535"/>
      <c r="Q13" s="535"/>
      <c r="R13" s="535"/>
      <c r="S13" s="535"/>
      <c r="T13" s="535"/>
      <c r="U13" s="535"/>
      <c r="V13" s="535"/>
      <c r="W13" s="535"/>
      <c r="X13" s="1120"/>
      <c r="Y13" s="4826"/>
      <c r="Z13" s="4650"/>
      <c r="AA13" s="4827"/>
      <c r="AB13" s="296"/>
      <c r="AC13" s="535"/>
      <c r="AD13" s="535"/>
      <c r="AE13" s="637"/>
      <c r="AF13" s="290"/>
      <c r="AG13" s="107"/>
      <c r="AH13" s="107"/>
      <c r="AI13" s="107"/>
      <c r="AJ13" t="str">
        <f t="shared" si="8"/>
        <v/>
      </c>
      <c r="CB13" s="1899" t="str">
        <f t="shared" si="9"/>
        <v/>
      </c>
      <c r="CC13" s="1899" t="str">
        <f t="shared" si="0"/>
        <v/>
      </c>
      <c r="CD13" s="1899" t="str">
        <f t="shared" si="1"/>
        <v/>
      </c>
      <c r="CE13" s="1899" t="str">
        <f t="shared" si="2"/>
        <v/>
      </c>
      <c r="CF13" s="1899" t="str">
        <f t="shared" si="3"/>
        <v/>
      </c>
      <c r="CG13" s="1899" t="str">
        <f t="shared" si="10"/>
        <v/>
      </c>
      <c r="CH13" s="1899" t="str">
        <f t="shared" si="11"/>
        <v/>
      </c>
      <c r="CK13" s="1971"/>
      <c r="CL13" s="1901">
        <f t="shared" si="12"/>
        <v>0</v>
      </c>
      <c r="CM13" s="1901">
        <f t="shared" si="4"/>
        <v>0</v>
      </c>
      <c r="CN13" s="1901">
        <f t="shared" si="5"/>
        <v>0</v>
      </c>
      <c r="CO13" s="1901">
        <f t="shared" si="6"/>
        <v>0</v>
      </c>
      <c r="CP13" s="1901">
        <f t="shared" si="7"/>
        <v>0</v>
      </c>
      <c r="CQ13" s="4005">
        <f t="shared" si="13"/>
        <v>0</v>
      </c>
      <c r="CR13" s="4005">
        <f t="shared" si="14"/>
        <v>0</v>
      </c>
    </row>
    <row r="14" spans="1:96" s="19" customFormat="1" ht="15" customHeight="1" x14ac:dyDescent="0.3">
      <c r="A14" s="7163"/>
      <c r="B14" s="7163"/>
      <c r="C14" s="1462" t="s">
        <v>3163</v>
      </c>
      <c r="D14" s="1187">
        <f t="shared" si="15"/>
        <v>0</v>
      </c>
      <c r="E14" s="1114"/>
      <c r="F14" s="1278"/>
      <c r="G14" s="1278"/>
      <c r="H14" s="1278"/>
      <c r="I14" s="1118"/>
      <c r="J14" s="1278"/>
      <c r="K14" s="1278"/>
      <c r="L14" s="1278"/>
      <c r="M14" s="1278"/>
      <c r="N14" s="1278"/>
      <c r="O14" s="1278"/>
      <c r="P14" s="1278"/>
      <c r="Q14" s="1278"/>
      <c r="R14" s="1278"/>
      <c r="S14" s="1278"/>
      <c r="T14" s="1278"/>
      <c r="U14" s="1278"/>
      <c r="V14" s="1278"/>
      <c r="W14" s="1278"/>
      <c r="X14" s="1120"/>
      <c r="Y14" s="4828"/>
      <c r="Z14" s="4650"/>
      <c r="AA14" s="4827"/>
      <c r="AB14" s="1326"/>
      <c r="AC14" s="1278"/>
      <c r="AD14" s="1278"/>
      <c r="AE14" s="1118"/>
      <c r="AF14" s="1114"/>
      <c r="AG14" s="1115"/>
      <c r="AH14" s="1115"/>
      <c r="AI14" s="1115"/>
      <c r="AJ14" t="str">
        <f t="shared" si="8"/>
        <v/>
      </c>
      <c r="CB14" s="1899" t="str">
        <f t="shared" si="9"/>
        <v/>
      </c>
      <c r="CC14" s="1899" t="str">
        <f t="shared" si="0"/>
        <v/>
      </c>
      <c r="CD14" s="1899" t="str">
        <f t="shared" si="1"/>
        <v/>
      </c>
      <c r="CE14" s="1899" t="str">
        <f t="shared" si="2"/>
        <v/>
      </c>
      <c r="CF14" s="1899" t="str">
        <f t="shared" si="3"/>
        <v/>
      </c>
      <c r="CG14" s="1899" t="str">
        <f t="shared" si="10"/>
        <v/>
      </c>
      <c r="CH14" s="1899" t="str">
        <f t="shared" si="11"/>
        <v/>
      </c>
      <c r="CK14" s="1971"/>
      <c r="CL14" s="1901">
        <f t="shared" si="12"/>
        <v>0</v>
      </c>
      <c r="CM14" s="1901">
        <f t="shared" si="4"/>
        <v>0</v>
      </c>
      <c r="CN14" s="1901">
        <f t="shared" si="5"/>
        <v>0</v>
      </c>
      <c r="CO14" s="1901">
        <f t="shared" si="6"/>
        <v>0</v>
      </c>
      <c r="CP14" s="1901">
        <f t="shared" si="7"/>
        <v>0</v>
      </c>
      <c r="CQ14" s="4005">
        <f t="shared" si="13"/>
        <v>0</v>
      </c>
      <c r="CR14" s="4005">
        <f t="shared" si="14"/>
        <v>0</v>
      </c>
    </row>
    <row r="15" spans="1:96" s="19" customFormat="1" ht="15" customHeight="1" x14ac:dyDescent="0.3">
      <c r="A15" s="7163"/>
      <c r="B15" s="7195"/>
      <c r="C15" s="4712" t="s">
        <v>3164</v>
      </c>
      <c r="D15" s="4829">
        <f t="shared" si="15"/>
        <v>0</v>
      </c>
      <c r="E15" s="1289"/>
      <c r="F15" s="262"/>
      <c r="G15" s="262"/>
      <c r="H15" s="262"/>
      <c r="I15" s="311"/>
      <c r="J15" s="262"/>
      <c r="K15" s="262"/>
      <c r="L15" s="262"/>
      <c r="M15" s="262"/>
      <c r="N15" s="262"/>
      <c r="O15" s="262"/>
      <c r="P15" s="262"/>
      <c r="Q15" s="262"/>
      <c r="R15" s="262"/>
      <c r="S15" s="262"/>
      <c r="T15" s="262"/>
      <c r="U15" s="262"/>
      <c r="V15" s="262"/>
      <c r="W15" s="262"/>
      <c r="X15" s="297"/>
      <c r="Y15" s="4830"/>
      <c r="Z15" s="293"/>
      <c r="AA15" s="294"/>
      <c r="AB15" s="266"/>
      <c r="AC15" s="262"/>
      <c r="AD15" s="262"/>
      <c r="AE15" s="311"/>
      <c r="AF15" s="1289"/>
      <c r="AG15" s="1474"/>
      <c r="AH15" s="1474"/>
      <c r="AI15" s="1474"/>
      <c r="AJ15" t="str">
        <f t="shared" si="8"/>
        <v/>
      </c>
      <c r="CB15" s="1899" t="str">
        <f t="shared" si="9"/>
        <v/>
      </c>
      <c r="CC15" s="1899" t="str">
        <f t="shared" si="0"/>
        <v/>
      </c>
      <c r="CD15" s="1899" t="str">
        <f t="shared" si="1"/>
        <v/>
      </c>
      <c r="CE15" s="1899" t="str">
        <f t="shared" si="2"/>
        <v/>
      </c>
      <c r="CF15" s="1899" t="str">
        <f t="shared" si="3"/>
        <v/>
      </c>
      <c r="CG15" s="1899" t="str">
        <f t="shared" si="10"/>
        <v/>
      </c>
      <c r="CH15" s="1899" t="str">
        <f t="shared" si="11"/>
        <v/>
      </c>
      <c r="CK15" s="1971"/>
      <c r="CL15" s="1901">
        <f t="shared" si="12"/>
        <v>0</v>
      </c>
      <c r="CM15" s="1901">
        <f t="shared" si="4"/>
        <v>0</v>
      </c>
      <c r="CN15" s="1901">
        <f t="shared" si="5"/>
        <v>0</v>
      </c>
      <c r="CO15" s="1901">
        <f t="shared" si="6"/>
        <v>0</v>
      </c>
      <c r="CP15" s="1901">
        <f t="shared" si="7"/>
        <v>0</v>
      </c>
      <c r="CQ15" s="4005">
        <f t="shared" si="13"/>
        <v>0</v>
      </c>
      <c r="CR15" s="4005">
        <f t="shared" si="14"/>
        <v>0</v>
      </c>
    </row>
    <row r="16" spans="1:96" s="19" customFormat="1" ht="15" customHeight="1" x14ac:dyDescent="0.3">
      <c r="A16" s="7163"/>
      <c r="B16" s="6641" t="s">
        <v>3165</v>
      </c>
      <c r="C16" s="6642"/>
      <c r="D16" s="295">
        <f t="shared" si="15"/>
        <v>0</v>
      </c>
      <c r="E16" s="290"/>
      <c r="F16" s="535"/>
      <c r="G16" s="535"/>
      <c r="H16" s="535"/>
      <c r="I16" s="107"/>
      <c r="J16" s="22"/>
      <c r="K16" s="535"/>
      <c r="L16" s="535"/>
      <c r="M16" s="735"/>
      <c r="N16" s="735"/>
      <c r="O16" s="735"/>
      <c r="P16" s="735"/>
      <c r="Q16" s="735"/>
      <c r="R16" s="735"/>
      <c r="S16" s="735"/>
      <c r="T16" s="735"/>
      <c r="U16" s="735"/>
      <c r="V16" s="735"/>
      <c r="W16" s="735"/>
      <c r="X16" s="735"/>
      <c r="Y16" s="4672"/>
      <c r="Z16" s="536"/>
      <c r="AA16" s="537"/>
      <c r="AB16" s="296"/>
      <c r="AC16" s="535"/>
      <c r="AD16" s="535"/>
      <c r="AE16" s="637"/>
      <c r="AF16" s="290"/>
      <c r="AG16" s="107"/>
      <c r="AH16" s="107"/>
      <c r="AI16" s="107"/>
      <c r="AJ16" t="str">
        <f t="shared" si="8"/>
        <v/>
      </c>
      <c r="CB16" s="1899" t="str">
        <f t="shared" si="9"/>
        <v/>
      </c>
      <c r="CC16" s="1899" t="str">
        <f t="shared" si="0"/>
        <v/>
      </c>
      <c r="CD16" s="1899" t="str">
        <f t="shared" si="1"/>
        <v/>
      </c>
      <c r="CE16" s="1899" t="str">
        <f t="shared" si="2"/>
        <v/>
      </c>
      <c r="CF16" s="1899" t="str">
        <f t="shared" si="3"/>
        <v/>
      </c>
      <c r="CG16" s="1899" t="str">
        <f t="shared" si="10"/>
        <v/>
      </c>
      <c r="CH16" s="1899" t="str">
        <f t="shared" si="11"/>
        <v/>
      </c>
      <c r="CK16" s="1971"/>
      <c r="CL16" s="1901">
        <f t="shared" si="12"/>
        <v>0</v>
      </c>
      <c r="CM16" s="1901">
        <f t="shared" si="4"/>
        <v>0</v>
      </c>
      <c r="CN16" s="1901">
        <f t="shared" si="5"/>
        <v>0</v>
      </c>
      <c r="CO16" s="1901">
        <f t="shared" si="6"/>
        <v>0</v>
      </c>
      <c r="CP16" s="1901">
        <f t="shared" si="7"/>
        <v>0</v>
      </c>
      <c r="CQ16" s="4005">
        <f t="shared" si="13"/>
        <v>0</v>
      </c>
      <c r="CR16" s="4005">
        <f t="shared" si="14"/>
        <v>0</v>
      </c>
    </row>
    <row r="17" spans="1:96" s="19" customFormat="1" ht="15" customHeight="1" x14ac:dyDescent="0.3">
      <c r="A17" s="7163"/>
      <c r="B17" s="7095" t="s">
        <v>3166</v>
      </c>
      <c r="C17" s="7096"/>
      <c r="D17" s="1187">
        <f t="shared" si="15"/>
        <v>0</v>
      </c>
      <c r="E17" s="1114"/>
      <c r="F17" s="1278"/>
      <c r="G17" s="1278"/>
      <c r="H17" s="1278"/>
      <c r="I17" s="1115"/>
      <c r="J17" s="1116"/>
      <c r="K17" s="1278"/>
      <c r="L17" s="1278"/>
      <c r="M17" s="1117"/>
      <c r="N17" s="1117"/>
      <c r="O17" s="1117"/>
      <c r="P17" s="1117"/>
      <c r="Q17" s="1117"/>
      <c r="R17" s="1117"/>
      <c r="S17" s="1117"/>
      <c r="T17" s="1117"/>
      <c r="U17" s="1117"/>
      <c r="V17" s="1117"/>
      <c r="W17" s="1117"/>
      <c r="X17" s="1117"/>
      <c r="Y17" s="3831"/>
      <c r="Z17" s="4650"/>
      <c r="AA17" s="4827"/>
      <c r="AB17" s="1326"/>
      <c r="AC17" s="1278"/>
      <c r="AD17" s="1278"/>
      <c r="AE17" s="1118"/>
      <c r="AF17" s="1114"/>
      <c r="AG17" s="1115"/>
      <c r="AH17" s="1115"/>
      <c r="AI17" s="1115"/>
      <c r="AJ17" t="str">
        <f t="shared" si="8"/>
        <v/>
      </c>
      <c r="CB17" s="1899" t="str">
        <f t="shared" si="9"/>
        <v/>
      </c>
      <c r="CC17" s="1899" t="str">
        <f t="shared" si="0"/>
        <v/>
      </c>
      <c r="CD17" s="1899" t="str">
        <f t="shared" si="1"/>
        <v/>
      </c>
      <c r="CE17" s="1899" t="str">
        <f t="shared" si="2"/>
        <v/>
      </c>
      <c r="CF17" s="1899" t="str">
        <f t="shared" si="3"/>
        <v/>
      </c>
      <c r="CG17" s="1899" t="str">
        <f t="shared" si="10"/>
        <v/>
      </c>
      <c r="CH17" s="1899" t="str">
        <f t="shared" si="11"/>
        <v/>
      </c>
      <c r="CK17" s="1971"/>
      <c r="CL17" s="1901">
        <f t="shared" si="12"/>
        <v>0</v>
      </c>
      <c r="CM17" s="1901">
        <f t="shared" si="4"/>
        <v>0</v>
      </c>
      <c r="CN17" s="1901">
        <f t="shared" si="5"/>
        <v>0</v>
      </c>
      <c r="CO17" s="1901">
        <f t="shared" si="6"/>
        <v>0</v>
      </c>
      <c r="CP17" s="1901">
        <f t="shared" si="7"/>
        <v>0</v>
      </c>
      <c r="CQ17" s="4005">
        <f t="shared" si="13"/>
        <v>0</v>
      </c>
      <c r="CR17" s="4005">
        <f t="shared" si="14"/>
        <v>0</v>
      </c>
    </row>
    <row r="18" spans="1:96" s="19" customFormat="1" ht="15" customHeight="1" x14ac:dyDescent="0.3">
      <c r="A18" s="7163"/>
      <c r="B18" s="7095" t="s">
        <v>3167</v>
      </c>
      <c r="C18" s="7096"/>
      <c r="D18" s="1187">
        <f t="shared" si="15"/>
        <v>0</v>
      </c>
      <c r="E18" s="1114"/>
      <c r="F18" s="1278"/>
      <c r="G18" s="1278"/>
      <c r="H18" s="1278"/>
      <c r="I18" s="1115"/>
      <c r="J18" s="1116"/>
      <c r="K18" s="1278"/>
      <c r="L18" s="1278"/>
      <c r="M18" s="1117"/>
      <c r="N18" s="1117"/>
      <c r="O18" s="1117"/>
      <c r="P18" s="1117"/>
      <c r="Q18" s="1117"/>
      <c r="R18" s="1117"/>
      <c r="S18" s="1117"/>
      <c r="T18" s="1117"/>
      <c r="U18" s="1117"/>
      <c r="V18" s="1117"/>
      <c r="W18" s="1117"/>
      <c r="X18" s="1117"/>
      <c r="Y18" s="3831"/>
      <c r="Z18" s="4650"/>
      <c r="AA18" s="4827"/>
      <c r="AB18" s="1326"/>
      <c r="AC18" s="1278"/>
      <c r="AD18" s="1278"/>
      <c r="AE18" s="1118"/>
      <c r="AF18" s="1114"/>
      <c r="AG18" s="1115"/>
      <c r="AH18" s="1115"/>
      <c r="AI18" s="1115"/>
      <c r="AJ18" t="str">
        <f t="shared" si="8"/>
        <v/>
      </c>
      <c r="CB18" s="1899" t="str">
        <f t="shared" si="9"/>
        <v/>
      </c>
      <c r="CC18" s="1899" t="str">
        <f t="shared" si="0"/>
        <v/>
      </c>
      <c r="CD18" s="1899" t="str">
        <f t="shared" si="1"/>
        <v/>
      </c>
      <c r="CE18" s="1899" t="str">
        <f t="shared" si="2"/>
        <v/>
      </c>
      <c r="CF18" s="1899" t="str">
        <f t="shared" si="3"/>
        <v/>
      </c>
      <c r="CG18" s="1899" t="str">
        <f t="shared" si="10"/>
        <v/>
      </c>
      <c r="CH18" s="1899" t="str">
        <f t="shared" si="11"/>
        <v/>
      </c>
      <c r="CK18" s="1971"/>
      <c r="CL18" s="1901">
        <f t="shared" si="12"/>
        <v>0</v>
      </c>
      <c r="CM18" s="1901">
        <f t="shared" si="4"/>
        <v>0</v>
      </c>
      <c r="CN18" s="1901">
        <f t="shared" si="5"/>
        <v>0</v>
      </c>
      <c r="CO18" s="1901">
        <f t="shared" si="6"/>
        <v>0</v>
      </c>
      <c r="CP18" s="1901">
        <f t="shared" si="7"/>
        <v>0</v>
      </c>
      <c r="CQ18" s="4005">
        <f t="shared" si="13"/>
        <v>0</v>
      </c>
      <c r="CR18" s="4005">
        <f t="shared" si="14"/>
        <v>0</v>
      </c>
    </row>
    <row r="19" spans="1:96" s="19" customFormat="1" ht="15" customHeight="1" x14ac:dyDescent="0.3">
      <c r="A19" s="7163"/>
      <c r="B19" s="7334" t="s">
        <v>3168</v>
      </c>
      <c r="C19" s="7335"/>
      <c r="D19" s="1188">
        <f t="shared" si="15"/>
        <v>0</v>
      </c>
      <c r="E19" s="1139"/>
      <c r="F19" s="1283"/>
      <c r="G19" s="1283"/>
      <c r="H19" s="1283"/>
      <c r="I19" s="388"/>
      <c r="J19" s="1152"/>
      <c r="K19" s="1283"/>
      <c r="L19" s="1283"/>
      <c r="M19" s="1153"/>
      <c r="N19" s="1153"/>
      <c r="O19" s="1153"/>
      <c r="P19" s="1153"/>
      <c r="Q19" s="1153"/>
      <c r="R19" s="1153"/>
      <c r="S19" s="1153"/>
      <c r="T19" s="1153"/>
      <c r="U19" s="1153"/>
      <c r="V19" s="1153"/>
      <c r="W19" s="1153"/>
      <c r="X19" s="1153"/>
      <c r="Y19" s="1330"/>
      <c r="Z19" s="1283"/>
      <c r="AA19" s="1351"/>
      <c r="AB19" s="1330"/>
      <c r="AC19" s="1283"/>
      <c r="AD19" s="1283"/>
      <c r="AE19" s="1140"/>
      <c r="AF19" s="1139"/>
      <c r="AG19" s="388"/>
      <c r="AH19" s="388"/>
      <c r="AI19" s="388"/>
      <c r="AJ19" t="str">
        <f t="shared" si="8"/>
        <v/>
      </c>
      <c r="CB19" s="1899" t="str">
        <f t="shared" si="9"/>
        <v/>
      </c>
      <c r="CC19" s="1899" t="str">
        <f t="shared" si="0"/>
        <v/>
      </c>
      <c r="CD19" s="1899" t="str">
        <f t="shared" si="1"/>
        <v/>
      </c>
      <c r="CE19" s="1899" t="str">
        <f t="shared" si="2"/>
        <v/>
      </c>
      <c r="CF19" s="1899" t="str">
        <f t="shared" si="3"/>
        <v/>
      </c>
      <c r="CG19" s="1899" t="str">
        <f t="shared" si="10"/>
        <v/>
      </c>
      <c r="CH19" s="1899" t="str">
        <f t="shared" si="11"/>
        <v/>
      </c>
      <c r="CK19" s="1971"/>
      <c r="CL19" s="1901">
        <f t="shared" si="12"/>
        <v>0</v>
      </c>
      <c r="CM19" s="1901">
        <f t="shared" si="4"/>
        <v>0</v>
      </c>
      <c r="CN19" s="1901">
        <f t="shared" si="5"/>
        <v>0</v>
      </c>
      <c r="CO19" s="1901">
        <f t="shared" si="6"/>
        <v>0</v>
      </c>
      <c r="CP19" s="1901">
        <f t="shared" si="7"/>
        <v>0</v>
      </c>
      <c r="CQ19" s="4005">
        <f t="shared" si="13"/>
        <v>0</v>
      </c>
      <c r="CR19" s="4005">
        <f t="shared" si="14"/>
        <v>0</v>
      </c>
    </row>
    <row r="20" spans="1:96" s="19" customFormat="1" ht="15" customHeight="1" x14ac:dyDescent="0.3">
      <c r="A20" s="7163"/>
      <c r="B20" s="7060" t="s">
        <v>3169</v>
      </c>
      <c r="C20" s="1445" t="s">
        <v>59</v>
      </c>
      <c r="D20" s="1184">
        <f t="shared" si="15"/>
        <v>0</v>
      </c>
      <c r="E20" s="2667"/>
      <c r="F20" s="2673"/>
      <c r="G20" s="2673"/>
      <c r="H20" s="2673"/>
      <c r="I20" s="2668"/>
      <c r="J20" s="1108"/>
      <c r="K20" s="773"/>
      <c r="L20" s="773"/>
      <c r="M20" s="1109"/>
      <c r="N20" s="1109"/>
      <c r="O20" s="1109"/>
      <c r="P20" s="1109"/>
      <c r="Q20" s="1109"/>
      <c r="R20" s="1109"/>
      <c r="S20" s="1109"/>
      <c r="T20" s="1109"/>
      <c r="U20" s="1109"/>
      <c r="V20" s="1109"/>
      <c r="W20" s="1109"/>
      <c r="X20" s="1109"/>
      <c r="Y20" s="1321"/>
      <c r="Z20" s="773"/>
      <c r="AA20" s="759"/>
      <c r="AB20" s="1321"/>
      <c r="AC20" s="773"/>
      <c r="AD20" s="773"/>
      <c r="AE20" s="771"/>
      <c r="AF20" s="1106"/>
      <c r="AG20" s="1107"/>
      <c r="AH20" s="1107"/>
      <c r="AI20" s="1107"/>
      <c r="AJ20" t="str">
        <f t="shared" si="8"/>
        <v/>
      </c>
      <c r="CB20" s="1899" t="str">
        <f t="shared" si="9"/>
        <v/>
      </c>
      <c r="CC20" s="1899" t="str">
        <f t="shared" si="0"/>
        <v/>
      </c>
      <c r="CD20" s="1899" t="str">
        <f t="shared" si="1"/>
        <v/>
      </c>
      <c r="CE20" s="1899" t="str">
        <f t="shared" si="2"/>
        <v/>
      </c>
      <c r="CF20" s="1899" t="str">
        <f t="shared" si="3"/>
        <v/>
      </c>
      <c r="CG20" s="1899" t="str">
        <f t="shared" si="10"/>
        <v/>
      </c>
      <c r="CH20" s="1899" t="str">
        <f t="shared" si="11"/>
        <v/>
      </c>
      <c r="CK20" s="1971"/>
      <c r="CL20" s="1901">
        <f t="shared" si="12"/>
        <v>0</v>
      </c>
      <c r="CM20" s="1901">
        <f t="shared" si="4"/>
        <v>0</v>
      </c>
      <c r="CN20" s="1901">
        <f t="shared" si="5"/>
        <v>0</v>
      </c>
      <c r="CO20" s="1901">
        <f t="shared" si="6"/>
        <v>0</v>
      </c>
      <c r="CP20" s="1901">
        <f t="shared" si="7"/>
        <v>0</v>
      </c>
      <c r="CQ20" s="4005">
        <f t="shared" si="13"/>
        <v>0</v>
      </c>
      <c r="CR20" s="4005">
        <f t="shared" si="14"/>
        <v>0</v>
      </c>
    </row>
    <row r="21" spans="1:96" s="19" customFormat="1" ht="15" customHeight="1" x14ac:dyDescent="0.3">
      <c r="A21" s="7163"/>
      <c r="B21" s="7196"/>
      <c r="C21" s="1819" t="s">
        <v>58</v>
      </c>
      <c r="D21" s="1188">
        <f t="shared" si="15"/>
        <v>0</v>
      </c>
      <c r="E21" s="2667"/>
      <c r="F21" s="2673"/>
      <c r="G21" s="2673"/>
      <c r="H21" s="2673"/>
      <c r="I21" s="2668"/>
      <c r="J21" s="1152"/>
      <c r="K21" s="1283"/>
      <c r="L21" s="1283"/>
      <c r="M21" s="1153"/>
      <c r="N21" s="1153"/>
      <c r="O21" s="1153"/>
      <c r="P21" s="1153"/>
      <c r="Q21" s="1153"/>
      <c r="R21" s="1153"/>
      <c r="S21" s="1153"/>
      <c r="T21" s="1153"/>
      <c r="U21" s="1153"/>
      <c r="V21" s="1153"/>
      <c r="W21" s="1153"/>
      <c r="X21" s="1153"/>
      <c r="Y21" s="1330"/>
      <c r="Z21" s="1283"/>
      <c r="AA21" s="1351"/>
      <c r="AB21" s="1330"/>
      <c r="AC21" s="1283"/>
      <c r="AD21" s="1283"/>
      <c r="AE21" s="1140"/>
      <c r="AF21" s="1139"/>
      <c r="AG21" s="388"/>
      <c r="AH21" s="388"/>
      <c r="AI21" s="388"/>
      <c r="AJ21" t="str">
        <f t="shared" si="8"/>
        <v/>
      </c>
      <c r="CB21" s="1899" t="str">
        <f t="shared" si="9"/>
        <v/>
      </c>
      <c r="CC21" s="1899" t="str">
        <f t="shared" si="0"/>
        <v/>
      </c>
      <c r="CD21" s="1899" t="str">
        <f t="shared" si="1"/>
        <v/>
      </c>
      <c r="CE21" s="1899" t="str">
        <f t="shared" si="2"/>
        <v/>
      </c>
      <c r="CF21" s="1899" t="str">
        <f t="shared" si="3"/>
        <v/>
      </c>
      <c r="CG21" s="1899" t="str">
        <f t="shared" si="10"/>
        <v/>
      </c>
      <c r="CH21" s="1899" t="str">
        <f t="shared" si="11"/>
        <v/>
      </c>
      <c r="CK21" s="1971"/>
      <c r="CL21" s="1901">
        <f t="shared" si="12"/>
        <v>0</v>
      </c>
      <c r="CM21" s="1901">
        <f t="shared" si="4"/>
        <v>0</v>
      </c>
      <c r="CN21" s="1901">
        <f t="shared" si="5"/>
        <v>0</v>
      </c>
      <c r="CO21" s="1901">
        <f t="shared" si="6"/>
        <v>0</v>
      </c>
      <c r="CP21" s="1901">
        <f t="shared" si="7"/>
        <v>0</v>
      </c>
      <c r="CQ21" s="4005">
        <f t="shared" si="13"/>
        <v>0</v>
      </c>
      <c r="CR21" s="4005">
        <f t="shared" si="14"/>
        <v>0</v>
      </c>
    </row>
    <row r="22" spans="1:96" s="19" customFormat="1" ht="15" customHeight="1" x14ac:dyDescent="0.3">
      <c r="A22" s="7163"/>
      <c r="B22" s="6641" t="s">
        <v>3170</v>
      </c>
      <c r="C22" s="6642"/>
      <c r="D22" s="295">
        <f>P22+Q22+R22+S22+T22</f>
        <v>0</v>
      </c>
      <c r="E22" s="2667"/>
      <c r="F22" s="2673"/>
      <c r="G22" s="2673"/>
      <c r="H22" s="2673"/>
      <c r="I22" s="2668"/>
      <c r="J22" s="3743"/>
      <c r="K22" s="3777"/>
      <c r="L22" s="3777"/>
      <c r="M22" s="3777"/>
      <c r="N22" s="3777"/>
      <c r="O22" s="3777"/>
      <c r="P22" s="1109"/>
      <c r="Q22" s="735"/>
      <c r="R22" s="735"/>
      <c r="S22" s="735"/>
      <c r="T22" s="735"/>
      <c r="U22" s="3777"/>
      <c r="V22" s="3777"/>
      <c r="W22" s="3777"/>
      <c r="X22" s="4832"/>
      <c r="Y22" s="4672"/>
      <c r="Z22" s="536"/>
      <c r="AA22" s="537"/>
      <c r="AB22" s="296"/>
      <c r="AC22" s="535"/>
      <c r="AD22" s="535"/>
      <c r="AE22" s="637"/>
      <c r="AF22" s="290"/>
      <c r="AG22" s="107"/>
      <c r="AH22" s="107"/>
      <c r="AI22" s="107"/>
      <c r="AJ22" t="str">
        <f t="shared" si="8"/>
        <v/>
      </c>
      <c r="CB22" s="1899" t="str">
        <f t="shared" si="9"/>
        <v/>
      </c>
      <c r="CC22" s="1899" t="str">
        <f t="shared" si="0"/>
        <v/>
      </c>
      <c r="CD22" s="1899" t="str">
        <f t="shared" si="1"/>
        <v/>
      </c>
      <c r="CE22" s="1899" t="str">
        <f t="shared" si="2"/>
        <v/>
      </c>
      <c r="CF22" s="1899" t="str">
        <f t="shared" si="3"/>
        <v/>
      </c>
      <c r="CG22" s="1899" t="str">
        <f t="shared" si="10"/>
        <v/>
      </c>
      <c r="CH22" s="1899" t="str">
        <f t="shared" si="11"/>
        <v/>
      </c>
      <c r="CK22" s="1971"/>
      <c r="CL22" s="1901">
        <f t="shared" si="12"/>
        <v>0</v>
      </c>
      <c r="CM22" s="1901">
        <f t="shared" si="4"/>
        <v>0</v>
      </c>
      <c r="CN22" s="1901">
        <f t="shared" si="5"/>
        <v>0</v>
      </c>
      <c r="CO22" s="1901">
        <f t="shared" si="6"/>
        <v>0</v>
      </c>
      <c r="CP22" s="1901">
        <f t="shared" si="7"/>
        <v>0</v>
      </c>
      <c r="CQ22" s="4005">
        <f t="shared" si="13"/>
        <v>0</v>
      </c>
      <c r="CR22" s="4005">
        <f t="shared" si="14"/>
        <v>0</v>
      </c>
    </row>
    <row r="23" spans="1:96" s="19" customFormat="1" ht="24.75" customHeight="1" x14ac:dyDescent="0.3">
      <c r="A23" s="7163"/>
      <c r="B23" s="6091" t="s">
        <v>3171</v>
      </c>
      <c r="C23" s="6375"/>
      <c r="D23" s="193">
        <f>SUM(J23:S23)</f>
        <v>0</v>
      </c>
      <c r="E23" s="2667"/>
      <c r="F23" s="2673"/>
      <c r="G23" s="2673"/>
      <c r="H23" s="2673"/>
      <c r="I23" s="2668"/>
      <c r="J23" s="482"/>
      <c r="K23" s="594"/>
      <c r="L23" s="594"/>
      <c r="M23" s="594"/>
      <c r="N23" s="594"/>
      <c r="O23" s="594"/>
      <c r="P23" s="594"/>
      <c r="Q23" s="594"/>
      <c r="R23" s="594"/>
      <c r="S23" s="594"/>
      <c r="T23" s="3816"/>
      <c r="U23" s="3816"/>
      <c r="V23" s="3816"/>
      <c r="W23" s="3816"/>
      <c r="X23" s="3816"/>
      <c r="Y23" s="377"/>
      <c r="Z23" s="594"/>
      <c r="AA23" s="384"/>
      <c r="AB23" s="377"/>
      <c r="AC23" s="594"/>
      <c r="AD23" s="594"/>
      <c r="AE23" s="3809"/>
      <c r="AF23" s="192"/>
      <c r="AG23" s="2"/>
      <c r="AH23" s="2"/>
      <c r="AI23" s="2"/>
      <c r="AJ23" t="str">
        <f t="shared" si="8"/>
        <v/>
      </c>
      <c r="CB23" s="1899" t="str">
        <f t="shared" si="9"/>
        <v/>
      </c>
      <c r="CC23" s="1899" t="str">
        <f t="shared" si="0"/>
        <v/>
      </c>
      <c r="CD23" s="1899" t="str">
        <f t="shared" si="1"/>
        <v/>
      </c>
      <c r="CE23" s="1900"/>
      <c r="CF23" s="1899" t="str">
        <f t="shared" si="3"/>
        <v/>
      </c>
      <c r="CG23" s="1899" t="str">
        <f t="shared" si="10"/>
        <v/>
      </c>
      <c r="CH23" s="1899" t="str">
        <f t="shared" si="11"/>
        <v/>
      </c>
      <c r="CK23" s="1971"/>
      <c r="CL23" s="1901">
        <f t="shared" si="12"/>
        <v>0</v>
      </c>
      <c r="CM23" s="1901">
        <f t="shared" ref="CM23:CM52" si="16">IF(AND($D23&lt;&gt;0,AC23=""),1,IF(AC23&gt;$D23,1,0))</f>
        <v>0</v>
      </c>
      <c r="CN23" s="1901">
        <f t="shared" ref="CN23:CN52" si="17">IF(AND($D23&lt;&gt;0,AD23=""),1,IF(AD23&gt;$D23,1,0))</f>
        <v>0</v>
      </c>
      <c r="CO23" s="1902"/>
      <c r="CP23" s="1901">
        <f t="shared" si="7"/>
        <v>0</v>
      </c>
      <c r="CQ23" s="4005">
        <f t="shared" si="13"/>
        <v>0</v>
      </c>
      <c r="CR23" s="4005">
        <f t="shared" si="14"/>
        <v>0</v>
      </c>
    </row>
    <row r="24" spans="1:96" s="19" customFormat="1" ht="15" customHeight="1" x14ac:dyDescent="0.3">
      <c r="A24" s="7163"/>
      <c r="B24" s="6988" t="s">
        <v>3172</v>
      </c>
      <c r="C24" s="1227" t="s">
        <v>3173</v>
      </c>
      <c r="D24" s="1102">
        <f>SUM(J24:S24)</f>
        <v>0</v>
      </c>
      <c r="E24" s="1468"/>
      <c r="F24" s="3451"/>
      <c r="G24" s="3451"/>
      <c r="H24" s="3451"/>
      <c r="I24" s="1469"/>
      <c r="J24" s="1108"/>
      <c r="K24" s="4602"/>
      <c r="L24" s="4602"/>
      <c r="M24" s="4602"/>
      <c r="N24" s="4602"/>
      <c r="O24" s="4602"/>
      <c r="P24" s="4602"/>
      <c r="Q24" s="4602"/>
      <c r="R24" s="4602"/>
      <c r="S24" s="4602"/>
      <c r="T24" s="4833"/>
      <c r="U24" s="4833"/>
      <c r="V24" s="4833"/>
      <c r="W24" s="4833"/>
      <c r="X24" s="4833"/>
      <c r="Y24" s="1321"/>
      <c r="Z24" s="773"/>
      <c r="AA24" s="4604"/>
      <c r="AB24" s="1321"/>
      <c r="AC24" s="773"/>
      <c r="AD24" s="773"/>
      <c r="AE24" s="3753"/>
      <c r="AF24" s="1106"/>
      <c r="AG24" s="1107"/>
      <c r="AH24" s="1107"/>
      <c r="AI24" s="1107"/>
      <c r="AJ24" t="str">
        <f t="shared" si="8"/>
        <v/>
      </c>
      <c r="CB24" s="1899" t="str">
        <f t="shared" si="9"/>
        <v/>
      </c>
      <c r="CC24" s="1899" t="str">
        <f t="shared" si="0"/>
        <v/>
      </c>
      <c r="CD24" s="1899" t="str">
        <f t="shared" si="1"/>
        <v/>
      </c>
      <c r="CE24" s="1900"/>
      <c r="CF24" s="1899" t="str">
        <f t="shared" si="3"/>
        <v/>
      </c>
      <c r="CG24" s="1899" t="str">
        <f t="shared" si="10"/>
        <v/>
      </c>
      <c r="CH24" s="1899" t="str">
        <f t="shared" si="11"/>
        <v/>
      </c>
      <c r="CK24" s="1971"/>
      <c r="CL24" s="1901">
        <f t="shared" si="12"/>
        <v>0</v>
      </c>
      <c r="CM24" s="1901">
        <f t="shared" si="16"/>
        <v>0</v>
      </c>
      <c r="CN24" s="1901">
        <f t="shared" si="17"/>
        <v>0</v>
      </c>
      <c r="CO24" s="1902"/>
      <c r="CP24" s="1901">
        <f t="shared" si="7"/>
        <v>0</v>
      </c>
      <c r="CQ24" s="4005">
        <f t="shared" si="13"/>
        <v>0</v>
      </c>
      <c r="CR24" s="4005">
        <f t="shared" si="14"/>
        <v>0</v>
      </c>
    </row>
    <row r="25" spans="1:96" s="19" customFormat="1" ht="15" customHeight="1" x14ac:dyDescent="0.3">
      <c r="A25" s="7163"/>
      <c r="B25" s="7341"/>
      <c r="C25" s="1028" t="s">
        <v>2638</v>
      </c>
      <c r="D25" s="1188">
        <f>SUM(J25:S25)</f>
        <v>0</v>
      </c>
      <c r="E25" s="4834"/>
      <c r="F25" s="4835"/>
      <c r="G25" s="4835"/>
      <c r="H25" s="4835"/>
      <c r="I25" s="636"/>
      <c r="J25" s="1152"/>
      <c r="K25" s="1283"/>
      <c r="L25" s="1283"/>
      <c r="M25" s="1283"/>
      <c r="N25" s="1283"/>
      <c r="O25" s="1283"/>
      <c r="P25" s="1283"/>
      <c r="Q25" s="1283"/>
      <c r="R25" s="1283"/>
      <c r="S25" s="1283"/>
      <c r="T25" s="4836"/>
      <c r="U25" s="4836"/>
      <c r="V25" s="4836"/>
      <c r="W25" s="4836"/>
      <c r="X25" s="4836"/>
      <c r="Y25" s="3832"/>
      <c r="Z25" s="4649"/>
      <c r="AA25" s="1351"/>
      <c r="AB25" s="1330"/>
      <c r="AC25" s="1283"/>
      <c r="AD25" s="1283"/>
      <c r="AE25" s="4837"/>
      <c r="AF25" s="1139"/>
      <c r="AG25" s="388"/>
      <c r="AH25" s="388"/>
      <c r="AI25" s="388"/>
      <c r="AJ25" t="str">
        <f t="shared" si="8"/>
        <v/>
      </c>
      <c r="CB25" s="1899" t="str">
        <f t="shared" si="9"/>
        <v/>
      </c>
      <c r="CC25" s="1899" t="str">
        <f t="shared" si="0"/>
        <v/>
      </c>
      <c r="CD25" s="1899" t="str">
        <f t="shared" si="1"/>
        <v/>
      </c>
      <c r="CE25" s="1900"/>
      <c r="CF25" s="1899" t="str">
        <f t="shared" si="3"/>
        <v/>
      </c>
      <c r="CG25" s="1899" t="str">
        <f t="shared" si="10"/>
        <v/>
      </c>
      <c r="CH25" s="1899" t="str">
        <f t="shared" si="11"/>
        <v/>
      </c>
      <c r="CK25" s="1971"/>
      <c r="CL25" s="1901">
        <f t="shared" si="12"/>
        <v>0</v>
      </c>
      <c r="CM25" s="1901">
        <f t="shared" si="16"/>
        <v>0</v>
      </c>
      <c r="CN25" s="1901">
        <f t="shared" si="17"/>
        <v>0</v>
      </c>
      <c r="CO25" s="1902"/>
      <c r="CP25" s="1901">
        <f t="shared" si="7"/>
        <v>0</v>
      </c>
      <c r="CQ25" s="4005">
        <f t="shared" si="13"/>
        <v>0</v>
      </c>
      <c r="CR25" s="4005">
        <f t="shared" si="14"/>
        <v>0</v>
      </c>
    </row>
    <row r="26" spans="1:96" s="19" customFormat="1" ht="15" customHeight="1" x14ac:dyDescent="0.3">
      <c r="A26" s="7163"/>
      <c r="B26" s="5961" t="s">
        <v>3174</v>
      </c>
      <c r="C26" s="5962"/>
      <c r="D26" s="195">
        <f>SUM(H26:X26)</f>
        <v>0</v>
      </c>
      <c r="E26" s="4838"/>
      <c r="F26" s="3452"/>
      <c r="G26" s="3452"/>
      <c r="H26" s="262"/>
      <c r="I26" s="1474"/>
      <c r="J26" s="333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6"/>
      <c r="Z26" s="262"/>
      <c r="AA26" s="297"/>
      <c r="AB26" s="266"/>
      <c r="AC26" s="262"/>
      <c r="AD26" s="262"/>
      <c r="AE26" s="311"/>
      <c r="AF26" s="1289"/>
      <c r="AG26" s="1474"/>
      <c r="AH26" s="1474"/>
      <c r="AI26" s="1474"/>
      <c r="AJ26" t="str">
        <f t="shared" si="8"/>
        <v/>
      </c>
      <c r="CB26" s="1899" t="str">
        <f t="shared" si="9"/>
        <v/>
      </c>
      <c r="CC26" s="1899" t="str">
        <f t="shared" si="0"/>
        <v/>
      </c>
      <c r="CD26" s="1899" t="str">
        <f t="shared" si="1"/>
        <v/>
      </c>
      <c r="CE26" s="1899" t="str">
        <f>IF(AND($D26&lt;&gt;0,AE26=""),"* No olvide ingresar la variable "&amp;AE$9&amp;""&amp;" (Digite CERO si no tiene).  ",IF(AE26&gt;$D26,"* La variable Espacios Amigables/ Adolescentes no puede superar el Total. ",""))</f>
        <v/>
      </c>
      <c r="CF26" s="1899" t="str">
        <f t="shared" si="3"/>
        <v/>
      </c>
      <c r="CG26" s="1899" t="str">
        <f t="shared" si="10"/>
        <v/>
      </c>
      <c r="CH26" s="1899" t="str">
        <f t="shared" si="11"/>
        <v/>
      </c>
      <c r="CK26" s="1971"/>
      <c r="CL26" s="1901">
        <f t="shared" si="12"/>
        <v>0</v>
      </c>
      <c r="CM26" s="1901">
        <f t="shared" si="16"/>
        <v>0</v>
      </c>
      <c r="CN26" s="1901">
        <f t="shared" si="17"/>
        <v>0</v>
      </c>
      <c r="CO26" s="1901">
        <f>IF(AND($D26&lt;&gt;0,AE26=""),1,IF(AE26&gt;$D26,1,0))</f>
        <v>0</v>
      </c>
      <c r="CP26" s="1901">
        <f t="shared" si="7"/>
        <v>0</v>
      </c>
      <c r="CQ26" s="4005">
        <f t="shared" si="13"/>
        <v>0</v>
      </c>
      <c r="CR26" s="4005">
        <f t="shared" si="14"/>
        <v>0</v>
      </c>
    </row>
    <row r="27" spans="1:96" s="19" customFormat="1" ht="15" customHeight="1" x14ac:dyDescent="0.3">
      <c r="A27" s="7163"/>
      <c r="B27" s="7060" t="s">
        <v>3175</v>
      </c>
      <c r="C27" s="4839" t="s">
        <v>3176</v>
      </c>
      <c r="D27" s="1102">
        <f>SUM(E27:F27)</f>
        <v>0</v>
      </c>
      <c r="E27" s="290"/>
      <c r="F27" s="3777"/>
      <c r="G27" s="3777"/>
      <c r="H27" s="287"/>
      <c r="I27" s="3748"/>
      <c r="J27" s="3743"/>
      <c r="K27" s="3777"/>
      <c r="L27" s="3777"/>
      <c r="M27" s="3777"/>
      <c r="N27" s="3777"/>
      <c r="O27" s="3777"/>
      <c r="P27" s="3777"/>
      <c r="Q27" s="3777"/>
      <c r="R27" s="3777"/>
      <c r="S27" s="3777"/>
      <c r="T27" s="3777"/>
      <c r="U27" s="3777"/>
      <c r="V27" s="3777"/>
      <c r="W27" s="3777"/>
      <c r="X27" s="4832"/>
      <c r="Y27" s="4678"/>
      <c r="Z27" s="287"/>
      <c r="AA27" s="4840"/>
      <c r="AB27" s="1321"/>
      <c r="AC27" s="773"/>
      <c r="AD27" s="773"/>
      <c r="AE27" s="4841"/>
      <c r="AF27" s="1106"/>
      <c r="AG27" s="1107"/>
      <c r="AH27" s="1107"/>
      <c r="AI27" s="1107"/>
      <c r="AJ27" t="str">
        <f t="shared" si="8"/>
        <v/>
      </c>
      <c r="CB27" s="1899" t="str">
        <f t="shared" si="9"/>
        <v/>
      </c>
      <c r="CC27" s="1899" t="str">
        <f t="shared" si="0"/>
        <v/>
      </c>
      <c r="CD27" s="1899" t="str">
        <f t="shared" si="1"/>
        <v/>
      </c>
      <c r="CE27" s="1900"/>
      <c r="CF27" s="1899" t="str">
        <f t="shared" si="3"/>
        <v/>
      </c>
      <c r="CG27" s="1899" t="str">
        <f t="shared" si="10"/>
        <v/>
      </c>
      <c r="CH27" s="1899" t="str">
        <f t="shared" si="11"/>
        <v/>
      </c>
      <c r="CK27" s="1971"/>
      <c r="CL27" s="1901">
        <f t="shared" si="12"/>
        <v>0</v>
      </c>
      <c r="CM27" s="1901">
        <f t="shared" si="16"/>
        <v>0</v>
      </c>
      <c r="CN27" s="1901">
        <f t="shared" si="17"/>
        <v>0</v>
      </c>
      <c r="CO27" s="1902"/>
      <c r="CP27" s="1901">
        <f t="shared" si="7"/>
        <v>0</v>
      </c>
      <c r="CQ27" s="4005">
        <f t="shared" si="13"/>
        <v>0</v>
      </c>
      <c r="CR27" s="4005">
        <f t="shared" si="14"/>
        <v>0</v>
      </c>
    </row>
    <row r="28" spans="1:96" s="19" customFormat="1" ht="15" customHeight="1" x14ac:dyDescent="0.3">
      <c r="A28" s="7163"/>
      <c r="B28" s="5844"/>
      <c r="C28" s="4831" t="s">
        <v>3177</v>
      </c>
      <c r="D28" s="193">
        <f>SUM(E28:G28)</f>
        <v>0</v>
      </c>
      <c r="E28" s="1114"/>
      <c r="F28" s="3777"/>
      <c r="G28" s="3777"/>
      <c r="H28" s="2673"/>
      <c r="I28" s="2672"/>
      <c r="J28" s="4842"/>
      <c r="K28" s="3146"/>
      <c r="L28" s="3146"/>
      <c r="M28" s="3146"/>
      <c r="N28" s="3146"/>
      <c r="O28" s="3146"/>
      <c r="P28" s="3146"/>
      <c r="Q28" s="3146"/>
      <c r="R28" s="3146"/>
      <c r="S28" s="3146"/>
      <c r="T28" s="3146"/>
      <c r="U28" s="3146"/>
      <c r="V28" s="3146"/>
      <c r="W28" s="3146"/>
      <c r="X28" s="3816"/>
      <c r="Y28" s="4843"/>
      <c r="Z28" s="2673"/>
      <c r="AA28" s="4844"/>
      <c r="AB28" s="1326"/>
      <c r="AC28" s="1278"/>
      <c r="AD28" s="1278"/>
      <c r="AE28" s="1118"/>
      <c r="AF28" s="1114"/>
      <c r="AG28" s="1115"/>
      <c r="AH28" s="1115"/>
      <c r="AI28" s="1115"/>
      <c r="AJ28" t="str">
        <f t="shared" si="8"/>
        <v/>
      </c>
      <c r="CB28" s="1899" t="str">
        <f t="shared" si="9"/>
        <v/>
      </c>
      <c r="CC28" s="1899" t="str">
        <f t="shared" si="0"/>
        <v/>
      </c>
      <c r="CD28" s="1899" t="str">
        <f t="shared" si="1"/>
        <v/>
      </c>
      <c r="CE28" s="1899" t="str">
        <f t="shared" ref="CE28:CE52" si="18">IF(AND($D28&lt;&gt;0,AE28=""),"* No olvide ingresar la variable "&amp;AE$9&amp;""&amp;" (Digite CERO si no tiene).  ",IF(AE28&gt;$D28,"* La variable Espacios Amigables/ Adolescentes no puede superar el Total. ",""))</f>
        <v/>
      </c>
      <c r="CF28" s="1899" t="str">
        <f t="shared" si="3"/>
        <v/>
      </c>
      <c r="CG28" s="1899" t="str">
        <f t="shared" si="10"/>
        <v/>
      </c>
      <c r="CH28" s="1899" t="str">
        <f t="shared" si="11"/>
        <v/>
      </c>
      <c r="CK28" s="1971"/>
      <c r="CL28" s="1901">
        <f t="shared" si="12"/>
        <v>0</v>
      </c>
      <c r="CM28" s="1901">
        <f t="shared" si="16"/>
        <v>0</v>
      </c>
      <c r="CN28" s="1901">
        <f t="shared" si="17"/>
        <v>0</v>
      </c>
      <c r="CO28" s="1901">
        <f t="shared" ref="CO28:CO52" si="19">IF(AND($D28&lt;&gt;0,AE28=""),1,IF(AE28&gt;$D28,1,0))</f>
        <v>0</v>
      </c>
      <c r="CP28" s="1901">
        <f t="shared" si="7"/>
        <v>0</v>
      </c>
      <c r="CQ28" s="4005">
        <f t="shared" si="13"/>
        <v>0</v>
      </c>
      <c r="CR28" s="4005">
        <f t="shared" si="14"/>
        <v>0</v>
      </c>
    </row>
    <row r="29" spans="1:96" s="19" customFormat="1" ht="15" customHeight="1" x14ac:dyDescent="0.3">
      <c r="A29" s="7163"/>
      <c r="B29" s="7196"/>
      <c r="C29" s="417" t="s">
        <v>591</v>
      </c>
      <c r="D29" s="1188">
        <f>SUM(E29:G29)</f>
        <v>0</v>
      </c>
      <c r="E29" s="1139"/>
      <c r="F29" s="3332"/>
      <c r="G29" s="3332"/>
      <c r="H29" s="4845"/>
      <c r="I29" s="4846"/>
      <c r="J29" s="4845"/>
      <c r="K29" s="4835"/>
      <c r="L29" s="4835"/>
      <c r="M29" s="4835"/>
      <c r="N29" s="4835"/>
      <c r="O29" s="4835"/>
      <c r="P29" s="4835"/>
      <c r="Q29" s="4835"/>
      <c r="R29" s="4835"/>
      <c r="S29" s="4835"/>
      <c r="T29" s="4835"/>
      <c r="U29" s="4835"/>
      <c r="V29" s="4835"/>
      <c r="W29" s="4835"/>
      <c r="X29" s="4836"/>
      <c r="Y29" s="3832"/>
      <c r="Z29" s="4835"/>
      <c r="AA29" s="4847"/>
      <c r="AB29" s="266"/>
      <c r="AC29" s="262"/>
      <c r="AD29" s="262"/>
      <c r="AE29" s="311"/>
      <c r="AF29" s="1289"/>
      <c r="AG29" s="1474"/>
      <c r="AH29" s="1474"/>
      <c r="AI29" s="1474"/>
      <c r="AJ29" t="str">
        <f t="shared" si="8"/>
        <v/>
      </c>
      <c r="CB29" s="1899" t="str">
        <f t="shared" si="9"/>
        <v/>
      </c>
      <c r="CC29" s="1899" t="str">
        <f t="shared" si="0"/>
        <v/>
      </c>
      <c r="CD29" s="1899" t="str">
        <f t="shared" si="1"/>
        <v/>
      </c>
      <c r="CE29" s="1899" t="str">
        <f t="shared" si="18"/>
        <v/>
      </c>
      <c r="CF29" s="1899" t="str">
        <f t="shared" si="3"/>
        <v/>
      </c>
      <c r="CG29" s="1899" t="str">
        <f t="shared" si="10"/>
        <v/>
      </c>
      <c r="CH29" s="1899" t="str">
        <f t="shared" si="11"/>
        <v/>
      </c>
      <c r="CK29" s="1971"/>
      <c r="CL29" s="1901">
        <f t="shared" si="12"/>
        <v>0</v>
      </c>
      <c r="CM29" s="1901">
        <f t="shared" si="16"/>
        <v>0</v>
      </c>
      <c r="CN29" s="1901">
        <f t="shared" si="17"/>
        <v>0</v>
      </c>
      <c r="CO29" s="1901">
        <f t="shared" si="19"/>
        <v>0</v>
      </c>
      <c r="CP29" s="1901">
        <f t="shared" si="7"/>
        <v>0</v>
      </c>
      <c r="CQ29" s="4005">
        <f t="shared" si="13"/>
        <v>0</v>
      </c>
      <c r="CR29" s="4005">
        <f t="shared" si="14"/>
        <v>0</v>
      </c>
    </row>
    <row r="30" spans="1:96" s="19" customFormat="1" ht="15" customHeight="1" x14ac:dyDescent="0.3">
      <c r="A30" s="7163"/>
      <c r="B30" s="7060" t="s">
        <v>3178</v>
      </c>
      <c r="C30" s="4728" t="s">
        <v>3179</v>
      </c>
      <c r="D30" s="1184">
        <f>SUM(E30:H30)</f>
        <v>0</v>
      </c>
      <c r="E30" s="1106"/>
      <c r="F30" s="773"/>
      <c r="G30" s="773"/>
      <c r="H30" s="773"/>
      <c r="I30" s="1469"/>
      <c r="J30" s="4705"/>
      <c r="K30" s="3451"/>
      <c r="L30" s="3451"/>
      <c r="M30" s="4833"/>
      <c r="N30" s="4833"/>
      <c r="O30" s="4833"/>
      <c r="P30" s="4833"/>
      <c r="Q30" s="4833"/>
      <c r="R30" s="4833"/>
      <c r="S30" s="4833"/>
      <c r="T30" s="4833"/>
      <c r="U30" s="4833"/>
      <c r="V30" s="4833"/>
      <c r="W30" s="4833"/>
      <c r="X30" s="4833"/>
      <c r="Y30" s="4848"/>
      <c r="Z30" s="4820"/>
      <c r="AA30" s="4823"/>
      <c r="AB30" s="1321"/>
      <c r="AC30" s="773"/>
      <c r="AD30" s="773"/>
      <c r="AE30" s="771"/>
      <c r="AF30" s="1106"/>
      <c r="AG30" s="1107"/>
      <c r="AH30" s="1107"/>
      <c r="AI30" s="1107"/>
      <c r="AJ30" t="str">
        <f t="shared" si="8"/>
        <v/>
      </c>
      <c r="CB30" s="1899" t="str">
        <f t="shared" si="9"/>
        <v/>
      </c>
      <c r="CC30" s="1899" t="str">
        <f t="shared" si="0"/>
        <v/>
      </c>
      <c r="CD30" s="1899" t="str">
        <f t="shared" si="1"/>
        <v/>
      </c>
      <c r="CE30" s="1899" t="str">
        <f t="shared" si="18"/>
        <v/>
      </c>
      <c r="CF30" s="1899" t="str">
        <f t="shared" si="3"/>
        <v/>
      </c>
      <c r="CG30" s="1899" t="str">
        <f t="shared" si="10"/>
        <v/>
      </c>
      <c r="CH30" s="1899" t="str">
        <f t="shared" si="11"/>
        <v/>
      </c>
      <c r="CK30" s="1971"/>
      <c r="CL30" s="1901">
        <f t="shared" si="12"/>
        <v>0</v>
      </c>
      <c r="CM30" s="1901">
        <f t="shared" si="16"/>
        <v>0</v>
      </c>
      <c r="CN30" s="1901">
        <f t="shared" si="17"/>
        <v>0</v>
      </c>
      <c r="CO30" s="1901">
        <f t="shared" si="19"/>
        <v>0</v>
      </c>
      <c r="CP30" s="1901">
        <f t="shared" si="7"/>
        <v>0</v>
      </c>
      <c r="CQ30" s="4005">
        <f t="shared" si="13"/>
        <v>0</v>
      </c>
      <c r="CR30" s="4005">
        <f t="shared" si="14"/>
        <v>0</v>
      </c>
    </row>
    <row r="31" spans="1:96" s="19" customFormat="1" ht="15" customHeight="1" x14ac:dyDescent="0.3">
      <c r="A31" s="7163"/>
      <c r="B31" s="5844"/>
      <c r="C31" s="4807" t="s">
        <v>3180</v>
      </c>
      <c r="D31" s="1187">
        <f>SUM(I31+J31)</f>
        <v>0</v>
      </c>
      <c r="E31" s="314"/>
      <c r="F31" s="536"/>
      <c r="G31" s="536"/>
      <c r="H31" s="536"/>
      <c r="I31" s="1115"/>
      <c r="J31" s="1116"/>
      <c r="K31" s="3146"/>
      <c r="L31" s="3146"/>
      <c r="M31" s="4849"/>
      <c r="N31" s="4849"/>
      <c r="O31" s="4849"/>
      <c r="P31" s="4849"/>
      <c r="Q31" s="4849"/>
      <c r="R31" s="4849"/>
      <c r="S31" s="4849"/>
      <c r="T31" s="4849"/>
      <c r="U31" s="4849"/>
      <c r="V31" s="4849"/>
      <c r="W31" s="4849"/>
      <c r="X31" s="4849"/>
      <c r="Y31" s="4843"/>
      <c r="Z31" s="2673"/>
      <c r="AA31" s="4844"/>
      <c r="AB31" s="1326"/>
      <c r="AC31" s="1278"/>
      <c r="AD31" s="1278"/>
      <c r="AE31" s="1118"/>
      <c r="AF31" s="1114"/>
      <c r="AG31" s="1115"/>
      <c r="AH31" s="1115"/>
      <c r="AI31" s="1115"/>
      <c r="AJ31" t="str">
        <f t="shared" si="8"/>
        <v/>
      </c>
      <c r="CB31" s="1899" t="str">
        <f t="shared" si="9"/>
        <v/>
      </c>
      <c r="CC31" s="1899" t="str">
        <f t="shared" si="0"/>
        <v/>
      </c>
      <c r="CD31" s="1899" t="str">
        <f t="shared" si="1"/>
        <v/>
      </c>
      <c r="CE31" s="1899" t="str">
        <f t="shared" si="18"/>
        <v/>
      </c>
      <c r="CF31" s="1899" t="str">
        <f t="shared" si="3"/>
        <v/>
      </c>
      <c r="CG31" s="1899" t="str">
        <f t="shared" si="10"/>
        <v/>
      </c>
      <c r="CH31" s="1899" t="str">
        <f t="shared" si="11"/>
        <v/>
      </c>
      <c r="CK31" s="1971"/>
      <c r="CL31" s="1901">
        <f t="shared" si="12"/>
        <v>0</v>
      </c>
      <c r="CM31" s="1901">
        <f t="shared" si="16"/>
        <v>0</v>
      </c>
      <c r="CN31" s="1901">
        <f t="shared" si="17"/>
        <v>0</v>
      </c>
      <c r="CO31" s="1901">
        <f t="shared" si="19"/>
        <v>0</v>
      </c>
      <c r="CP31" s="1901">
        <f t="shared" si="7"/>
        <v>0</v>
      </c>
      <c r="CQ31" s="4005">
        <f t="shared" si="13"/>
        <v>0</v>
      </c>
      <c r="CR31" s="4005">
        <f t="shared" si="14"/>
        <v>0</v>
      </c>
    </row>
    <row r="32" spans="1:96" s="19" customFormat="1" ht="15" customHeight="1" x14ac:dyDescent="0.3">
      <c r="A32" s="7163"/>
      <c r="B32" s="7196"/>
      <c r="C32" s="417" t="s">
        <v>591</v>
      </c>
      <c r="D32" s="1188">
        <f>SUM(E32:I32)</f>
        <v>0</v>
      </c>
      <c r="E32" s="1289"/>
      <c r="F32" s="262"/>
      <c r="G32" s="262"/>
      <c r="H32" s="262"/>
      <c r="I32" s="388"/>
      <c r="J32" s="4845"/>
      <c r="K32" s="4835"/>
      <c r="L32" s="4835"/>
      <c r="M32" s="4836"/>
      <c r="N32" s="4836"/>
      <c r="O32" s="4836"/>
      <c r="P32" s="4836"/>
      <c r="Q32" s="4836"/>
      <c r="R32" s="4836"/>
      <c r="S32" s="4836"/>
      <c r="T32" s="4836"/>
      <c r="U32" s="4836"/>
      <c r="V32" s="4836"/>
      <c r="W32" s="4836"/>
      <c r="X32" s="4836"/>
      <c r="Y32" s="3832"/>
      <c r="Z32" s="4835"/>
      <c r="AA32" s="4847"/>
      <c r="AB32" s="1330"/>
      <c r="AC32" s="1283"/>
      <c r="AD32" s="1283"/>
      <c r="AE32" s="1140"/>
      <c r="AF32" s="1139"/>
      <c r="AG32" s="388"/>
      <c r="AH32" s="388"/>
      <c r="AI32" s="388"/>
      <c r="AJ32" t="str">
        <f t="shared" si="8"/>
        <v/>
      </c>
      <c r="CB32" s="1899" t="str">
        <f t="shared" si="9"/>
        <v/>
      </c>
      <c r="CC32" s="1899" t="str">
        <f t="shared" si="0"/>
        <v/>
      </c>
      <c r="CD32" s="1899" t="str">
        <f t="shared" si="1"/>
        <v/>
      </c>
      <c r="CE32" s="1899" t="str">
        <f t="shared" si="18"/>
        <v/>
      </c>
      <c r="CF32" s="1899" t="str">
        <f t="shared" si="3"/>
        <v/>
      </c>
      <c r="CG32" s="1899" t="str">
        <f t="shared" si="10"/>
        <v/>
      </c>
      <c r="CH32" s="1899" t="str">
        <f t="shared" si="11"/>
        <v/>
      </c>
      <c r="CK32" s="1971"/>
      <c r="CL32" s="1901">
        <f t="shared" si="12"/>
        <v>0</v>
      </c>
      <c r="CM32" s="1901">
        <f t="shared" si="16"/>
        <v>0</v>
      </c>
      <c r="CN32" s="1901">
        <f t="shared" si="17"/>
        <v>0</v>
      </c>
      <c r="CO32" s="1901">
        <f t="shared" si="19"/>
        <v>0</v>
      </c>
      <c r="CP32" s="1901">
        <f t="shared" si="7"/>
        <v>0</v>
      </c>
      <c r="CQ32" s="4005">
        <f t="shared" si="13"/>
        <v>0</v>
      </c>
      <c r="CR32" s="4005">
        <f t="shared" si="14"/>
        <v>0</v>
      </c>
    </row>
    <row r="33" spans="1:96" s="19" customFormat="1" ht="15" customHeight="1" x14ac:dyDescent="0.3">
      <c r="A33" s="7163"/>
      <c r="B33" s="7351" t="s">
        <v>3181</v>
      </c>
      <c r="C33" s="7352"/>
      <c r="D33" s="1094">
        <f>SUM(E33:X33)</f>
        <v>0</v>
      </c>
      <c r="E33" s="1095"/>
      <c r="F33" s="4655"/>
      <c r="G33" s="4655"/>
      <c r="H33" s="4655"/>
      <c r="I33" s="1096"/>
      <c r="J33" s="1097"/>
      <c r="K33" s="4655"/>
      <c r="L33" s="4655"/>
      <c r="M33" s="1098"/>
      <c r="N33" s="1098"/>
      <c r="O33" s="1098"/>
      <c r="P33" s="1098"/>
      <c r="Q33" s="1098"/>
      <c r="R33" s="1098"/>
      <c r="S33" s="1098"/>
      <c r="T33" s="1098"/>
      <c r="U33" s="1098"/>
      <c r="V33" s="1098"/>
      <c r="W33" s="1098"/>
      <c r="X33" s="1098"/>
      <c r="Y33" s="4850"/>
      <c r="Z33" s="4655"/>
      <c r="AA33" s="1100"/>
      <c r="AB33" s="4850"/>
      <c r="AC33" s="4655"/>
      <c r="AD33" s="4655"/>
      <c r="AE33" s="1099"/>
      <c r="AF33" s="1095"/>
      <c r="AG33" s="1096"/>
      <c r="AH33" s="1096"/>
      <c r="AI33" s="1096"/>
      <c r="AJ33" t="str">
        <f t="shared" si="8"/>
        <v/>
      </c>
      <c r="CB33" s="1899" t="str">
        <f t="shared" si="9"/>
        <v/>
      </c>
      <c r="CC33" s="1899" t="str">
        <f t="shared" si="0"/>
        <v/>
      </c>
      <c r="CD33" s="1899" t="str">
        <f t="shared" si="1"/>
        <v/>
      </c>
      <c r="CE33" s="1899" t="str">
        <f t="shared" si="18"/>
        <v/>
      </c>
      <c r="CF33" s="1899" t="str">
        <f t="shared" si="3"/>
        <v/>
      </c>
      <c r="CG33" s="1899" t="str">
        <f t="shared" si="10"/>
        <v/>
      </c>
      <c r="CH33" s="1899" t="str">
        <f t="shared" si="11"/>
        <v/>
      </c>
      <c r="CK33" s="1971"/>
      <c r="CL33" s="1901">
        <f t="shared" si="12"/>
        <v>0</v>
      </c>
      <c r="CM33" s="1901">
        <f t="shared" si="16"/>
        <v>0</v>
      </c>
      <c r="CN33" s="1901">
        <f t="shared" si="17"/>
        <v>0</v>
      </c>
      <c r="CO33" s="1901">
        <f t="shared" si="19"/>
        <v>0</v>
      </c>
      <c r="CP33" s="1901">
        <f t="shared" si="7"/>
        <v>0</v>
      </c>
      <c r="CQ33" s="4005">
        <f t="shared" si="13"/>
        <v>0</v>
      </c>
      <c r="CR33" s="4005">
        <f t="shared" si="14"/>
        <v>0</v>
      </c>
    </row>
    <row r="34" spans="1:96" s="19" customFormat="1" ht="15" customHeight="1" x14ac:dyDescent="0.3">
      <c r="A34" s="7163"/>
      <c r="B34" s="7196" t="s">
        <v>3182</v>
      </c>
      <c r="C34" s="1818" t="s">
        <v>3183</v>
      </c>
      <c r="D34" s="295">
        <f>SUM(E34:X34)</f>
        <v>0</v>
      </c>
      <c r="E34" s="290"/>
      <c r="F34" s="535"/>
      <c r="G34" s="535"/>
      <c r="H34" s="535"/>
      <c r="I34" s="107"/>
      <c r="J34" s="22"/>
      <c r="K34" s="535"/>
      <c r="L34" s="535"/>
      <c r="M34" s="735"/>
      <c r="N34" s="735"/>
      <c r="O34" s="735"/>
      <c r="P34" s="735"/>
      <c r="Q34" s="735"/>
      <c r="R34" s="735"/>
      <c r="S34" s="735"/>
      <c r="T34" s="735"/>
      <c r="U34" s="735"/>
      <c r="V34" s="735"/>
      <c r="W34" s="735"/>
      <c r="X34" s="735"/>
      <c r="Y34" s="296"/>
      <c r="Z34" s="535"/>
      <c r="AA34" s="431"/>
      <c r="AB34" s="296"/>
      <c r="AC34" s="535"/>
      <c r="AD34" s="535"/>
      <c r="AE34" s="637"/>
      <c r="AF34" s="290"/>
      <c r="AG34" s="107"/>
      <c r="AH34" s="107"/>
      <c r="AI34" s="107"/>
      <c r="AJ34" t="str">
        <f t="shared" si="8"/>
        <v/>
      </c>
      <c r="CB34" s="1899" t="str">
        <f t="shared" si="9"/>
        <v/>
      </c>
      <c r="CC34" s="1899" t="str">
        <f t="shared" si="0"/>
        <v/>
      </c>
      <c r="CD34" s="1899" t="str">
        <f t="shared" si="1"/>
        <v/>
      </c>
      <c r="CE34" s="1899" t="str">
        <f t="shared" si="18"/>
        <v/>
      </c>
      <c r="CF34" s="1899" t="str">
        <f t="shared" si="3"/>
        <v/>
      </c>
      <c r="CG34" s="1899" t="str">
        <f t="shared" si="10"/>
        <v/>
      </c>
      <c r="CH34" s="1899" t="str">
        <f t="shared" si="11"/>
        <v/>
      </c>
      <c r="CK34" s="1971"/>
      <c r="CL34" s="1901">
        <f t="shared" si="12"/>
        <v>0</v>
      </c>
      <c r="CM34" s="1901">
        <f t="shared" si="16"/>
        <v>0</v>
      </c>
      <c r="CN34" s="1901">
        <f t="shared" si="17"/>
        <v>0</v>
      </c>
      <c r="CO34" s="1901">
        <f t="shared" si="19"/>
        <v>0</v>
      </c>
      <c r="CP34" s="1901">
        <f t="shared" si="7"/>
        <v>0</v>
      </c>
      <c r="CQ34" s="4005">
        <f t="shared" si="13"/>
        <v>0</v>
      </c>
      <c r="CR34" s="4005">
        <f t="shared" si="14"/>
        <v>0</v>
      </c>
    </row>
    <row r="35" spans="1:96" s="19" customFormat="1" ht="15" customHeight="1" x14ac:dyDescent="0.3">
      <c r="A35" s="7163"/>
      <c r="B35" s="7353"/>
      <c r="C35" s="4712" t="s">
        <v>3184</v>
      </c>
      <c r="D35" s="1187">
        <f>SUM(E35:X35)</f>
        <v>0</v>
      </c>
      <c r="E35" s="1114"/>
      <c r="F35" s="1278"/>
      <c r="G35" s="1278"/>
      <c r="H35" s="1278"/>
      <c r="I35" s="1115"/>
      <c r="J35" s="1116"/>
      <c r="K35" s="1278"/>
      <c r="L35" s="1278"/>
      <c r="M35" s="1117"/>
      <c r="N35" s="1117"/>
      <c r="O35" s="1117"/>
      <c r="P35" s="1117"/>
      <c r="Q35" s="1117"/>
      <c r="R35" s="1117"/>
      <c r="S35" s="1117"/>
      <c r="T35" s="1117"/>
      <c r="U35" s="1117"/>
      <c r="V35" s="1117"/>
      <c r="W35" s="1117"/>
      <c r="X35" s="1117"/>
      <c r="Y35" s="1326"/>
      <c r="Z35" s="1278"/>
      <c r="AA35" s="1120"/>
      <c r="AB35" s="1326"/>
      <c r="AC35" s="1278"/>
      <c r="AD35" s="1278"/>
      <c r="AE35" s="1118"/>
      <c r="AF35" s="1114"/>
      <c r="AG35" s="1115"/>
      <c r="AH35" s="1115"/>
      <c r="AI35" s="1115"/>
      <c r="AJ35" t="str">
        <f t="shared" si="8"/>
        <v/>
      </c>
      <c r="CB35" s="1899" t="str">
        <f t="shared" si="9"/>
        <v/>
      </c>
      <c r="CC35" s="1899" t="str">
        <f t="shared" si="0"/>
        <v/>
      </c>
      <c r="CD35" s="1899" t="str">
        <f t="shared" si="1"/>
        <v/>
      </c>
      <c r="CE35" s="1899" t="str">
        <f t="shared" si="18"/>
        <v/>
      </c>
      <c r="CF35" s="1899" t="str">
        <f t="shared" si="3"/>
        <v/>
      </c>
      <c r="CG35" s="1899" t="str">
        <f t="shared" si="10"/>
        <v/>
      </c>
      <c r="CH35" s="1899" t="str">
        <f t="shared" si="11"/>
        <v/>
      </c>
      <c r="CK35" s="1971"/>
      <c r="CL35" s="1901">
        <f t="shared" si="12"/>
        <v>0</v>
      </c>
      <c r="CM35" s="1901">
        <f t="shared" si="16"/>
        <v>0</v>
      </c>
      <c r="CN35" s="1901">
        <f t="shared" si="17"/>
        <v>0</v>
      </c>
      <c r="CO35" s="1901">
        <f t="shared" si="19"/>
        <v>0</v>
      </c>
      <c r="CP35" s="1901">
        <f t="shared" si="7"/>
        <v>0</v>
      </c>
      <c r="CQ35" s="4005">
        <f t="shared" si="13"/>
        <v>0</v>
      </c>
      <c r="CR35" s="4005">
        <f t="shared" si="14"/>
        <v>0</v>
      </c>
    </row>
    <row r="36" spans="1:96" s="19" customFormat="1" ht="15" customHeight="1" x14ac:dyDescent="0.3">
      <c r="A36" s="7163"/>
      <c r="B36" s="7045" t="s">
        <v>3185</v>
      </c>
      <c r="C36" s="7045"/>
      <c r="D36" s="1187">
        <f>SUM(E36:X36)</f>
        <v>0</v>
      </c>
      <c r="E36" s="1114"/>
      <c r="F36" s="1278"/>
      <c r="G36" s="1278"/>
      <c r="H36" s="1278"/>
      <c r="I36" s="1115"/>
      <c r="J36" s="1116"/>
      <c r="K36" s="1278"/>
      <c r="L36" s="1278"/>
      <c r="M36" s="1117"/>
      <c r="N36" s="1117"/>
      <c r="O36" s="1117"/>
      <c r="P36" s="1117"/>
      <c r="Q36" s="1117"/>
      <c r="R36" s="1117"/>
      <c r="S36" s="1117"/>
      <c r="T36" s="1117"/>
      <c r="U36" s="1117"/>
      <c r="V36" s="1117"/>
      <c r="W36" s="1117"/>
      <c r="X36" s="1117"/>
      <c r="Y36" s="1326"/>
      <c r="Z36" s="1278"/>
      <c r="AA36" s="1120"/>
      <c r="AB36" s="1326"/>
      <c r="AC36" s="1278"/>
      <c r="AD36" s="1278"/>
      <c r="AE36" s="1118"/>
      <c r="AF36" s="1114"/>
      <c r="AG36" s="1115"/>
      <c r="AH36" s="1115"/>
      <c r="AI36" s="1115"/>
      <c r="AJ36" t="str">
        <f t="shared" si="8"/>
        <v/>
      </c>
      <c r="CB36" s="1899" t="str">
        <f t="shared" si="9"/>
        <v/>
      </c>
      <c r="CC36" s="1899" t="str">
        <f t="shared" si="0"/>
        <v/>
      </c>
      <c r="CD36" s="1899" t="str">
        <f t="shared" si="1"/>
        <v/>
      </c>
      <c r="CE36" s="1899" t="str">
        <f t="shared" si="18"/>
        <v/>
      </c>
      <c r="CF36" s="1899" t="str">
        <f t="shared" si="3"/>
        <v/>
      </c>
      <c r="CG36" s="1899" t="str">
        <f t="shared" si="10"/>
        <v/>
      </c>
      <c r="CH36" s="1899" t="str">
        <f t="shared" si="11"/>
        <v/>
      </c>
      <c r="CK36" s="1971"/>
      <c r="CL36" s="1901">
        <f t="shared" si="12"/>
        <v>0</v>
      </c>
      <c r="CM36" s="1901">
        <f t="shared" si="16"/>
        <v>0</v>
      </c>
      <c r="CN36" s="1901">
        <f t="shared" si="17"/>
        <v>0</v>
      </c>
      <c r="CO36" s="1901">
        <f t="shared" si="19"/>
        <v>0</v>
      </c>
      <c r="CP36" s="1901">
        <f t="shared" si="7"/>
        <v>0</v>
      </c>
      <c r="CQ36" s="4005">
        <f t="shared" si="13"/>
        <v>0</v>
      </c>
      <c r="CR36" s="4005">
        <f t="shared" si="14"/>
        <v>0</v>
      </c>
    </row>
    <row r="37" spans="1:96" s="19" customFormat="1" ht="15" customHeight="1" x14ac:dyDescent="0.3">
      <c r="A37" s="7163"/>
      <c r="B37" s="6641" t="s">
        <v>3186</v>
      </c>
      <c r="C37" s="6642"/>
      <c r="D37" s="1187">
        <f>SUM(E37:X37)</f>
        <v>0</v>
      </c>
      <c r="E37" s="1114"/>
      <c r="F37" s="1278"/>
      <c r="G37" s="1278"/>
      <c r="H37" s="1278"/>
      <c r="I37" s="1115"/>
      <c r="J37" s="1116"/>
      <c r="K37" s="1278"/>
      <c r="L37" s="1278"/>
      <c r="M37" s="1117"/>
      <c r="N37" s="1117"/>
      <c r="O37" s="1117"/>
      <c r="P37" s="1117"/>
      <c r="Q37" s="1117"/>
      <c r="R37" s="1117"/>
      <c r="S37" s="1117"/>
      <c r="T37" s="1117"/>
      <c r="U37" s="1117"/>
      <c r="V37" s="1117"/>
      <c r="W37" s="1117"/>
      <c r="X37" s="1117"/>
      <c r="Y37" s="1326"/>
      <c r="Z37" s="1278"/>
      <c r="AA37" s="1120"/>
      <c r="AB37" s="1326"/>
      <c r="AC37" s="1278"/>
      <c r="AD37" s="1278"/>
      <c r="AE37" s="1118"/>
      <c r="AF37" s="1114"/>
      <c r="AG37" s="1115"/>
      <c r="AH37" s="1115"/>
      <c r="AI37" s="1115"/>
      <c r="AJ37" t="str">
        <f t="shared" si="8"/>
        <v/>
      </c>
      <c r="CB37" s="1899" t="str">
        <f t="shared" si="9"/>
        <v/>
      </c>
      <c r="CC37" s="1899" t="str">
        <f t="shared" si="0"/>
        <v/>
      </c>
      <c r="CD37" s="1899" t="str">
        <f t="shared" si="1"/>
        <v/>
      </c>
      <c r="CE37" s="1899" t="str">
        <f t="shared" si="18"/>
        <v/>
      </c>
      <c r="CF37" s="1899" t="str">
        <f t="shared" si="3"/>
        <v/>
      </c>
      <c r="CG37" s="1899" t="str">
        <f t="shared" si="10"/>
        <v/>
      </c>
      <c r="CH37" s="1899" t="str">
        <f t="shared" si="11"/>
        <v/>
      </c>
      <c r="CK37" s="1971"/>
      <c r="CL37" s="1901">
        <f t="shared" si="12"/>
        <v>0</v>
      </c>
      <c r="CM37" s="1901">
        <f t="shared" si="16"/>
        <v>0</v>
      </c>
      <c r="CN37" s="1901">
        <f t="shared" si="17"/>
        <v>0</v>
      </c>
      <c r="CO37" s="1901">
        <f t="shared" si="19"/>
        <v>0</v>
      </c>
      <c r="CP37" s="1901">
        <f t="shared" si="7"/>
        <v>0</v>
      </c>
      <c r="CQ37" s="4005">
        <f t="shared" si="13"/>
        <v>0</v>
      </c>
      <c r="CR37" s="4005">
        <f t="shared" si="14"/>
        <v>0</v>
      </c>
    </row>
    <row r="38" spans="1:96" s="19" customFormat="1" ht="15" customHeight="1" x14ac:dyDescent="0.3">
      <c r="A38" s="7163"/>
      <c r="B38" s="7073" t="s">
        <v>3187</v>
      </c>
      <c r="C38" s="7074"/>
      <c r="D38" s="195">
        <f>SUM(J38:S38)</f>
        <v>0</v>
      </c>
      <c r="E38" s="3151"/>
      <c r="F38" s="3146"/>
      <c r="G38" s="3146"/>
      <c r="H38" s="3146"/>
      <c r="I38" s="1264"/>
      <c r="J38" s="1116"/>
      <c r="K38" s="1278"/>
      <c r="L38" s="1278"/>
      <c r="M38" s="1117"/>
      <c r="N38" s="1117"/>
      <c r="O38" s="1117"/>
      <c r="P38" s="1117"/>
      <c r="Q38" s="1117"/>
      <c r="R38" s="1117"/>
      <c r="S38" s="1117"/>
      <c r="T38" s="4849"/>
      <c r="U38" s="4849"/>
      <c r="V38" s="4849"/>
      <c r="W38" s="4849"/>
      <c r="X38" s="4849"/>
      <c r="Y38" s="1326"/>
      <c r="Z38" s="1278"/>
      <c r="AA38" s="1120"/>
      <c r="AB38" s="1326"/>
      <c r="AC38" s="1278"/>
      <c r="AD38" s="1278"/>
      <c r="AE38" s="1118"/>
      <c r="AF38" s="1114"/>
      <c r="AG38" s="1115"/>
      <c r="AH38" s="1115"/>
      <c r="AI38" s="1115"/>
      <c r="AJ38" t="str">
        <f t="shared" si="8"/>
        <v/>
      </c>
      <c r="CB38" s="1899" t="str">
        <f t="shared" si="9"/>
        <v/>
      </c>
      <c r="CC38" s="1899" t="str">
        <f t="shared" si="0"/>
        <v/>
      </c>
      <c r="CD38" s="1899" t="str">
        <f t="shared" si="1"/>
        <v/>
      </c>
      <c r="CE38" s="1899" t="str">
        <f t="shared" si="18"/>
        <v/>
      </c>
      <c r="CF38" s="1899" t="str">
        <f t="shared" si="3"/>
        <v/>
      </c>
      <c r="CG38" s="1899" t="str">
        <f t="shared" si="10"/>
        <v/>
      </c>
      <c r="CH38" s="1899" t="str">
        <f t="shared" si="11"/>
        <v/>
      </c>
      <c r="CK38" s="1971"/>
      <c r="CL38" s="1901">
        <f t="shared" si="12"/>
        <v>0</v>
      </c>
      <c r="CM38" s="1901">
        <f t="shared" si="16"/>
        <v>0</v>
      </c>
      <c r="CN38" s="1901">
        <f t="shared" si="17"/>
        <v>0</v>
      </c>
      <c r="CO38" s="1901">
        <f t="shared" si="19"/>
        <v>0</v>
      </c>
      <c r="CP38" s="1901">
        <f t="shared" si="7"/>
        <v>0</v>
      </c>
      <c r="CQ38" s="4005">
        <f t="shared" si="13"/>
        <v>0</v>
      </c>
      <c r="CR38" s="4005">
        <f t="shared" si="14"/>
        <v>0</v>
      </c>
    </row>
    <row r="39" spans="1:96" s="19" customFormat="1" ht="15" customHeight="1" x14ac:dyDescent="0.3">
      <c r="A39" s="7163"/>
      <c r="B39" s="7334" t="s">
        <v>3188</v>
      </c>
      <c r="C39" s="7335"/>
      <c r="D39" s="193">
        <f>SUM(E39:X39)</f>
        <v>0</v>
      </c>
      <c r="E39" s="192"/>
      <c r="F39" s="594"/>
      <c r="G39" s="594"/>
      <c r="H39" s="594"/>
      <c r="I39" s="2"/>
      <c r="J39" s="482"/>
      <c r="K39" s="594"/>
      <c r="L39" s="594"/>
      <c r="M39" s="1123"/>
      <c r="N39" s="1123"/>
      <c r="O39" s="1123"/>
      <c r="P39" s="1123"/>
      <c r="Q39" s="1123"/>
      <c r="R39" s="1123"/>
      <c r="S39" s="1123"/>
      <c r="T39" s="1123"/>
      <c r="U39" s="1123"/>
      <c r="V39" s="1123"/>
      <c r="W39" s="1123"/>
      <c r="X39" s="1123"/>
      <c r="Y39" s="377"/>
      <c r="Z39" s="594"/>
      <c r="AA39" s="384"/>
      <c r="AB39" s="377"/>
      <c r="AC39" s="594"/>
      <c r="AD39" s="594"/>
      <c r="AE39" s="383"/>
      <c r="AF39" s="192"/>
      <c r="AG39" s="2"/>
      <c r="AH39" s="2"/>
      <c r="AI39" s="2"/>
      <c r="AJ39" t="str">
        <f t="shared" si="8"/>
        <v/>
      </c>
      <c r="CB39" s="1899" t="str">
        <f t="shared" si="9"/>
        <v/>
      </c>
      <c r="CC39" s="1899" t="str">
        <f t="shared" si="0"/>
        <v/>
      </c>
      <c r="CD39" s="1899" t="str">
        <f t="shared" si="1"/>
        <v/>
      </c>
      <c r="CE39" s="1899" t="str">
        <f t="shared" si="18"/>
        <v/>
      </c>
      <c r="CF39" s="1899" t="str">
        <f t="shared" si="3"/>
        <v/>
      </c>
      <c r="CG39" s="1899" t="str">
        <f t="shared" si="10"/>
        <v/>
      </c>
      <c r="CH39" s="1899" t="str">
        <f t="shared" si="11"/>
        <v/>
      </c>
      <c r="CK39" s="1971"/>
      <c r="CL39" s="1901">
        <f t="shared" si="12"/>
        <v>0</v>
      </c>
      <c r="CM39" s="1901">
        <f t="shared" si="16"/>
        <v>0</v>
      </c>
      <c r="CN39" s="1901">
        <f t="shared" si="17"/>
        <v>0</v>
      </c>
      <c r="CO39" s="1901">
        <f t="shared" si="19"/>
        <v>0</v>
      </c>
      <c r="CP39" s="1901">
        <f t="shared" si="7"/>
        <v>0</v>
      </c>
      <c r="CQ39" s="4005">
        <f t="shared" si="13"/>
        <v>0</v>
      </c>
      <c r="CR39" s="4005">
        <f t="shared" si="14"/>
        <v>0</v>
      </c>
    </row>
    <row r="40" spans="1:96" s="19" customFormat="1" ht="15" customHeight="1" x14ac:dyDescent="0.3">
      <c r="A40" s="7163"/>
      <c r="B40" s="7060" t="s">
        <v>3189</v>
      </c>
      <c r="C40" s="4851" t="s">
        <v>3190</v>
      </c>
      <c r="D40" s="1184">
        <f>SUM(U40:X40)</f>
        <v>0</v>
      </c>
      <c r="E40" s="1468"/>
      <c r="F40" s="3451"/>
      <c r="G40" s="3451"/>
      <c r="H40" s="3451"/>
      <c r="I40" s="1469"/>
      <c r="J40" s="4705"/>
      <c r="K40" s="3451"/>
      <c r="L40" s="3451"/>
      <c r="M40" s="3451"/>
      <c r="N40" s="3451"/>
      <c r="O40" s="3451"/>
      <c r="P40" s="3451"/>
      <c r="Q40" s="3451"/>
      <c r="R40" s="3451"/>
      <c r="S40" s="3451"/>
      <c r="T40" s="3451"/>
      <c r="U40" s="1109"/>
      <c r="V40" s="1109"/>
      <c r="W40" s="1109"/>
      <c r="X40" s="1109"/>
      <c r="Y40" s="4668"/>
      <c r="Z40" s="3451"/>
      <c r="AA40" s="843"/>
      <c r="AB40" s="1326"/>
      <c r="AC40" s="1278"/>
      <c r="AD40" s="1278"/>
      <c r="AE40" s="1118"/>
      <c r="AF40" s="1114"/>
      <c r="AG40" s="1115"/>
      <c r="AH40" s="1115"/>
      <c r="AI40" s="1115"/>
      <c r="AJ40" t="str">
        <f t="shared" si="8"/>
        <v/>
      </c>
      <c r="CB40" s="1899" t="str">
        <f t="shared" si="9"/>
        <v/>
      </c>
      <c r="CC40" s="1899" t="str">
        <f t="shared" si="0"/>
        <v/>
      </c>
      <c r="CD40" s="1899" t="str">
        <f t="shared" si="1"/>
        <v/>
      </c>
      <c r="CE40" s="1899" t="str">
        <f t="shared" si="18"/>
        <v/>
      </c>
      <c r="CF40" s="1899" t="str">
        <f t="shared" si="3"/>
        <v/>
      </c>
      <c r="CG40" s="1899" t="str">
        <f t="shared" si="10"/>
        <v/>
      </c>
      <c r="CH40" s="1899" t="str">
        <f t="shared" si="11"/>
        <v/>
      </c>
      <c r="CK40" s="1971"/>
      <c r="CL40" s="1901">
        <f t="shared" si="12"/>
        <v>0</v>
      </c>
      <c r="CM40" s="1901">
        <f t="shared" si="16"/>
        <v>0</v>
      </c>
      <c r="CN40" s="1901">
        <f t="shared" si="17"/>
        <v>0</v>
      </c>
      <c r="CO40" s="1901">
        <f t="shared" si="19"/>
        <v>0</v>
      </c>
      <c r="CP40" s="1901">
        <f t="shared" si="7"/>
        <v>0</v>
      </c>
      <c r="CQ40" s="4005">
        <f t="shared" si="13"/>
        <v>0</v>
      </c>
      <c r="CR40" s="4005">
        <f t="shared" si="14"/>
        <v>0</v>
      </c>
    </row>
    <row r="41" spans="1:96" s="19" customFormat="1" ht="15" customHeight="1" x14ac:dyDescent="0.3">
      <c r="A41" s="7163"/>
      <c r="B41" s="5844"/>
      <c r="C41" s="4852" t="s">
        <v>3191</v>
      </c>
      <c r="D41" s="1187">
        <f>SUM(U41:X41)</f>
        <v>0</v>
      </c>
      <c r="E41" s="3151"/>
      <c r="F41" s="3146"/>
      <c r="G41" s="3146"/>
      <c r="H41" s="3146"/>
      <c r="I41" s="1264"/>
      <c r="J41" s="4842"/>
      <c r="K41" s="3146"/>
      <c r="L41" s="3146"/>
      <c r="M41" s="3146"/>
      <c r="N41" s="3146"/>
      <c r="O41" s="3146"/>
      <c r="P41" s="3146"/>
      <c r="Q41" s="3146"/>
      <c r="R41" s="3146"/>
      <c r="S41" s="3146"/>
      <c r="T41" s="3146"/>
      <c r="U41" s="1117"/>
      <c r="V41" s="1117"/>
      <c r="W41" s="1117"/>
      <c r="X41" s="1117"/>
      <c r="Y41" s="3831"/>
      <c r="Z41" s="3146"/>
      <c r="AA41" s="3147"/>
      <c r="AB41" s="1326"/>
      <c r="AC41" s="1278"/>
      <c r="AD41" s="1278"/>
      <c r="AE41" s="1118"/>
      <c r="AF41" s="1114"/>
      <c r="AG41" s="1115"/>
      <c r="AH41" s="1115"/>
      <c r="AI41" s="1115"/>
      <c r="AJ41" t="str">
        <f t="shared" si="8"/>
        <v/>
      </c>
      <c r="CB41" s="1899" t="str">
        <f t="shared" si="9"/>
        <v/>
      </c>
      <c r="CC41" s="1899" t="str">
        <f t="shared" si="0"/>
        <v/>
      </c>
      <c r="CD41" s="1899" t="str">
        <f t="shared" si="1"/>
        <v/>
      </c>
      <c r="CE41" s="1899" t="str">
        <f t="shared" si="18"/>
        <v/>
      </c>
      <c r="CF41" s="1899" t="str">
        <f t="shared" si="3"/>
        <v/>
      </c>
      <c r="CG41" s="1899" t="str">
        <f t="shared" si="10"/>
        <v/>
      </c>
      <c r="CH41" s="1899" t="str">
        <f t="shared" si="11"/>
        <v/>
      </c>
      <c r="CK41" s="1971"/>
      <c r="CL41" s="1901">
        <f t="shared" si="12"/>
        <v>0</v>
      </c>
      <c r="CM41" s="1901">
        <f t="shared" si="16"/>
        <v>0</v>
      </c>
      <c r="CN41" s="1901">
        <f t="shared" si="17"/>
        <v>0</v>
      </c>
      <c r="CO41" s="1901">
        <f t="shared" si="19"/>
        <v>0</v>
      </c>
      <c r="CP41" s="1901">
        <f t="shared" si="7"/>
        <v>0</v>
      </c>
      <c r="CQ41" s="4005">
        <f t="shared" si="13"/>
        <v>0</v>
      </c>
      <c r="CR41" s="4005">
        <f t="shared" si="14"/>
        <v>0</v>
      </c>
    </row>
    <row r="42" spans="1:96" s="19" customFormat="1" ht="15" customHeight="1" x14ac:dyDescent="0.3">
      <c r="A42" s="7163"/>
      <c r="B42" s="5844"/>
      <c r="C42" s="1428" t="s">
        <v>3192</v>
      </c>
      <c r="D42" s="1187">
        <f>SUM(U42:X42)</f>
        <v>0</v>
      </c>
      <c r="E42" s="3151"/>
      <c r="F42" s="3146"/>
      <c r="G42" s="3146"/>
      <c r="H42" s="3146"/>
      <c r="I42" s="1264"/>
      <c r="J42" s="4842"/>
      <c r="K42" s="3146"/>
      <c r="L42" s="3146"/>
      <c r="M42" s="3146"/>
      <c r="N42" s="3146"/>
      <c r="O42" s="3146"/>
      <c r="P42" s="3146"/>
      <c r="Q42" s="3146"/>
      <c r="R42" s="3146"/>
      <c r="S42" s="3146"/>
      <c r="T42" s="3146"/>
      <c r="U42" s="1117"/>
      <c r="V42" s="1117"/>
      <c r="W42" s="1117"/>
      <c r="X42" s="1117"/>
      <c r="Y42" s="3831"/>
      <c r="Z42" s="3146"/>
      <c r="AA42" s="3147"/>
      <c r="AB42" s="1326"/>
      <c r="AC42" s="1278"/>
      <c r="AD42" s="1278"/>
      <c r="AE42" s="1118"/>
      <c r="AF42" s="1114"/>
      <c r="AG42" s="1115"/>
      <c r="AH42" s="1115"/>
      <c r="AI42" s="1115"/>
      <c r="AJ42" t="str">
        <f t="shared" si="8"/>
        <v/>
      </c>
      <c r="CB42" s="1899" t="str">
        <f t="shared" si="9"/>
        <v/>
      </c>
      <c r="CC42" s="1899" t="str">
        <f t="shared" si="0"/>
        <v/>
      </c>
      <c r="CD42" s="1899" t="str">
        <f t="shared" si="1"/>
        <v/>
      </c>
      <c r="CE42" s="1899" t="str">
        <f t="shared" si="18"/>
        <v/>
      </c>
      <c r="CF42" s="1899" t="str">
        <f t="shared" si="3"/>
        <v/>
      </c>
      <c r="CG42" s="1899" t="str">
        <f t="shared" si="10"/>
        <v/>
      </c>
      <c r="CH42" s="1899" t="str">
        <f t="shared" si="11"/>
        <v/>
      </c>
      <c r="CK42" s="1971"/>
      <c r="CL42" s="1901">
        <f t="shared" si="12"/>
        <v>0</v>
      </c>
      <c r="CM42" s="1901">
        <f t="shared" si="16"/>
        <v>0</v>
      </c>
      <c r="CN42" s="1901">
        <f t="shared" si="17"/>
        <v>0</v>
      </c>
      <c r="CO42" s="1901">
        <f t="shared" si="19"/>
        <v>0</v>
      </c>
      <c r="CP42" s="1901">
        <f t="shared" si="7"/>
        <v>0</v>
      </c>
      <c r="CQ42" s="4005">
        <f t="shared" si="13"/>
        <v>0</v>
      </c>
      <c r="CR42" s="4005">
        <f t="shared" si="14"/>
        <v>0</v>
      </c>
    </row>
    <row r="43" spans="1:96" s="19" customFormat="1" ht="15" customHeight="1" x14ac:dyDescent="0.3">
      <c r="A43" s="7163"/>
      <c r="B43" s="5844"/>
      <c r="C43" s="4853" t="s">
        <v>3193</v>
      </c>
      <c r="D43" s="1187">
        <f>SUM(U43:X43)</f>
        <v>0</v>
      </c>
      <c r="E43" s="3151"/>
      <c r="F43" s="3146"/>
      <c r="G43" s="3146"/>
      <c r="H43" s="3146"/>
      <c r="I43" s="1264"/>
      <c r="J43" s="4842"/>
      <c r="K43" s="3146"/>
      <c r="L43" s="3146"/>
      <c r="M43" s="4849"/>
      <c r="N43" s="4849"/>
      <c r="O43" s="4849"/>
      <c r="P43" s="4849"/>
      <c r="Q43" s="4849"/>
      <c r="R43" s="4849"/>
      <c r="S43" s="4849"/>
      <c r="T43" s="4849"/>
      <c r="U43" s="1117"/>
      <c r="V43" s="1117"/>
      <c r="W43" s="1117"/>
      <c r="X43" s="1117"/>
      <c r="Y43" s="3831"/>
      <c r="Z43" s="3146"/>
      <c r="AA43" s="3147"/>
      <c r="AB43" s="1326"/>
      <c r="AC43" s="1278"/>
      <c r="AD43" s="1278"/>
      <c r="AE43" s="1118"/>
      <c r="AF43" s="1114"/>
      <c r="AG43" s="1115"/>
      <c r="AH43" s="1115"/>
      <c r="AI43" s="1115"/>
      <c r="AJ43" t="str">
        <f t="shared" si="8"/>
        <v/>
      </c>
      <c r="CB43" s="1899" t="str">
        <f t="shared" si="9"/>
        <v/>
      </c>
      <c r="CC43" s="1899" t="str">
        <f t="shared" si="0"/>
        <v/>
      </c>
      <c r="CD43" s="1899" t="str">
        <f t="shared" si="1"/>
        <v/>
      </c>
      <c r="CE43" s="1899" t="str">
        <f t="shared" si="18"/>
        <v/>
      </c>
      <c r="CF43" s="1899" t="str">
        <f t="shared" si="3"/>
        <v/>
      </c>
      <c r="CG43" s="1899" t="str">
        <f t="shared" si="10"/>
        <v/>
      </c>
      <c r="CH43" s="1899" t="str">
        <f t="shared" si="11"/>
        <v/>
      </c>
      <c r="CK43" s="1971"/>
      <c r="CL43" s="1901">
        <f t="shared" si="12"/>
        <v>0</v>
      </c>
      <c r="CM43" s="1901">
        <f t="shared" si="16"/>
        <v>0</v>
      </c>
      <c r="CN43" s="1901">
        <f t="shared" si="17"/>
        <v>0</v>
      </c>
      <c r="CO43" s="1901">
        <f t="shared" si="19"/>
        <v>0</v>
      </c>
      <c r="CP43" s="1901">
        <f t="shared" si="7"/>
        <v>0</v>
      </c>
      <c r="CQ43" s="4005">
        <f t="shared" si="13"/>
        <v>0</v>
      </c>
      <c r="CR43" s="4005">
        <f t="shared" si="14"/>
        <v>0</v>
      </c>
    </row>
    <row r="44" spans="1:96" s="19" customFormat="1" ht="15" customHeight="1" x14ac:dyDescent="0.3">
      <c r="A44" s="7163"/>
      <c r="B44" s="5844"/>
      <c r="C44" s="4854" t="s">
        <v>3194</v>
      </c>
      <c r="D44" s="193">
        <f>SUM(U44:X44)</f>
        <v>0</v>
      </c>
      <c r="E44" s="109"/>
      <c r="F44" s="287"/>
      <c r="G44" s="287"/>
      <c r="H44" s="287"/>
      <c r="I44" s="72"/>
      <c r="J44" s="4855"/>
      <c r="K44" s="287"/>
      <c r="L44" s="287"/>
      <c r="M44" s="4832"/>
      <c r="N44" s="4832"/>
      <c r="O44" s="4832"/>
      <c r="P44" s="4832"/>
      <c r="Q44" s="4832"/>
      <c r="R44" s="4832"/>
      <c r="S44" s="4832"/>
      <c r="T44" s="4832"/>
      <c r="U44" s="3181"/>
      <c r="V44" s="3181"/>
      <c r="W44" s="3181"/>
      <c r="X44" s="3181"/>
      <c r="Y44" s="4678"/>
      <c r="Z44" s="287"/>
      <c r="AA44" s="4840"/>
      <c r="AB44" s="74"/>
      <c r="AC44" s="242"/>
      <c r="AD44" s="242"/>
      <c r="AE44" s="95"/>
      <c r="AF44" s="47"/>
      <c r="AG44" s="42"/>
      <c r="AH44" s="42"/>
      <c r="AI44" s="42"/>
      <c r="AJ44" t="str">
        <f t="shared" si="8"/>
        <v/>
      </c>
      <c r="CB44" s="1899" t="str">
        <f t="shared" si="9"/>
        <v/>
      </c>
      <c r="CC44" s="1899" t="str">
        <f t="shared" si="0"/>
        <v/>
      </c>
      <c r="CD44" s="1899" t="str">
        <f t="shared" si="1"/>
        <v/>
      </c>
      <c r="CE44" s="1899" t="str">
        <f t="shared" si="18"/>
        <v/>
      </c>
      <c r="CF44" s="1899" t="str">
        <f t="shared" si="3"/>
        <v/>
      </c>
      <c r="CG44" s="1899" t="str">
        <f t="shared" si="10"/>
        <v/>
      </c>
      <c r="CH44" s="1899" t="str">
        <f t="shared" si="11"/>
        <v/>
      </c>
      <c r="CK44" s="1971"/>
      <c r="CL44" s="1901">
        <f t="shared" si="12"/>
        <v>0</v>
      </c>
      <c r="CM44" s="1901">
        <f t="shared" si="16"/>
        <v>0</v>
      </c>
      <c r="CN44" s="1901">
        <f t="shared" si="17"/>
        <v>0</v>
      </c>
      <c r="CO44" s="1901">
        <f t="shared" si="19"/>
        <v>0</v>
      </c>
      <c r="CP44" s="1901">
        <f t="shared" si="7"/>
        <v>0</v>
      </c>
      <c r="CQ44" s="4005">
        <f t="shared" si="13"/>
        <v>0</v>
      </c>
      <c r="CR44" s="4005">
        <f t="shared" si="14"/>
        <v>0</v>
      </c>
    </row>
    <row r="45" spans="1:96" s="19" customFormat="1" ht="15" customHeight="1" x14ac:dyDescent="0.3">
      <c r="A45" s="7163"/>
      <c r="B45" s="7342" t="s">
        <v>3195</v>
      </c>
      <c r="C45" s="7343"/>
      <c r="D45" s="1184">
        <f>SUM(E45:X45)</f>
        <v>0</v>
      </c>
      <c r="E45" s="1106"/>
      <c r="F45" s="773"/>
      <c r="G45" s="773"/>
      <c r="H45" s="773"/>
      <c r="I45" s="1107"/>
      <c r="J45" s="1108"/>
      <c r="K45" s="773"/>
      <c r="L45" s="773"/>
      <c r="M45" s="1109"/>
      <c r="N45" s="1109"/>
      <c r="O45" s="1109"/>
      <c r="P45" s="1109"/>
      <c r="Q45" s="1109"/>
      <c r="R45" s="1109"/>
      <c r="S45" s="1109"/>
      <c r="T45" s="1109"/>
      <c r="U45" s="1109"/>
      <c r="V45" s="1109"/>
      <c r="W45" s="1109"/>
      <c r="X45" s="1109"/>
      <c r="Y45" s="4668"/>
      <c r="Z45" s="3451"/>
      <c r="AA45" s="843"/>
      <c r="AB45" s="1321"/>
      <c r="AC45" s="773"/>
      <c r="AD45" s="773"/>
      <c r="AE45" s="771"/>
      <c r="AF45" s="1106"/>
      <c r="AG45" s="1107"/>
      <c r="AH45" s="1107"/>
      <c r="AI45" s="1107"/>
      <c r="AJ45" t="str">
        <f t="shared" si="8"/>
        <v/>
      </c>
      <c r="CB45" s="1899" t="str">
        <f t="shared" si="9"/>
        <v/>
      </c>
      <c r="CC45" s="1899" t="str">
        <f t="shared" si="0"/>
        <v/>
      </c>
      <c r="CD45" s="1899" t="str">
        <f t="shared" si="1"/>
        <v/>
      </c>
      <c r="CE45" s="1899" t="str">
        <f t="shared" si="18"/>
        <v/>
      </c>
      <c r="CF45" s="1899" t="str">
        <f t="shared" si="3"/>
        <v/>
      </c>
      <c r="CG45" s="1899" t="str">
        <f t="shared" si="10"/>
        <v/>
      </c>
      <c r="CH45" s="1899" t="str">
        <f t="shared" si="11"/>
        <v/>
      </c>
      <c r="CK45" s="1971"/>
      <c r="CL45" s="1901">
        <f t="shared" si="12"/>
        <v>0</v>
      </c>
      <c r="CM45" s="1901">
        <f t="shared" si="16"/>
        <v>0</v>
      </c>
      <c r="CN45" s="1901">
        <f t="shared" si="17"/>
        <v>0</v>
      </c>
      <c r="CO45" s="1901">
        <f t="shared" si="19"/>
        <v>0</v>
      </c>
      <c r="CP45" s="1901">
        <f t="shared" si="7"/>
        <v>0</v>
      </c>
      <c r="CQ45" s="4005">
        <f t="shared" si="13"/>
        <v>0</v>
      </c>
      <c r="CR45" s="4005">
        <f t="shared" si="14"/>
        <v>0</v>
      </c>
    </row>
    <row r="46" spans="1:96" s="19" customFormat="1" ht="15" customHeight="1" x14ac:dyDescent="0.3">
      <c r="A46" s="7163"/>
      <c r="B46" s="7330" t="s">
        <v>3196</v>
      </c>
      <c r="C46" s="7331"/>
      <c r="D46" s="4829">
        <f>SUM(E46:X46)</f>
        <v>0</v>
      </c>
      <c r="E46" s="1289"/>
      <c r="F46" s="262"/>
      <c r="G46" s="262"/>
      <c r="H46" s="262"/>
      <c r="I46" s="1474"/>
      <c r="J46" s="3332"/>
      <c r="K46" s="262"/>
      <c r="L46" s="262"/>
      <c r="M46" s="316"/>
      <c r="N46" s="316"/>
      <c r="O46" s="316"/>
      <c r="P46" s="316"/>
      <c r="Q46" s="316"/>
      <c r="R46" s="316"/>
      <c r="S46" s="316"/>
      <c r="T46" s="316"/>
      <c r="U46" s="316"/>
      <c r="V46" s="316"/>
      <c r="W46" s="316"/>
      <c r="X46" s="316"/>
      <c r="Y46" s="4682"/>
      <c r="Z46" s="3452"/>
      <c r="AA46" s="4847"/>
      <c r="AB46" s="1330"/>
      <c r="AC46" s="1283"/>
      <c r="AD46" s="1283"/>
      <c r="AE46" s="1140"/>
      <c r="AF46" s="1139"/>
      <c r="AG46" s="388"/>
      <c r="AH46" s="388"/>
      <c r="AI46" s="388"/>
      <c r="AJ46" t="str">
        <f t="shared" si="8"/>
        <v/>
      </c>
      <c r="CB46" s="1899" t="str">
        <f t="shared" si="9"/>
        <v/>
      </c>
      <c r="CC46" s="1899" t="str">
        <f t="shared" si="0"/>
        <v/>
      </c>
      <c r="CD46" s="1899" t="str">
        <f t="shared" si="1"/>
        <v/>
      </c>
      <c r="CE46" s="1899" t="str">
        <f t="shared" si="18"/>
        <v/>
      </c>
      <c r="CF46" s="1899" t="str">
        <f t="shared" si="3"/>
        <v/>
      </c>
      <c r="CG46" s="1899" t="str">
        <f t="shared" si="10"/>
        <v/>
      </c>
      <c r="CH46" s="1899" t="str">
        <f t="shared" si="11"/>
        <v/>
      </c>
      <c r="CL46" s="1901">
        <f t="shared" si="12"/>
        <v>0</v>
      </c>
      <c r="CM46" s="1901">
        <f t="shared" si="16"/>
        <v>0</v>
      </c>
      <c r="CN46" s="1901">
        <f t="shared" si="17"/>
        <v>0</v>
      </c>
      <c r="CO46" s="1901">
        <f t="shared" si="19"/>
        <v>0</v>
      </c>
      <c r="CP46" s="1901">
        <f t="shared" si="7"/>
        <v>0</v>
      </c>
      <c r="CQ46" s="4005">
        <f t="shared" si="13"/>
        <v>0</v>
      </c>
      <c r="CR46" s="4005">
        <f t="shared" si="14"/>
        <v>0</v>
      </c>
    </row>
    <row r="47" spans="1:96" s="19" customFormat="1" ht="15" customHeight="1" x14ac:dyDescent="0.3">
      <c r="A47" s="7163"/>
      <c r="B47" s="7347" t="s">
        <v>3197</v>
      </c>
      <c r="C47" s="4856" t="s">
        <v>3198</v>
      </c>
      <c r="D47" s="1187">
        <f>SUM(K47:X47)</f>
        <v>0</v>
      </c>
      <c r="E47" s="1468"/>
      <c r="F47" s="3451"/>
      <c r="G47" s="3451"/>
      <c r="H47" s="3451"/>
      <c r="I47" s="842"/>
      <c r="J47" s="3451"/>
      <c r="K47" s="1278"/>
      <c r="L47" s="1278"/>
      <c r="M47" s="1117"/>
      <c r="N47" s="1117"/>
      <c r="O47" s="1117"/>
      <c r="P47" s="1117"/>
      <c r="Q47" s="1117"/>
      <c r="R47" s="1117"/>
      <c r="S47" s="1117"/>
      <c r="T47" s="1117"/>
      <c r="U47" s="1117"/>
      <c r="V47" s="1117"/>
      <c r="W47" s="1117"/>
      <c r="X47" s="1117"/>
      <c r="Y47" s="4668"/>
      <c r="Z47" s="3451"/>
      <c r="AA47" s="843"/>
      <c r="AB47" s="1321"/>
      <c r="AC47" s="773"/>
      <c r="AD47" s="773"/>
      <c r="AE47" s="771"/>
      <c r="AF47" s="1106"/>
      <c r="AG47" s="1107"/>
      <c r="AH47" s="1107"/>
      <c r="AI47" s="1107"/>
      <c r="AJ47" t="str">
        <f t="shared" si="8"/>
        <v/>
      </c>
      <c r="CB47" s="1899" t="str">
        <f t="shared" si="9"/>
        <v/>
      </c>
      <c r="CC47" s="1899" t="str">
        <f t="shared" si="0"/>
        <v/>
      </c>
      <c r="CD47" s="1899" t="str">
        <f t="shared" si="1"/>
        <v/>
      </c>
      <c r="CE47" s="1899" t="str">
        <f t="shared" si="18"/>
        <v/>
      </c>
      <c r="CF47" s="1899" t="str">
        <f t="shared" si="3"/>
        <v/>
      </c>
      <c r="CG47" s="1899" t="str">
        <f t="shared" si="10"/>
        <v/>
      </c>
      <c r="CH47" s="1899" t="str">
        <f t="shared" si="11"/>
        <v/>
      </c>
      <c r="CL47" s="1901">
        <f t="shared" si="12"/>
        <v>0</v>
      </c>
      <c r="CM47" s="1901">
        <f t="shared" si="16"/>
        <v>0</v>
      </c>
      <c r="CN47" s="1901">
        <f t="shared" si="17"/>
        <v>0</v>
      </c>
      <c r="CO47" s="1901">
        <f t="shared" si="19"/>
        <v>0</v>
      </c>
      <c r="CP47" s="1901">
        <f t="shared" si="7"/>
        <v>0</v>
      </c>
      <c r="CQ47" s="4005">
        <f t="shared" si="13"/>
        <v>0</v>
      </c>
      <c r="CR47" s="4005">
        <f t="shared" si="14"/>
        <v>0</v>
      </c>
    </row>
    <row r="48" spans="1:96" s="19" customFormat="1" ht="15" customHeight="1" x14ac:dyDescent="0.3">
      <c r="A48" s="7163"/>
      <c r="B48" s="7348"/>
      <c r="C48" s="4857" t="s">
        <v>3199</v>
      </c>
      <c r="D48" s="1187">
        <f>SUM(K48:X48)</f>
        <v>0</v>
      </c>
      <c r="E48" s="3151"/>
      <c r="F48" s="3146"/>
      <c r="G48" s="3146"/>
      <c r="H48" s="3146"/>
      <c r="I48" s="1479"/>
      <c r="J48" s="3146"/>
      <c r="K48" s="1278"/>
      <c r="L48" s="1278"/>
      <c r="M48" s="1117"/>
      <c r="N48" s="1117"/>
      <c r="O48" s="1117"/>
      <c r="P48" s="1117"/>
      <c r="Q48" s="1117"/>
      <c r="R48" s="1117"/>
      <c r="S48" s="1123"/>
      <c r="T48" s="1117"/>
      <c r="U48" s="1117"/>
      <c r="V48" s="1117"/>
      <c r="W48" s="1117"/>
      <c r="X48" s="1117"/>
      <c r="Y48" s="3831"/>
      <c r="Z48" s="3146"/>
      <c r="AA48" s="3147"/>
      <c r="AB48" s="1326"/>
      <c r="AC48" s="1278"/>
      <c r="AD48" s="1278"/>
      <c r="AE48" s="1118"/>
      <c r="AF48" s="1114"/>
      <c r="AG48" s="1115"/>
      <c r="AH48" s="1115"/>
      <c r="AI48" s="1115"/>
      <c r="AJ48" t="str">
        <f t="shared" si="8"/>
        <v/>
      </c>
      <c r="CB48" s="1899" t="str">
        <f t="shared" si="9"/>
        <v/>
      </c>
      <c r="CC48" s="1899" t="str">
        <f t="shared" si="0"/>
        <v/>
      </c>
      <c r="CD48" s="1899" t="str">
        <f t="shared" si="1"/>
        <v/>
      </c>
      <c r="CE48" s="1899" t="str">
        <f t="shared" si="18"/>
        <v/>
      </c>
      <c r="CF48" s="1899" t="str">
        <f t="shared" si="3"/>
        <v/>
      </c>
      <c r="CG48" s="1899" t="str">
        <f t="shared" si="10"/>
        <v/>
      </c>
      <c r="CH48" s="1899" t="str">
        <f t="shared" si="11"/>
        <v/>
      </c>
      <c r="CL48" s="1901">
        <f t="shared" si="12"/>
        <v>0</v>
      </c>
      <c r="CM48" s="1901">
        <f t="shared" si="16"/>
        <v>0</v>
      </c>
      <c r="CN48" s="1901">
        <f t="shared" si="17"/>
        <v>0</v>
      </c>
      <c r="CO48" s="1901">
        <f t="shared" si="19"/>
        <v>0</v>
      </c>
      <c r="CP48" s="1901">
        <f t="shared" si="7"/>
        <v>0</v>
      </c>
      <c r="CQ48" s="4005">
        <f t="shared" si="13"/>
        <v>0</v>
      </c>
      <c r="CR48" s="4005">
        <f t="shared" si="14"/>
        <v>0</v>
      </c>
    </row>
    <row r="49" spans="1:96" s="19" customFormat="1" ht="30.75" customHeight="1" x14ac:dyDescent="0.3">
      <c r="A49" s="7163"/>
      <c r="B49" s="7348"/>
      <c r="C49" s="4858" t="s">
        <v>3200</v>
      </c>
      <c r="D49" s="1187">
        <f>SUM(K49:X49)</f>
        <v>0</v>
      </c>
      <c r="E49" s="3151"/>
      <c r="F49" s="3146"/>
      <c r="G49" s="3146"/>
      <c r="H49" s="3146"/>
      <c r="I49" s="1479"/>
      <c r="J49" s="3146"/>
      <c r="K49" s="1278"/>
      <c r="L49" s="1278"/>
      <c r="M49" s="1117"/>
      <c r="N49" s="1117"/>
      <c r="O49" s="1117"/>
      <c r="P49" s="1117"/>
      <c r="Q49" s="1117"/>
      <c r="R49" s="1117"/>
      <c r="S49" s="1117"/>
      <c r="T49" s="1117"/>
      <c r="U49" s="1117"/>
      <c r="V49" s="1117"/>
      <c r="W49" s="1117"/>
      <c r="X49" s="1120"/>
      <c r="Y49" s="4828"/>
      <c r="Z49" s="3146"/>
      <c r="AA49" s="3147"/>
      <c r="AB49" s="1326"/>
      <c r="AC49" s="1278"/>
      <c r="AD49" s="1278"/>
      <c r="AE49" s="1118"/>
      <c r="AF49" s="1114"/>
      <c r="AG49" s="1115"/>
      <c r="AH49" s="1115"/>
      <c r="AI49" s="1115"/>
      <c r="AJ49" t="str">
        <f t="shared" si="8"/>
        <v/>
      </c>
      <c r="CB49" s="1899" t="str">
        <f t="shared" si="9"/>
        <v/>
      </c>
      <c r="CC49" s="1899" t="str">
        <f t="shared" si="0"/>
        <v/>
      </c>
      <c r="CD49" s="1899" t="str">
        <f t="shared" si="1"/>
        <v/>
      </c>
      <c r="CE49" s="1899" t="str">
        <f t="shared" si="18"/>
        <v/>
      </c>
      <c r="CF49" s="1899" t="str">
        <f t="shared" si="3"/>
        <v/>
      </c>
      <c r="CG49" s="1899" t="str">
        <f t="shared" si="10"/>
        <v/>
      </c>
      <c r="CH49" s="1899" t="str">
        <f t="shared" si="11"/>
        <v/>
      </c>
      <c r="CL49" s="1901">
        <f t="shared" si="12"/>
        <v>0</v>
      </c>
      <c r="CM49" s="1901">
        <f t="shared" si="16"/>
        <v>0</v>
      </c>
      <c r="CN49" s="1901">
        <f t="shared" si="17"/>
        <v>0</v>
      </c>
      <c r="CO49" s="1901">
        <f t="shared" si="19"/>
        <v>0</v>
      </c>
      <c r="CP49" s="1901">
        <f t="shared" si="7"/>
        <v>0</v>
      </c>
      <c r="CQ49" s="4005">
        <f t="shared" si="13"/>
        <v>0</v>
      </c>
      <c r="CR49" s="4005">
        <f t="shared" si="14"/>
        <v>0</v>
      </c>
    </row>
    <row r="50" spans="1:96" s="19" customFormat="1" ht="15" customHeight="1" x14ac:dyDescent="0.3">
      <c r="A50" s="7163"/>
      <c r="B50" s="7348"/>
      <c r="C50" s="4859" t="s">
        <v>3201</v>
      </c>
      <c r="D50" s="1187">
        <f>SUM(K50:X50)</f>
        <v>0</v>
      </c>
      <c r="E50" s="4834"/>
      <c r="F50" s="4835"/>
      <c r="G50" s="4835"/>
      <c r="H50" s="4835"/>
      <c r="I50" s="636"/>
      <c r="J50" s="4834"/>
      <c r="K50" s="1283"/>
      <c r="L50" s="1283"/>
      <c r="M50" s="1153"/>
      <c r="N50" s="1153"/>
      <c r="O50" s="1153"/>
      <c r="P50" s="1153"/>
      <c r="Q50" s="1153"/>
      <c r="R50" s="1153"/>
      <c r="S50" s="1153"/>
      <c r="T50" s="1153"/>
      <c r="U50" s="1153"/>
      <c r="V50" s="1153"/>
      <c r="W50" s="1153"/>
      <c r="X50" s="1351"/>
      <c r="Y50" s="4682"/>
      <c r="Z50" s="4835"/>
      <c r="AA50" s="4847"/>
      <c r="AB50" s="1330"/>
      <c r="AC50" s="1283"/>
      <c r="AD50" s="1283"/>
      <c r="AE50" s="1140"/>
      <c r="AF50" s="1139"/>
      <c r="AG50" s="388"/>
      <c r="AH50" s="388"/>
      <c r="AI50" s="388"/>
      <c r="AJ50" t="str">
        <f t="shared" si="8"/>
        <v/>
      </c>
      <c r="CB50" s="1899" t="str">
        <f t="shared" si="9"/>
        <v/>
      </c>
      <c r="CC50" s="1899" t="str">
        <f t="shared" si="0"/>
        <v/>
      </c>
      <c r="CD50" s="1899" t="str">
        <f t="shared" si="1"/>
        <v/>
      </c>
      <c r="CE50" s="1899" t="str">
        <f t="shared" si="18"/>
        <v/>
      </c>
      <c r="CF50" s="1899" t="str">
        <f t="shared" si="3"/>
        <v/>
      </c>
      <c r="CG50" s="1899" t="str">
        <f t="shared" si="10"/>
        <v/>
      </c>
      <c r="CH50" s="1899" t="str">
        <f t="shared" si="11"/>
        <v/>
      </c>
      <c r="CL50" s="1901">
        <f t="shared" si="12"/>
        <v>0</v>
      </c>
      <c r="CM50" s="1901">
        <f t="shared" si="16"/>
        <v>0</v>
      </c>
      <c r="CN50" s="1901">
        <f t="shared" si="17"/>
        <v>0</v>
      </c>
      <c r="CO50" s="1901">
        <f t="shared" si="19"/>
        <v>0</v>
      </c>
      <c r="CP50" s="1901">
        <f t="shared" si="7"/>
        <v>0</v>
      </c>
      <c r="CQ50" s="4005">
        <f t="shared" si="13"/>
        <v>0</v>
      </c>
      <c r="CR50" s="4005">
        <f t="shared" si="14"/>
        <v>0</v>
      </c>
    </row>
    <row r="51" spans="1:96" s="19" customFormat="1" ht="15" customHeight="1" x14ac:dyDescent="0.3">
      <c r="A51" s="7163"/>
      <c r="B51" s="7347" t="s">
        <v>3202</v>
      </c>
      <c r="C51" s="1445" t="s">
        <v>59</v>
      </c>
      <c r="D51" s="1184">
        <f>SUM(E51:X51)</f>
        <v>0</v>
      </c>
      <c r="E51" s="1106"/>
      <c r="F51" s="773"/>
      <c r="G51" s="773"/>
      <c r="H51" s="773"/>
      <c r="I51" s="1107"/>
      <c r="J51" s="1106"/>
      <c r="K51" s="773"/>
      <c r="L51" s="773"/>
      <c r="M51" s="1109"/>
      <c r="N51" s="1109"/>
      <c r="O51" s="1109"/>
      <c r="P51" s="1109"/>
      <c r="Q51" s="1109"/>
      <c r="R51" s="1109"/>
      <c r="S51" s="1109"/>
      <c r="T51" s="1109"/>
      <c r="U51" s="1109"/>
      <c r="V51" s="1109"/>
      <c r="W51" s="1109"/>
      <c r="X51" s="759"/>
      <c r="Y51" s="1326"/>
      <c r="Z51" s="1278"/>
      <c r="AA51" s="1120"/>
      <c r="AB51" s="4860"/>
      <c r="AC51" s="773"/>
      <c r="AD51" s="773"/>
      <c r="AE51" s="771"/>
      <c r="AF51" s="1106"/>
      <c r="AG51" s="1107"/>
      <c r="AH51" s="1107"/>
      <c r="AI51" s="1107"/>
      <c r="AJ51" t="str">
        <f t="shared" si="8"/>
        <v/>
      </c>
      <c r="CB51" s="1900"/>
      <c r="CC51" s="1899" t="str">
        <f t="shared" si="0"/>
        <v/>
      </c>
      <c r="CD51" s="1899" t="str">
        <f t="shared" si="1"/>
        <v/>
      </c>
      <c r="CE51" s="1899" t="str">
        <f t="shared" si="18"/>
        <v/>
      </c>
      <c r="CF51" s="1899" t="str">
        <f t="shared" si="3"/>
        <v/>
      </c>
      <c r="CG51" s="1899" t="str">
        <f t="shared" si="10"/>
        <v/>
      </c>
      <c r="CH51" s="1899" t="str">
        <f t="shared" si="11"/>
        <v/>
      </c>
      <c r="CL51" s="1902"/>
      <c r="CM51" s="1901">
        <f t="shared" si="16"/>
        <v>0</v>
      </c>
      <c r="CN51" s="1901">
        <f t="shared" si="17"/>
        <v>0</v>
      </c>
      <c r="CO51" s="1901">
        <f t="shared" si="19"/>
        <v>0</v>
      </c>
      <c r="CP51" s="1901">
        <f t="shared" si="7"/>
        <v>0</v>
      </c>
      <c r="CQ51" s="4005">
        <f t="shared" si="13"/>
        <v>0</v>
      </c>
      <c r="CR51" s="4005">
        <f t="shared" si="14"/>
        <v>0</v>
      </c>
    </row>
    <row r="52" spans="1:96" s="19" customFormat="1" ht="15" customHeight="1" x14ac:dyDescent="0.3">
      <c r="A52" s="7163"/>
      <c r="B52" s="7397"/>
      <c r="C52" s="1819" t="s">
        <v>58</v>
      </c>
      <c r="D52" s="4829">
        <f>SUM(E52:X52)</f>
        <v>0</v>
      </c>
      <c r="E52" s="4610"/>
      <c r="F52" s="242"/>
      <c r="G52" s="242"/>
      <c r="H52" s="242"/>
      <c r="I52" s="1474"/>
      <c r="J52" s="4610"/>
      <c r="K52" s="242"/>
      <c r="L52" s="242"/>
      <c r="M52" s="3181"/>
      <c r="N52" s="3181"/>
      <c r="O52" s="3181"/>
      <c r="P52" s="3181"/>
      <c r="Q52" s="3181"/>
      <c r="R52" s="3181"/>
      <c r="S52" s="3181"/>
      <c r="T52" s="3181"/>
      <c r="U52" s="3181"/>
      <c r="V52" s="3181"/>
      <c r="W52" s="3181"/>
      <c r="X52" s="3181"/>
      <c r="Y52" s="377"/>
      <c r="Z52" s="594"/>
      <c r="AA52" s="384"/>
      <c r="AB52" s="313"/>
      <c r="AC52" s="1283"/>
      <c r="AD52" s="242"/>
      <c r="AE52" s="95"/>
      <c r="AF52" s="47"/>
      <c r="AG52" s="42"/>
      <c r="AH52" s="42"/>
      <c r="AI52" s="42"/>
      <c r="AJ52" t="str">
        <f t="shared" si="8"/>
        <v/>
      </c>
      <c r="CB52" s="1900"/>
      <c r="CC52" s="1899" t="str">
        <f t="shared" si="0"/>
        <v/>
      </c>
      <c r="CD52" s="1899" t="str">
        <f t="shared" si="1"/>
        <v/>
      </c>
      <c r="CE52" s="1899" t="str">
        <f t="shared" si="18"/>
        <v/>
      </c>
      <c r="CF52" s="1899" t="str">
        <f t="shared" si="3"/>
        <v/>
      </c>
      <c r="CG52" s="1899" t="str">
        <f t="shared" si="10"/>
        <v/>
      </c>
      <c r="CH52" s="1899" t="str">
        <f t="shared" si="11"/>
        <v/>
      </c>
      <c r="CL52" s="1902"/>
      <c r="CM52" s="1901">
        <f t="shared" si="16"/>
        <v>0</v>
      </c>
      <c r="CN52" s="1901">
        <f t="shared" si="17"/>
        <v>0</v>
      </c>
      <c r="CO52" s="1901">
        <f t="shared" si="19"/>
        <v>0</v>
      </c>
      <c r="CP52" s="1901">
        <f t="shared" si="7"/>
        <v>0</v>
      </c>
      <c r="CQ52" s="4005">
        <f t="shared" si="13"/>
        <v>0</v>
      </c>
      <c r="CR52" s="4005">
        <f t="shared" si="14"/>
        <v>0</v>
      </c>
    </row>
    <row r="53" spans="1:96" s="19" customFormat="1" ht="15" customHeight="1" x14ac:dyDescent="0.2">
      <c r="A53" s="7195"/>
      <c r="B53" s="7024" t="s">
        <v>77</v>
      </c>
      <c r="C53" s="7026"/>
      <c r="D53" s="1094">
        <f>SUM(E53:X53)</f>
        <v>0</v>
      </c>
      <c r="E53" s="1125">
        <f>SUM(E11:E52)</f>
        <v>0</v>
      </c>
      <c r="F53" s="1141">
        <f t="shared" ref="F53:AI53" si="20">SUM(F11:F52)</f>
        <v>0</v>
      </c>
      <c r="G53" s="1141">
        <f t="shared" si="20"/>
        <v>0</v>
      </c>
      <c r="H53" s="1141">
        <f t="shared" si="20"/>
        <v>0</v>
      </c>
      <c r="I53" s="1126">
        <f>SUM(I11:I52)</f>
        <v>0</v>
      </c>
      <c r="J53" s="1127">
        <f t="shared" si="20"/>
        <v>0</v>
      </c>
      <c r="K53" s="1141">
        <f t="shared" si="20"/>
        <v>0</v>
      </c>
      <c r="L53" s="1141">
        <f t="shared" si="20"/>
        <v>0</v>
      </c>
      <c r="M53" s="1128">
        <f t="shared" si="20"/>
        <v>0</v>
      </c>
      <c r="N53" s="1128">
        <f t="shared" si="20"/>
        <v>0</v>
      </c>
      <c r="O53" s="1128">
        <f t="shared" si="20"/>
        <v>0</v>
      </c>
      <c r="P53" s="1128">
        <f t="shared" si="20"/>
        <v>0</v>
      </c>
      <c r="Q53" s="1128">
        <f t="shared" si="20"/>
        <v>0</v>
      </c>
      <c r="R53" s="1128">
        <f t="shared" si="20"/>
        <v>0</v>
      </c>
      <c r="S53" s="1128">
        <f t="shared" si="20"/>
        <v>0</v>
      </c>
      <c r="T53" s="1128">
        <f t="shared" si="20"/>
        <v>0</v>
      </c>
      <c r="U53" s="1128">
        <f t="shared" si="20"/>
        <v>0</v>
      </c>
      <c r="V53" s="1128">
        <f t="shared" si="20"/>
        <v>0</v>
      </c>
      <c r="W53" s="1128">
        <f t="shared" si="20"/>
        <v>0</v>
      </c>
      <c r="X53" s="1128">
        <f t="shared" si="20"/>
        <v>0</v>
      </c>
      <c r="Y53" s="4861">
        <f t="shared" si="20"/>
        <v>0</v>
      </c>
      <c r="Z53" s="1141">
        <f t="shared" si="20"/>
        <v>0</v>
      </c>
      <c r="AA53" s="1131">
        <f t="shared" si="20"/>
        <v>0</v>
      </c>
      <c r="AB53" s="4861">
        <f t="shared" si="20"/>
        <v>0</v>
      </c>
      <c r="AC53" s="301">
        <f>SUM(AC11:AC52)</f>
        <v>0</v>
      </c>
      <c r="AD53" s="1141">
        <f t="shared" si="20"/>
        <v>0</v>
      </c>
      <c r="AE53" s="1129">
        <f t="shared" si="20"/>
        <v>0</v>
      </c>
      <c r="AF53" s="1125">
        <f t="shared" si="20"/>
        <v>0</v>
      </c>
      <c r="AG53" s="1126">
        <f>SUM(AG11:AG52)</f>
        <v>0</v>
      </c>
      <c r="AH53" s="1126">
        <f t="shared" ref="AH53" si="21">SUM(AH11:AH52)</f>
        <v>0</v>
      </c>
      <c r="AI53" s="1126">
        <f t="shared" si="20"/>
        <v>0</v>
      </c>
    </row>
    <row r="54" spans="1:96" s="6" customFormat="1" ht="18" customHeight="1" x14ac:dyDescent="0.25">
      <c r="A54" s="928" t="s">
        <v>3203</v>
      </c>
      <c r="B54" s="928"/>
      <c r="C54" s="928"/>
      <c r="D54" s="928"/>
      <c r="E54" s="928"/>
      <c r="F54" s="928"/>
      <c r="G54" s="4862"/>
      <c r="H54" s="4862"/>
      <c r="I54" s="8"/>
    </row>
    <row r="55" spans="1:96" ht="40.799999999999997" x14ac:dyDescent="0.3">
      <c r="A55" s="6989" t="s">
        <v>3149</v>
      </c>
      <c r="B55" s="6990"/>
      <c r="C55" s="7078"/>
      <c r="D55" s="1237" t="s">
        <v>77</v>
      </c>
      <c r="E55" s="4583" t="s">
        <v>3204</v>
      </c>
      <c r="F55" s="1238" t="s">
        <v>3205</v>
      </c>
      <c r="G55" s="1238" t="s">
        <v>3206</v>
      </c>
      <c r="H55" s="1241" t="s">
        <v>194</v>
      </c>
      <c r="I55" s="1271" t="s">
        <v>3207</v>
      </c>
    </row>
    <row r="56" spans="1:96" ht="15" customHeight="1" x14ac:dyDescent="0.3">
      <c r="A56" s="7022" t="s">
        <v>3158</v>
      </c>
      <c r="B56" s="7332" t="s">
        <v>3159</v>
      </c>
      <c r="C56" s="7333"/>
      <c r="D56" s="1102">
        <f t="shared" ref="D56:D91" si="22">SUM(E56:H56)</f>
        <v>0</v>
      </c>
      <c r="E56" s="4601"/>
      <c r="F56" s="4602"/>
      <c r="G56" s="4602"/>
      <c r="H56" s="4863"/>
      <c r="I56" s="4864"/>
      <c r="J56" s="1970" t="str">
        <f>CA56</f>
        <v/>
      </c>
      <c r="CA56" s="1899" t="str">
        <f t="shared" ref="CA56:CA97" si="23">IF(AND($D56&lt;&gt;0,I56=""),"* No olvide ingresar la columna "&amp;I$55&amp;""&amp;" (Digite CERO si no tiene).  ",IF(I56&gt;$D56,"* La variable "&amp;I$55&amp;""&amp;" no puede superar el Total. ",""))</f>
        <v/>
      </c>
      <c r="CK56" s="4005">
        <f t="shared" ref="CK56:CK97" si="24">IF(AND($D56&lt;&gt;0,I56=""),1,IF(I56&gt;$D56,1,0))</f>
        <v>0</v>
      </c>
    </row>
    <row r="57" spans="1:96" x14ac:dyDescent="0.3">
      <c r="A57" s="6063"/>
      <c r="B57" s="7090" t="s">
        <v>3160</v>
      </c>
      <c r="C57" s="4728" t="s">
        <v>3161</v>
      </c>
      <c r="D57" s="1102">
        <f t="shared" si="22"/>
        <v>0</v>
      </c>
      <c r="E57" s="1106"/>
      <c r="F57" s="773"/>
      <c r="G57" s="773"/>
      <c r="H57" s="1109"/>
      <c r="I57" s="1285"/>
      <c r="J57" s="1970" t="str">
        <f>CA57</f>
        <v/>
      </c>
      <c r="CA57" s="1899" t="str">
        <f t="shared" si="23"/>
        <v/>
      </c>
      <c r="CK57" s="4005">
        <f t="shared" si="24"/>
        <v>0</v>
      </c>
    </row>
    <row r="58" spans="1:96" x14ac:dyDescent="0.3">
      <c r="A58" s="6063"/>
      <c r="B58" s="7163"/>
      <c r="C58" s="1812" t="s">
        <v>3162</v>
      </c>
      <c r="D58" s="193">
        <f t="shared" si="22"/>
        <v>0</v>
      </c>
      <c r="E58" s="1114"/>
      <c r="F58" s="1278"/>
      <c r="G58" s="1278"/>
      <c r="H58" s="1117"/>
      <c r="I58" s="1275"/>
      <c r="J58" s="1970" t="str">
        <f>CA58</f>
        <v/>
      </c>
      <c r="CA58" s="1899" t="str">
        <f t="shared" si="23"/>
        <v/>
      </c>
      <c r="CK58" s="4005">
        <f t="shared" si="24"/>
        <v>0</v>
      </c>
    </row>
    <row r="59" spans="1:96" x14ac:dyDescent="0.3">
      <c r="A59" s="6063"/>
      <c r="B59" s="7163"/>
      <c r="C59" s="1462" t="s">
        <v>3163</v>
      </c>
      <c r="D59" s="1187">
        <f t="shared" si="22"/>
        <v>0</v>
      </c>
      <c r="E59" s="1114"/>
      <c r="F59" s="1278"/>
      <c r="G59" s="1278"/>
      <c r="H59" s="1117"/>
      <c r="I59" s="1275"/>
      <c r="J59" s="1970" t="str">
        <f t="shared" ref="J59:J96" si="25">CA59</f>
        <v/>
      </c>
      <c r="CA59" s="1899" t="str">
        <f t="shared" si="23"/>
        <v/>
      </c>
      <c r="CK59" s="4005">
        <f t="shared" si="24"/>
        <v>0</v>
      </c>
    </row>
    <row r="60" spans="1:96" x14ac:dyDescent="0.3">
      <c r="A60" s="6063"/>
      <c r="B60" s="7195"/>
      <c r="C60" s="4712" t="s">
        <v>3164</v>
      </c>
      <c r="D60" s="4829">
        <f t="shared" si="22"/>
        <v>0</v>
      </c>
      <c r="E60" s="1289"/>
      <c r="F60" s="262"/>
      <c r="G60" s="262"/>
      <c r="H60" s="316"/>
      <c r="I60" s="4865"/>
      <c r="J60" s="1970" t="str">
        <f t="shared" si="25"/>
        <v/>
      </c>
      <c r="CA60" s="1899" t="str">
        <f t="shared" si="23"/>
        <v/>
      </c>
      <c r="CK60" s="4005">
        <f t="shared" si="24"/>
        <v>0</v>
      </c>
    </row>
    <row r="61" spans="1:96" x14ac:dyDescent="0.3">
      <c r="A61" s="6063"/>
      <c r="B61" s="6641" t="s">
        <v>3165</v>
      </c>
      <c r="C61" s="6642"/>
      <c r="D61" s="195">
        <f t="shared" si="22"/>
        <v>0</v>
      </c>
      <c r="E61" s="290"/>
      <c r="F61" s="535"/>
      <c r="G61" s="535"/>
      <c r="H61" s="735"/>
      <c r="I61" s="370"/>
      <c r="J61" s="1970" t="str">
        <f t="shared" si="25"/>
        <v/>
      </c>
      <c r="CA61" s="1899" t="str">
        <f t="shared" si="23"/>
        <v/>
      </c>
      <c r="CK61" s="4005">
        <f t="shared" si="24"/>
        <v>0</v>
      </c>
    </row>
    <row r="62" spans="1:96" x14ac:dyDescent="0.3">
      <c r="A62" s="6063"/>
      <c r="B62" s="7095" t="s">
        <v>3166</v>
      </c>
      <c r="C62" s="7096"/>
      <c r="D62" s="193">
        <f t="shared" si="22"/>
        <v>0</v>
      </c>
      <c r="E62" s="1114"/>
      <c r="F62" s="1278"/>
      <c r="G62" s="1278"/>
      <c r="H62" s="1117"/>
      <c r="I62" s="1275"/>
      <c r="J62" s="1970" t="str">
        <f t="shared" si="25"/>
        <v/>
      </c>
      <c r="CA62" s="1899" t="str">
        <f t="shared" si="23"/>
        <v/>
      </c>
      <c r="CK62" s="4005">
        <f t="shared" si="24"/>
        <v>0</v>
      </c>
    </row>
    <row r="63" spans="1:96" x14ac:dyDescent="0.3">
      <c r="A63" s="6063"/>
      <c r="B63" s="7095" t="s">
        <v>3167</v>
      </c>
      <c r="C63" s="7096"/>
      <c r="D63" s="193">
        <f t="shared" si="22"/>
        <v>0</v>
      </c>
      <c r="E63" s="1114"/>
      <c r="F63" s="1278"/>
      <c r="G63" s="1278"/>
      <c r="H63" s="1117"/>
      <c r="I63" s="1275"/>
      <c r="J63" s="1970" t="str">
        <f t="shared" si="25"/>
        <v/>
      </c>
      <c r="CA63" s="1899" t="str">
        <f t="shared" si="23"/>
        <v/>
      </c>
      <c r="CK63" s="4005">
        <f t="shared" si="24"/>
        <v>0</v>
      </c>
    </row>
    <row r="64" spans="1:96" x14ac:dyDescent="0.3">
      <c r="A64" s="6063"/>
      <c r="B64" s="7334" t="s">
        <v>3168</v>
      </c>
      <c r="C64" s="7335"/>
      <c r="D64" s="193">
        <f t="shared" si="22"/>
        <v>0</v>
      </c>
      <c r="E64" s="192"/>
      <c r="F64" s="594"/>
      <c r="G64" s="594"/>
      <c r="H64" s="1123"/>
      <c r="I64" s="4866"/>
      <c r="J64" s="1970" t="str">
        <f t="shared" si="25"/>
        <v/>
      </c>
      <c r="CA64" s="1899" t="str">
        <f t="shared" si="23"/>
        <v/>
      </c>
      <c r="CK64" s="4005">
        <f t="shared" si="24"/>
        <v>0</v>
      </c>
    </row>
    <row r="65" spans="1:89" ht="21" customHeight="1" x14ac:dyDescent="0.3">
      <c r="A65" s="6063"/>
      <c r="B65" s="5786" t="s">
        <v>3208</v>
      </c>
      <c r="C65" s="4867" t="s">
        <v>461</v>
      </c>
      <c r="D65" s="4868">
        <f t="shared" si="22"/>
        <v>0</v>
      </c>
      <c r="E65" s="1760"/>
      <c r="F65" s="773"/>
      <c r="G65" s="773"/>
      <c r="H65" s="4869"/>
      <c r="I65" s="4870"/>
      <c r="J65" s="1970" t="str">
        <f t="shared" si="25"/>
        <v/>
      </c>
      <c r="CA65" s="1899" t="str">
        <f t="shared" si="23"/>
        <v/>
      </c>
      <c r="CK65" s="4005">
        <f t="shared" si="24"/>
        <v>0</v>
      </c>
    </row>
    <row r="66" spans="1:89" x14ac:dyDescent="0.3">
      <c r="A66" s="7346"/>
      <c r="B66" s="6540"/>
      <c r="C66" s="4871" t="s">
        <v>59</v>
      </c>
      <c r="D66" s="2868">
        <f>SUM(E66:H66)</f>
        <v>0</v>
      </c>
      <c r="E66" s="1139"/>
      <c r="F66" s="1283"/>
      <c r="G66" s="1283"/>
      <c r="H66" s="1153"/>
      <c r="I66" s="1280"/>
      <c r="J66" s="1970"/>
      <c r="CA66" s="1899" t="str">
        <f t="shared" si="23"/>
        <v/>
      </c>
      <c r="CK66" s="4005">
        <f t="shared" si="24"/>
        <v>0</v>
      </c>
    </row>
    <row r="67" spans="1:89" x14ac:dyDescent="0.3">
      <c r="A67" s="6063"/>
      <c r="B67" s="6641" t="s">
        <v>3170</v>
      </c>
      <c r="C67" s="7354"/>
      <c r="D67" s="353">
        <f t="shared" si="22"/>
        <v>0</v>
      </c>
      <c r="E67" s="4872"/>
      <c r="F67" s="242"/>
      <c r="G67" s="242"/>
      <c r="H67" s="3181"/>
      <c r="I67" s="4873"/>
      <c r="J67" s="1970" t="str">
        <f t="shared" si="25"/>
        <v/>
      </c>
      <c r="CA67" s="1899" t="str">
        <f t="shared" si="23"/>
        <v/>
      </c>
      <c r="CK67" s="4005">
        <f t="shared" si="24"/>
        <v>0</v>
      </c>
    </row>
    <row r="68" spans="1:89" ht="21" customHeight="1" x14ac:dyDescent="0.3">
      <c r="A68" s="6063"/>
      <c r="B68" s="6752" t="s">
        <v>3171</v>
      </c>
      <c r="C68" s="6753"/>
      <c r="D68" s="193">
        <f t="shared" si="22"/>
        <v>0</v>
      </c>
      <c r="E68" s="192"/>
      <c r="F68" s="594"/>
      <c r="G68" s="594"/>
      <c r="H68" s="1123"/>
      <c r="I68" s="4866"/>
      <c r="J68" s="1970" t="str">
        <f t="shared" si="25"/>
        <v/>
      </c>
      <c r="CA68" s="1899" t="str">
        <f t="shared" si="23"/>
        <v/>
      </c>
      <c r="CK68" s="4005">
        <f t="shared" si="24"/>
        <v>0</v>
      </c>
    </row>
    <row r="69" spans="1:89" ht="21" customHeight="1" x14ac:dyDescent="0.3">
      <c r="A69" s="6063"/>
      <c r="B69" s="6954" t="s">
        <v>3172</v>
      </c>
      <c r="C69" s="4874" t="s">
        <v>3173</v>
      </c>
      <c r="D69" s="4875">
        <f t="shared" si="22"/>
        <v>0</v>
      </c>
      <c r="E69" s="1760"/>
      <c r="F69" s="773"/>
      <c r="G69" s="773"/>
      <c r="H69" s="4869"/>
      <c r="I69" s="4870"/>
      <c r="J69" s="1970" t="str">
        <f t="shared" si="25"/>
        <v/>
      </c>
      <c r="CA69" s="1899" t="str">
        <f t="shared" si="23"/>
        <v/>
      </c>
      <c r="CK69" s="4005">
        <f t="shared" si="24"/>
        <v>0</v>
      </c>
    </row>
    <row r="70" spans="1:89" ht="15" customHeight="1" x14ac:dyDescent="0.3">
      <c r="A70" s="6063"/>
      <c r="B70" s="6954"/>
      <c r="C70" s="1755" t="s">
        <v>2638</v>
      </c>
      <c r="D70" s="2868">
        <f t="shared" si="22"/>
        <v>0</v>
      </c>
      <c r="E70" s="1139"/>
      <c r="F70" s="1283"/>
      <c r="G70" s="1283"/>
      <c r="H70" s="1153"/>
      <c r="I70" s="1280"/>
      <c r="J70" s="1970" t="str">
        <f t="shared" si="25"/>
        <v/>
      </c>
      <c r="CA70" s="1899" t="str">
        <f t="shared" si="23"/>
        <v/>
      </c>
      <c r="CK70" s="4005">
        <f t="shared" si="24"/>
        <v>0</v>
      </c>
    </row>
    <row r="71" spans="1:89" x14ac:dyDescent="0.3">
      <c r="A71" s="6063"/>
      <c r="B71" s="5961" t="s">
        <v>3174</v>
      </c>
      <c r="C71" s="7355"/>
      <c r="D71" s="353">
        <f t="shared" si="22"/>
        <v>0</v>
      </c>
      <c r="E71" s="4872"/>
      <c r="F71" s="242"/>
      <c r="G71" s="242"/>
      <c r="H71" s="3181"/>
      <c r="I71" s="4873"/>
      <c r="J71" s="1970" t="str">
        <f t="shared" si="25"/>
        <v/>
      </c>
      <c r="CA71" s="1899" t="str">
        <f t="shared" si="23"/>
        <v/>
      </c>
      <c r="CK71" s="4005">
        <f t="shared" si="24"/>
        <v>0</v>
      </c>
    </row>
    <row r="72" spans="1:89" ht="15" customHeight="1" x14ac:dyDescent="0.3">
      <c r="A72" s="6063"/>
      <c r="B72" s="7060" t="s">
        <v>3175</v>
      </c>
      <c r="C72" s="4839" t="s">
        <v>3176</v>
      </c>
      <c r="D72" s="1184">
        <f t="shared" si="22"/>
        <v>0</v>
      </c>
      <c r="E72" s="1108"/>
      <c r="F72" s="773"/>
      <c r="G72" s="773"/>
      <c r="H72" s="1109"/>
      <c r="I72" s="1285"/>
      <c r="J72" s="1970" t="str">
        <f t="shared" si="25"/>
        <v/>
      </c>
      <c r="CA72" s="1899" t="str">
        <f t="shared" si="23"/>
        <v/>
      </c>
      <c r="CK72" s="4005">
        <f t="shared" si="24"/>
        <v>0</v>
      </c>
    </row>
    <row r="73" spans="1:89" ht="15" customHeight="1" x14ac:dyDescent="0.3">
      <c r="A73" s="6063"/>
      <c r="B73" s="5844"/>
      <c r="C73" s="4831" t="s">
        <v>3177</v>
      </c>
      <c r="D73" s="1187">
        <f t="shared" si="22"/>
        <v>0</v>
      </c>
      <c r="E73" s="1116"/>
      <c r="F73" s="1278"/>
      <c r="G73" s="1278"/>
      <c r="H73" s="1117"/>
      <c r="I73" s="1275"/>
      <c r="J73" s="1970" t="str">
        <f t="shared" si="25"/>
        <v/>
      </c>
      <c r="CA73" s="1899" t="str">
        <f t="shared" si="23"/>
        <v/>
      </c>
      <c r="CK73" s="4005">
        <f t="shared" si="24"/>
        <v>0</v>
      </c>
    </row>
    <row r="74" spans="1:89" x14ac:dyDescent="0.3">
      <c r="A74" s="6063"/>
      <c r="B74" s="7196"/>
      <c r="C74" s="417" t="s">
        <v>591</v>
      </c>
      <c r="D74" s="1188">
        <f t="shared" si="22"/>
        <v>0</v>
      </c>
      <c r="E74" s="1152"/>
      <c r="F74" s="1283"/>
      <c r="G74" s="1283"/>
      <c r="H74" s="1153"/>
      <c r="I74" s="1280"/>
      <c r="J74" s="1970" t="str">
        <f t="shared" si="25"/>
        <v/>
      </c>
      <c r="CA74" s="1899" t="str">
        <f t="shared" si="23"/>
        <v/>
      </c>
      <c r="CK74" s="4005">
        <f t="shared" si="24"/>
        <v>0</v>
      </c>
    </row>
    <row r="75" spans="1:89" x14ac:dyDescent="0.3">
      <c r="A75" s="6063"/>
      <c r="B75" s="7060" t="s">
        <v>3178</v>
      </c>
      <c r="C75" s="4728" t="s">
        <v>3179</v>
      </c>
      <c r="D75" s="1102">
        <f t="shared" si="22"/>
        <v>0</v>
      </c>
      <c r="E75" s="1106"/>
      <c r="F75" s="773"/>
      <c r="G75" s="773"/>
      <c r="H75" s="1109"/>
      <c r="I75" s="1285"/>
      <c r="J75" s="1970" t="str">
        <f t="shared" si="25"/>
        <v/>
      </c>
      <c r="CA75" s="1899" t="str">
        <f t="shared" si="23"/>
        <v/>
      </c>
      <c r="CK75" s="4005">
        <f t="shared" si="24"/>
        <v>0</v>
      </c>
    </row>
    <row r="76" spans="1:89" ht="15" customHeight="1" x14ac:dyDescent="0.3">
      <c r="A76" s="6063"/>
      <c r="B76" s="5844"/>
      <c r="C76" s="4807" t="s">
        <v>3180</v>
      </c>
      <c r="D76" s="193">
        <f t="shared" si="22"/>
        <v>0</v>
      </c>
      <c r="E76" s="1114"/>
      <c r="F76" s="1278"/>
      <c r="G76" s="1278"/>
      <c r="H76" s="1117"/>
      <c r="I76" s="1275"/>
      <c r="J76" s="1970" t="str">
        <f t="shared" si="25"/>
        <v/>
      </c>
      <c r="CA76" s="1899" t="str">
        <f t="shared" si="23"/>
        <v/>
      </c>
      <c r="CK76" s="4005">
        <f t="shared" si="24"/>
        <v>0</v>
      </c>
    </row>
    <row r="77" spans="1:89" x14ac:dyDescent="0.3">
      <c r="A77" s="6063"/>
      <c r="B77" s="7196"/>
      <c r="C77" s="417" t="s">
        <v>591</v>
      </c>
      <c r="D77" s="1188">
        <f t="shared" si="22"/>
        <v>0</v>
      </c>
      <c r="E77" s="1139"/>
      <c r="F77" s="1283"/>
      <c r="G77" s="1283"/>
      <c r="H77" s="1153"/>
      <c r="I77" s="1280"/>
      <c r="J77" s="1970" t="str">
        <f t="shared" si="25"/>
        <v/>
      </c>
      <c r="CA77" s="1899" t="str">
        <f t="shared" si="23"/>
        <v/>
      </c>
      <c r="CK77" s="4005">
        <f t="shared" si="24"/>
        <v>0</v>
      </c>
    </row>
    <row r="78" spans="1:89" x14ac:dyDescent="0.3">
      <c r="A78" s="6063"/>
      <c r="B78" s="7351" t="s">
        <v>3181</v>
      </c>
      <c r="C78" s="7352"/>
      <c r="D78" s="1094">
        <f t="shared" si="22"/>
        <v>0</v>
      </c>
      <c r="E78" s="1095"/>
      <c r="F78" s="4655"/>
      <c r="G78" s="4655"/>
      <c r="H78" s="1098"/>
      <c r="I78" s="4876"/>
      <c r="J78" s="1970" t="str">
        <f t="shared" si="25"/>
        <v/>
      </c>
      <c r="CA78" s="1899" t="str">
        <f t="shared" si="23"/>
        <v/>
      </c>
      <c r="CK78" s="4005">
        <f t="shared" si="24"/>
        <v>0</v>
      </c>
    </row>
    <row r="79" spans="1:89" ht="15" customHeight="1" x14ac:dyDescent="0.3">
      <c r="A79" s="6063"/>
      <c r="B79" s="7196" t="s">
        <v>3182</v>
      </c>
      <c r="C79" s="1818" t="s">
        <v>3183</v>
      </c>
      <c r="D79" s="195">
        <f t="shared" si="22"/>
        <v>0</v>
      </c>
      <c r="E79" s="290"/>
      <c r="F79" s="535"/>
      <c r="G79" s="535"/>
      <c r="H79" s="735"/>
      <c r="I79" s="370"/>
      <c r="J79" s="1970" t="str">
        <f t="shared" si="25"/>
        <v/>
      </c>
      <c r="CA79" s="1899" t="str">
        <f t="shared" si="23"/>
        <v/>
      </c>
      <c r="CK79" s="4005">
        <f t="shared" si="24"/>
        <v>0</v>
      </c>
    </row>
    <row r="80" spans="1:89" x14ac:dyDescent="0.3">
      <c r="A80" s="6063"/>
      <c r="B80" s="7353"/>
      <c r="C80" s="4712" t="s">
        <v>3184</v>
      </c>
      <c r="D80" s="193">
        <f t="shared" si="22"/>
        <v>0</v>
      </c>
      <c r="E80" s="1114"/>
      <c r="F80" s="1278"/>
      <c r="G80" s="1278"/>
      <c r="H80" s="1117"/>
      <c r="I80" s="1275"/>
      <c r="J80" s="1970" t="str">
        <f t="shared" si="25"/>
        <v/>
      </c>
      <c r="CA80" s="1899" t="str">
        <f t="shared" si="23"/>
        <v/>
      </c>
      <c r="CK80" s="4005">
        <f t="shared" si="24"/>
        <v>0</v>
      </c>
    </row>
    <row r="81" spans="1:89" ht="15" customHeight="1" x14ac:dyDescent="0.3">
      <c r="A81" s="6063"/>
      <c r="B81" s="7045" t="s">
        <v>3185</v>
      </c>
      <c r="C81" s="7045"/>
      <c r="D81" s="193">
        <f t="shared" si="22"/>
        <v>0</v>
      </c>
      <c r="E81" s="1114"/>
      <c r="F81" s="1278"/>
      <c r="G81" s="1278"/>
      <c r="H81" s="1117"/>
      <c r="I81" s="1275"/>
      <c r="J81" s="1970" t="str">
        <f t="shared" si="25"/>
        <v/>
      </c>
      <c r="CA81" s="1899" t="str">
        <f t="shared" si="23"/>
        <v/>
      </c>
      <c r="CK81" s="4005">
        <f t="shared" si="24"/>
        <v>0</v>
      </c>
    </row>
    <row r="82" spans="1:89" x14ac:dyDescent="0.3">
      <c r="A82" s="6063"/>
      <c r="B82" s="6641" t="s">
        <v>3186</v>
      </c>
      <c r="C82" s="6642"/>
      <c r="D82" s="193">
        <f>SUM(E82:H82)</f>
        <v>0</v>
      </c>
      <c r="E82" s="1114"/>
      <c r="F82" s="1278"/>
      <c r="G82" s="1278"/>
      <c r="H82" s="1117"/>
      <c r="I82" s="1275"/>
      <c r="J82" s="1970" t="str">
        <f t="shared" si="25"/>
        <v/>
      </c>
      <c r="CA82" s="1899" t="str">
        <f t="shared" si="23"/>
        <v/>
      </c>
      <c r="CK82" s="4005">
        <f t="shared" si="24"/>
        <v>0</v>
      </c>
    </row>
    <row r="83" spans="1:89" ht="15" customHeight="1" x14ac:dyDescent="0.3">
      <c r="A83" s="6063"/>
      <c r="B83" s="7073" t="s">
        <v>3187</v>
      </c>
      <c r="C83" s="7074"/>
      <c r="D83" s="193">
        <f t="shared" si="22"/>
        <v>0</v>
      </c>
      <c r="E83" s="192"/>
      <c r="F83" s="594"/>
      <c r="G83" s="594"/>
      <c r="H83" s="1123"/>
      <c r="I83" s="4866"/>
      <c r="J83" s="1970" t="str">
        <f t="shared" si="25"/>
        <v/>
      </c>
      <c r="CA83" s="1899" t="str">
        <f t="shared" si="23"/>
        <v/>
      </c>
      <c r="CK83" s="4005">
        <f t="shared" si="24"/>
        <v>0</v>
      </c>
    </row>
    <row r="84" spans="1:89" x14ac:dyDescent="0.3">
      <c r="A84" s="6063"/>
      <c r="B84" s="7334" t="s">
        <v>3188</v>
      </c>
      <c r="C84" s="7335"/>
      <c r="D84" s="193">
        <f t="shared" si="22"/>
        <v>0</v>
      </c>
      <c r="E84" s="192"/>
      <c r="F84" s="594"/>
      <c r="G84" s="594"/>
      <c r="H84" s="1123"/>
      <c r="I84" s="4866"/>
      <c r="J84" s="1970" t="str">
        <f t="shared" si="25"/>
        <v/>
      </c>
      <c r="CA84" s="1899" t="str">
        <f t="shared" si="23"/>
        <v/>
      </c>
      <c r="CK84" s="4005">
        <f t="shared" si="24"/>
        <v>0</v>
      </c>
    </row>
    <row r="85" spans="1:89" ht="15" customHeight="1" x14ac:dyDescent="0.3">
      <c r="A85" s="6063"/>
      <c r="B85" s="7060" t="s">
        <v>3189</v>
      </c>
      <c r="C85" s="4851" t="s">
        <v>3190</v>
      </c>
      <c r="D85" s="1102">
        <f t="shared" si="22"/>
        <v>0</v>
      </c>
      <c r="E85" s="1106"/>
      <c r="F85" s="773"/>
      <c r="G85" s="773"/>
      <c r="H85" s="1109"/>
      <c r="I85" s="1285"/>
      <c r="J85" s="1970" t="str">
        <f t="shared" si="25"/>
        <v/>
      </c>
      <c r="CA85" s="1899" t="str">
        <f t="shared" si="23"/>
        <v/>
      </c>
      <c r="CK85" s="4005">
        <f t="shared" si="24"/>
        <v>0</v>
      </c>
    </row>
    <row r="86" spans="1:89" x14ac:dyDescent="0.3">
      <c r="A86" s="6063"/>
      <c r="B86" s="5844"/>
      <c r="C86" s="4852" t="s">
        <v>3191</v>
      </c>
      <c r="D86" s="193">
        <f t="shared" si="22"/>
        <v>0</v>
      </c>
      <c r="E86" s="1114"/>
      <c r="F86" s="1278"/>
      <c r="G86" s="1278"/>
      <c r="H86" s="1117"/>
      <c r="I86" s="1275"/>
      <c r="J86" s="1970" t="str">
        <f t="shared" si="25"/>
        <v/>
      </c>
      <c r="CA86" s="1899" t="str">
        <f t="shared" si="23"/>
        <v/>
      </c>
      <c r="CK86" s="4005">
        <f t="shared" si="24"/>
        <v>0</v>
      </c>
    </row>
    <row r="87" spans="1:89" ht="15" customHeight="1" x14ac:dyDescent="0.3">
      <c r="A87" s="6063"/>
      <c r="B87" s="5844"/>
      <c r="C87" s="1428" t="s">
        <v>3192</v>
      </c>
      <c r="D87" s="193">
        <f t="shared" si="22"/>
        <v>0</v>
      </c>
      <c r="E87" s="192"/>
      <c r="F87" s="594"/>
      <c r="G87" s="594"/>
      <c r="H87" s="1123"/>
      <c r="I87" s="4866"/>
      <c r="J87" s="1970" t="str">
        <f t="shared" si="25"/>
        <v/>
      </c>
      <c r="CA87" s="1899" t="str">
        <f t="shared" si="23"/>
        <v/>
      </c>
      <c r="CK87" s="4005">
        <f t="shared" si="24"/>
        <v>0</v>
      </c>
    </row>
    <row r="88" spans="1:89" x14ac:dyDescent="0.3">
      <c r="A88" s="6063"/>
      <c r="B88" s="5844"/>
      <c r="C88" s="4853" t="s">
        <v>3193</v>
      </c>
      <c r="D88" s="193">
        <f t="shared" si="22"/>
        <v>0</v>
      </c>
      <c r="E88" s="192"/>
      <c r="F88" s="594"/>
      <c r="G88" s="594"/>
      <c r="H88" s="1123"/>
      <c r="I88" s="4866"/>
      <c r="J88" s="1970" t="str">
        <f t="shared" si="25"/>
        <v/>
      </c>
      <c r="CA88" s="1899" t="str">
        <f t="shared" si="23"/>
        <v/>
      </c>
      <c r="CK88" s="4005">
        <f t="shared" si="24"/>
        <v>0</v>
      </c>
    </row>
    <row r="89" spans="1:89" ht="15" customHeight="1" x14ac:dyDescent="0.3">
      <c r="A89" s="6063"/>
      <c r="B89" s="7196"/>
      <c r="C89" s="4877" t="s">
        <v>3194</v>
      </c>
      <c r="D89" s="193">
        <f t="shared" si="22"/>
        <v>0</v>
      </c>
      <c r="E89" s="192"/>
      <c r="F89" s="594"/>
      <c r="G89" s="594"/>
      <c r="H89" s="1123"/>
      <c r="I89" s="4866"/>
      <c r="J89" s="1970" t="str">
        <f t="shared" si="25"/>
        <v/>
      </c>
      <c r="CA89" s="1899" t="str">
        <f t="shared" si="23"/>
        <v/>
      </c>
      <c r="CK89" s="4005">
        <f t="shared" si="24"/>
        <v>0</v>
      </c>
    </row>
    <row r="90" spans="1:89" ht="15" customHeight="1" x14ac:dyDescent="0.3">
      <c r="A90" s="6063"/>
      <c r="B90" s="7342" t="s">
        <v>3195</v>
      </c>
      <c r="C90" s="7343"/>
      <c r="D90" s="1184">
        <f t="shared" si="22"/>
        <v>0</v>
      </c>
      <c r="E90" s="1106"/>
      <c r="F90" s="773"/>
      <c r="G90" s="773"/>
      <c r="H90" s="4431"/>
      <c r="I90" s="1285"/>
      <c r="J90" s="1970" t="str">
        <f t="shared" si="25"/>
        <v/>
      </c>
      <c r="CA90" s="1899" t="str">
        <f t="shared" si="23"/>
        <v/>
      </c>
      <c r="CK90" s="4005">
        <f t="shared" si="24"/>
        <v>0</v>
      </c>
    </row>
    <row r="91" spans="1:89" ht="15.75" customHeight="1" x14ac:dyDescent="0.3">
      <c r="A91" s="6063"/>
      <c r="B91" s="7330" t="s">
        <v>3196</v>
      </c>
      <c r="C91" s="7331"/>
      <c r="D91" s="4829">
        <f t="shared" si="22"/>
        <v>0</v>
      </c>
      <c r="E91" s="1289"/>
      <c r="F91" s="262"/>
      <c r="G91" s="262"/>
      <c r="H91" s="3302"/>
      <c r="I91" s="4865"/>
      <c r="J91" s="1970" t="str">
        <f t="shared" si="25"/>
        <v/>
      </c>
      <c r="CA91" s="1899" t="str">
        <f t="shared" si="23"/>
        <v/>
      </c>
      <c r="CK91" s="4005">
        <f t="shared" si="24"/>
        <v>0</v>
      </c>
    </row>
    <row r="92" spans="1:89" x14ac:dyDescent="0.3">
      <c r="A92" s="6063"/>
      <c r="B92" s="7347" t="s">
        <v>3197</v>
      </c>
      <c r="C92" s="4856" t="s">
        <v>3198</v>
      </c>
      <c r="D92" s="1184">
        <f>SUM(E92:H92)</f>
        <v>0</v>
      </c>
      <c r="E92" s="1760"/>
      <c r="F92" s="773"/>
      <c r="G92" s="773"/>
      <c r="H92" s="4878"/>
      <c r="I92" s="4870"/>
      <c r="J92" s="1970" t="str">
        <f t="shared" si="25"/>
        <v/>
      </c>
      <c r="CA92" s="1899" t="str">
        <f t="shared" si="23"/>
        <v/>
      </c>
      <c r="CK92" s="4005">
        <f t="shared" si="24"/>
        <v>0</v>
      </c>
    </row>
    <row r="93" spans="1:89" ht="21.6" x14ac:dyDescent="0.3">
      <c r="A93" s="6063"/>
      <c r="B93" s="7348"/>
      <c r="C93" s="4857" t="s">
        <v>3199</v>
      </c>
      <c r="D93" s="1187">
        <f>SUM(E93:H93)</f>
        <v>0</v>
      </c>
      <c r="E93" s="1114"/>
      <c r="F93" s="1278"/>
      <c r="G93" s="1278"/>
      <c r="H93" s="1338"/>
      <c r="I93" s="1275"/>
      <c r="J93" s="1970" t="str">
        <f t="shared" si="25"/>
        <v/>
      </c>
      <c r="CA93" s="1899" t="str">
        <f t="shared" si="23"/>
        <v/>
      </c>
      <c r="CK93" s="4005">
        <f t="shared" si="24"/>
        <v>0</v>
      </c>
    </row>
    <row r="94" spans="1:89" ht="20.399999999999999" x14ac:dyDescent="0.3">
      <c r="A94" s="6063"/>
      <c r="B94" s="7348"/>
      <c r="C94" s="4858" t="s">
        <v>3200</v>
      </c>
      <c r="D94" s="1187">
        <f>SUM(E94:H94)</f>
        <v>0</v>
      </c>
      <c r="E94" s="1114"/>
      <c r="F94" s="1278"/>
      <c r="G94" s="1278"/>
      <c r="H94" s="1338"/>
      <c r="I94" s="1275"/>
      <c r="J94" s="1970" t="str">
        <f t="shared" si="25"/>
        <v/>
      </c>
      <c r="CA94" s="1899" t="str">
        <f t="shared" si="23"/>
        <v/>
      </c>
      <c r="CK94" s="4005">
        <f t="shared" si="24"/>
        <v>0</v>
      </c>
    </row>
    <row r="95" spans="1:89" x14ac:dyDescent="0.3">
      <c r="A95" s="6063"/>
      <c r="B95" s="7348"/>
      <c r="C95" s="4859" t="s">
        <v>3201</v>
      </c>
      <c r="D95" s="193">
        <f>SUM(E95:H95)</f>
        <v>0</v>
      </c>
      <c r="E95" s="1289"/>
      <c r="F95" s="262"/>
      <c r="G95" s="262"/>
      <c r="H95" s="3302"/>
      <c r="I95" s="4865"/>
      <c r="J95" s="1970" t="str">
        <f t="shared" si="25"/>
        <v/>
      </c>
      <c r="CA95" s="1899" t="str">
        <f t="shared" si="23"/>
        <v/>
      </c>
      <c r="CK95" s="4005">
        <f t="shared" si="24"/>
        <v>0</v>
      </c>
    </row>
    <row r="96" spans="1:89" ht="15" customHeight="1" x14ac:dyDescent="0.3">
      <c r="A96" s="6063"/>
      <c r="B96" s="7339" t="s">
        <v>3202</v>
      </c>
      <c r="C96" s="4867" t="s">
        <v>461</v>
      </c>
      <c r="D96" s="4875">
        <f t="shared" ref="D96:D97" si="26">SUM(E96:H96)</f>
        <v>0</v>
      </c>
      <c r="E96" s="1760"/>
      <c r="F96" s="3082"/>
      <c r="G96" s="3082"/>
      <c r="H96" s="4878"/>
      <c r="I96" s="4870"/>
      <c r="J96" s="1970" t="str">
        <f t="shared" si="25"/>
        <v/>
      </c>
      <c r="CA96" s="1899" t="str">
        <f t="shared" si="23"/>
        <v/>
      </c>
      <c r="CK96" s="4005">
        <f t="shared" si="24"/>
        <v>0</v>
      </c>
    </row>
    <row r="97" spans="1:89" x14ac:dyDescent="0.3">
      <c r="A97" s="7346"/>
      <c r="B97" s="7340"/>
      <c r="C97" s="4871" t="s">
        <v>59</v>
      </c>
      <c r="D97" s="2868">
        <f t="shared" si="26"/>
        <v>0</v>
      </c>
      <c r="E97" s="1139"/>
      <c r="F97" s="1152"/>
      <c r="G97" s="1152"/>
      <c r="H97" s="564"/>
      <c r="I97" s="1280"/>
      <c r="J97" s="1970"/>
      <c r="CA97" s="1899" t="str">
        <f t="shared" si="23"/>
        <v/>
      </c>
      <c r="CK97" s="4005">
        <f t="shared" si="24"/>
        <v>0</v>
      </c>
    </row>
    <row r="98" spans="1:89" x14ac:dyDescent="0.3">
      <c r="A98" s="6645"/>
      <c r="B98" s="7349" t="s">
        <v>77</v>
      </c>
      <c r="C98" s="7350"/>
      <c r="D98" s="1094">
        <f>SUM(E98:H98)</f>
        <v>0</v>
      </c>
      <c r="E98" s="1125">
        <f>SUM(E56:E97)</f>
        <v>0</v>
      </c>
      <c r="F98" s="1125">
        <f t="shared" ref="F98:I98" si="27">SUM(F56:F97)</f>
        <v>0</v>
      </c>
      <c r="G98" s="1125">
        <f t="shared" si="27"/>
        <v>0</v>
      </c>
      <c r="H98" s="1125">
        <f t="shared" si="27"/>
        <v>0</v>
      </c>
      <c r="I98" s="1125">
        <f t="shared" si="27"/>
        <v>0</v>
      </c>
      <c r="CA98" s="1970"/>
      <c r="CK98" s="1970"/>
    </row>
    <row r="99" spans="1:89" s="6" customFormat="1" ht="18" customHeight="1" x14ac:dyDescent="0.25">
      <c r="A99" s="928" t="s">
        <v>3209</v>
      </c>
      <c r="B99" s="928"/>
      <c r="C99" s="928"/>
      <c r="D99" s="928"/>
      <c r="E99" s="4879"/>
      <c r="F99" s="4879"/>
      <c r="G99" s="4879"/>
      <c r="H99" s="4879"/>
      <c r="I99" s="4879"/>
      <c r="J99" s="4879"/>
      <c r="K99" s="1"/>
      <c r="L99" s="1"/>
      <c r="M99" s="1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89" ht="15" customHeight="1" x14ac:dyDescent="0.3">
      <c r="A100" s="6989" t="s">
        <v>2519</v>
      </c>
      <c r="B100" s="6990"/>
      <c r="C100" s="7078"/>
      <c r="D100" s="1237" t="s">
        <v>3210</v>
      </c>
      <c r="E100" s="7344"/>
      <c r="F100" s="7344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7"/>
      <c r="S100" s="7"/>
      <c r="T100" s="7"/>
      <c r="U100" s="7"/>
      <c r="V100" s="7"/>
      <c r="W100" s="7"/>
    </row>
    <row r="101" spans="1:89" ht="15" customHeight="1" x14ac:dyDescent="0.3">
      <c r="A101" s="7336" t="s">
        <v>2514</v>
      </c>
      <c r="B101" s="7337"/>
      <c r="C101" s="7338"/>
      <c r="D101" s="4881"/>
      <c r="E101" s="7344"/>
      <c r="F101" s="7344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7"/>
      <c r="S101" s="7"/>
      <c r="T101" s="7"/>
      <c r="U101" s="7"/>
      <c r="V101" s="7"/>
      <c r="W101" s="7"/>
    </row>
    <row r="102" spans="1:89" ht="15" customHeight="1" x14ac:dyDescent="0.3">
      <c r="A102" s="7305" t="s">
        <v>3211</v>
      </c>
      <c r="B102" s="7345"/>
      <c r="C102" s="7306"/>
      <c r="D102" s="4881"/>
      <c r="E102" s="7344"/>
      <c r="F102" s="7344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7"/>
      <c r="S102" s="7"/>
      <c r="T102" s="7"/>
      <c r="U102" s="7"/>
      <c r="V102" s="7"/>
      <c r="W102" s="7"/>
    </row>
    <row r="103" spans="1:89" ht="15" customHeight="1" x14ac:dyDescent="0.3">
      <c r="A103" s="7184" t="s">
        <v>3212</v>
      </c>
      <c r="B103" s="6056"/>
      <c r="C103" s="6057"/>
      <c r="D103" s="4882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7"/>
      <c r="S103" s="7"/>
      <c r="T103" s="7"/>
      <c r="U103" s="7"/>
      <c r="V103" s="7"/>
      <c r="W103" s="7"/>
    </row>
    <row r="104" spans="1:89" ht="18" customHeight="1" x14ac:dyDescent="0.3">
      <c r="A104" s="4688" t="s">
        <v>3213</v>
      </c>
      <c r="B104" s="4883"/>
      <c r="C104" s="4884"/>
      <c r="D104" s="2184"/>
      <c r="E104" s="4885"/>
      <c r="F104" s="2184"/>
      <c r="G104" s="2184"/>
      <c r="H104" s="2184"/>
      <c r="I104" s="2184"/>
      <c r="J104" s="2184"/>
      <c r="K104" s="2184"/>
      <c r="L104" s="2184"/>
      <c r="M104" s="2184"/>
      <c r="N104" s="2184"/>
      <c r="O104" s="2184"/>
      <c r="P104" s="2184"/>
      <c r="Q104" s="2184"/>
      <c r="R104" s="2184"/>
      <c r="S104" s="2184"/>
      <c r="T104" s="2184"/>
      <c r="U104" s="2184"/>
      <c r="V104" s="2184"/>
      <c r="W104" s="2184"/>
    </row>
    <row r="105" spans="1:89" x14ac:dyDescent="0.3">
      <c r="A105" s="6223" t="s">
        <v>3214</v>
      </c>
      <c r="B105" s="6223"/>
      <c r="C105" s="7022"/>
      <c r="D105" s="6065" t="s">
        <v>3215</v>
      </c>
      <c r="E105" s="6954" t="s">
        <v>3216</v>
      </c>
      <c r="F105" s="6954"/>
      <c r="G105" s="7358"/>
      <c r="H105" s="7359" t="s">
        <v>3217</v>
      </c>
      <c r="I105" s="2184"/>
      <c r="J105" s="2184"/>
      <c r="K105" s="2184"/>
      <c r="L105" s="2184"/>
      <c r="M105" s="2184"/>
      <c r="N105" s="2184"/>
      <c r="O105" s="2184"/>
      <c r="P105" s="2184"/>
      <c r="Q105" s="2184"/>
      <c r="R105" s="2184"/>
      <c r="S105" s="2184"/>
      <c r="T105" s="2184"/>
      <c r="U105" s="2184"/>
      <c r="V105" s="2184"/>
      <c r="W105" s="2184"/>
    </row>
    <row r="106" spans="1:89" ht="30.6" x14ac:dyDescent="0.3">
      <c r="A106" s="6481"/>
      <c r="B106" s="6481"/>
      <c r="C106" s="6645"/>
      <c r="D106" s="5851"/>
      <c r="E106" s="1190" t="s">
        <v>3218</v>
      </c>
      <c r="F106" s="4886" t="s">
        <v>3219</v>
      </c>
      <c r="G106" s="4887" t="s">
        <v>1324</v>
      </c>
      <c r="H106" s="7360"/>
      <c r="I106" s="2184"/>
      <c r="J106" s="2184"/>
      <c r="K106" s="2184"/>
      <c r="L106" s="2184"/>
      <c r="M106" s="2184"/>
      <c r="N106" s="2184"/>
      <c r="O106" s="2184"/>
      <c r="P106" s="2184"/>
      <c r="Q106" s="2184"/>
      <c r="R106" s="2184"/>
      <c r="S106" s="2184"/>
      <c r="T106" s="2184"/>
      <c r="U106" s="2184"/>
      <c r="V106" s="2184"/>
      <c r="W106" s="2184"/>
    </row>
    <row r="107" spans="1:89" ht="15" customHeight="1" x14ac:dyDescent="0.3">
      <c r="A107" s="7076" t="s">
        <v>3220</v>
      </c>
      <c r="B107" s="7356"/>
      <c r="C107" s="7077"/>
      <c r="D107" s="4888">
        <f>SUM(E107:G107)</f>
        <v>0</v>
      </c>
      <c r="E107" s="1523"/>
      <c r="F107" s="1497"/>
      <c r="G107" s="1500"/>
      <c r="H107" s="4889"/>
      <c r="I107" s="4890"/>
      <c r="J107" s="2184"/>
      <c r="K107" s="2184"/>
      <c r="L107" s="2184"/>
      <c r="M107" s="2184"/>
      <c r="N107" s="2184"/>
      <c r="O107" s="2184"/>
      <c r="P107" s="2184"/>
      <c r="Q107" s="2184"/>
      <c r="R107" s="2184"/>
      <c r="S107" s="2184"/>
      <c r="T107" s="2184"/>
      <c r="U107" s="2184"/>
      <c r="V107" s="2184"/>
      <c r="W107" s="2184"/>
      <c r="CA107" s="1970"/>
      <c r="CB107" s="1970"/>
      <c r="CC107" s="19"/>
      <c r="CD107" s="19"/>
      <c r="CE107" s="19"/>
      <c r="CF107" s="19"/>
      <c r="CG107" s="19"/>
      <c r="CH107" s="19"/>
      <c r="CI107" s="19"/>
      <c r="CJ107" s="19"/>
    </row>
    <row r="108" spans="1:89" ht="15" customHeight="1" x14ac:dyDescent="0.3">
      <c r="A108" s="7073" t="s">
        <v>3221</v>
      </c>
      <c r="B108" s="7357"/>
      <c r="C108" s="7074"/>
      <c r="D108" s="1711">
        <f>SUM(E108:G108)</f>
        <v>0</v>
      </c>
      <c r="E108" s="1494"/>
      <c r="F108" s="1495"/>
      <c r="G108" s="1505"/>
      <c r="H108" s="4891"/>
      <c r="I108" s="4890"/>
      <c r="J108" s="2184"/>
      <c r="K108" s="2184"/>
      <c r="L108" s="2184"/>
      <c r="M108" s="2184"/>
      <c r="N108" s="2184"/>
      <c r="O108" s="2184"/>
      <c r="P108" s="2184"/>
      <c r="Q108" s="2184"/>
      <c r="R108" s="2184"/>
      <c r="S108" s="2184"/>
      <c r="T108" s="2184"/>
      <c r="U108" s="2184"/>
      <c r="V108" s="2184"/>
      <c r="W108" s="2184"/>
      <c r="CA108" s="1970"/>
    </row>
    <row r="109" spans="1:89" ht="15" customHeight="1" x14ac:dyDescent="0.3">
      <c r="A109" s="7075" t="s">
        <v>3222</v>
      </c>
      <c r="B109" s="7361"/>
      <c r="C109" s="6570"/>
      <c r="D109" s="4892">
        <f>SUM(E109:G109)</f>
        <v>0</v>
      </c>
      <c r="E109" s="1544"/>
      <c r="F109" s="1545"/>
      <c r="G109" s="4893"/>
      <c r="H109" s="4894"/>
      <c r="I109" s="4890"/>
      <c r="J109" s="2184"/>
      <c r="K109" s="2184"/>
      <c r="L109" s="2184"/>
      <c r="M109" s="2184"/>
      <c r="N109" s="2184"/>
      <c r="O109" s="2184"/>
      <c r="P109" s="2184"/>
      <c r="Q109" s="2184"/>
      <c r="R109" s="2184"/>
      <c r="S109" s="2184"/>
      <c r="T109" s="2184"/>
      <c r="U109" s="2184"/>
      <c r="V109" s="2184"/>
      <c r="W109" s="2184"/>
      <c r="CA109" s="1970"/>
    </row>
    <row r="110" spans="1:89" ht="15" customHeight="1" x14ac:dyDescent="0.3">
      <c r="A110" s="1592" t="s">
        <v>3223</v>
      </c>
      <c r="B110" s="4895"/>
      <c r="C110" s="4895"/>
      <c r="D110" s="4895"/>
      <c r="E110" s="4895"/>
      <c r="F110" s="4895"/>
      <c r="G110" s="4896"/>
      <c r="H110" s="4897"/>
      <c r="I110" s="4890"/>
      <c r="J110" s="2184"/>
      <c r="K110" s="2184"/>
      <c r="L110" s="2184"/>
      <c r="M110" s="2184"/>
      <c r="N110" s="2184"/>
      <c r="O110" s="2184"/>
      <c r="P110" s="2184"/>
      <c r="Q110" s="2184"/>
      <c r="R110" s="2184"/>
      <c r="S110" s="2184"/>
      <c r="T110" s="2184"/>
      <c r="U110" s="2184"/>
      <c r="V110" s="2184"/>
      <c r="W110" s="2184"/>
      <c r="CA110" s="1970"/>
    </row>
    <row r="111" spans="1:89" ht="15" customHeight="1" x14ac:dyDescent="0.3">
      <c r="A111" s="7362" t="s">
        <v>3224</v>
      </c>
      <c r="B111" s="7363"/>
      <c r="C111" s="7364"/>
      <c r="D111" s="4898">
        <f>SUM(E111:G111)</f>
        <v>0</v>
      </c>
      <c r="E111" s="1523"/>
      <c r="F111" s="1497"/>
      <c r="G111" s="4899"/>
      <c r="H111" s="4889"/>
      <c r="I111" s="4890"/>
      <c r="J111" s="2184"/>
      <c r="K111" s="2184"/>
      <c r="L111" s="2184"/>
      <c r="M111" s="2184"/>
      <c r="N111" s="2184"/>
      <c r="O111" s="2184"/>
      <c r="P111" s="2184"/>
      <c r="Q111" s="2184"/>
      <c r="R111" s="2184"/>
      <c r="S111" s="2184"/>
      <c r="T111" s="2184"/>
      <c r="U111" s="2184"/>
      <c r="V111" s="2184"/>
      <c r="W111" s="2184"/>
      <c r="CA111" s="1899"/>
      <c r="CK111" s="1901"/>
    </row>
    <row r="112" spans="1:89" ht="15" customHeight="1" x14ac:dyDescent="0.3">
      <c r="A112" s="7248" t="s">
        <v>2167</v>
      </c>
      <c r="B112" s="7365"/>
      <c r="C112" s="7249"/>
      <c r="D112" s="1714">
        <f>SUM(E112:G112)</f>
        <v>0</v>
      </c>
      <c r="E112" s="1544"/>
      <c r="F112" s="1545"/>
      <c r="G112" s="4893"/>
      <c r="H112" s="4900"/>
      <c r="I112" s="4890"/>
      <c r="J112" s="2184"/>
      <c r="K112" s="2184"/>
      <c r="L112" s="2184"/>
      <c r="M112" s="2184"/>
      <c r="N112" s="2184"/>
      <c r="O112" s="2184"/>
      <c r="P112" s="2184"/>
      <c r="Q112" s="2184"/>
      <c r="R112" s="2184"/>
      <c r="S112" s="2184"/>
      <c r="T112" s="2184"/>
      <c r="U112" s="2184"/>
      <c r="V112" s="2184"/>
      <c r="W112" s="2184"/>
      <c r="CA112" s="1899"/>
      <c r="CK112" s="1901"/>
    </row>
    <row r="113" spans="1:91" ht="18" customHeight="1" x14ac:dyDescent="0.3">
      <c r="A113" s="4688" t="s">
        <v>3225</v>
      </c>
      <c r="B113" s="4883"/>
      <c r="C113" s="4884"/>
      <c r="D113" s="2184"/>
      <c r="E113" s="4885"/>
      <c r="F113" s="2184"/>
      <c r="G113" s="2184"/>
      <c r="H113" s="2184"/>
      <c r="I113" s="2184"/>
      <c r="J113" s="2184"/>
      <c r="K113" s="2184"/>
      <c r="L113" s="2184"/>
      <c r="M113" s="2184"/>
      <c r="N113" s="2184"/>
      <c r="O113" s="2184"/>
      <c r="P113" s="2184"/>
      <c r="Q113" s="2184"/>
      <c r="R113" s="2184"/>
      <c r="S113" s="2184"/>
      <c r="T113" s="2184"/>
      <c r="U113" s="2184"/>
      <c r="V113" s="2184"/>
      <c r="W113" s="2184"/>
    </row>
    <row r="114" spans="1:91" s="19" customFormat="1" ht="15" customHeight="1" x14ac:dyDescent="0.2">
      <c r="A114" s="7031" t="s">
        <v>3226</v>
      </c>
      <c r="B114" s="6223"/>
      <c r="C114" s="7022"/>
      <c r="D114" s="6954" t="s">
        <v>3215</v>
      </c>
      <c r="E114" s="7078" t="s">
        <v>3217</v>
      </c>
      <c r="F114" s="6989" t="s">
        <v>3227</v>
      </c>
      <c r="G114" s="7078"/>
      <c r="H114" s="7027" t="s">
        <v>29</v>
      </c>
      <c r="I114" s="7028"/>
      <c r="J114" s="7028"/>
      <c r="K114" s="7028"/>
      <c r="L114" s="7028"/>
      <c r="M114" s="7028"/>
      <c r="N114" s="7028"/>
      <c r="O114" s="7028"/>
      <c r="P114" s="7028"/>
      <c r="Q114" s="7028"/>
      <c r="R114" s="7028"/>
      <c r="S114" s="7028"/>
      <c r="T114" s="7028"/>
      <c r="U114" s="7036"/>
      <c r="V114" s="7366" t="s">
        <v>453</v>
      </c>
      <c r="W114" s="7022" t="s">
        <v>67</v>
      </c>
    </row>
    <row r="115" spans="1:91" s="19" customFormat="1" ht="23.25" customHeight="1" x14ac:dyDescent="0.2">
      <c r="A115" s="7311"/>
      <c r="B115" s="6481"/>
      <c r="C115" s="6645"/>
      <c r="D115" s="6954"/>
      <c r="E115" s="7078"/>
      <c r="F115" s="1134" t="s">
        <v>3228</v>
      </c>
      <c r="G115" s="1252" t="s">
        <v>3152</v>
      </c>
      <c r="H115" s="1135" t="s">
        <v>3229</v>
      </c>
      <c r="I115" s="1238" t="s">
        <v>325</v>
      </c>
      <c r="J115" s="1007" t="s">
        <v>326</v>
      </c>
      <c r="K115" s="1007" t="s">
        <v>94</v>
      </c>
      <c r="L115" s="1007" t="s">
        <v>44</v>
      </c>
      <c r="M115" s="1007" t="s">
        <v>45</v>
      </c>
      <c r="N115" s="1007" t="s">
        <v>46</v>
      </c>
      <c r="O115" s="1007" t="s">
        <v>47</v>
      </c>
      <c r="P115" s="1007" t="s">
        <v>48</v>
      </c>
      <c r="Q115" s="1007" t="s">
        <v>49</v>
      </c>
      <c r="R115" s="1007" t="s">
        <v>50</v>
      </c>
      <c r="S115" s="1007" t="s">
        <v>51</v>
      </c>
      <c r="T115" s="1007" t="s">
        <v>52</v>
      </c>
      <c r="U115" s="4901" t="s">
        <v>53</v>
      </c>
      <c r="V115" s="7367"/>
      <c r="W115" s="6645"/>
    </row>
    <row r="116" spans="1:91" s="19" customFormat="1" ht="15" customHeight="1" x14ac:dyDescent="0.2">
      <c r="A116" s="7093" t="s">
        <v>3230</v>
      </c>
      <c r="B116" s="7368"/>
      <c r="C116" s="7094"/>
      <c r="D116" s="1499"/>
      <c r="E116" s="4902">
        <f>+F116+G116+H116+I116+J116+K116+L116+M116+N116+O116+P116+Q116+R116+S116+T116+U116</f>
        <v>0</v>
      </c>
      <c r="F116" s="1523"/>
      <c r="G116" s="1501"/>
      <c r="H116" s="1496"/>
      <c r="I116" s="1497"/>
      <c r="J116" s="1497"/>
      <c r="K116" s="1497"/>
      <c r="L116" s="1497"/>
      <c r="M116" s="1497"/>
      <c r="N116" s="1497"/>
      <c r="O116" s="1497"/>
      <c r="P116" s="1497"/>
      <c r="Q116" s="1497"/>
      <c r="R116" s="1497"/>
      <c r="S116" s="1497"/>
      <c r="T116" s="1497"/>
      <c r="U116" s="1534"/>
      <c r="V116" s="1654"/>
      <c r="W116" s="1501"/>
      <c r="X116" s="19" t="str">
        <f>CA116&amp;CB116&amp;CC116</f>
        <v/>
      </c>
      <c r="CA116" s="135" t="str">
        <f>IF(AND(E116&gt;0,V116="")," * No olvide digitar la variable Gestantes. Digite CERO si no tiene.","")</f>
        <v/>
      </c>
      <c r="CB116" s="135" t="str">
        <f>IF(AND(E116&gt;0,W116="")," * No olvide digitar la variable Post Parto. Digite CERO si no tiene.","")</f>
        <v/>
      </c>
      <c r="CC116" s="135" t="str">
        <f>IF((V116+W116)&gt;E116," * La suma de Gestantes + Post Parto debe ser menor o igual al Nº de Participantes.","")</f>
        <v/>
      </c>
      <c r="CK116" s="84">
        <f>IF(AND(E116&gt;0,V116=""),1,0)</f>
        <v>0</v>
      </c>
      <c r="CL116" s="84">
        <f>IF(AND(E116&gt;0,W116=""),1,0)</f>
        <v>0</v>
      </c>
      <c r="CM116" s="84">
        <f>IF((V116+W116)&gt;E116,1,0)</f>
        <v>0</v>
      </c>
    </row>
    <row r="117" spans="1:91" s="19" customFormat="1" ht="15" customHeight="1" x14ac:dyDescent="0.2">
      <c r="A117" s="7073" t="s">
        <v>3231</v>
      </c>
      <c r="B117" s="7357"/>
      <c r="C117" s="7074"/>
      <c r="D117" s="1504"/>
      <c r="E117" s="4636">
        <f>+F117+G117+H117+I117+J117+K117+L117+M117+N117+O117+P117+Q117+R117+S117+T117+U117</f>
        <v>0</v>
      </c>
      <c r="F117" s="1494"/>
      <c r="G117" s="1506"/>
      <c r="H117" s="1502"/>
      <c r="I117" s="1495"/>
      <c r="J117" s="1495"/>
      <c r="K117" s="1495"/>
      <c r="L117" s="1495"/>
      <c r="M117" s="1495"/>
      <c r="N117" s="1495"/>
      <c r="O117" s="1495"/>
      <c r="P117" s="1495"/>
      <c r="Q117" s="1495"/>
      <c r="R117" s="1495"/>
      <c r="S117" s="1495"/>
      <c r="T117" s="1495"/>
      <c r="U117" s="1543"/>
      <c r="V117" s="1574"/>
      <c r="W117" s="1506"/>
      <c r="X117" s="19" t="str">
        <f t="shared" ref="X117:X118" si="28">CA117&amp;CB117&amp;CC117</f>
        <v/>
      </c>
      <c r="CA117" s="135" t="str">
        <f>IF(AND(E117&gt;0,V117="")," * No olvide digitar la variable Gestantes. Digite CERO si no tiene.","")</f>
        <v/>
      </c>
      <c r="CB117" s="135" t="str">
        <f>IF(AND(E117&gt;0,W117="")," * No olvide digitar la variable Post Parto. Digite CERO si no tiene.","")</f>
        <v/>
      </c>
      <c r="CC117" s="135" t="str">
        <f>IF((V117+W117)&gt;E117," * La suma de Gestantes + Post Parto debe ser menor o igual al Nº de Participantes.","")</f>
        <v/>
      </c>
      <c r="CK117" s="84">
        <f>IF(AND(E117&gt;0,V117=""),1,0)</f>
        <v>0</v>
      </c>
      <c r="CL117" s="84">
        <f>IF(AND(E117&gt;0,W117=""),1,0)</f>
        <v>0</v>
      </c>
      <c r="CM117" s="84">
        <f>IF((V117+W117)&gt;E117,1,0)</f>
        <v>0</v>
      </c>
    </row>
    <row r="118" spans="1:91" s="19" customFormat="1" ht="15" customHeight="1" x14ac:dyDescent="0.2">
      <c r="A118" s="7321" t="s">
        <v>3232</v>
      </c>
      <c r="B118" s="6738"/>
      <c r="C118" s="6649"/>
      <c r="D118" s="1715"/>
      <c r="E118" s="4903">
        <f>+F118+G118+H118+I118+J118+K118+L118+M118+N118+O118+P118+Q118+R118+S118+T118+U118</f>
        <v>0</v>
      </c>
      <c r="F118" s="1544"/>
      <c r="G118" s="411"/>
      <c r="H118" s="1579"/>
      <c r="I118" s="1545"/>
      <c r="J118" s="1545"/>
      <c r="K118" s="1545"/>
      <c r="L118" s="1545"/>
      <c r="M118" s="1545"/>
      <c r="N118" s="1545"/>
      <c r="O118" s="1545"/>
      <c r="P118" s="1545"/>
      <c r="Q118" s="1545"/>
      <c r="R118" s="1545"/>
      <c r="S118" s="1545"/>
      <c r="T118" s="1545"/>
      <c r="U118" s="1578"/>
      <c r="V118" s="1577"/>
      <c r="W118" s="411"/>
      <c r="X118" s="19" t="str">
        <f t="shared" si="28"/>
        <v/>
      </c>
      <c r="CA118" s="135" t="str">
        <f>IF(AND(E118&gt;0,V118="")," * No olvide digitar la variable Gestantes. Digite CERO si no tiene.","")</f>
        <v/>
      </c>
      <c r="CB118" s="135" t="str">
        <f>IF(AND(E118&gt;0,W118="")," * No olvide digitar la variable Post Parto. Digite CERO si no tiene.","")</f>
        <v/>
      </c>
      <c r="CC118" s="135" t="str">
        <f>IF((V118+W118)&gt;E118," * La suma de Gestantes + Post Parto debe ser menor o igual al Nº de Participantes.","")</f>
        <v/>
      </c>
      <c r="CK118" s="84">
        <f>IF(AND(E118&gt;0,V118=""),1,0)</f>
        <v>0</v>
      </c>
      <c r="CL118" s="84">
        <f>IF(AND(E118&gt;0,W118=""),1,0)</f>
        <v>0</v>
      </c>
      <c r="CM118" s="84">
        <f>IF((V118+W118)&gt;E118,1,0)</f>
        <v>0</v>
      </c>
    </row>
    <row r="119" spans="1:91" ht="18" customHeight="1" x14ac:dyDescent="0.3">
      <c r="A119" s="4688" t="s">
        <v>3233</v>
      </c>
      <c r="B119" s="4884"/>
      <c r="C119" s="4884"/>
      <c r="D119" s="4904"/>
      <c r="E119" s="2184"/>
      <c r="F119" s="2184"/>
      <c r="G119" s="2184"/>
      <c r="H119" s="4"/>
      <c r="I119" s="2184"/>
      <c r="J119" s="2184"/>
      <c r="K119" s="2184"/>
      <c r="L119" s="2184"/>
      <c r="M119" s="2184"/>
    </row>
    <row r="120" spans="1:91" s="19" customFormat="1" ht="15" customHeight="1" x14ac:dyDescent="0.2">
      <c r="A120" s="6223" t="s">
        <v>3234</v>
      </c>
      <c r="B120" s="6223"/>
      <c r="C120" s="7022"/>
      <c r="D120" s="6954" t="s">
        <v>3235</v>
      </c>
      <c r="E120" s="7023" t="s">
        <v>29</v>
      </c>
      <c r="F120" s="7030"/>
      <c r="G120" s="7030"/>
      <c r="H120" s="7030"/>
      <c r="I120" s="7030"/>
      <c r="J120" s="7071"/>
      <c r="K120" s="7030" t="s">
        <v>2409</v>
      </c>
      <c r="L120" s="6976"/>
    </row>
    <row r="121" spans="1:91" s="19" customFormat="1" ht="15" customHeight="1" x14ac:dyDescent="0.2">
      <c r="A121" s="6481"/>
      <c r="B121" s="6481"/>
      <c r="C121" s="6645"/>
      <c r="D121" s="6954"/>
      <c r="E121" s="1134" t="s">
        <v>303</v>
      </c>
      <c r="F121" s="1135" t="s">
        <v>304</v>
      </c>
      <c r="G121" s="1238" t="s">
        <v>305</v>
      </c>
      <c r="H121" s="1238" t="s">
        <v>306</v>
      </c>
      <c r="I121" s="1101" t="s">
        <v>307</v>
      </c>
      <c r="J121" s="1241" t="s">
        <v>368</v>
      </c>
      <c r="K121" s="1135" t="s">
        <v>58</v>
      </c>
      <c r="L121" s="1092" t="s">
        <v>59</v>
      </c>
    </row>
    <row r="122" spans="1:91" s="19" customFormat="1" ht="15" customHeight="1" x14ac:dyDescent="0.3">
      <c r="A122" s="7092" t="s">
        <v>3236</v>
      </c>
      <c r="B122" s="7329"/>
      <c r="C122" s="1445" t="s">
        <v>3237</v>
      </c>
      <c r="D122" s="1112">
        <f t="shared" ref="D122:D130" si="29">SUM(E122:J122)</f>
        <v>0</v>
      </c>
      <c r="E122" s="1106"/>
      <c r="F122" s="1108"/>
      <c r="G122" s="773"/>
      <c r="H122" s="773"/>
      <c r="I122" s="773"/>
      <c r="J122" s="1284"/>
      <c r="K122" s="1108"/>
      <c r="L122" s="1107"/>
      <c r="M122" s="4890" t="str">
        <f>CA122&amp;CB122</f>
        <v/>
      </c>
      <c r="CA122" s="1899" t="str">
        <f t="shared" ref="CA122:CA130" si="30">IF((K122+L122)&lt;&gt;D122," * El Nº de intervenciones NO DEBE ser distinto a la suma por Sexo.","")</f>
        <v/>
      </c>
      <c r="CB122" s="1970"/>
      <c r="CK122" s="1901">
        <f t="shared" ref="CK122:CK130" si="31">IF((K122+L122)&lt;&gt;D122,1,0)</f>
        <v>0</v>
      </c>
    </row>
    <row r="123" spans="1:91" s="19" customFormat="1" ht="15" customHeight="1" x14ac:dyDescent="0.3">
      <c r="A123" s="6091"/>
      <c r="B123" s="6375"/>
      <c r="C123" s="1447" t="s">
        <v>3238</v>
      </c>
      <c r="D123" s="1112">
        <f t="shared" si="29"/>
        <v>0</v>
      </c>
      <c r="E123" s="1114"/>
      <c r="F123" s="1116"/>
      <c r="G123" s="1278"/>
      <c r="H123" s="1278"/>
      <c r="I123" s="1278"/>
      <c r="J123" s="1322"/>
      <c r="K123" s="1116"/>
      <c r="L123" s="1115"/>
      <c r="M123" s="4890" t="str">
        <f t="shared" ref="M123:M130" si="32">CA123&amp;CB123</f>
        <v/>
      </c>
      <c r="CA123" s="1899" t="str">
        <f t="shared" si="30"/>
        <v/>
      </c>
      <c r="CB123" s="1970"/>
      <c r="CK123" s="1901">
        <f t="shared" si="31"/>
        <v>0</v>
      </c>
    </row>
    <row r="124" spans="1:91" s="19" customFormat="1" ht="15" customHeight="1" x14ac:dyDescent="0.3">
      <c r="A124" s="7225"/>
      <c r="B124" s="6739"/>
      <c r="C124" s="1447" t="s">
        <v>3239</v>
      </c>
      <c r="D124" s="1188">
        <f t="shared" si="29"/>
        <v>0</v>
      </c>
      <c r="E124" s="1139"/>
      <c r="F124" s="1152"/>
      <c r="G124" s="1283"/>
      <c r="H124" s="1283"/>
      <c r="I124" s="1283"/>
      <c r="J124" s="392"/>
      <c r="K124" s="1152"/>
      <c r="L124" s="388"/>
      <c r="M124" s="4890" t="str">
        <f t="shared" si="32"/>
        <v/>
      </c>
      <c r="CA124" s="1899" t="str">
        <f t="shared" si="30"/>
        <v/>
      </c>
      <c r="CB124" s="1970"/>
      <c r="CK124" s="1901">
        <f t="shared" si="31"/>
        <v>0</v>
      </c>
    </row>
    <row r="125" spans="1:91" s="19" customFormat="1" ht="15" customHeight="1" x14ac:dyDescent="0.3">
      <c r="A125" s="7092" t="s">
        <v>3240</v>
      </c>
      <c r="B125" s="7329"/>
      <c r="C125" s="1445" t="s">
        <v>3237</v>
      </c>
      <c r="D125" s="250">
        <f t="shared" si="29"/>
        <v>0</v>
      </c>
      <c r="E125" s="290"/>
      <c r="F125" s="22"/>
      <c r="G125" s="535"/>
      <c r="H125" s="535"/>
      <c r="I125" s="535"/>
      <c r="J125" s="61"/>
      <c r="K125" s="22"/>
      <c r="L125" s="107"/>
      <c r="M125" s="4890" t="str">
        <f t="shared" si="32"/>
        <v/>
      </c>
      <c r="CA125" s="1899" t="str">
        <f t="shared" si="30"/>
        <v/>
      </c>
      <c r="CB125" s="1970"/>
      <c r="CK125" s="1901">
        <f t="shared" si="31"/>
        <v>0</v>
      </c>
    </row>
    <row r="126" spans="1:91" s="19" customFormat="1" ht="15" customHeight="1" x14ac:dyDescent="0.3">
      <c r="A126" s="6091"/>
      <c r="B126" s="6375"/>
      <c r="C126" s="1447" t="s">
        <v>3238</v>
      </c>
      <c r="D126" s="1112">
        <f t="shared" si="29"/>
        <v>0</v>
      </c>
      <c r="E126" s="192"/>
      <c r="F126" s="482"/>
      <c r="G126" s="594"/>
      <c r="H126" s="594"/>
      <c r="I126" s="594"/>
      <c r="J126" s="376"/>
      <c r="K126" s="482"/>
      <c r="L126" s="2"/>
      <c r="M126" s="4890" t="str">
        <f t="shared" si="32"/>
        <v/>
      </c>
      <c r="CA126" s="1899" t="str">
        <f t="shared" si="30"/>
        <v/>
      </c>
      <c r="CB126" s="1970"/>
      <c r="CK126" s="1901">
        <f t="shared" si="31"/>
        <v>0</v>
      </c>
    </row>
    <row r="127" spans="1:91" s="19" customFormat="1" ht="15" customHeight="1" x14ac:dyDescent="0.3">
      <c r="A127" s="7225"/>
      <c r="B127" s="6739"/>
      <c r="C127" s="1447" t="s">
        <v>3239</v>
      </c>
      <c r="D127" s="1188">
        <f t="shared" si="29"/>
        <v>0</v>
      </c>
      <c r="E127" s="192"/>
      <c r="F127" s="482"/>
      <c r="G127" s="594"/>
      <c r="H127" s="594"/>
      <c r="I127" s="594"/>
      <c r="J127" s="376"/>
      <c r="K127" s="482"/>
      <c r="L127" s="2"/>
      <c r="M127" s="4890" t="str">
        <f t="shared" si="32"/>
        <v/>
      </c>
      <c r="CA127" s="1899" t="str">
        <f t="shared" si="30"/>
        <v/>
      </c>
      <c r="CB127" s="1970"/>
      <c r="CK127" s="1901">
        <f t="shared" si="31"/>
        <v>0</v>
      </c>
    </row>
    <row r="128" spans="1:91" s="19" customFormat="1" ht="15" customHeight="1" x14ac:dyDescent="0.3">
      <c r="A128" s="7092" t="s">
        <v>3241</v>
      </c>
      <c r="B128" s="7329"/>
      <c r="C128" s="1445" t="s">
        <v>3237</v>
      </c>
      <c r="D128" s="250">
        <f t="shared" si="29"/>
        <v>0</v>
      </c>
      <c r="E128" s="1106"/>
      <c r="F128" s="1108"/>
      <c r="G128" s="773"/>
      <c r="H128" s="773"/>
      <c r="I128" s="773"/>
      <c r="J128" s="1284"/>
      <c r="K128" s="1108"/>
      <c r="L128" s="1107"/>
      <c r="M128" s="4890" t="str">
        <f t="shared" si="32"/>
        <v/>
      </c>
      <c r="CA128" s="1899" t="str">
        <f t="shared" si="30"/>
        <v/>
      </c>
      <c r="CB128" s="1970"/>
      <c r="CK128" s="1901">
        <f t="shared" si="31"/>
        <v>0</v>
      </c>
    </row>
    <row r="129" spans="1:89" s="19" customFormat="1" ht="15" customHeight="1" x14ac:dyDescent="0.3">
      <c r="A129" s="6091"/>
      <c r="B129" s="6375"/>
      <c r="C129" s="1447" t="s">
        <v>3238</v>
      </c>
      <c r="D129" s="1112">
        <f t="shared" si="29"/>
        <v>0</v>
      </c>
      <c r="E129" s="1114"/>
      <c r="F129" s="1116"/>
      <c r="G129" s="1278"/>
      <c r="H129" s="1278"/>
      <c r="I129" s="1278"/>
      <c r="J129" s="1322"/>
      <c r="K129" s="1116"/>
      <c r="L129" s="1115"/>
      <c r="M129" s="4890" t="str">
        <f t="shared" si="32"/>
        <v/>
      </c>
      <c r="CA129" s="1899" t="str">
        <f t="shared" si="30"/>
        <v/>
      </c>
      <c r="CB129" s="1970"/>
      <c r="CK129" s="1901">
        <f t="shared" si="31"/>
        <v>0</v>
      </c>
    </row>
    <row r="130" spans="1:89" s="19" customFormat="1" ht="15" customHeight="1" x14ac:dyDescent="0.3">
      <c r="A130" s="7225"/>
      <c r="B130" s="6739"/>
      <c r="C130" s="1447" t="s">
        <v>3239</v>
      </c>
      <c r="D130" s="1188">
        <f t="shared" si="29"/>
        <v>0</v>
      </c>
      <c r="E130" s="1139"/>
      <c r="F130" s="1152"/>
      <c r="G130" s="1283"/>
      <c r="H130" s="1283"/>
      <c r="I130" s="1283"/>
      <c r="J130" s="392"/>
      <c r="K130" s="1152"/>
      <c r="L130" s="388"/>
      <c r="M130" s="4890" t="str">
        <f t="shared" si="32"/>
        <v/>
      </c>
      <c r="CA130" s="1899" t="str">
        <f t="shared" si="30"/>
        <v/>
      </c>
      <c r="CB130" s="1970"/>
      <c r="CK130" s="1901">
        <f t="shared" si="31"/>
        <v>0</v>
      </c>
    </row>
    <row r="131" spans="1:89" ht="18" customHeight="1" x14ac:dyDescent="0.3">
      <c r="A131" s="4688" t="s">
        <v>3242</v>
      </c>
      <c r="B131" s="4883"/>
      <c r="C131" s="4883"/>
      <c r="D131" s="4883"/>
      <c r="E131" s="4905"/>
      <c r="F131" s="4905"/>
      <c r="G131" s="2184"/>
      <c r="H131" s="2184"/>
      <c r="I131" s="2184"/>
      <c r="J131" s="2184"/>
      <c r="K131" s="2184"/>
      <c r="L131" s="2184"/>
    </row>
    <row r="132" spans="1:89" ht="24" customHeight="1" x14ac:dyDescent="0.3">
      <c r="A132" s="4658" t="s">
        <v>285</v>
      </c>
      <c r="B132" s="1272" t="s">
        <v>3243</v>
      </c>
      <c r="C132" s="1802" t="s">
        <v>3244</v>
      </c>
      <c r="D132" s="4699" t="s">
        <v>3210</v>
      </c>
      <c r="E132" s="2184"/>
      <c r="F132" s="2184"/>
      <c r="G132" s="2184"/>
      <c r="H132" s="2184"/>
      <c r="I132" s="2184"/>
      <c r="J132" s="2184"/>
      <c r="K132" s="2184"/>
      <c r="L132" s="2184"/>
    </row>
    <row r="133" spans="1:89" ht="15" customHeight="1" x14ac:dyDescent="0.3">
      <c r="A133" s="4704" t="s">
        <v>3245</v>
      </c>
      <c r="B133" s="4906"/>
      <c r="C133" s="1097"/>
      <c r="D133" s="4907"/>
      <c r="E133" s="4908"/>
      <c r="F133" s="2184"/>
      <c r="G133" s="2184"/>
      <c r="H133" s="2184"/>
      <c r="I133" s="2184"/>
      <c r="J133" s="2184"/>
      <c r="K133" s="2184"/>
      <c r="L133" s="2184"/>
    </row>
    <row r="134" spans="1:89" ht="18" customHeight="1" x14ac:dyDescent="0.3">
      <c r="A134" s="4688" t="s">
        <v>3246</v>
      </c>
      <c r="B134" s="4883"/>
      <c r="C134" s="4883"/>
      <c r="D134" s="4883"/>
      <c r="E134" s="4909"/>
      <c r="F134" s="4909"/>
      <c r="G134" s="4909"/>
      <c r="H134" s="4909"/>
      <c r="I134" s="4909"/>
      <c r="J134" s="2184"/>
      <c r="K134" s="2184"/>
      <c r="L134" s="2184"/>
    </row>
    <row r="135" spans="1:89" s="19" customFormat="1" ht="15" customHeight="1" x14ac:dyDescent="0.2">
      <c r="A135" s="7119" t="s">
        <v>285</v>
      </c>
      <c r="B135" s="6989" t="s">
        <v>3247</v>
      </c>
      <c r="C135" s="6990"/>
      <c r="D135" s="6990"/>
      <c r="E135" s="6990"/>
      <c r="F135" s="6990"/>
      <c r="G135" s="6990"/>
      <c r="H135" s="6990"/>
      <c r="I135" s="7078"/>
      <c r="J135" s="7"/>
      <c r="K135" s="7"/>
      <c r="L135" s="7"/>
    </row>
    <row r="136" spans="1:89" s="19" customFormat="1" ht="42.75" customHeight="1" x14ac:dyDescent="0.2">
      <c r="A136" s="7120"/>
      <c r="B136" s="1133" t="s">
        <v>3248</v>
      </c>
      <c r="C136" s="1134" t="s">
        <v>3249</v>
      </c>
      <c r="D136" s="1238" t="s">
        <v>3250</v>
      </c>
      <c r="E136" s="1238" t="s">
        <v>3251</v>
      </c>
      <c r="F136" s="1238" t="s">
        <v>3252</v>
      </c>
      <c r="G136" s="1238" t="s">
        <v>3253</v>
      </c>
      <c r="H136" s="1238" t="s">
        <v>3254</v>
      </c>
      <c r="I136" s="1092" t="s">
        <v>3255</v>
      </c>
      <c r="J136" s="7"/>
      <c r="K136" s="7"/>
      <c r="L136" s="7"/>
    </row>
    <row r="137" spans="1:89" s="19" customFormat="1" ht="20.399999999999999" x14ac:dyDescent="0.2">
      <c r="A137" s="1010" t="s">
        <v>4390</v>
      </c>
      <c r="B137" s="4910">
        <f>SUM(C137:I137)</f>
        <v>0</v>
      </c>
      <c r="C137" s="1106"/>
      <c r="D137" s="773"/>
      <c r="E137" s="773"/>
      <c r="F137" s="773"/>
      <c r="G137" s="773"/>
      <c r="H137" s="773"/>
      <c r="I137" s="1107"/>
      <c r="J137" s="7"/>
      <c r="K137" s="7"/>
      <c r="L137" s="7"/>
    </row>
    <row r="138" spans="1:89" s="19" customFormat="1" ht="20.399999999999999" x14ac:dyDescent="0.2">
      <c r="A138" s="1015" t="s">
        <v>4391</v>
      </c>
      <c r="B138" s="4762">
        <f>SUM(C138:I138)</f>
        <v>0</v>
      </c>
      <c r="C138" s="1114"/>
      <c r="D138" s="1278"/>
      <c r="E138" s="1278"/>
      <c r="F138" s="1278"/>
      <c r="G138" s="1278"/>
      <c r="H138" s="1278"/>
      <c r="I138" s="1115"/>
      <c r="J138" s="7"/>
      <c r="K138" s="7"/>
      <c r="L138" s="7"/>
    </row>
    <row r="139" spans="1:89" s="19" customFormat="1" ht="15" customHeight="1" x14ac:dyDescent="0.2">
      <c r="A139" s="4911" t="s">
        <v>3256</v>
      </c>
      <c r="B139" s="4912">
        <f>SUM(C139:I139)</f>
        <v>0</v>
      </c>
      <c r="C139" s="1289"/>
      <c r="D139" s="262"/>
      <c r="E139" s="262"/>
      <c r="F139" s="262"/>
      <c r="G139" s="262"/>
      <c r="H139" s="262"/>
      <c r="I139" s="1474"/>
      <c r="J139" s="7"/>
      <c r="K139" s="7"/>
      <c r="L139" s="7"/>
    </row>
    <row r="140" spans="1:89" ht="18" customHeight="1" x14ac:dyDescent="0.3">
      <c r="A140" s="4688" t="s">
        <v>3257</v>
      </c>
      <c r="B140" s="2184"/>
      <c r="C140" s="2184"/>
      <c r="D140" s="2184"/>
      <c r="E140" s="2184"/>
      <c r="F140" s="2184"/>
      <c r="G140" s="2184"/>
      <c r="H140" s="2184"/>
      <c r="I140" s="2184"/>
      <c r="J140" s="2184"/>
      <c r="K140" s="2184"/>
      <c r="L140" s="2184"/>
      <c r="M140" s="2184"/>
    </row>
    <row r="141" spans="1:89" s="19" customFormat="1" ht="15" customHeight="1" x14ac:dyDescent="0.2">
      <c r="A141" s="7119" t="s">
        <v>285</v>
      </c>
      <c r="B141" s="6988" t="s">
        <v>3258</v>
      </c>
      <c r="C141" s="7066" t="s">
        <v>3259</v>
      </c>
      <c r="D141" s="7138"/>
      <c r="E141" s="7138"/>
      <c r="F141" s="7138"/>
      <c r="G141" s="7138"/>
      <c r="H141" s="7138"/>
      <c r="I141" s="7138"/>
      <c r="J141" s="7138"/>
      <c r="K141" s="7138"/>
      <c r="L141" s="7138"/>
      <c r="M141" s="7067"/>
    </row>
    <row r="142" spans="1:89" s="19" customFormat="1" ht="30.6" x14ac:dyDescent="0.2">
      <c r="A142" s="7120"/>
      <c r="B142" s="7341"/>
      <c r="C142" s="1134" t="s">
        <v>3260</v>
      </c>
      <c r="D142" s="1238" t="s">
        <v>3261</v>
      </c>
      <c r="E142" s="1238" t="s">
        <v>3262</v>
      </c>
      <c r="F142" s="1238" t="s">
        <v>3263</v>
      </c>
      <c r="G142" s="1238" t="s">
        <v>3264</v>
      </c>
      <c r="H142" s="1238" t="s">
        <v>3265</v>
      </c>
      <c r="I142" s="1238" t="s">
        <v>3266</v>
      </c>
      <c r="J142" s="1238" t="s">
        <v>3267</v>
      </c>
      <c r="K142" s="1238" t="s">
        <v>3268</v>
      </c>
      <c r="L142" s="1238" t="s">
        <v>3269</v>
      </c>
      <c r="M142" s="1092" t="s">
        <v>3270</v>
      </c>
    </row>
    <row r="143" spans="1:89" s="19" customFormat="1" ht="20.399999999999999" x14ac:dyDescent="0.2">
      <c r="A143" s="1010" t="s">
        <v>3271</v>
      </c>
      <c r="B143" s="4910">
        <f>SUM(C143:M143)</f>
        <v>0</v>
      </c>
      <c r="C143" s="1106"/>
      <c r="D143" s="773"/>
      <c r="E143" s="773"/>
      <c r="F143" s="773"/>
      <c r="G143" s="773"/>
      <c r="H143" s="773"/>
      <c r="I143" s="773"/>
      <c r="J143" s="773"/>
      <c r="K143" s="773"/>
      <c r="L143" s="773"/>
      <c r="M143" s="1107"/>
    </row>
    <row r="144" spans="1:89" s="19" customFormat="1" ht="30.6" x14ac:dyDescent="0.2">
      <c r="A144" s="4679" t="s">
        <v>3272</v>
      </c>
      <c r="B144" s="4912">
        <f>SUM(C144:M144)</f>
        <v>0</v>
      </c>
      <c r="C144" s="1289"/>
      <c r="D144" s="262"/>
      <c r="E144" s="262"/>
      <c r="F144" s="262"/>
      <c r="G144" s="262"/>
      <c r="H144" s="262"/>
      <c r="I144" s="262"/>
      <c r="J144" s="262"/>
      <c r="K144" s="262"/>
      <c r="L144" s="262"/>
      <c r="M144" s="1474"/>
    </row>
    <row r="145" spans="1:92" ht="18" customHeight="1" x14ac:dyDescent="0.3">
      <c r="A145" s="4688" t="s">
        <v>3273</v>
      </c>
      <c r="B145" s="2191"/>
      <c r="C145" s="2184"/>
      <c r="D145" s="2184"/>
      <c r="E145" s="2184"/>
      <c r="F145" s="2184"/>
      <c r="G145" s="2184"/>
      <c r="H145" s="2184"/>
      <c r="I145" s="2184"/>
      <c r="J145" s="2184"/>
      <c r="K145" s="2184"/>
      <c r="L145" s="2184"/>
      <c r="M145" s="2184"/>
      <c r="N145" s="2184"/>
      <c r="O145" s="2184"/>
      <c r="P145" s="2184"/>
    </row>
    <row r="146" spans="1:92" s="19" customFormat="1" ht="15" customHeight="1" x14ac:dyDescent="0.2">
      <c r="A146" s="7119" t="s">
        <v>285</v>
      </c>
      <c r="B146" s="7372" t="s">
        <v>3274</v>
      </c>
      <c r="C146" s="7374" t="s">
        <v>29</v>
      </c>
      <c r="D146" s="7107"/>
      <c r="E146" s="7107"/>
      <c r="F146" s="7108"/>
      <c r="G146" s="7038" t="s">
        <v>36</v>
      </c>
      <c r="H146" s="6969" t="s">
        <v>37</v>
      </c>
      <c r="I146" s="7"/>
      <c r="J146" s="7"/>
      <c r="K146" s="7"/>
      <c r="L146" s="7"/>
      <c r="M146" s="7"/>
      <c r="N146" s="7"/>
      <c r="O146" s="7"/>
      <c r="P146" s="7"/>
    </row>
    <row r="147" spans="1:92" s="19" customFormat="1" ht="30" customHeight="1" x14ac:dyDescent="0.2">
      <c r="A147" s="7120"/>
      <c r="B147" s="7373"/>
      <c r="C147" s="1242" t="s">
        <v>604</v>
      </c>
      <c r="D147" s="1238" t="s">
        <v>605</v>
      </c>
      <c r="E147" s="1238" t="s">
        <v>606</v>
      </c>
      <c r="F147" s="1241" t="s">
        <v>607</v>
      </c>
      <c r="G147" s="5767"/>
      <c r="H147" s="6687"/>
      <c r="I147" s="7"/>
      <c r="J147" s="7"/>
      <c r="K147" s="7"/>
      <c r="L147" s="7"/>
      <c r="M147" s="7"/>
      <c r="N147" s="7"/>
      <c r="O147" s="7"/>
      <c r="P147" s="7"/>
    </row>
    <row r="148" spans="1:92" s="19" customFormat="1" ht="20.399999999999999" x14ac:dyDescent="0.3">
      <c r="A148" s="1010" t="s">
        <v>3275</v>
      </c>
      <c r="B148" s="1286"/>
      <c r="C148" s="1321"/>
      <c r="D148" s="773"/>
      <c r="E148" s="773"/>
      <c r="F148" s="759"/>
      <c r="G148" s="1108"/>
      <c r="H148" s="771"/>
      <c r="I148" s="4890" t="str">
        <f>CA148&amp;CB148</f>
        <v/>
      </c>
      <c r="J148" s="2184"/>
      <c r="K148" s="2184"/>
      <c r="L148" s="2184"/>
      <c r="M148" s="2184"/>
      <c r="N148" s="2184"/>
      <c r="O148" s="2184"/>
      <c r="P148" s="2184"/>
      <c r="Q148" s="2184"/>
      <c r="R148" s="2184"/>
      <c r="S148" s="2184"/>
      <c r="T148" s="2184"/>
      <c r="U148" s="2184"/>
      <c r="V148" s="2184"/>
      <c r="W148" s="2184"/>
      <c r="X148" s="2184"/>
      <c r="Y148" s="2184"/>
      <c r="Z148" s="2184"/>
      <c r="AA148" s="2184"/>
      <c r="AB148" s="2184"/>
      <c r="AC148" s="2184"/>
      <c r="AD148" s="2184"/>
      <c r="AE148" s="2184"/>
      <c r="AF148" s="2184"/>
      <c r="AG148" s="2184"/>
      <c r="AH148" s="2184"/>
      <c r="AI148" s="2184"/>
      <c r="AJ148" s="2184"/>
      <c r="AK148" s="2184"/>
      <c r="AL148" s="2184"/>
      <c r="AM148" s="2184"/>
      <c r="AN148" s="2184"/>
      <c r="AO148" s="2184"/>
      <c r="AP148" s="2184"/>
      <c r="AQ148" s="2184"/>
      <c r="AR148" s="2184"/>
      <c r="AS148" s="2184"/>
      <c r="AT148" s="2184"/>
      <c r="AU148" s="2184"/>
      <c r="AV148" s="2184"/>
      <c r="AW148" s="2184"/>
      <c r="AX148" s="2184"/>
      <c r="AY148" s="2184"/>
      <c r="AZ148" s="2184"/>
      <c r="BA148" s="2184"/>
      <c r="BB148" s="2184"/>
      <c r="BC148" s="2184"/>
      <c r="BD148" s="2184"/>
      <c r="BE148" s="2184"/>
      <c r="BF148" s="2184"/>
      <c r="BG148" s="2184"/>
      <c r="BH148" s="2184"/>
      <c r="BI148" s="2184"/>
      <c r="BJ148" s="2184"/>
      <c r="BK148" s="2184"/>
      <c r="BL148" s="2184"/>
      <c r="BM148" s="2184"/>
      <c r="BN148" s="2184"/>
      <c r="BO148" s="2184"/>
      <c r="BP148" s="2184"/>
      <c r="BQ148" s="2184"/>
      <c r="BR148" s="2184"/>
      <c r="BS148" s="2184"/>
      <c r="BT148" s="2184"/>
      <c r="BU148" s="2184"/>
      <c r="BV148" s="2184"/>
      <c r="BW148" s="2184"/>
      <c r="BX148" s="2184"/>
      <c r="BY148" s="4166"/>
      <c r="BZ148" s="4166"/>
      <c r="CA148" s="135" t="str">
        <f>IF(AND(C148+D148+E148+F148&gt;0,G148="")," * No olvide digitar la variable Pueblos Originarios. Digite Cero si no tiene.",IF(G148&gt;C148+D148+E148+F148," * La variable Pueblos Originarios No puede ser mayor a la suma de Rangos Etarios.",""))</f>
        <v/>
      </c>
      <c r="CB148" s="135" t="str">
        <f>IF(AND(D148+C148+E148+F148&gt;0,H148="")," * No olvide digitar la variable Migrantes. Digite Cero si no tiene.",IF(H148&gt;C148+D148+E148+F148," * La variable Migrantes No puede ser mayor a la suma de Rangos Etarios.",""))</f>
        <v/>
      </c>
      <c r="CC148" s="1970"/>
      <c r="CD148" s="1970"/>
      <c r="CE148" s="1970"/>
      <c r="CF148" s="1970"/>
      <c r="CK148" s="3989">
        <f>IF(AND(G148="",SUM(C148:F148)&lt;&gt;0),1,0)</f>
        <v>0</v>
      </c>
      <c r="CL148" s="3989">
        <f>IF(AND(H148="",SUM(C148:F148)&lt;&gt;0),1,0)</f>
        <v>0</v>
      </c>
      <c r="CM148" s="3989">
        <f>IF(SUM(C148:F148)&lt;G148,1,0)</f>
        <v>0</v>
      </c>
      <c r="CN148" s="3989">
        <f>IF(SUM(C148:F148)&lt;H148,1,0)</f>
        <v>0</v>
      </c>
    </row>
    <row r="149" spans="1:92" s="19" customFormat="1" ht="20.399999999999999" x14ac:dyDescent="0.3">
      <c r="A149" s="4679" t="s">
        <v>3276</v>
      </c>
      <c r="B149" s="4913"/>
      <c r="C149" s="266"/>
      <c r="D149" s="262"/>
      <c r="E149" s="262"/>
      <c r="F149" s="297"/>
      <c r="G149" s="3332"/>
      <c r="H149" s="311"/>
      <c r="I149" s="4890" t="str">
        <f>CA149&amp;CB149&amp;CC149&amp;CD149</f>
        <v/>
      </c>
      <c r="J149" s="2184"/>
      <c r="K149" s="2184"/>
      <c r="L149" s="2184"/>
      <c r="M149" s="2184"/>
      <c r="N149" s="2184"/>
      <c r="O149" s="2184"/>
      <c r="P149" s="2184"/>
      <c r="Q149" s="2184"/>
      <c r="R149" s="2184"/>
      <c r="S149" s="2184"/>
      <c r="T149" s="2184"/>
      <c r="U149" s="2184"/>
      <c r="V149" s="2184"/>
      <c r="W149" s="2184"/>
      <c r="X149" s="2184"/>
      <c r="Y149" s="2184"/>
      <c r="Z149" s="2184"/>
      <c r="AA149" s="2184"/>
      <c r="AB149" s="2184"/>
      <c r="AC149" s="2184"/>
      <c r="AD149" s="2184"/>
      <c r="AE149" s="2184"/>
      <c r="AF149" s="2184"/>
      <c r="AG149" s="2184"/>
      <c r="AH149" s="2184"/>
      <c r="AI149" s="2184"/>
      <c r="AJ149" s="2184"/>
      <c r="AK149" s="2184"/>
      <c r="AL149" s="2184"/>
      <c r="AM149" s="2184"/>
      <c r="AN149" s="2184"/>
      <c r="AO149" s="2184"/>
      <c r="AP149" s="2184"/>
      <c r="AQ149" s="2184"/>
      <c r="AR149" s="2184"/>
      <c r="AS149" s="2184"/>
      <c r="AT149" s="2184"/>
      <c r="AU149" s="2184"/>
      <c r="AV149" s="2184"/>
      <c r="AW149" s="2184"/>
      <c r="AX149" s="2184"/>
      <c r="AY149" s="2184"/>
      <c r="AZ149" s="2184"/>
      <c r="BA149" s="2184"/>
      <c r="BB149" s="2184"/>
      <c r="BC149" s="2184"/>
      <c r="BD149" s="2184"/>
      <c r="BE149" s="2184"/>
      <c r="BF149" s="2184"/>
      <c r="BG149" s="2184"/>
      <c r="BH149" s="2184"/>
      <c r="BI149" s="2184"/>
      <c r="BJ149" s="2184"/>
      <c r="BK149" s="2184"/>
      <c r="BL149" s="2184"/>
      <c r="BM149" s="2184"/>
      <c r="BN149" s="2184"/>
      <c r="BO149" s="2184"/>
      <c r="BP149" s="2184"/>
      <c r="BQ149" s="2184"/>
      <c r="BR149" s="2184"/>
      <c r="BS149" s="2184"/>
      <c r="BT149" s="2184"/>
      <c r="BU149" s="2184"/>
      <c r="BV149" s="2184"/>
      <c r="BW149" s="2184"/>
      <c r="BX149" s="2184"/>
      <c r="BY149" s="4166"/>
      <c r="BZ149" s="4166"/>
      <c r="CA149" s="135" t="str">
        <f>IF(AND(C149+D149+E149+F149&gt;0,G149="")," * No olvide digitar la variable Pueblos Originarios. Digite Cero si no tiene.",IF(G149&gt;C149+D149+E149+F149," * La variable Pueblos Originarios No puede ser mayor a la suma de Rangos Etarios.",""))</f>
        <v/>
      </c>
      <c r="CB149" s="135" t="str">
        <f>IF(AND(D149+C149+E149+F149&gt;0,H149="")," * No olvide digitar la variable Migrantes. Digite Cero si no tiene.",IF(H149&gt;C149+D149+E149+F149," * La variable Migrantes No puede ser mayor a la suma de Rangos Etarios.",""))</f>
        <v/>
      </c>
      <c r="CC149" s="1970"/>
      <c r="CD149" s="1970"/>
      <c r="CE149" s="1970"/>
      <c r="CF149" s="1970"/>
      <c r="CK149" s="3989">
        <f>IF(AND(G149="",SUM(C149:F149)&lt;&gt;0),1,0)</f>
        <v>0</v>
      </c>
      <c r="CL149" s="3989">
        <f>IF(AND(H149="",SUM(C149:F149)&lt;&gt;0),1,0)</f>
        <v>0</v>
      </c>
      <c r="CM149" s="3989">
        <f>IF(SUM(C149:F149)&lt;G149,1,0)</f>
        <v>0</v>
      </c>
      <c r="CN149" s="3989">
        <f>IF(SUM(C149:F149)&lt;H149,1,0)</f>
        <v>0</v>
      </c>
    </row>
    <row r="150" spans="1:92" ht="18" customHeight="1" x14ac:dyDescent="0.3">
      <c r="A150" s="4914" t="s">
        <v>3277</v>
      </c>
      <c r="B150" s="4914"/>
      <c r="C150" s="4914"/>
      <c r="D150" s="4915"/>
      <c r="E150" s="4916"/>
      <c r="F150" s="4916"/>
      <c r="G150" s="4916"/>
      <c r="H150" s="4916"/>
      <c r="I150" s="4916"/>
      <c r="J150" s="4917"/>
      <c r="K150" s="4916"/>
      <c r="L150" s="4916"/>
      <c r="M150" s="4916"/>
      <c r="N150" s="4916"/>
      <c r="O150" s="4916"/>
      <c r="P150" s="4916"/>
    </row>
    <row r="151" spans="1:92" s="19" customFormat="1" ht="15" customHeight="1" x14ac:dyDescent="0.2">
      <c r="A151" s="7375" t="s">
        <v>3234</v>
      </c>
      <c r="B151" s="7375"/>
      <c r="C151" s="5859"/>
      <c r="D151" s="5864" t="s">
        <v>3235</v>
      </c>
      <c r="E151" s="7369" t="s">
        <v>3278</v>
      </c>
      <c r="F151" s="7370"/>
      <c r="G151" s="7370"/>
      <c r="H151" s="7370"/>
      <c r="I151" s="7370"/>
      <c r="J151" s="7370"/>
      <c r="K151" s="7370"/>
      <c r="L151" s="7370"/>
      <c r="M151" s="7370"/>
      <c r="N151" s="7370"/>
      <c r="O151" s="7370"/>
      <c r="P151" s="7371"/>
      <c r="Q151" s="7394" t="s">
        <v>2409</v>
      </c>
      <c r="R151" s="7395"/>
    </row>
    <row r="152" spans="1:92" s="19" customFormat="1" ht="20.100000000000001" customHeight="1" x14ac:dyDescent="0.2">
      <c r="A152" s="7376"/>
      <c r="B152" s="7376"/>
      <c r="C152" s="5863"/>
      <c r="D152" s="7377"/>
      <c r="E152" s="4918" t="s">
        <v>3279</v>
      </c>
      <c r="F152" s="4919" t="s">
        <v>1954</v>
      </c>
      <c r="G152" s="4919" t="s">
        <v>303</v>
      </c>
      <c r="H152" s="4919" t="s">
        <v>304</v>
      </c>
      <c r="I152" s="4919" t="s">
        <v>305</v>
      </c>
      <c r="J152" s="4919" t="s">
        <v>974</v>
      </c>
      <c r="K152" s="4919" t="s">
        <v>3280</v>
      </c>
      <c r="L152" s="4919" t="s">
        <v>1821</v>
      </c>
      <c r="M152" s="4919" t="s">
        <v>3281</v>
      </c>
      <c r="N152" s="4919" t="s">
        <v>308</v>
      </c>
      <c r="O152" s="4919" t="s">
        <v>309</v>
      </c>
      <c r="P152" s="4920" t="s">
        <v>57</v>
      </c>
      <c r="Q152" s="4921" t="s">
        <v>58</v>
      </c>
      <c r="R152" s="4922" t="s">
        <v>59</v>
      </c>
    </row>
    <row r="153" spans="1:92" s="19" customFormat="1" ht="15" customHeight="1" x14ac:dyDescent="0.3">
      <c r="A153" s="7378" t="s">
        <v>3282</v>
      </c>
      <c r="B153" s="7379"/>
      <c r="C153" s="4923" t="s">
        <v>3283</v>
      </c>
      <c r="D153" s="4924">
        <f>+E153</f>
        <v>0</v>
      </c>
      <c r="E153" s="4925"/>
      <c r="F153" s="4926"/>
      <c r="G153" s="4926"/>
      <c r="H153" s="4926"/>
      <c r="I153" s="4926"/>
      <c r="J153" s="4926"/>
      <c r="K153" s="4926"/>
      <c r="L153" s="4926"/>
      <c r="M153" s="4926"/>
      <c r="N153" s="4926"/>
      <c r="O153" s="4926"/>
      <c r="P153" s="4927"/>
      <c r="Q153" s="4928"/>
      <c r="R153" s="4929"/>
      <c r="S153" s="19" t="str">
        <f>CA153&amp;CB153</f>
        <v/>
      </c>
      <c r="CA153" s="135" t="str">
        <f t="shared" ref="CA153:CA168" si="33">IF(AND(D153&gt;0,Q153="",R153="")," * No olvide digitar la variable SEXO (Hombres/Mujeres). Digite Cero si no tiene.","")</f>
        <v/>
      </c>
      <c r="CB153" s="1899" t="str">
        <f t="shared" ref="CB153:CB168" si="34">IF((D153&lt;&gt; Q153+R153)," * La suma de Sexo (Hombres + Mujeres) debe ser igual al N° de Intervenciones.","")</f>
        <v/>
      </c>
      <c r="CK153" s="182">
        <f t="shared" ref="CK153:CK168" si="35">IF(AND(D153&gt;0,Q153="",R153=""),1,0)</f>
        <v>0</v>
      </c>
      <c r="CL153" s="1901">
        <f t="shared" ref="CL153:CL168" si="36">IF((D153&lt;&gt; Q153+R153),1,0)</f>
        <v>0</v>
      </c>
    </row>
    <row r="154" spans="1:92" s="19" customFormat="1" ht="15" customHeight="1" x14ac:dyDescent="0.3">
      <c r="A154" s="7380"/>
      <c r="B154" s="7381"/>
      <c r="C154" s="4930" t="s">
        <v>3284</v>
      </c>
      <c r="D154" s="4924">
        <f>+F154</f>
        <v>0</v>
      </c>
      <c r="E154" s="4931"/>
      <c r="F154" s="4932"/>
      <c r="G154" s="4933"/>
      <c r="H154" s="4933"/>
      <c r="I154" s="4933"/>
      <c r="J154" s="4933"/>
      <c r="K154" s="4933"/>
      <c r="L154" s="4933"/>
      <c r="M154" s="4933"/>
      <c r="N154" s="4933"/>
      <c r="O154" s="4933"/>
      <c r="P154" s="4934"/>
      <c r="Q154" s="4935"/>
      <c r="R154" s="4936"/>
      <c r="S154" s="19" t="str">
        <f t="shared" ref="S154:S168" si="37">CA154&amp;CB154</f>
        <v/>
      </c>
      <c r="CA154" s="135" t="str">
        <f t="shared" si="33"/>
        <v/>
      </c>
      <c r="CB154" s="1899" t="str">
        <f t="shared" si="34"/>
        <v/>
      </c>
      <c r="CK154" s="182">
        <f t="shared" si="35"/>
        <v>0</v>
      </c>
      <c r="CL154" s="1901">
        <f t="shared" si="36"/>
        <v>0</v>
      </c>
    </row>
    <row r="155" spans="1:92" s="19" customFormat="1" ht="15" customHeight="1" x14ac:dyDescent="0.3">
      <c r="A155" s="7380"/>
      <c r="B155" s="7381"/>
      <c r="C155" s="4930" t="s">
        <v>3285</v>
      </c>
      <c r="D155" s="4924">
        <f>+G155</f>
        <v>0</v>
      </c>
      <c r="E155" s="4931"/>
      <c r="F155" s="4933"/>
      <c r="G155" s="4932"/>
      <c r="H155" s="4933"/>
      <c r="I155" s="4933"/>
      <c r="J155" s="4933"/>
      <c r="K155" s="4933"/>
      <c r="L155" s="4933"/>
      <c r="M155" s="4933"/>
      <c r="N155" s="4933"/>
      <c r="O155" s="4933"/>
      <c r="P155" s="4934"/>
      <c r="Q155" s="4935"/>
      <c r="R155" s="4936"/>
      <c r="S155" s="19" t="str">
        <f t="shared" si="37"/>
        <v/>
      </c>
      <c r="CA155" s="135" t="str">
        <f t="shared" si="33"/>
        <v/>
      </c>
      <c r="CB155" s="1899" t="str">
        <f t="shared" si="34"/>
        <v/>
      </c>
      <c r="CK155" s="182">
        <f t="shared" si="35"/>
        <v>0</v>
      </c>
      <c r="CL155" s="1901">
        <f t="shared" si="36"/>
        <v>0</v>
      </c>
    </row>
    <row r="156" spans="1:92" s="19" customFormat="1" ht="23.25" customHeight="1" x14ac:dyDescent="0.3">
      <c r="A156" s="7380"/>
      <c r="B156" s="7381"/>
      <c r="C156" s="2613" t="s">
        <v>3286</v>
      </c>
      <c r="D156" s="4924">
        <f>+H156</f>
        <v>0</v>
      </c>
      <c r="E156" s="4931"/>
      <c r="F156" s="4933"/>
      <c r="G156" s="4933"/>
      <c r="H156" s="4932"/>
      <c r="I156" s="4933"/>
      <c r="J156" s="4933"/>
      <c r="K156" s="4933"/>
      <c r="L156" s="4933"/>
      <c r="M156" s="4933"/>
      <c r="N156" s="4933"/>
      <c r="O156" s="4933"/>
      <c r="P156" s="4934"/>
      <c r="Q156" s="4935"/>
      <c r="R156" s="4936"/>
      <c r="S156" s="19" t="str">
        <f t="shared" si="37"/>
        <v/>
      </c>
      <c r="CA156" s="135" t="str">
        <f t="shared" si="33"/>
        <v/>
      </c>
      <c r="CB156" s="1899" t="str">
        <f t="shared" si="34"/>
        <v/>
      </c>
      <c r="CK156" s="182">
        <f t="shared" si="35"/>
        <v>0</v>
      </c>
      <c r="CL156" s="1901">
        <f t="shared" si="36"/>
        <v>0</v>
      </c>
    </row>
    <row r="157" spans="1:92" s="19" customFormat="1" ht="22.5" customHeight="1" x14ac:dyDescent="0.3">
      <c r="A157" s="7380"/>
      <c r="B157" s="7381"/>
      <c r="C157" s="2613" t="s">
        <v>3287</v>
      </c>
      <c r="D157" s="4924">
        <f>+I157+J157+K157+L157+M157</f>
        <v>0</v>
      </c>
      <c r="E157" s="4931"/>
      <c r="F157" s="4933"/>
      <c r="G157" s="4933"/>
      <c r="H157" s="4933"/>
      <c r="I157" s="4932"/>
      <c r="J157" s="4932"/>
      <c r="K157" s="4932"/>
      <c r="L157" s="4932"/>
      <c r="M157" s="4932"/>
      <c r="N157" s="4933"/>
      <c r="O157" s="4933"/>
      <c r="P157" s="4934"/>
      <c r="Q157" s="4935"/>
      <c r="R157" s="4936"/>
      <c r="S157" s="19" t="str">
        <f t="shared" si="37"/>
        <v/>
      </c>
      <c r="CA157" s="135" t="str">
        <f t="shared" si="33"/>
        <v/>
      </c>
      <c r="CB157" s="1899" t="str">
        <f t="shared" si="34"/>
        <v/>
      </c>
      <c r="CK157" s="182">
        <f t="shared" si="35"/>
        <v>0</v>
      </c>
      <c r="CL157" s="1901">
        <f t="shared" si="36"/>
        <v>0</v>
      </c>
    </row>
    <row r="158" spans="1:92" s="19" customFormat="1" ht="15" customHeight="1" x14ac:dyDescent="0.3">
      <c r="A158" s="7380"/>
      <c r="B158" s="7381"/>
      <c r="C158" s="4937" t="s">
        <v>3288</v>
      </c>
      <c r="D158" s="4924">
        <f>+G158+H158+I158+J158</f>
        <v>0</v>
      </c>
      <c r="E158" s="4931"/>
      <c r="F158" s="4933"/>
      <c r="G158" s="4932"/>
      <c r="H158" s="4932"/>
      <c r="I158" s="4932"/>
      <c r="J158" s="4932"/>
      <c r="K158" s="4933"/>
      <c r="L158" s="4933"/>
      <c r="M158" s="4933"/>
      <c r="N158" s="4933"/>
      <c r="O158" s="4933"/>
      <c r="P158" s="4934"/>
      <c r="Q158" s="4935"/>
      <c r="R158" s="4936"/>
      <c r="S158" s="19" t="str">
        <f t="shared" si="37"/>
        <v/>
      </c>
      <c r="CA158" s="135" t="str">
        <f t="shared" si="33"/>
        <v/>
      </c>
      <c r="CB158" s="1899" t="str">
        <f t="shared" si="34"/>
        <v/>
      </c>
      <c r="CK158" s="182">
        <f t="shared" si="35"/>
        <v>0</v>
      </c>
      <c r="CL158" s="1901">
        <f t="shared" si="36"/>
        <v>0</v>
      </c>
    </row>
    <row r="159" spans="1:92" s="19" customFormat="1" ht="15" customHeight="1" x14ac:dyDescent="0.3">
      <c r="A159" s="7380"/>
      <c r="B159" s="7381"/>
      <c r="C159" s="4937" t="s">
        <v>3289</v>
      </c>
      <c r="D159" s="4924">
        <f>+G159+H159+I159+J159+K159+L159+M159+N159+O159+P159</f>
        <v>0</v>
      </c>
      <c r="E159" s="4931"/>
      <c r="F159" s="4933"/>
      <c r="G159" s="4932"/>
      <c r="H159" s="4932"/>
      <c r="I159" s="4932"/>
      <c r="J159" s="4932"/>
      <c r="K159" s="4932"/>
      <c r="L159" s="4932"/>
      <c r="M159" s="4932"/>
      <c r="N159" s="4932"/>
      <c r="O159" s="4932"/>
      <c r="P159" s="4938"/>
      <c r="Q159" s="4939"/>
      <c r="R159" s="4940"/>
      <c r="S159" s="19" t="str">
        <f t="shared" si="37"/>
        <v/>
      </c>
      <c r="CA159" s="135" t="str">
        <f t="shared" si="33"/>
        <v/>
      </c>
      <c r="CB159" s="1899" t="str">
        <f t="shared" si="34"/>
        <v/>
      </c>
      <c r="CK159" s="182">
        <f t="shared" si="35"/>
        <v>0</v>
      </c>
      <c r="CL159" s="1901">
        <f t="shared" si="36"/>
        <v>0</v>
      </c>
    </row>
    <row r="160" spans="1:92" s="19" customFormat="1" ht="23.25" customHeight="1" x14ac:dyDescent="0.3">
      <c r="A160" s="7382"/>
      <c r="B160" s="7383"/>
      <c r="C160" s="4941" t="s">
        <v>3290</v>
      </c>
      <c r="D160" s="4942">
        <f>M160+N160+O160+P160</f>
        <v>0</v>
      </c>
      <c r="E160" s="4943"/>
      <c r="F160" s="4944"/>
      <c r="G160" s="4944"/>
      <c r="H160" s="4944"/>
      <c r="I160" s="4944"/>
      <c r="J160" s="4944"/>
      <c r="K160" s="4944"/>
      <c r="L160" s="4944"/>
      <c r="M160" s="4945"/>
      <c r="N160" s="4945"/>
      <c r="O160" s="4945"/>
      <c r="P160" s="4946"/>
      <c r="Q160" s="4947"/>
      <c r="R160" s="4948"/>
      <c r="S160" s="19" t="str">
        <f t="shared" si="37"/>
        <v/>
      </c>
      <c r="CA160" s="135" t="str">
        <f t="shared" si="33"/>
        <v/>
      </c>
      <c r="CB160" s="1899" t="str">
        <f t="shared" si="34"/>
        <v/>
      </c>
      <c r="CK160" s="182">
        <f t="shared" si="35"/>
        <v>0</v>
      </c>
      <c r="CL160" s="1901">
        <f t="shared" si="36"/>
        <v>0</v>
      </c>
    </row>
    <row r="161" spans="1:90" s="19" customFormat="1" ht="15" customHeight="1" x14ac:dyDescent="0.3">
      <c r="A161" s="7384" t="s">
        <v>3291</v>
      </c>
      <c r="B161" s="7385"/>
      <c r="C161" s="4949" t="s">
        <v>3283</v>
      </c>
      <c r="D161" s="4950">
        <f>+E161</f>
        <v>0</v>
      </c>
      <c r="E161" s="4951"/>
      <c r="F161" s="4952"/>
      <c r="G161" s="4952"/>
      <c r="H161" s="4952"/>
      <c r="I161" s="4952"/>
      <c r="J161" s="4952"/>
      <c r="K161" s="4952"/>
      <c r="L161" s="4952"/>
      <c r="M161" s="4952"/>
      <c r="N161" s="4952"/>
      <c r="O161" s="4952"/>
      <c r="P161" s="4953"/>
      <c r="Q161" s="4951"/>
      <c r="R161" s="4954"/>
      <c r="S161" s="19" t="str">
        <f t="shared" si="37"/>
        <v/>
      </c>
      <c r="CA161" s="135" t="str">
        <f t="shared" si="33"/>
        <v/>
      </c>
      <c r="CB161" s="1899" t="str">
        <f t="shared" si="34"/>
        <v/>
      </c>
      <c r="CK161" s="182">
        <f t="shared" si="35"/>
        <v>0</v>
      </c>
      <c r="CL161" s="1901">
        <f t="shared" si="36"/>
        <v>0</v>
      </c>
    </row>
    <row r="162" spans="1:90" s="19" customFormat="1" ht="15" customHeight="1" x14ac:dyDescent="0.3">
      <c r="A162" s="7386"/>
      <c r="B162" s="7381"/>
      <c r="C162" s="4930" t="s">
        <v>3284</v>
      </c>
      <c r="D162" s="4955">
        <f>+F162</f>
        <v>0</v>
      </c>
      <c r="E162" s="4956"/>
      <c r="F162" s="4932"/>
      <c r="G162" s="4933"/>
      <c r="H162" s="4933"/>
      <c r="I162" s="4933"/>
      <c r="J162" s="4933"/>
      <c r="K162" s="4933"/>
      <c r="L162" s="4933"/>
      <c r="M162" s="4933"/>
      <c r="N162" s="4933"/>
      <c r="O162" s="4933"/>
      <c r="P162" s="4934"/>
      <c r="Q162" s="4935"/>
      <c r="R162" s="4936"/>
      <c r="S162" s="19" t="str">
        <f t="shared" si="37"/>
        <v/>
      </c>
      <c r="CA162" s="135" t="str">
        <f t="shared" si="33"/>
        <v/>
      </c>
      <c r="CB162" s="1899" t="str">
        <f t="shared" si="34"/>
        <v/>
      </c>
      <c r="CK162" s="182">
        <f t="shared" si="35"/>
        <v>0</v>
      </c>
      <c r="CL162" s="1901">
        <f t="shared" si="36"/>
        <v>0</v>
      </c>
    </row>
    <row r="163" spans="1:90" s="19" customFormat="1" ht="15" customHeight="1" x14ac:dyDescent="0.3">
      <c r="A163" s="7386"/>
      <c r="B163" s="7381"/>
      <c r="C163" s="4930" t="s">
        <v>3285</v>
      </c>
      <c r="D163" s="4955">
        <f>+G163</f>
        <v>0</v>
      </c>
      <c r="E163" s="4956"/>
      <c r="F163" s="4933"/>
      <c r="G163" s="4932"/>
      <c r="H163" s="4933"/>
      <c r="I163" s="4933"/>
      <c r="J163" s="4933"/>
      <c r="K163" s="4933"/>
      <c r="L163" s="4933"/>
      <c r="M163" s="4933"/>
      <c r="N163" s="4933"/>
      <c r="O163" s="4933"/>
      <c r="P163" s="4934"/>
      <c r="Q163" s="4935"/>
      <c r="R163" s="4936"/>
      <c r="S163" s="19" t="str">
        <f t="shared" si="37"/>
        <v/>
      </c>
      <c r="CA163" s="135" t="str">
        <f t="shared" si="33"/>
        <v/>
      </c>
      <c r="CB163" s="1899" t="str">
        <f t="shared" si="34"/>
        <v/>
      </c>
      <c r="CK163" s="182">
        <f t="shared" si="35"/>
        <v>0</v>
      </c>
      <c r="CL163" s="1901">
        <f t="shared" si="36"/>
        <v>0</v>
      </c>
    </row>
    <row r="164" spans="1:90" s="19" customFormat="1" ht="23.25" customHeight="1" x14ac:dyDescent="0.3">
      <c r="A164" s="7386"/>
      <c r="B164" s="7381"/>
      <c r="C164" s="2613" t="s">
        <v>3286</v>
      </c>
      <c r="D164" s="4955">
        <f>+H164</f>
        <v>0</v>
      </c>
      <c r="E164" s="4956"/>
      <c r="F164" s="4933"/>
      <c r="G164" s="4933"/>
      <c r="H164" s="4932"/>
      <c r="I164" s="4933"/>
      <c r="J164" s="4933"/>
      <c r="K164" s="4933"/>
      <c r="L164" s="4933"/>
      <c r="M164" s="4933"/>
      <c r="N164" s="4933"/>
      <c r="O164" s="4933"/>
      <c r="P164" s="4934"/>
      <c r="Q164" s="4935"/>
      <c r="R164" s="4936"/>
      <c r="S164" s="19" t="str">
        <f t="shared" si="37"/>
        <v/>
      </c>
      <c r="CA164" s="135" t="str">
        <f t="shared" si="33"/>
        <v/>
      </c>
      <c r="CB164" s="1899" t="str">
        <f t="shared" si="34"/>
        <v/>
      </c>
      <c r="CK164" s="182">
        <f t="shared" si="35"/>
        <v>0</v>
      </c>
      <c r="CL164" s="1901">
        <f t="shared" si="36"/>
        <v>0</v>
      </c>
    </row>
    <row r="165" spans="1:90" s="19" customFormat="1" ht="20.100000000000001" customHeight="1" x14ac:dyDescent="0.3">
      <c r="A165" s="7386"/>
      <c r="B165" s="7381"/>
      <c r="C165" s="2613" t="s">
        <v>3287</v>
      </c>
      <c r="D165" s="4955">
        <f>+I165+J165+K165+L165+M165</f>
        <v>0</v>
      </c>
      <c r="E165" s="4956"/>
      <c r="F165" s="4933"/>
      <c r="G165" s="4933"/>
      <c r="H165" s="4933"/>
      <c r="I165" s="4932"/>
      <c r="J165" s="4932"/>
      <c r="K165" s="4932"/>
      <c r="L165" s="4932"/>
      <c r="M165" s="4932"/>
      <c r="N165" s="4933"/>
      <c r="O165" s="4933"/>
      <c r="P165" s="4934"/>
      <c r="Q165" s="4935"/>
      <c r="R165" s="4936"/>
      <c r="S165" s="19" t="str">
        <f t="shared" si="37"/>
        <v/>
      </c>
      <c r="CA165" s="135" t="str">
        <f t="shared" si="33"/>
        <v/>
      </c>
      <c r="CB165" s="1899" t="str">
        <f t="shared" si="34"/>
        <v/>
      </c>
      <c r="CK165" s="182">
        <f t="shared" si="35"/>
        <v>0</v>
      </c>
      <c r="CL165" s="1901">
        <f t="shared" si="36"/>
        <v>0</v>
      </c>
    </row>
    <row r="166" spans="1:90" s="19" customFormat="1" ht="15" customHeight="1" x14ac:dyDescent="0.3">
      <c r="A166" s="7386"/>
      <c r="B166" s="7381"/>
      <c r="C166" s="4937" t="s">
        <v>3288</v>
      </c>
      <c r="D166" s="4955">
        <f>+G166+H166+I166+J166</f>
        <v>0</v>
      </c>
      <c r="E166" s="4956"/>
      <c r="F166" s="4933"/>
      <c r="G166" s="4932"/>
      <c r="H166" s="4932"/>
      <c r="I166" s="4932"/>
      <c r="J166" s="4957"/>
      <c r="K166" s="4933"/>
      <c r="L166" s="4933"/>
      <c r="M166" s="4933"/>
      <c r="N166" s="4933"/>
      <c r="O166" s="4933"/>
      <c r="P166" s="4934"/>
      <c r="Q166" s="4935"/>
      <c r="R166" s="4936"/>
      <c r="S166" s="19" t="str">
        <f t="shared" si="37"/>
        <v/>
      </c>
      <c r="CA166" s="135" t="str">
        <f t="shared" si="33"/>
        <v/>
      </c>
      <c r="CB166" s="1899" t="str">
        <f t="shared" si="34"/>
        <v/>
      </c>
      <c r="CK166" s="182">
        <f t="shared" si="35"/>
        <v>0</v>
      </c>
      <c r="CL166" s="1901">
        <f t="shared" si="36"/>
        <v>0</v>
      </c>
    </row>
    <row r="167" spans="1:90" s="19" customFormat="1" ht="15" customHeight="1" x14ac:dyDescent="0.3">
      <c r="A167" s="7386"/>
      <c r="B167" s="7381"/>
      <c r="C167" s="4937" t="s">
        <v>3289</v>
      </c>
      <c r="D167" s="4955">
        <f>+G167+H167+I167+J167+K167+L167+M167+N167+O167+P167</f>
        <v>0</v>
      </c>
      <c r="E167" s="4956"/>
      <c r="F167" s="4933"/>
      <c r="G167" s="4932"/>
      <c r="H167" s="4932"/>
      <c r="I167" s="4932"/>
      <c r="J167" s="4932"/>
      <c r="K167" s="4932"/>
      <c r="L167" s="4932"/>
      <c r="M167" s="4932"/>
      <c r="N167" s="4957"/>
      <c r="O167" s="4957"/>
      <c r="P167" s="4958"/>
      <c r="Q167" s="4939"/>
      <c r="R167" s="4940"/>
      <c r="S167" s="19" t="str">
        <f t="shared" si="37"/>
        <v/>
      </c>
      <c r="CA167" s="135" t="str">
        <f t="shared" si="33"/>
        <v/>
      </c>
      <c r="CB167" s="1899" t="str">
        <f t="shared" si="34"/>
        <v/>
      </c>
      <c r="CK167" s="182">
        <f t="shared" si="35"/>
        <v>0</v>
      </c>
      <c r="CL167" s="1901">
        <f t="shared" si="36"/>
        <v>0</v>
      </c>
    </row>
    <row r="168" spans="1:90" s="19" customFormat="1" ht="24.75" customHeight="1" x14ac:dyDescent="0.3">
      <c r="A168" s="7387"/>
      <c r="B168" s="7383"/>
      <c r="C168" s="4959" t="s">
        <v>3290</v>
      </c>
      <c r="D168" s="4960">
        <f>M168+N168+O168+P168</f>
        <v>0</v>
      </c>
      <c r="E168" s="4961"/>
      <c r="F168" s="4944"/>
      <c r="G168" s="4944"/>
      <c r="H168" s="4944"/>
      <c r="I168" s="4944"/>
      <c r="J168" s="4944"/>
      <c r="K168" s="4962"/>
      <c r="L168" s="4963"/>
      <c r="M168" s="4964"/>
      <c r="N168" s="4964"/>
      <c r="O168" s="4964"/>
      <c r="P168" s="4946"/>
      <c r="Q168" s="4947"/>
      <c r="R168" s="4948"/>
      <c r="S168" s="19" t="str">
        <f t="shared" si="37"/>
        <v/>
      </c>
      <c r="CA168" s="135" t="str">
        <f t="shared" si="33"/>
        <v/>
      </c>
      <c r="CB168" s="1899" t="str">
        <f t="shared" si="34"/>
        <v/>
      </c>
      <c r="CK168" s="182">
        <f t="shared" si="35"/>
        <v>0</v>
      </c>
      <c r="CL168" s="1901">
        <f t="shared" si="36"/>
        <v>0</v>
      </c>
    </row>
    <row r="169" spans="1:90" ht="18" customHeight="1" x14ac:dyDescent="0.3">
      <c r="A169" s="4965" t="s">
        <v>3292</v>
      </c>
      <c r="C169" s="7"/>
      <c r="D169" s="7"/>
      <c r="E169" s="7"/>
      <c r="F169" s="9"/>
      <c r="G169" s="9"/>
      <c r="H169" s="9"/>
      <c r="I169" s="9"/>
      <c r="J169" s="2184"/>
      <c r="K169" s="2184"/>
      <c r="L169" s="2184"/>
      <c r="M169" s="2184"/>
      <c r="N169" s="2184"/>
      <c r="O169" s="2184"/>
      <c r="P169" s="2184"/>
      <c r="Q169" s="2184"/>
      <c r="R169" s="2184"/>
      <c r="S169" s="2184"/>
      <c r="T169" s="2184"/>
      <c r="U169" s="2184"/>
      <c r="V169" s="2184"/>
      <c r="W169" s="2184"/>
      <c r="X169" s="2184"/>
      <c r="Y169" s="2184"/>
      <c r="Z169" s="2184"/>
      <c r="AA169" s="2184"/>
      <c r="AB169" s="2184"/>
      <c r="AC169" s="2184"/>
      <c r="AD169" s="2184"/>
      <c r="AE169" s="2184"/>
      <c r="AF169" s="2184"/>
      <c r="AG169" s="2184"/>
      <c r="AH169" s="2184"/>
      <c r="AI169" s="2184"/>
    </row>
    <row r="170" spans="1:90" ht="40.799999999999997" x14ac:dyDescent="0.3">
      <c r="A170" s="6989" t="s">
        <v>3149</v>
      </c>
      <c r="B170" s="6990"/>
      <c r="C170" s="7078"/>
      <c r="D170" s="1237" t="s">
        <v>77</v>
      </c>
      <c r="E170" s="4583" t="s">
        <v>3040</v>
      </c>
      <c r="F170" s="1238" t="s">
        <v>3205</v>
      </c>
      <c r="G170" s="1238" t="s">
        <v>3206</v>
      </c>
      <c r="H170" s="1241" t="s">
        <v>194</v>
      </c>
      <c r="I170" s="1271" t="s">
        <v>3207</v>
      </c>
      <c r="J170" s="2184"/>
      <c r="K170" s="2184"/>
      <c r="L170" s="2184"/>
      <c r="M170" s="2184"/>
      <c r="N170" s="2184"/>
      <c r="O170" s="2184"/>
      <c r="P170" s="2184"/>
      <c r="Q170" s="2184"/>
      <c r="R170" s="2184"/>
      <c r="S170" s="2184"/>
      <c r="T170" s="2184"/>
      <c r="U170" s="2184"/>
      <c r="V170" s="2184"/>
      <c r="W170" s="2184"/>
      <c r="X170" s="2184"/>
      <c r="Y170" s="2184"/>
      <c r="Z170" s="2184"/>
      <c r="AA170" s="2184"/>
      <c r="AB170" s="2184"/>
      <c r="AC170" s="2184"/>
      <c r="AD170" s="2184"/>
      <c r="AE170" s="2184"/>
      <c r="AF170" s="2184"/>
      <c r="AG170" s="2184"/>
      <c r="AH170" s="2184"/>
      <c r="AI170" s="2184"/>
    </row>
    <row r="171" spans="1:90" ht="15" customHeight="1" x14ac:dyDescent="0.3">
      <c r="A171" s="7090" t="s">
        <v>3158</v>
      </c>
      <c r="B171" s="7332" t="s">
        <v>3159</v>
      </c>
      <c r="C171" s="7333"/>
      <c r="D171" s="1102">
        <f t="shared" ref="D171:D203" si="38">SUM(E171:H171)</f>
        <v>0</v>
      </c>
      <c r="E171" s="4601"/>
      <c r="F171" s="4602"/>
      <c r="G171" s="4602"/>
      <c r="H171" s="4863"/>
      <c r="I171" s="4864"/>
      <c r="J171" s="2184" t="str">
        <f>CA171</f>
        <v/>
      </c>
      <c r="K171" s="2184"/>
      <c r="L171" s="2184"/>
      <c r="M171" s="2184"/>
      <c r="N171" s="2184"/>
      <c r="O171" s="2184"/>
      <c r="P171" s="2184"/>
      <c r="Q171" s="2184"/>
      <c r="R171" s="2184"/>
      <c r="S171" s="2184"/>
      <c r="T171" s="2184"/>
      <c r="U171" s="2184"/>
      <c r="V171" s="2184"/>
      <c r="W171" s="2184"/>
      <c r="X171" s="2184"/>
      <c r="Y171" s="2184"/>
      <c r="Z171" s="2184"/>
      <c r="AA171" s="2184"/>
      <c r="AB171" s="2184"/>
      <c r="AC171" s="2184"/>
      <c r="AD171" s="2184"/>
      <c r="AE171" s="2184"/>
      <c r="AF171" s="2184"/>
      <c r="AG171" s="2184"/>
      <c r="AH171" s="2184"/>
      <c r="AI171" s="2184"/>
      <c r="CA171" s="135" t="str">
        <f t="shared" ref="CA171:CA202" si="39">IF(AND(D171&gt;0,I171="")," * No olvide digitar la variable "&amp;I$170&amp;""&amp;". Digite Cero si no tiene.",IF(I171&gt;D171," * La variable "&amp;I$170&amp;""&amp;" No puede ser mayor al Total.",""))</f>
        <v/>
      </c>
      <c r="CK171" s="182">
        <f t="shared" ref="CK171:CK202" si="40">IF(AND(D171&gt;0,I171=""),1,IF(I171&gt;D171,1,0))</f>
        <v>0</v>
      </c>
    </row>
    <row r="172" spans="1:90" x14ac:dyDescent="0.3">
      <c r="A172" s="7163"/>
      <c r="B172" s="7090" t="s">
        <v>3160</v>
      </c>
      <c r="C172" s="4728" t="s">
        <v>3161</v>
      </c>
      <c r="D172" s="1102">
        <f t="shared" si="38"/>
        <v>0</v>
      </c>
      <c r="E172" s="1106"/>
      <c r="F172" s="773"/>
      <c r="G172" s="773"/>
      <c r="H172" s="1109"/>
      <c r="I172" s="1285"/>
      <c r="J172" s="2184" t="str">
        <f t="shared" ref="J172:J202" si="41">CA172</f>
        <v/>
      </c>
      <c r="K172" s="2184"/>
      <c r="L172" s="2184"/>
      <c r="M172" s="2184"/>
      <c r="N172" s="2184"/>
      <c r="O172" s="2184"/>
      <c r="P172" s="2184"/>
      <c r="Q172" s="2184"/>
      <c r="R172" s="2184"/>
      <c r="S172" s="2184"/>
      <c r="T172" s="2184"/>
      <c r="U172" s="2184"/>
      <c r="V172" s="2184"/>
      <c r="W172" s="2184"/>
      <c r="X172" s="2184"/>
      <c r="Y172" s="2184"/>
      <c r="Z172" s="2184"/>
      <c r="AA172" s="2184"/>
      <c r="AB172" s="2184"/>
      <c r="AC172" s="2184"/>
      <c r="AD172" s="2184"/>
      <c r="AE172" s="2184"/>
      <c r="AF172" s="2184"/>
      <c r="AG172" s="2184"/>
      <c r="AH172" s="2184"/>
      <c r="AI172" s="2184"/>
      <c r="CA172" s="135" t="str">
        <f t="shared" si="39"/>
        <v/>
      </c>
      <c r="CK172" s="182">
        <f t="shared" si="40"/>
        <v>0</v>
      </c>
    </row>
    <row r="173" spans="1:90" ht="15" customHeight="1" x14ac:dyDescent="0.3">
      <c r="A173" s="7163"/>
      <c r="B173" s="7163"/>
      <c r="C173" s="1812" t="s">
        <v>3162</v>
      </c>
      <c r="D173" s="193">
        <f t="shared" si="38"/>
        <v>0</v>
      </c>
      <c r="E173" s="1114"/>
      <c r="F173" s="1278"/>
      <c r="G173" s="1278"/>
      <c r="H173" s="1117"/>
      <c r="I173" s="1275"/>
      <c r="J173" s="2184" t="str">
        <f t="shared" si="41"/>
        <v/>
      </c>
      <c r="K173" s="2184"/>
      <c r="L173" s="2184"/>
      <c r="M173" s="2184"/>
      <c r="N173" s="2184"/>
      <c r="O173" s="2184"/>
      <c r="P173" s="2184"/>
      <c r="Q173" s="2184"/>
      <c r="R173" s="2184"/>
      <c r="S173" s="2184"/>
      <c r="T173" s="2184"/>
      <c r="U173" s="2184"/>
      <c r="V173" s="2184"/>
      <c r="W173" s="2184"/>
      <c r="X173" s="2184"/>
      <c r="Y173" s="2184"/>
      <c r="Z173" s="2184"/>
      <c r="AA173" s="2184"/>
      <c r="AB173" s="2184"/>
      <c r="AC173" s="2184"/>
      <c r="AD173" s="2184"/>
      <c r="AE173" s="2184"/>
      <c r="AF173" s="2184"/>
      <c r="AG173" s="2184"/>
      <c r="AH173" s="2184"/>
      <c r="AI173" s="2184"/>
      <c r="CA173" s="135" t="str">
        <f t="shared" si="39"/>
        <v/>
      </c>
      <c r="CK173" s="182">
        <f t="shared" si="40"/>
        <v>0</v>
      </c>
    </row>
    <row r="174" spans="1:90" ht="15" customHeight="1" x14ac:dyDescent="0.3">
      <c r="A174" s="7163"/>
      <c r="B174" s="7163"/>
      <c r="C174" s="1462" t="s">
        <v>3163</v>
      </c>
      <c r="D174" s="1187">
        <f t="shared" si="38"/>
        <v>0</v>
      </c>
      <c r="E174" s="1114"/>
      <c r="F174" s="1278"/>
      <c r="G174" s="1278"/>
      <c r="H174" s="1117"/>
      <c r="I174" s="1275"/>
      <c r="J174" s="2184" t="str">
        <f t="shared" si="41"/>
        <v/>
      </c>
      <c r="K174" s="2184"/>
      <c r="L174" s="2184"/>
      <c r="M174" s="2184"/>
      <c r="N174" s="2184"/>
      <c r="O174" s="2184"/>
      <c r="P174" s="2184"/>
      <c r="Q174" s="2184"/>
      <c r="R174" s="2184"/>
      <c r="S174" s="2184"/>
      <c r="T174" s="2184"/>
      <c r="U174" s="2184"/>
      <c r="V174" s="2184"/>
      <c r="W174" s="2184"/>
      <c r="X174" s="2184"/>
      <c r="Y174" s="2184"/>
      <c r="Z174" s="2184"/>
      <c r="AA174" s="2184"/>
      <c r="AB174" s="2184"/>
      <c r="AC174" s="2184"/>
      <c r="AD174" s="2184"/>
      <c r="AE174" s="2184"/>
      <c r="AF174" s="2184"/>
      <c r="AG174" s="2184"/>
      <c r="AH174" s="2184"/>
      <c r="AI174" s="2184"/>
      <c r="CA174" s="135" t="str">
        <f t="shared" si="39"/>
        <v/>
      </c>
      <c r="CK174" s="182">
        <f t="shared" si="40"/>
        <v>0</v>
      </c>
    </row>
    <row r="175" spans="1:90" ht="15" customHeight="1" x14ac:dyDescent="0.3">
      <c r="A175" s="7163"/>
      <c r="B175" s="7195"/>
      <c r="C175" s="4712" t="s">
        <v>3164</v>
      </c>
      <c r="D175" s="4829">
        <f t="shared" si="38"/>
        <v>0</v>
      </c>
      <c r="E175" s="1289"/>
      <c r="F175" s="262"/>
      <c r="G175" s="262"/>
      <c r="H175" s="316"/>
      <c r="I175" s="4865"/>
      <c r="J175" s="2184" t="str">
        <f t="shared" si="41"/>
        <v/>
      </c>
      <c r="K175" s="2184"/>
      <c r="L175" s="2184"/>
      <c r="M175" s="2184"/>
      <c r="N175" s="2184"/>
      <c r="O175" s="2184"/>
      <c r="P175" s="2184"/>
      <c r="Q175" s="2184"/>
      <c r="R175" s="2184"/>
      <c r="S175" s="2184"/>
      <c r="T175" s="2184"/>
      <c r="U175" s="2184"/>
      <c r="V175" s="2184"/>
      <c r="W175" s="2184"/>
      <c r="X175" s="2184"/>
      <c r="Y175" s="2184"/>
      <c r="Z175" s="2184"/>
      <c r="AA175" s="2184"/>
      <c r="AB175" s="2184"/>
      <c r="AC175" s="2184"/>
      <c r="AD175" s="2184"/>
      <c r="AE175" s="2184"/>
      <c r="AF175" s="2184"/>
      <c r="AG175" s="2184"/>
      <c r="AH175" s="2184"/>
      <c r="AI175" s="2184"/>
      <c r="CA175" s="135" t="str">
        <f t="shared" si="39"/>
        <v/>
      </c>
      <c r="CK175" s="182">
        <f t="shared" si="40"/>
        <v>0</v>
      </c>
    </row>
    <row r="176" spans="1:90" ht="15" customHeight="1" x14ac:dyDescent="0.3">
      <c r="A176" s="7163"/>
      <c r="B176" s="6641" t="s">
        <v>3165</v>
      </c>
      <c r="C176" s="6642"/>
      <c r="D176" s="195">
        <f t="shared" si="38"/>
        <v>0</v>
      </c>
      <c r="E176" s="290"/>
      <c r="F176" s="535"/>
      <c r="G176" s="535"/>
      <c r="H176" s="735"/>
      <c r="I176" s="370"/>
      <c r="J176" s="2184" t="str">
        <f t="shared" si="41"/>
        <v/>
      </c>
      <c r="K176" s="2184"/>
      <c r="L176" s="2184"/>
      <c r="M176" s="2184"/>
      <c r="N176" s="2184"/>
      <c r="O176" s="2184"/>
      <c r="P176" s="2184"/>
      <c r="Q176" s="2184"/>
      <c r="R176" s="2184"/>
      <c r="S176" s="2184"/>
      <c r="T176" s="2184"/>
      <c r="U176" s="2184"/>
      <c r="V176" s="2184"/>
      <c r="W176" s="2184"/>
      <c r="X176" s="2184"/>
      <c r="Y176" s="2184"/>
      <c r="Z176" s="2184"/>
      <c r="AA176" s="2184"/>
      <c r="AB176" s="2184"/>
      <c r="AC176" s="2184"/>
      <c r="AD176" s="2184"/>
      <c r="AE176" s="2184"/>
      <c r="AF176" s="2184"/>
      <c r="AG176" s="2184"/>
      <c r="AH176" s="2184"/>
      <c r="AI176" s="2184"/>
      <c r="CA176" s="135" t="str">
        <f t="shared" si="39"/>
        <v/>
      </c>
      <c r="CK176" s="182">
        <f t="shared" si="40"/>
        <v>0</v>
      </c>
    </row>
    <row r="177" spans="1:89" ht="15" customHeight="1" x14ac:dyDescent="0.3">
      <c r="A177" s="7163"/>
      <c r="B177" s="7095" t="s">
        <v>3166</v>
      </c>
      <c r="C177" s="7096"/>
      <c r="D177" s="193">
        <f t="shared" si="38"/>
        <v>0</v>
      </c>
      <c r="E177" s="1114"/>
      <c r="F177" s="1278"/>
      <c r="G177" s="1278"/>
      <c r="H177" s="1117"/>
      <c r="I177" s="1275"/>
      <c r="J177" s="2184" t="str">
        <f t="shared" si="41"/>
        <v/>
      </c>
      <c r="K177" s="2184"/>
      <c r="L177" s="2184"/>
      <c r="M177" s="2184"/>
      <c r="N177" s="2184"/>
      <c r="O177" s="2184"/>
      <c r="P177" s="2184"/>
      <c r="Q177" s="2184"/>
      <c r="R177" s="2184"/>
      <c r="S177" s="2184"/>
      <c r="T177" s="2184"/>
      <c r="U177" s="2184"/>
      <c r="V177" s="2184"/>
      <c r="W177" s="2184"/>
      <c r="X177" s="2184"/>
      <c r="Y177" s="2184"/>
      <c r="Z177" s="2184"/>
      <c r="AA177" s="2184"/>
      <c r="AB177" s="2184"/>
      <c r="AC177" s="2184"/>
      <c r="AD177" s="2184"/>
      <c r="AE177" s="2184"/>
      <c r="AF177" s="2184"/>
      <c r="AG177" s="2184"/>
      <c r="AH177" s="2184"/>
      <c r="AI177" s="2184"/>
      <c r="CA177" s="135" t="str">
        <f t="shared" si="39"/>
        <v/>
      </c>
      <c r="CK177" s="182">
        <f t="shared" si="40"/>
        <v>0</v>
      </c>
    </row>
    <row r="178" spans="1:89" ht="15" customHeight="1" x14ac:dyDescent="0.3">
      <c r="A178" s="7163"/>
      <c r="B178" s="7095" t="s">
        <v>3167</v>
      </c>
      <c r="C178" s="7096"/>
      <c r="D178" s="193">
        <f t="shared" si="38"/>
        <v>0</v>
      </c>
      <c r="E178" s="1114"/>
      <c r="F178" s="1278"/>
      <c r="G178" s="1278"/>
      <c r="H178" s="1117"/>
      <c r="I178" s="1275"/>
      <c r="J178" s="2184" t="str">
        <f t="shared" si="41"/>
        <v/>
      </c>
      <c r="K178" s="2184"/>
      <c r="L178" s="2184"/>
      <c r="M178" s="2184"/>
      <c r="N178" s="2184"/>
      <c r="O178" s="2184"/>
      <c r="P178" s="2184"/>
      <c r="Q178" s="2184"/>
      <c r="R178" s="2184"/>
      <c r="S178" s="2184"/>
      <c r="T178" s="2184"/>
      <c r="U178" s="2184"/>
      <c r="V178" s="2184"/>
      <c r="W178" s="2184"/>
      <c r="X178" s="2184"/>
      <c r="Y178" s="2184"/>
      <c r="Z178" s="2184"/>
      <c r="AA178" s="2184"/>
      <c r="AB178" s="2184"/>
      <c r="AC178" s="2184"/>
      <c r="AD178" s="2184"/>
      <c r="AE178" s="2184"/>
      <c r="AF178" s="2184"/>
      <c r="AG178" s="2184"/>
      <c r="AH178" s="2184"/>
      <c r="AI178" s="2184"/>
      <c r="CA178" s="135" t="str">
        <f t="shared" si="39"/>
        <v/>
      </c>
      <c r="CK178" s="182">
        <f t="shared" si="40"/>
        <v>0</v>
      </c>
    </row>
    <row r="179" spans="1:89" ht="15" customHeight="1" x14ac:dyDescent="0.3">
      <c r="A179" s="7163"/>
      <c r="B179" s="7334" t="s">
        <v>3168</v>
      </c>
      <c r="C179" s="7335"/>
      <c r="D179" s="193">
        <f t="shared" si="38"/>
        <v>0</v>
      </c>
      <c r="E179" s="1114"/>
      <c r="F179" s="1278"/>
      <c r="G179" s="1278"/>
      <c r="H179" s="1117"/>
      <c r="I179" s="1275"/>
      <c r="J179" s="2184" t="str">
        <f t="shared" si="41"/>
        <v/>
      </c>
      <c r="K179" s="2184"/>
      <c r="L179" s="2184"/>
      <c r="M179" s="2184"/>
      <c r="N179" s="2184"/>
      <c r="O179" s="2184"/>
      <c r="P179" s="2184"/>
      <c r="Q179" s="2184"/>
      <c r="R179" s="2184"/>
      <c r="S179" s="2184"/>
      <c r="T179" s="2184"/>
      <c r="U179" s="2184"/>
      <c r="V179" s="2184"/>
      <c r="W179" s="2184"/>
      <c r="X179" s="2184"/>
      <c r="Y179" s="2184"/>
      <c r="Z179" s="2184"/>
      <c r="AA179" s="2184"/>
      <c r="AB179" s="2184"/>
      <c r="AC179" s="2184"/>
      <c r="AD179" s="2184"/>
      <c r="AE179" s="2184"/>
      <c r="AF179" s="2184"/>
      <c r="AG179" s="2184"/>
      <c r="AH179" s="2184"/>
      <c r="AI179" s="2184"/>
      <c r="CA179" s="135" t="str">
        <f t="shared" si="39"/>
        <v/>
      </c>
      <c r="CK179" s="182">
        <f t="shared" si="40"/>
        <v>0</v>
      </c>
    </row>
    <row r="180" spans="1:89" ht="15" customHeight="1" x14ac:dyDescent="0.3">
      <c r="A180" s="7163"/>
      <c r="B180" s="7095" t="s">
        <v>3208</v>
      </c>
      <c r="C180" s="7096"/>
      <c r="D180" s="193">
        <f t="shared" si="38"/>
        <v>0</v>
      </c>
      <c r="E180" s="1114"/>
      <c r="F180" s="1278"/>
      <c r="G180" s="1278"/>
      <c r="H180" s="1117"/>
      <c r="I180" s="1275"/>
      <c r="J180" s="2184" t="str">
        <f t="shared" si="41"/>
        <v/>
      </c>
      <c r="K180" s="2184"/>
      <c r="L180" s="2184"/>
      <c r="M180" s="2184"/>
      <c r="N180" s="2184"/>
      <c r="O180" s="2184"/>
      <c r="P180" s="2184"/>
      <c r="Q180" s="2184"/>
      <c r="R180" s="2184"/>
      <c r="S180" s="2184"/>
      <c r="T180" s="2184"/>
      <c r="U180" s="2184"/>
      <c r="V180" s="2184"/>
      <c r="W180" s="2184"/>
      <c r="X180" s="2184"/>
      <c r="Y180" s="2184"/>
      <c r="Z180" s="2184"/>
      <c r="AA180" s="2184"/>
      <c r="AB180" s="2184"/>
      <c r="AC180" s="2184"/>
      <c r="AD180" s="2184"/>
      <c r="AE180" s="2184"/>
      <c r="AF180" s="2184"/>
      <c r="AG180" s="2184"/>
      <c r="AH180" s="2184"/>
      <c r="AI180" s="2184"/>
      <c r="CA180" s="135" t="str">
        <f t="shared" si="39"/>
        <v/>
      </c>
      <c r="CK180" s="182">
        <f t="shared" si="40"/>
        <v>0</v>
      </c>
    </row>
    <row r="181" spans="1:89" ht="15" customHeight="1" x14ac:dyDescent="0.3">
      <c r="A181" s="7163"/>
      <c r="B181" s="6641" t="s">
        <v>3170</v>
      </c>
      <c r="C181" s="6642"/>
      <c r="D181" s="193">
        <f t="shared" si="38"/>
        <v>0</v>
      </c>
      <c r="E181" s="192"/>
      <c r="F181" s="594"/>
      <c r="G181" s="594"/>
      <c r="H181" s="1123"/>
      <c r="I181" s="4866"/>
      <c r="J181" s="2184" t="str">
        <f t="shared" si="41"/>
        <v/>
      </c>
      <c r="K181" s="2184"/>
      <c r="L181" s="2184"/>
      <c r="M181" s="2184"/>
      <c r="N181" s="2184"/>
      <c r="O181" s="2184"/>
      <c r="P181" s="2184"/>
      <c r="Q181" s="2184"/>
      <c r="R181" s="2184"/>
      <c r="S181" s="2184"/>
      <c r="T181" s="2184"/>
      <c r="U181" s="2184"/>
      <c r="V181" s="2184"/>
      <c r="W181" s="2184"/>
      <c r="X181" s="2184"/>
      <c r="Y181" s="2184"/>
      <c r="Z181" s="2184"/>
      <c r="AA181" s="2184"/>
      <c r="AB181" s="2184"/>
      <c r="AC181" s="2184"/>
      <c r="AD181" s="2184"/>
      <c r="AE181" s="2184"/>
      <c r="AF181" s="2184"/>
      <c r="AG181" s="2184"/>
      <c r="AH181" s="2184"/>
      <c r="AI181" s="2184"/>
      <c r="CA181" s="135" t="str">
        <f t="shared" si="39"/>
        <v/>
      </c>
      <c r="CK181" s="182">
        <f t="shared" si="40"/>
        <v>0</v>
      </c>
    </row>
    <row r="182" spans="1:89" ht="22.5" customHeight="1" x14ac:dyDescent="0.3">
      <c r="A182" s="7163"/>
      <c r="B182" s="7073" t="s">
        <v>3171</v>
      </c>
      <c r="C182" s="7074"/>
      <c r="D182" s="193">
        <f t="shared" si="38"/>
        <v>0</v>
      </c>
      <c r="E182" s="192"/>
      <c r="F182" s="594"/>
      <c r="G182" s="594"/>
      <c r="H182" s="1123"/>
      <c r="I182" s="4866"/>
      <c r="J182" s="2184" t="str">
        <f t="shared" si="41"/>
        <v/>
      </c>
      <c r="K182" s="2184"/>
      <c r="L182" s="2184"/>
      <c r="M182" s="2184"/>
      <c r="N182" s="2184"/>
      <c r="O182" s="2184"/>
      <c r="P182" s="2184"/>
      <c r="Q182" s="2184"/>
      <c r="R182" s="2184"/>
      <c r="S182" s="2184"/>
      <c r="T182" s="2184"/>
      <c r="U182" s="2184"/>
      <c r="V182" s="2184"/>
      <c r="W182" s="2184"/>
      <c r="X182" s="2184"/>
      <c r="Y182" s="2184"/>
      <c r="Z182" s="2184"/>
      <c r="AA182" s="2184"/>
      <c r="AB182" s="2184"/>
      <c r="AC182" s="2184"/>
      <c r="AD182" s="2184"/>
      <c r="AE182" s="2184"/>
      <c r="AF182" s="2184"/>
      <c r="AG182" s="2184"/>
      <c r="AH182" s="2184"/>
      <c r="AI182" s="2184"/>
      <c r="CA182" s="135" t="str">
        <f t="shared" si="39"/>
        <v/>
      </c>
      <c r="CK182" s="182">
        <f t="shared" si="40"/>
        <v>0</v>
      </c>
    </row>
    <row r="183" spans="1:89" ht="15" customHeight="1" x14ac:dyDescent="0.3">
      <c r="A183" s="7163"/>
      <c r="B183" s="7073" t="s">
        <v>3172</v>
      </c>
      <c r="C183" s="7074"/>
      <c r="D183" s="193">
        <f t="shared" si="38"/>
        <v>0</v>
      </c>
      <c r="E183" s="192"/>
      <c r="F183" s="594"/>
      <c r="G183" s="594"/>
      <c r="H183" s="1123"/>
      <c r="I183" s="4866"/>
      <c r="J183" s="2184" t="str">
        <f t="shared" si="41"/>
        <v/>
      </c>
      <c r="K183" s="2184"/>
      <c r="L183" s="2184"/>
      <c r="M183" s="2184"/>
      <c r="N183" s="2184"/>
      <c r="O183" s="2184"/>
      <c r="P183" s="2184"/>
      <c r="Q183" s="2184"/>
      <c r="R183" s="2184"/>
      <c r="S183" s="2184"/>
      <c r="T183" s="2184"/>
      <c r="U183" s="2184"/>
      <c r="V183" s="2184"/>
      <c r="W183" s="2184"/>
      <c r="X183" s="2184"/>
      <c r="Y183" s="2184"/>
      <c r="Z183" s="2184"/>
      <c r="AA183" s="2184"/>
      <c r="AB183" s="2184"/>
      <c r="AC183" s="2184"/>
      <c r="AD183" s="2184"/>
      <c r="AE183" s="2184"/>
      <c r="AF183" s="2184"/>
      <c r="AG183" s="2184"/>
      <c r="AH183" s="2184"/>
      <c r="AI183" s="2184"/>
      <c r="CA183" s="135" t="str">
        <f t="shared" si="39"/>
        <v/>
      </c>
      <c r="CK183" s="182">
        <f t="shared" si="40"/>
        <v>0</v>
      </c>
    </row>
    <row r="184" spans="1:89" ht="15" customHeight="1" x14ac:dyDescent="0.3">
      <c r="A184" s="7163"/>
      <c r="B184" s="7334" t="s">
        <v>3174</v>
      </c>
      <c r="C184" s="7335"/>
      <c r="D184" s="193">
        <f t="shared" si="38"/>
        <v>0</v>
      </c>
      <c r="E184" s="192"/>
      <c r="F184" s="594"/>
      <c r="G184" s="594"/>
      <c r="H184" s="1123"/>
      <c r="I184" s="4866"/>
      <c r="J184" s="2184" t="str">
        <f t="shared" si="41"/>
        <v/>
      </c>
      <c r="K184" s="2184"/>
      <c r="L184" s="2184"/>
      <c r="M184" s="2184"/>
      <c r="N184" s="2184"/>
      <c r="O184" s="2184"/>
      <c r="P184" s="2184"/>
      <c r="Q184" s="2184"/>
      <c r="R184" s="2184"/>
      <c r="S184" s="2184"/>
      <c r="T184" s="2184"/>
      <c r="U184" s="2184"/>
      <c r="V184" s="2184"/>
      <c r="W184" s="2184"/>
      <c r="X184" s="2184"/>
      <c r="Y184" s="2184"/>
      <c r="Z184" s="2184"/>
      <c r="AA184" s="2184"/>
      <c r="AB184" s="2184"/>
      <c r="AC184" s="2184"/>
      <c r="AD184" s="2184"/>
      <c r="AE184" s="2184"/>
      <c r="AF184" s="2184"/>
      <c r="AG184" s="2184"/>
      <c r="AH184" s="2184"/>
      <c r="AI184" s="2184"/>
      <c r="CA184" s="135" t="str">
        <f t="shared" si="39"/>
        <v/>
      </c>
      <c r="CK184" s="182">
        <f t="shared" si="40"/>
        <v>0</v>
      </c>
    </row>
    <row r="185" spans="1:89" ht="15" customHeight="1" x14ac:dyDescent="0.3">
      <c r="A185" s="7163"/>
      <c r="B185" s="7060" t="s">
        <v>3175</v>
      </c>
      <c r="C185" s="4839" t="s">
        <v>3176</v>
      </c>
      <c r="D185" s="1184">
        <f t="shared" si="38"/>
        <v>0</v>
      </c>
      <c r="E185" s="1108"/>
      <c r="F185" s="773"/>
      <c r="G185" s="773"/>
      <c r="H185" s="1109"/>
      <c r="I185" s="1285"/>
      <c r="J185" s="2184" t="str">
        <f t="shared" si="41"/>
        <v/>
      </c>
      <c r="K185" s="2184"/>
      <c r="L185" s="2184"/>
      <c r="M185" s="2184"/>
      <c r="N185" s="2184"/>
      <c r="O185" s="2184"/>
      <c r="P185" s="2184"/>
      <c r="Q185" s="2184"/>
      <c r="R185" s="2184"/>
      <c r="S185" s="2184"/>
      <c r="T185" s="2184"/>
      <c r="U185" s="2184"/>
      <c r="V185" s="2184"/>
      <c r="W185" s="2184"/>
      <c r="X185" s="2184"/>
      <c r="Y185" s="2184"/>
      <c r="Z185" s="2184"/>
      <c r="AA185" s="2184"/>
      <c r="AB185" s="2184"/>
      <c r="AC185" s="2184"/>
      <c r="AD185" s="2184"/>
      <c r="AE185" s="2184"/>
      <c r="AF185" s="2184"/>
      <c r="AG185" s="2184"/>
      <c r="AH185" s="2184"/>
      <c r="AI185" s="2184"/>
      <c r="CA185" s="135" t="str">
        <f t="shared" si="39"/>
        <v/>
      </c>
      <c r="CK185" s="182">
        <f t="shared" si="40"/>
        <v>0</v>
      </c>
    </row>
    <row r="186" spans="1:89" ht="15" customHeight="1" x14ac:dyDescent="0.3">
      <c r="A186" s="7163"/>
      <c r="B186" s="5844"/>
      <c r="C186" s="4831" t="s">
        <v>3177</v>
      </c>
      <c r="D186" s="1187">
        <f t="shared" si="38"/>
        <v>0</v>
      </c>
      <c r="E186" s="1116"/>
      <c r="F186" s="1278"/>
      <c r="G186" s="1278"/>
      <c r="H186" s="1117"/>
      <c r="I186" s="1275"/>
      <c r="J186" s="2184" t="str">
        <f t="shared" si="41"/>
        <v/>
      </c>
      <c r="K186" s="2184"/>
      <c r="L186" s="2184"/>
      <c r="M186" s="2184"/>
      <c r="N186" s="2184"/>
      <c r="O186" s="2184"/>
      <c r="P186" s="2184"/>
      <c r="Q186" s="2184"/>
      <c r="R186" s="2184"/>
      <c r="S186" s="2184"/>
      <c r="T186" s="2184"/>
      <c r="U186" s="2184"/>
      <c r="V186" s="2184"/>
      <c r="W186" s="2184"/>
      <c r="X186" s="2184"/>
      <c r="Y186" s="2184"/>
      <c r="Z186" s="2184"/>
      <c r="AA186" s="2184"/>
      <c r="AB186" s="2184"/>
      <c r="AC186" s="2184"/>
      <c r="AD186" s="2184"/>
      <c r="AE186" s="2184"/>
      <c r="AF186" s="2184"/>
      <c r="AG186" s="2184"/>
      <c r="AH186" s="2184"/>
      <c r="AI186" s="2184"/>
      <c r="CA186" s="135" t="str">
        <f t="shared" si="39"/>
        <v/>
      </c>
      <c r="CK186" s="182">
        <f t="shared" si="40"/>
        <v>0</v>
      </c>
    </row>
    <row r="187" spans="1:89" ht="15" customHeight="1" x14ac:dyDescent="0.3">
      <c r="A187" s="7163"/>
      <c r="B187" s="7196"/>
      <c r="C187" s="417" t="s">
        <v>591</v>
      </c>
      <c r="D187" s="1188">
        <f t="shared" si="38"/>
        <v>0</v>
      </c>
      <c r="E187" s="1152"/>
      <c r="F187" s="1283"/>
      <c r="G187" s="1283"/>
      <c r="H187" s="1153"/>
      <c r="I187" s="1280"/>
      <c r="J187" s="2184" t="str">
        <f t="shared" si="41"/>
        <v/>
      </c>
      <c r="K187" s="2184"/>
      <c r="L187" s="2184"/>
      <c r="M187" s="2184"/>
      <c r="N187" s="2184"/>
      <c r="O187" s="2184"/>
      <c r="P187" s="2184"/>
      <c r="Q187" s="2184"/>
      <c r="R187" s="2184"/>
      <c r="S187" s="2184"/>
      <c r="T187" s="2184"/>
      <c r="U187" s="2184"/>
      <c r="V187" s="2184"/>
      <c r="W187" s="2184"/>
      <c r="X187" s="2184"/>
      <c r="Y187" s="2184"/>
      <c r="Z187" s="2184"/>
      <c r="AA187" s="2184"/>
      <c r="AB187" s="2184"/>
      <c r="AC187" s="2184"/>
      <c r="AD187" s="2184"/>
      <c r="AE187" s="2184"/>
      <c r="AF187" s="2184"/>
      <c r="AG187" s="2184"/>
      <c r="AH187" s="2184"/>
      <c r="AI187" s="2184"/>
      <c r="CA187" s="135" t="str">
        <f t="shared" si="39"/>
        <v/>
      </c>
      <c r="CK187" s="182">
        <f t="shared" si="40"/>
        <v>0</v>
      </c>
    </row>
    <row r="188" spans="1:89" ht="15" customHeight="1" x14ac:dyDescent="0.3">
      <c r="A188" s="7163"/>
      <c r="B188" s="7060" t="s">
        <v>3178</v>
      </c>
      <c r="C188" s="4728" t="s">
        <v>3179</v>
      </c>
      <c r="D188" s="1102">
        <f t="shared" si="38"/>
        <v>0</v>
      </c>
      <c r="E188" s="1106"/>
      <c r="F188" s="773"/>
      <c r="G188" s="773"/>
      <c r="H188" s="1109"/>
      <c r="I188" s="1285"/>
      <c r="J188" s="2184" t="str">
        <f t="shared" si="41"/>
        <v/>
      </c>
      <c r="K188" s="2184"/>
      <c r="L188" s="2184"/>
      <c r="M188" s="2184"/>
      <c r="N188" s="2184"/>
      <c r="O188" s="2184"/>
      <c r="P188" s="2184"/>
      <c r="Q188" s="2184"/>
      <c r="R188" s="2184"/>
      <c r="S188" s="2184"/>
      <c r="T188" s="2184"/>
      <c r="U188" s="2184"/>
      <c r="V188" s="2184"/>
      <c r="W188" s="2184"/>
      <c r="X188" s="2184"/>
      <c r="Y188" s="2184"/>
      <c r="Z188" s="2184"/>
      <c r="AA188" s="2184"/>
      <c r="AB188" s="2184"/>
      <c r="AC188" s="2184"/>
      <c r="AD188" s="2184"/>
      <c r="AE188" s="2184"/>
      <c r="AF188" s="2184"/>
      <c r="AG188" s="2184"/>
      <c r="AH188" s="2184"/>
      <c r="AI188" s="2184"/>
      <c r="CA188" s="135" t="str">
        <f t="shared" si="39"/>
        <v/>
      </c>
      <c r="CK188" s="182">
        <f t="shared" si="40"/>
        <v>0</v>
      </c>
    </row>
    <row r="189" spans="1:89" ht="15" customHeight="1" x14ac:dyDescent="0.3">
      <c r="A189" s="7163"/>
      <c r="B189" s="5844"/>
      <c r="C189" s="4807" t="s">
        <v>3180</v>
      </c>
      <c r="D189" s="193">
        <f t="shared" si="38"/>
        <v>0</v>
      </c>
      <c r="E189" s="1114"/>
      <c r="F189" s="1278"/>
      <c r="G189" s="1278"/>
      <c r="H189" s="1117"/>
      <c r="I189" s="1275"/>
      <c r="J189" s="2184" t="str">
        <f t="shared" si="41"/>
        <v/>
      </c>
      <c r="K189" s="2184"/>
      <c r="L189" s="2184"/>
      <c r="M189" s="2184"/>
      <c r="N189" s="2184"/>
      <c r="O189" s="2184"/>
      <c r="P189" s="2184"/>
      <c r="Q189" s="2184"/>
      <c r="R189" s="2184"/>
      <c r="S189" s="2184"/>
      <c r="T189" s="2184"/>
      <c r="U189" s="2184"/>
      <c r="V189" s="2184"/>
      <c r="W189" s="2184"/>
      <c r="X189" s="2184"/>
      <c r="Y189" s="2184"/>
      <c r="Z189" s="2184"/>
      <c r="AA189" s="2184"/>
      <c r="AB189" s="2184"/>
      <c r="AC189" s="2184"/>
      <c r="AD189" s="2184"/>
      <c r="AE189" s="2184"/>
      <c r="AF189" s="2184"/>
      <c r="AG189" s="2184"/>
      <c r="AH189" s="2184"/>
      <c r="AI189" s="2184"/>
      <c r="CA189" s="135" t="str">
        <f t="shared" si="39"/>
        <v/>
      </c>
      <c r="CK189" s="182">
        <f t="shared" si="40"/>
        <v>0</v>
      </c>
    </row>
    <row r="190" spans="1:89" ht="15" customHeight="1" x14ac:dyDescent="0.3">
      <c r="A190" s="7163"/>
      <c r="B190" s="7196"/>
      <c r="C190" s="417" t="s">
        <v>591</v>
      </c>
      <c r="D190" s="1188">
        <f t="shared" si="38"/>
        <v>0</v>
      </c>
      <c r="E190" s="1139"/>
      <c r="F190" s="1283"/>
      <c r="G190" s="1283"/>
      <c r="H190" s="1153"/>
      <c r="I190" s="1280"/>
      <c r="J190" s="2184" t="str">
        <f t="shared" si="41"/>
        <v/>
      </c>
      <c r="K190" s="2184"/>
      <c r="L190" s="2184"/>
      <c r="M190" s="2184"/>
      <c r="N190" s="2184"/>
      <c r="O190" s="2184"/>
      <c r="P190" s="2184"/>
      <c r="Q190" s="2184"/>
      <c r="R190" s="2184"/>
      <c r="S190" s="2184"/>
      <c r="T190" s="2184"/>
      <c r="U190" s="2184"/>
      <c r="V190" s="2184"/>
      <c r="W190" s="2184"/>
      <c r="X190" s="2184"/>
      <c r="Y190" s="2184"/>
      <c r="Z190" s="2184"/>
      <c r="AA190" s="2184"/>
      <c r="AB190" s="2184"/>
      <c r="AC190" s="2184"/>
      <c r="AD190" s="2184"/>
      <c r="AE190" s="2184"/>
      <c r="AF190" s="2184"/>
      <c r="AG190" s="2184"/>
      <c r="AH190" s="2184"/>
      <c r="AI190" s="2184"/>
      <c r="CA190" s="135" t="str">
        <f t="shared" si="39"/>
        <v/>
      </c>
      <c r="CK190" s="182">
        <f t="shared" si="40"/>
        <v>0</v>
      </c>
    </row>
    <row r="191" spans="1:89" ht="15" customHeight="1" x14ac:dyDescent="0.3">
      <c r="A191" s="7163"/>
      <c r="B191" s="7351" t="s">
        <v>3181</v>
      </c>
      <c r="C191" s="7352"/>
      <c r="D191" s="1094">
        <f t="shared" si="38"/>
        <v>0</v>
      </c>
      <c r="E191" s="1095"/>
      <c r="F191" s="4655"/>
      <c r="G191" s="4655"/>
      <c r="H191" s="1098"/>
      <c r="I191" s="4876"/>
      <c r="J191" s="2184" t="str">
        <f t="shared" si="41"/>
        <v/>
      </c>
      <c r="K191" s="2184"/>
      <c r="L191" s="2184"/>
      <c r="M191" s="2184"/>
      <c r="N191" s="2184"/>
      <c r="O191" s="2184"/>
      <c r="P191" s="2184"/>
      <c r="Q191" s="2184"/>
      <c r="R191" s="2184"/>
      <c r="S191" s="2184"/>
      <c r="T191" s="2184"/>
      <c r="U191" s="2184"/>
      <c r="V191" s="2184"/>
      <c r="W191" s="2184"/>
      <c r="X191" s="2184"/>
      <c r="Y191" s="2184"/>
      <c r="Z191" s="2184"/>
      <c r="AA191" s="2184"/>
      <c r="AB191" s="2184"/>
      <c r="AC191" s="2184"/>
      <c r="AD191" s="2184"/>
      <c r="AE191" s="2184"/>
      <c r="AF191" s="2184"/>
      <c r="AG191" s="2184"/>
      <c r="AH191" s="2184"/>
      <c r="AI191" s="2184"/>
      <c r="CA191" s="135" t="str">
        <f t="shared" si="39"/>
        <v/>
      </c>
      <c r="CK191" s="182">
        <f t="shared" si="40"/>
        <v>0</v>
      </c>
    </row>
    <row r="192" spans="1:89" ht="15" customHeight="1" x14ac:dyDescent="0.3">
      <c r="A192" s="7163"/>
      <c r="B192" s="7196" t="s">
        <v>3182</v>
      </c>
      <c r="C192" s="1818" t="s">
        <v>3183</v>
      </c>
      <c r="D192" s="195">
        <f t="shared" si="38"/>
        <v>0</v>
      </c>
      <c r="E192" s="290"/>
      <c r="F192" s="535"/>
      <c r="G192" s="535"/>
      <c r="H192" s="735"/>
      <c r="I192" s="370"/>
      <c r="J192" s="2184" t="str">
        <f t="shared" si="41"/>
        <v/>
      </c>
      <c r="K192" s="2184"/>
      <c r="L192" s="2184"/>
      <c r="M192" s="2184"/>
      <c r="N192" s="2184"/>
      <c r="O192" s="2184"/>
      <c r="P192" s="2184"/>
      <c r="Q192" s="2184"/>
      <c r="R192" s="2184"/>
      <c r="S192" s="2184"/>
      <c r="T192" s="2184"/>
      <c r="U192" s="2184"/>
      <c r="V192" s="2184"/>
      <c r="W192" s="2184"/>
      <c r="X192" s="2184"/>
      <c r="Y192" s="2184"/>
      <c r="Z192" s="2184"/>
      <c r="AA192" s="2184"/>
      <c r="AB192" s="2184"/>
      <c r="AC192" s="2184"/>
      <c r="AD192" s="2184"/>
      <c r="AE192" s="2184"/>
      <c r="AF192" s="2184"/>
      <c r="AG192" s="2184"/>
      <c r="AH192" s="2184"/>
      <c r="AI192" s="2184"/>
      <c r="CA192" s="135" t="str">
        <f t="shared" si="39"/>
        <v/>
      </c>
      <c r="CK192" s="182">
        <f t="shared" si="40"/>
        <v>0</v>
      </c>
    </row>
    <row r="193" spans="1:89" ht="15" customHeight="1" x14ac:dyDescent="0.3">
      <c r="A193" s="7163"/>
      <c r="B193" s="7353"/>
      <c r="C193" s="4712" t="s">
        <v>3184</v>
      </c>
      <c r="D193" s="193">
        <f t="shared" si="38"/>
        <v>0</v>
      </c>
      <c r="E193" s="1114"/>
      <c r="F193" s="1278"/>
      <c r="G193" s="1278"/>
      <c r="H193" s="1117"/>
      <c r="I193" s="1275"/>
      <c r="J193" s="2184" t="str">
        <f t="shared" si="41"/>
        <v/>
      </c>
      <c r="K193" s="2184"/>
      <c r="L193" s="2184"/>
      <c r="M193" s="2184"/>
      <c r="N193" s="2184"/>
      <c r="O193" s="2184"/>
      <c r="P193" s="2184"/>
      <c r="Q193" s="2184"/>
      <c r="R193" s="2184"/>
      <c r="S193" s="2184"/>
      <c r="T193" s="2184"/>
      <c r="U193" s="2184"/>
      <c r="V193" s="2184"/>
      <c r="W193" s="2184"/>
      <c r="X193" s="2184"/>
      <c r="Y193" s="2184"/>
      <c r="Z193" s="2184"/>
      <c r="AA193" s="2184"/>
      <c r="AB193" s="2184"/>
      <c r="AC193" s="2184"/>
      <c r="AD193" s="2184"/>
      <c r="AE193" s="2184"/>
      <c r="AF193" s="2184"/>
      <c r="AG193" s="2184"/>
      <c r="AH193" s="2184"/>
      <c r="AI193" s="2184"/>
      <c r="CA193" s="135" t="str">
        <f t="shared" si="39"/>
        <v/>
      </c>
      <c r="CK193" s="182">
        <f t="shared" si="40"/>
        <v>0</v>
      </c>
    </row>
    <row r="194" spans="1:89" ht="15" customHeight="1" x14ac:dyDescent="0.3">
      <c r="A194" s="7163"/>
      <c r="B194" s="7045" t="s">
        <v>3185</v>
      </c>
      <c r="C194" s="7045"/>
      <c r="D194" s="193">
        <f t="shared" si="38"/>
        <v>0</v>
      </c>
      <c r="E194" s="1114"/>
      <c r="F194" s="1278"/>
      <c r="G194" s="1278"/>
      <c r="H194" s="1117"/>
      <c r="I194" s="1275"/>
      <c r="J194" s="2184" t="str">
        <f t="shared" si="41"/>
        <v/>
      </c>
      <c r="K194" s="2184"/>
      <c r="L194" s="2184"/>
      <c r="M194" s="2184"/>
      <c r="N194" s="2184"/>
      <c r="O194" s="2184"/>
      <c r="P194" s="2184"/>
      <c r="Q194" s="2184"/>
      <c r="R194" s="2184"/>
      <c r="S194" s="2184"/>
      <c r="T194" s="2184"/>
      <c r="U194" s="2184"/>
      <c r="V194" s="2184"/>
      <c r="W194" s="2184"/>
      <c r="X194" s="2184"/>
      <c r="Y194" s="2184"/>
      <c r="Z194" s="2184"/>
      <c r="AA194" s="2184"/>
      <c r="AB194" s="2184"/>
      <c r="AC194" s="2184"/>
      <c r="AD194" s="2184"/>
      <c r="AE194" s="2184"/>
      <c r="AF194" s="2184"/>
      <c r="AG194" s="2184"/>
      <c r="AH194" s="2184"/>
      <c r="AI194" s="2184"/>
      <c r="CA194" s="135" t="str">
        <f t="shared" si="39"/>
        <v/>
      </c>
      <c r="CK194" s="182">
        <f t="shared" si="40"/>
        <v>0</v>
      </c>
    </row>
    <row r="195" spans="1:89" ht="15" customHeight="1" x14ac:dyDescent="0.3">
      <c r="A195" s="7163"/>
      <c r="B195" s="6641" t="s">
        <v>3186</v>
      </c>
      <c r="C195" s="6642"/>
      <c r="D195" s="193">
        <f t="shared" si="38"/>
        <v>0</v>
      </c>
      <c r="E195" s="1114"/>
      <c r="F195" s="1278"/>
      <c r="G195" s="1278"/>
      <c r="H195" s="1117"/>
      <c r="I195" s="1275"/>
      <c r="J195" s="2184" t="str">
        <f t="shared" si="41"/>
        <v/>
      </c>
      <c r="K195" s="2184"/>
      <c r="L195" s="2184"/>
      <c r="M195" s="2184"/>
      <c r="N195" s="2184"/>
      <c r="O195" s="2184"/>
      <c r="P195" s="2184"/>
      <c r="Q195" s="2184"/>
      <c r="R195" s="2184"/>
      <c r="S195" s="2184"/>
      <c r="T195" s="2184"/>
      <c r="U195" s="2184"/>
      <c r="V195" s="2184"/>
      <c r="W195" s="2184"/>
      <c r="X195" s="2184"/>
      <c r="Y195" s="2184"/>
      <c r="Z195" s="2184"/>
      <c r="AA195" s="2184"/>
      <c r="AB195" s="2184"/>
      <c r="AC195" s="2184"/>
      <c r="AD195" s="2184"/>
      <c r="AE195" s="2184"/>
      <c r="AF195" s="2184"/>
      <c r="AG195" s="2184"/>
      <c r="AH195" s="2184"/>
      <c r="AI195" s="2184"/>
      <c r="CA195" s="135" t="str">
        <f t="shared" si="39"/>
        <v/>
      </c>
      <c r="CK195" s="182">
        <f t="shared" si="40"/>
        <v>0</v>
      </c>
    </row>
    <row r="196" spans="1:89" ht="15" customHeight="1" x14ac:dyDescent="0.3">
      <c r="A196" s="7163"/>
      <c r="B196" s="7073" t="s">
        <v>3187</v>
      </c>
      <c r="C196" s="7074"/>
      <c r="D196" s="193">
        <f t="shared" si="38"/>
        <v>0</v>
      </c>
      <c r="E196" s="192"/>
      <c r="F196" s="594"/>
      <c r="G196" s="594"/>
      <c r="H196" s="1123"/>
      <c r="I196" s="4866"/>
      <c r="J196" s="2184" t="str">
        <f t="shared" si="41"/>
        <v/>
      </c>
      <c r="K196" s="2184"/>
      <c r="L196" s="2184"/>
      <c r="M196" s="2184"/>
      <c r="N196" s="2184"/>
      <c r="O196" s="2184"/>
      <c r="P196" s="2184"/>
      <c r="Q196" s="2184"/>
      <c r="R196" s="2184"/>
      <c r="S196" s="2184"/>
      <c r="T196" s="2184"/>
      <c r="U196" s="2184"/>
      <c r="V196" s="2184"/>
      <c r="W196" s="2184"/>
      <c r="X196" s="2184"/>
      <c r="Y196" s="2184"/>
      <c r="Z196" s="2184"/>
      <c r="AA196" s="2184"/>
      <c r="AB196" s="2184"/>
      <c r="AC196" s="2184"/>
      <c r="AD196" s="2184"/>
      <c r="AE196" s="2184"/>
      <c r="AF196" s="2184"/>
      <c r="AG196" s="2184"/>
      <c r="AH196" s="2184"/>
      <c r="AI196" s="2184"/>
      <c r="CA196" s="135" t="str">
        <f t="shared" si="39"/>
        <v/>
      </c>
      <c r="CK196" s="182">
        <f t="shared" si="40"/>
        <v>0</v>
      </c>
    </row>
    <row r="197" spans="1:89" ht="15" customHeight="1" x14ac:dyDescent="0.3">
      <c r="A197" s="7163"/>
      <c r="B197" s="7334" t="s">
        <v>3188</v>
      </c>
      <c r="C197" s="7335"/>
      <c r="D197" s="193">
        <f t="shared" si="38"/>
        <v>0</v>
      </c>
      <c r="E197" s="192"/>
      <c r="F197" s="594"/>
      <c r="G197" s="594"/>
      <c r="H197" s="1123"/>
      <c r="I197" s="4866"/>
      <c r="J197" s="2184" t="str">
        <f t="shared" si="41"/>
        <v/>
      </c>
      <c r="K197" s="2184"/>
      <c r="L197" s="2184"/>
      <c r="M197" s="2184"/>
      <c r="N197" s="2184"/>
      <c r="O197" s="2184"/>
      <c r="P197" s="2184"/>
      <c r="Q197" s="2184"/>
      <c r="R197" s="2184"/>
      <c r="S197" s="2184"/>
      <c r="T197" s="2184"/>
      <c r="U197" s="2184"/>
      <c r="V197" s="2184"/>
      <c r="W197" s="2184"/>
      <c r="X197" s="2184"/>
      <c r="Y197" s="2184"/>
      <c r="Z197" s="2184"/>
      <c r="AA197" s="2184"/>
      <c r="AB197" s="2184"/>
      <c r="AC197" s="2184"/>
      <c r="AD197" s="2184"/>
      <c r="AE197" s="2184"/>
      <c r="AF197" s="2184"/>
      <c r="AG197" s="2184"/>
      <c r="AH197" s="2184"/>
      <c r="AI197" s="2184"/>
      <c r="CA197" s="135" t="str">
        <f t="shared" si="39"/>
        <v/>
      </c>
      <c r="CK197" s="182">
        <f t="shared" si="40"/>
        <v>0</v>
      </c>
    </row>
    <row r="198" spans="1:89" ht="15" customHeight="1" x14ac:dyDescent="0.3">
      <c r="A198" s="7163"/>
      <c r="B198" s="7060" t="s">
        <v>3189</v>
      </c>
      <c r="C198" s="4851" t="s">
        <v>3190</v>
      </c>
      <c r="D198" s="1102">
        <f t="shared" si="38"/>
        <v>0</v>
      </c>
      <c r="E198" s="1106"/>
      <c r="F198" s="773"/>
      <c r="G198" s="773"/>
      <c r="H198" s="1109"/>
      <c r="I198" s="1285"/>
      <c r="J198" s="2184" t="str">
        <f t="shared" si="41"/>
        <v/>
      </c>
      <c r="K198" s="2184"/>
      <c r="L198" s="2184"/>
      <c r="M198" s="2184"/>
      <c r="N198" s="2184"/>
      <c r="O198" s="2184"/>
      <c r="P198" s="2184"/>
      <c r="Q198" s="2184"/>
      <c r="R198" s="2184"/>
      <c r="S198" s="2184"/>
      <c r="T198" s="2184"/>
      <c r="U198" s="2184"/>
      <c r="V198" s="2184"/>
      <c r="W198" s="2184"/>
      <c r="X198" s="2184"/>
      <c r="Y198" s="2184"/>
      <c r="Z198" s="2184"/>
      <c r="AA198" s="2184"/>
      <c r="AB198" s="2184"/>
      <c r="AC198" s="2184"/>
      <c r="AD198" s="2184"/>
      <c r="AE198" s="2184"/>
      <c r="AF198" s="2184"/>
      <c r="AG198" s="2184"/>
      <c r="AH198" s="2184"/>
      <c r="AI198" s="2184"/>
      <c r="CA198" s="135" t="str">
        <f t="shared" si="39"/>
        <v/>
      </c>
      <c r="CK198" s="182">
        <f t="shared" si="40"/>
        <v>0</v>
      </c>
    </row>
    <row r="199" spans="1:89" ht="15" customHeight="1" x14ac:dyDescent="0.3">
      <c r="A199" s="7163"/>
      <c r="B199" s="5844"/>
      <c r="C199" s="4852" t="s">
        <v>3191</v>
      </c>
      <c r="D199" s="193">
        <f t="shared" si="38"/>
        <v>0</v>
      </c>
      <c r="E199" s="1114"/>
      <c r="F199" s="1278"/>
      <c r="G199" s="1278"/>
      <c r="H199" s="1117"/>
      <c r="I199" s="1275"/>
      <c r="J199" s="2184" t="str">
        <f t="shared" si="41"/>
        <v/>
      </c>
      <c r="K199" s="2184"/>
      <c r="L199" s="2184"/>
      <c r="M199" s="2184"/>
      <c r="N199" s="2184"/>
      <c r="O199" s="2184"/>
      <c r="P199" s="2184"/>
      <c r="Q199" s="2184"/>
      <c r="R199" s="2184"/>
      <c r="S199" s="2184"/>
      <c r="T199" s="2184"/>
      <c r="U199" s="2184"/>
      <c r="V199" s="2184"/>
      <c r="W199" s="2184"/>
      <c r="X199" s="2184"/>
      <c r="Y199" s="2184"/>
      <c r="Z199" s="2184"/>
      <c r="AA199" s="2184"/>
      <c r="AB199" s="2184"/>
      <c r="AC199" s="2184"/>
      <c r="AD199" s="2184"/>
      <c r="AE199" s="2184"/>
      <c r="AF199" s="2184"/>
      <c r="AG199" s="2184"/>
      <c r="AH199" s="2184"/>
      <c r="AI199" s="2184"/>
      <c r="CA199" s="135" t="str">
        <f t="shared" si="39"/>
        <v/>
      </c>
      <c r="CK199" s="182">
        <f t="shared" si="40"/>
        <v>0</v>
      </c>
    </row>
    <row r="200" spans="1:89" ht="15" customHeight="1" x14ac:dyDescent="0.3">
      <c r="A200" s="7163"/>
      <c r="B200" s="7196"/>
      <c r="C200" s="1428" t="s">
        <v>3192</v>
      </c>
      <c r="D200" s="193">
        <f t="shared" si="38"/>
        <v>0</v>
      </c>
      <c r="E200" s="192"/>
      <c r="F200" s="594"/>
      <c r="G200" s="594"/>
      <c r="H200" s="1123"/>
      <c r="I200" s="4866"/>
      <c r="J200" s="2184" t="str">
        <f t="shared" si="41"/>
        <v/>
      </c>
      <c r="K200" s="2184"/>
      <c r="L200" s="2184"/>
      <c r="M200" s="2184"/>
      <c r="N200" s="2184"/>
      <c r="O200" s="2184"/>
      <c r="P200" s="2184"/>
      <c r="Q200" s="2184"/>
      <c r="R200" s="2184"/>
      <c r="S200" s="2184"/>
      <c r="T200" s="2184"/>
      <c r="U200" s="2184"/>
      <c r="V200" s="2184"/>
      <c r="W200" s="2184"/>
      <c r="X200" s="2184"/>
      <c r="Y200" s="2184"/>
      <c r="Z200" s="2184"/>
      <c r="AA200" s="2184"/>
      <c r="AB200" s="2184"/>
      <c r="AC200" s="2184"/>
      <c r="AD200" s="2184"/>
      <c r="AE200" s="2184"/>
      <c r="AF200" s="2184"/>
      <c r="AG200" s="2184"/>
      <c r="AH200" s="2184"/>
      <c r="AI200" s="2184"/>
      <c r="CA200" s="135" t="str">
        <f t="shared" si="39"/>
        <v/>
      </c>
      <c r="CK200" s="182">
        <f t="shared" si="40"/>
        <v>0</v>
      </c>
    </row>
    <row r="201" spans="1:89" ht="15" customHeight="1" x14ac:dyDescent="0.3">
      <c r="A201" s="7163"/>
      <c r="B201" s="7342" t="s">
        <v>3195</v>
      </c>
      <c r="C201" s="7343"/>
      <c r="D201" s="1184">
        <f t="shared" si="38"/>
        <v>0</v>
      </c>
      <c r="E201" s="1106"/>
      <c r="F201" s="773"/>
      <c r="G201" s="773"/>
      <c r="H201" s="4431"/>
      <c r="I201" s="1285"/>
      <c r="J201" s="2184" t="str">
        <f t="shared" si="41"/>
        <v/>
      </c>
      <c r="K201" s="2184"/>
      <c r="L201" s="2184"/>
      <c r="M201" s="2184"/>
      <c r="N201" s="2184"/>
      <c r="O201" s="2184"/>
      <c r="P201" s="2184"/>
      <c r="Q201" s="2184"/>
      <c r="R201" s="2184"/>
      <c r="S201" s="2184"/>
      <c r="T201" s="2184"/>
      <c r="U201" s="2184"/>
      <c r="V201" s="2184"/>
      <c r="W201" s="2184"/>
      <c r="X201" s="2184"/>
      <c r="Y201" s="2184"/>
      <c r="Z201" s="2184"/>
      <c r="AA201" s="2184"/>
      <c r="AB201" s="2184"/>
      <c r="AC201" s="2184"/>
      <c r="AD201" s="2184"/>
      <c r="AE201" s="2184"/>
      <c r="AF201" s="2184"/>
      <c r="AG201" s="2184"/>
      <c r="AH201" s="2184"/>
      <c r="AI201" s="2184"/>
      <c r="CA201" s="135" t="str">
        <f t="shared" si="39"/>
        <v/>
      </c>
      <c r="CK201" s="182">
        <f t="shared" si="40"/>
        <v>0</v>
      </c>
    </row>
    <row r="202" spans="1:89" ht="15" customHeight="1" x14ac:dyDescent="0.3">
      <c r="A202" s="7163"/>
      <c r="B202" s="7330" t="s">
        <v>3196</v>
      </c>
      <c r="C202" s="7331"/>
      <c r="D202" s="4829">
        <f t="shared" si="38"/>
        <v>0</v>
      </c>
      <c r="E202" s="1289"/>
      <c r="F202" s="262"/>
      <c r="G202" s="262"/>
      <c r="H202" s="3302"/>
      <c r="I202" s="4865"/>
      <c r="J202" s="2184" t="str">
        <f t="shared" si="41"/>
        <v/>
      </c>
      <c r="K202" s="2184"/>
      <c r="L202" s="2184"/>
      <c r="M202" s="2184"/>
      <c r="N202" s="2184"/>
      <c r="O202" s="2184"/>
      <c r="P202" s="2184"/>
      <c r="Q202" s="2184"/>
      <c r="R202" s="2184"/>
      <c r="S202" s="2184"/>
      <c r="T202" s="2184"/>
      <c r="U202" s="2184"/>
      <c r="V202" s="2184"/>
      <c r="W202" s="2184"/>
      <c r="X202" s="2184"/>
      <c r="Y202" s="2184"/>
      <c r="Z202" s="2184"/>
      <c r="AA202" s="2184"/>
      <c r="AB202" s="2184"/>
      <c r="AC202" s="2184"/>
      <c r="AD202" s="2184"/>
      <c r="AE202" s="2184"/>
      <c r="AF202" s="2184"/>
      <c r="AG202" s="2184"/>
      <c r="AH202" s="2184"/>
      <c r="AI202" s="2184"/>
      <c r="CA202" s="135" t="str">
        <f t="shared" si="39"/>
        <v/>
      </c>
      <c r="CK202" s="182">
        <f t="shared" si="40"/>
        <v>0</v>
      </c>
    </row>
    <row r="203" spans="1:89" ht="15" customHeight="1" x14ac:dyDescent="0.3">
      <c r="A203" s="7195"/>
      <c r="B203" s="7388" t="s">
        <v>77</v>
      </c>
      <c r="C203" s="7389"/>
      <c r="D203" s="1094">
        <f t="shared" si="38"/>
        <v>0</v>
      </c>
      <c r="E203" s="1125">
        <f>SUM(E171:E202)</f>
        <v>0</v>
      </c>
      <c r="F203" s="1127">
        <f>SUM(F171:F202)</f>
        <v>0</v>
      </c>
      <c r="G203" s="1127">
        <f>SUM(G171:G202)</f>
        <v>0</v>
      </c>
      <c r="H203" s="4966">
        <f>SUM(H171:H202)</f>
        <v>0</v>
      </c>
      <c r="I203" s="4967">
        <f>SUM(I171:I202)</f>
        <v>0</v>
      </c>
      <c r="J203" s="4908"/>
      <c r="K203" s="2184"/>
      <c r="L203" s="2184"/>
      <c r="M203" s="2184"/>
      <c r="N203" s="2184"/>
      <c r="O203" s="2184"/>
      <c r="P203" s="2184"/>
      <c r="Q203" s="2184"/>
      <c r="R203" s="2184"/>
      <c r="S203" s="2184"/>
      <c r="T203" s="2184"/>
      <c r="U203" s="2184"/>
      <c r="V203" s="2184"/>
      <c r="W203" s="2184"/>
      <c r="X203" s="2184"/>
      <c r="Y203" s="2184"/>
      <c r="Z203" s="2184"/>
      <c r="AA203" s="2184"/>
      <c r="AB203" s="2184"/>
      <c r="AC203" s="2184"/>
      <c r="AD203" s="2184"/>
      <c r="AE203" s="2184"/>
      <c r="AF203" s="2184"/>
      <c r="AG203" s="2184"/>
      <c r="AH203" s="2184"/>
      <c r="AI203" s="2184"/>
    </row>
    <row r="204" spans="1:89" ht="18" customHeight="1" x14ac:dyDescent="0.3">
      <c r="A204" s="4965" t="s">
        <v>3293</v>
      </c>
      <c r="B204" s="2191"/>
      <c r="C204" s="2191"/>
      <c r="D204" s="2191"/>
      <c r="E204" s="2191"/>
      <c r="F204" s="4883"/>
      <c r="G204" s="4883" t="s">
        <v>10</v>
      </c>
      <c r="H204" s="4968"/>
      <c r="I204" s="4968"/>
      <c r="J204" s="4909"/>
      <c r="K204" s="4909"/>
      <c r="L204" s="4909"/>
      <c r="M204" s="4909"/>
      <c r="N204" s="4909"/>
      <c r="O204" s="4909"/>
      <c r="P204" s="4909"/>
      <c r="Q204" s="4909"/>
      <c r="R204" s="4909"/>
      <c r="S204" s="4909"/>
      <c r="T204" s="4909"/>
      <c r="U204" s="4909"/>
      <c r="V204" s="4909"/>
      <c r="W204" s="4909"/>
      <c r="X204" s="4909"/>
      <c r="Y204" s="4969"/>
      <c r="Z204" s="4969"/>
      <c r="AA204" s="4969"/>
      <c r="AB204" s="4969"/>
      <c r="AC204" s="4969"/>
      <c r="AD204" s="4969"/>
      <c r="AE204" s="4969"/>
      <c r="AF204" s="4969"/>
      <c r="AG204" s="4969"/>
      <c r="AH204" s="4969"/>
      <c r="AI204" s="7"/>
    </row>
    <row r="205" spans="1:89" x14ac:dyDescent="0.3">
      <c r="A205" s="7390" t="s">
        <v>3294</v>
      </c>
      <c r="B205" s="7061" t="s">
        <v>3295</v>
      </c>
      <c r="C205" s="7021" t="s">
        <v>77</v>
      </c>
      <c r="D205" s="6242"/>
      <c r="E205" s="6969"/>
      <c r="F205" s="6989" t="s">
        <v>3296</v>
      </c>
      <c r="G205" s="6990"/>
      <c r="H205" s="6990"/>
      <c r="I205" s="6990"/>
      <c r="J205" s="6990"/>
      <c r="K205" s="6990"/>
      <c r="L205" s="6990"/>
      <c r="M205" s="6990"/>
      <c r="N205" s="6990"/>
      <c r="O205" s="6990"/>
      <c r="P205" s="6990"/>
      <c r="Q205" s="6990"/>
      <c r="R205" s="6990"/>
      <c r="S205" s="6990"/>
      <c r="T205" s="6990"/>
      <c r="U205" s="6990"/>
      <c r="V205" s="6990"/>
      <c r="W205" s="6990"/>
      <c r="X205" s="6990"/>
      <c r="Y205" s="6990"/>
      <c r="Z205" s="6990"/>
      <c r="AA205" s="6990"/>
      <c r="AB205" s="6990"/>
      <c r="AC205" s="6990"/>
      <c r="AD205" s="6990"/>
      <c r="AE205" s="6990"/>
      <c r="AF205" s="6990"/>
      <c r="AG205" s="6991"/>
      <c r="AH205" s="7393" t="s">
        <v>597</v>
      </c>
      <c r="AI205" s="2958"/>
    </row>
    <row r="206" spans="1:89" x14ac:dyDescent="0.3">
      <c r="A206" s="7390"/>
      <c r="B206" s="6082"/>
      <c r="C206" s="7392"/>
      <c r="D206" s="6467"/>
      <c r="E206" s="6687"/>
      <c r="F206" s="6989" t="s">
        <v>44</v>
      </c>
      <c r="G206" s="7078"/>
      <c r="H206" s="7023" t="s">
        <v>45</v>
      </c>
      <c r="I206" s="6976"/>
      <c r="J206" s="7023" t="s">
        <v>46</v>
      </c>
      <c r="K206" s="6976"/>
      <c r="L206" s="7023" t="s">
        <v>47</v>
      </c>
      <c r="M206" s="6976"/>
      <c r="N206" s="7023" t="s">
        <v>48</v>
      </c>
      <c r="O206" s="6976"/>
      <c r="P206" s="7023" t="s">
        <v>49</v>
      </c>
      <c r="Q206" s="6976"/>
      <c r="R206" s="7023" t="s">
        <v>50</v>
      </c>
      <c r="S206" s="6976"/>
      <c r="T206" s="7023" t="s">
        <v>51</v>
      </c>
      <c r="U206" s="6976"/>
      <c r="V206" s="7023" t="s">
        <v>52</v>
      </c>
      <c r="W206" s="6976"/>
      <c r="X206" s="7023" t="s">
        <v>53</v>
      </c>
      <c r="Y206" s="6976"/>
      <c r="Z206" s="7023" t="s">
        <v>54</v>
      </c>
      <c r="AA206" s="6976"/>
      <c r="AB206" s="7023" t="s">
        <v>55</v>
      </c>
      <c r="AC206" s="6976"/>
      <c r="AD206" s="7023" t="s">
        <v>56</v>
      </c>
      <c r="AE206" s="6976"/>
      <c r="AF206" s="7023" t="s">
        <v>476</v>
      </c>
      <c r="AG206" s="7071"/>
      <c r="AH206" s="6938"/>
    </row>
    <row r="207" spans="1:89" x14ac:dyDescent="0.3">
      <c r="A207" s="7390"/>
      <c r="B207" s="7391"/>
      <c r="C207" s="1314" t="s">
        <v>79</v>
      </c>
      <c r="D207" s="1135" t="s">
        <v>58</v>
      </c>
      <c r="E207" s="1092" t="s">
        <v>59</v>
      </c>
      <c r="F207" s="1134" t="s">
        <v>58</v>
      </c>
      <c r="G207" s="1092" t="s">
        <v>59</v>
      </c>
      <c r="H207" s="1134" t="s">
        <v>58</v>
      </c>
      <c r="I207" s="1092" t="s">
        <v>59</v>
      </c>
      <c r="J207" s="1134" t="s">
        <v>58</v>
      </c>
      <c r="K207" s="1092" t="s">
        <v>59</v>
      </c>
      <c r="L207" s="1134" t="s">
        <v>58</v>
      </c>
      <c r="M207" s="1092" t="s">
        <v>59</v>
      </c>
      <c r="N207" s="1134" t="s">
        <v>58</v>
      </c>
      <c r="O207" s="1092" t="s">
        <v>59</v>
      </c>
      <c r="P207" s="1134" t="s">
        <v>58</v>
      </c>
      <c r="Q207" s="1092" t="s">
        <v>59</v>
      </c>
      <c r="R207" s="1134" t="s">
        <v>58</v>
      </c>
      <c r="S207" s="1092" t="s">
        <v>59</v>
      </c>
      <c r="T207" s="1134" t="s">
        <v>58</v>
      </c>
      <c r="U207" s="1092" t="s">
        <v>59</v>
      </c>
      <c r="V207" s="1134" t="s">
        <v>58</v>
      </c>
      <c r="W207" s="1092" t="s">
        <v>59</v>
      </c>
      <c r="X207" s="1134" t="s">
        <v>58</v>
      </c>
      <c r="Y207" s="1092" t="s">
        <v>59</v>
      </c>
      <c r="Z207" s="1134" t="s">
        <v>58</v>
      </c>
      <c r="AA207" s="1092" t="s">
        <v>59</v>
      </c>
      <c r="AB207" s="1134" t="s">
        <v>58</v>
      </c>
      <c r="AC207" s="1092" t="s">
        <v>59</v>
      </c>
      <c r="AD207" s="1134" t="s">
        <v>58</v>
      </c>
      <c r="AE207" s="1092" t="s">
        <v>59</v>
      </c>
      <c r="AF207" s="1134" t="s">
        <v>58</v>
      </c>
      <c r="AG207" s="1136" t="s">
        <v>59</v>
      </c>
      <c r="AH207" s="6669"/>
    </row>
    <row r="208" spans="1:89" ht="15" customHeight="1" x14ac:dyDescent="0.3">
      <c r="A208" s="7398" t="s">
        <v>2167</v>
      </c>
      <c r="B208" s="4522" t="s">
        <v>64</v>
      </c>
      <c r="C208" s="4970">
        <f>SUM(D208:E208)</f>
        <v>0</v>
      </c>
      <c r="D208" s="4971">
        <f t="shared" ref="D208:E215" si="42">+F208+H208+J208+L208+N208+P208+R208+T208+V208+X208+Z208+AB208+AD208+AF208</f>
        <v>0</v>
      </c>
      <c r="E208" s="4972">
        <f t="shared" si="42"/>
        <v>0</v>
      </c>
      <c r="F208" s="1114"/>
      <c r="G208" s="1118"/>
      <c r="H208" s="1114"/>
      <c r="I208" s="1118"/>
      <c r="J208" s="1114"/>
      <c r="K208" s="1118"/>
      <c r="L208" s="1114"/>
      <c r="M208" s="1118"/>
      <c r="N208" s="1114"/>
      <c r="O208" s="1118"/>
      <c r="P208" s="1114"/>
      <c r="Q208" s="1118"/>
      <c r="R208" s="1114"/>
      <c r="S208" s="1118"/>
      <c r="T208" s="1114"/>
      <c r="U208" s="1118"/>
      <c r="V208" s="1114"/>
      <c r="W208" s="1118"/>
      <c r="X208" s="1114"/>
      <c r="Y208" s="1118"/>
      <c r="Z208" s="1114"/>
      <c r="AA208" s="1118"/>
      <c r="AB208" s="1114"/>
      <c r="AC208" s="1118"/>
      <c r="AD208" s="1114"/>
      <c r="AE208" s="1118"/>
      <c r="AF208" s="1114"/>
      <c r="AG208" s="1120"/>
      <c r="AH208" s="1115"/>
      <c r="AI208" s="4890" t="str">
        <f t="shared" ref="AI208:AI214" si="43">$CA208</f>
        <v/>
      </c>
      <c r="CA208" s="1899" t="str">
        <f>IF(AND($C208&lt;&gt;0,AH208=""),"* No olvide ingresar la variable "&amp;AH$205&amp;""&amp;" (Digite CERO si no tiene). ",IF(AH208&gt;$C208,"* La variable Beneficiarios no puede superar el Total Ambos Sexos. ",""))</f>
        <v/>
      </c>
      <c r="CK208" s="1901">
        <f t="shared" ref="CK208:CK215" si="44">IF(AND($C208&lt;&gt;0,AH208=""),1,IF(AH208&gt;$C208,1,0))</f>
        <v>0</v>
      </c>
    </row>
    <row r="209" spans="1:89" ht="15" customHeight="1" x14ac:dyDescent="0.3">
      <c r="A209" s="7399"/>
      <c r="B209" s="4973" t="s">
        <v>98</v>
      </c>
      <c r="C209" s="4974">
        <f t="shared" ref="C209:C214" si="45">SUM(D209:E209)</f>
        <v>0</v>
      </c>
      <c r="D209" s="4975">
        <f t="shared" si="42"/>
        <v>0</v>
      </c>
      <c r="E209" s="4976">
        <f t="shared" si="42"/>
        <v>0</v>
      </c>
      <c r="F209" s="192"/>
      <c r="G209" s="383"/>
      <c r="H209" s="192"/>
      <c r="I209" s="383"/>
      <c r="J209" s="192"/>
      <c r="K209" s="383"/>
      <c r="L209" s="192"/>
      <c r="M209" s="383"/>
      <c r="N209" s="192"/>
      <c r="O209" s="383"/>
      <c r="P209" s="192"/>
      <c r="Q209" s="383"/>
      <c r="R209" s="192"/>
      <c r="S209" s="383"/>
      <c r="T209" s="192"/>
      <c r="U209" s="383"/>
      <c r="V209" s="192"/>
      <c r="W209" s="383"/>
      <c r="X209" s="192"/>
      <c r="Y209" s="383"/>
      <c r="Z209" s="192"/>
      <c r="AA209" s="383"/>
      <c r="AB209" s="192"/>
      <c r="AC209" s="383"/>
      <c r="AD209" s="192"/>
      <c r="AE209" s="383"/>
      <c r="AF209" s="192"/>
      <c r="AG209" s="384"/>
      <c r="AH209" s="2"/>
      <c r="AI209" s="4890" t="str">
        <f t="shared" si="43"/>
        <v/>
      </c>
      <c r="CA209" s="1899" t="str">
        <f t="shared" ref="CA209:CA215" si="46">IF(AND($C209&lt;&gt;0,AH209=""),"* No olvide ingresar la variable "&amp;AH$205&amp;""&amp;" (Digite CERO si no tiene).  ",IF(AH209&gt;$C209,"* La variable Beneficiarios no puede superar el Total Ambos Sexos. ",""))</f>
        <v/>
      </c>
      <c r="CK209" s="1901">
        <f t="shared" si="44"/>
        <v>0</v>
      </c>
    </row>
    <row r="210" spans="1:89" ht="15" customHeight="1" x14ac:dyDescent="0.3">
      <c r="A210" s="7399"/>
      <c r="B210" s="1187" t="s">
        <v>105</v>
      </c>
      <c r="C210" s="4974">
        <f t="shared" si="45"/>
        <v>0</v>
      </c>
      <c r="D210" s="4975">
        <f t="shared" si="42"/>
        <v>0</v>
      </c>
      <c r="E210" s="4976">
        <f t="shared" si="42"/>
        <v>0</v>
      </c>
      <c r="F210" s="192"/>
      <c r="G210" s="383"/>
      <c r="H210" s="192"/>
      <c r="I210" s="383"/>
      <c r="J210" s="192"/>
      <c r="K210" s="383"/>
      <c r="L210" s="192"/>
      <c r="M210" s="383"/>
      <c r="N210" s="192"/>
      <c r="O210" s="383"/>
      <c r="P210" s="192"/>
      <c r="Q210" s="383"/>
      <c r="R210" s="192"/>
      <c r="S210" s="383"/>
      <c r="T210" s="192"/>
      <c r="U210" s="383"/>
      <c r="V210" s="192"/>
      <c r="W210" s="383"/>
      <c r="X210" s="192"/>
      <c r="Y210" s="383"/>
      <c r="Z210" s="192"/>
      <c r="AA210" s="383"/>
      <c r="AB210" s="192"/>
      <c r="AC210" s="383"/>
      <c r="AD210" s="192"/>
      <c r="AE210" s="383"/>
      <c r="AF210" s="192"/>
      <c r="AG210" s="384"/>
      <c r="AH210" s="2"/>
      <c r="AI210" s="4890" t="str">
        <f t="shared" si="43"/>
        <v/>
      </c>
      <c r="CA210" s="1899" t="str">
        <f t="shared" si="46"/>
        <v/>
      </c>
      <c r="CK210" s="1901">
        <f t="shared" si="44"/>
        <v>0</v>
      </c>
    </row>
    <row r="211" spans="1:89" ht="15" customHeight="1" x14ac:dyDescent="0.3">
      <c r="A211" s="7399"/>
      <c r="B211" s="2670" t="s">
        <v>3297</v>
      </c>
      <c r="C211" s="4974">
        <f t="shared" si="45"/>
        <v>0</v>
      </c>
      <c r="D211" s="4975">
        <f t="shared" si="42"/>
        <v>0</v>
      </c>
      <c r="E211" s="4976">
        <f t="shared" si="42"/>
        <v>0</v>
      </c>
      <c r="F211" s="192"/>
      <c r="G211" s="383"/>
      <c r="H211" s="192"/>
      <c r="I211" s="383"/>
      <c r="J211" s="192"/>
      <c r="K211" s="383"/>
      <c r="L211" s="192"/>
      <c r="M211" s="383"/>
      <c r="N211" s="192"/>
      <c r="O211" s="383"/>
      <c r="P211" s="192"/>
      <c r="Q211" s="383"/>
      <c r="R211" s="192"/>
      <c r="S211" s="383"/>
      <c r="T211" s="192"/>
      <c r="U211" s="383"/>
      <c r="V211" s="192"/>
      <c r="W211" s="383"/>
      <c r="X211" s="192"/>
      <c r="Y211" s="383"/>
      <c r="Z211" s="192"/>
      <c r="AA211" s="383"/>
      <c r="AB211" s="192"/>
      <c r="AC211" s="383"/>
      <c r="AD211" s="192"/>
      <c r="AE211" s="383"/>
      <c r="AF211" s="192"/>
      <c r="AG211" s="384"/>
      <c r="AH211" s="2"/>
      <c r="AI211" s="4890" t="str">
        <f t="shared" si="43"/>
        <v/>
      </c>
      <c r="CA211" s="1899" t="str">
        <f t="shared" si="46"/>
        <v/>
      </c>
      <c r="CK211" s="1901">
        <f t="shared" si="44"/>
        <v>0</v>
      </c>
    </row>
    <row r="212" spans="1:89" ht="15" customHeight="1" x14ac:dyDescent="0.3">
      <c r="A212" s="7399"/>
      <c r="B212" s="4973" t="s">
        <v>99</v>
      </c>
      <c r="C212" s="4977">
        <f t="shared" si="45"/>
        <v>0</v>
      </c>
      <c r="D212" s="4971">
        <f t="shared" si="42"/>
        <v>0</v>
      </c>
      <c r="E212" s="4972">
        <f t="shared" si="42"/>
        <v>0</v>
      </c>
      <c r="F212" s="1114"/>
      <c r="G212" s="1118"/>
      <c r="H212" s="1114"/>
      <c r="I212" s="1118"/>
      <c r="J212" s="1114"/>
      <c r="K212" s="1118"/>
      <c r="L212" s="1114"/>
      <c r="M212" s="1118"/>
      <c r="N212" s="1114"/>
      <c r="O212" s="1118"/>
      <c r="P212" s="1114"/>
      <c r="Q212" s="1118"/>
      <c r="R212" s="1114"/>
      <c r="S212" s="1118"/>
      <c r="T212" s="1114"/>
      <c r="U212" s="1118"/>
      <c r="V212" s="1114"/>
      <c r="W212" s="1118"/>
      <c r="X212" s="1114"/>
      <c r="Y212" s="1118"/>
      <c r="Z212" s="1114"/>
      <c r="AA212" s="1118"/>
      <c r="AB212" s="1114"/>
      <c r="AC212" s="1118"/>
      <c r="AD212" s="1114"/>
      <c r="AE212" s="1118"/>
      <c r="AF212" s="1114"/>
      <c r="AG212" s="1120"/>
      <c r="AH212" s="1275"/>
      <c r="AI212" s="4890" t="str">
        <f t="shared" si="43"/>
        <v/>
      </c>
      <c r="CA212" s="1899" t="str">
        <f t="shared" si="46"/>
        <v/>
      </c>
      <c r="CK212" s="1901">
        <f t="shared" si="44"/>
        <v>0</v>
      </c>
    </row>
    <row r="213" spans="1:89" ht="15" customHeight="1" x14ac:dyDescent="0.3">
      <c r="A213" s="7400"/>
      <c r="B213" s="4523" t="s">
        <v>3298</v>
      </c>
      <c r="C213" s="4977">
        <f t="shared" si="45"/>
        <v>0</v>
      </c>
      <c r="D213" s="4971">
        <f t="shared" si="42"/>
        <v>0</v>
      </c>
      <c r="E213" s="4972">
        <f t="shared" si="42"/>
        <v>0</v>
      </c>
      <c r="F213" s="1139"/>
      <c r="G213" s="1140"/>
      <c r="H213" s="1139"/>
      <c r="I213" s="1140"/>
      <c r="J213" s="1139"/>
      <c r="K213" s="1140"/>
      <c r="L213" s="1139"/>
      <c r="M213" s="1140"/>
      <c r="N213" s="1139"/>
      <c r="O213" s="1140"/>
      <c r="P213" s="1139"/>
      <c r="Q213" s="1140"/>
      <c r="R213" s="1139"/>
      <c r="S213" s="1140"/>
      <c r="T213" s="1139"/>
      <c r="U213" s="1140"/>
      <c r="V213" s="1139"/>
      <c r="W213" s="1140"/>
      <c r="X213" s="1139"/>
      <c r="Y213" s="1140"/>
      <c r="Z213" s="1139"/>
      <c r="AA213" s="1140"/>
      <c r="AB213" s="1139"/>
      <c r="AC213" s="1140"/>
      <c r="AD213" s="1139"/>
      <c r="AE213" s="1140"/>
      <c r="AF213" s="1139"/>
      <c r="AG213" s="1351"/>
      <c r="AH213" s="1280"/>
      <c r="AI213" s="4890" t="str">
        <f t="shared" si="43"/>
        <v/>
      </c>
      <c r="CA213" s="1899" t="str">
        <f t="shared" si="46"/>
        <v/>
      </c>
      <c r="CK213" s="1901">
        <f t="shared" si="44"/>
        <v>0</v>
      </c>
    </row>
    <row r="214" spans="1:89" ht="15" customHeight="1" x14ac:dyDescent="0.3">
      <c r="A214" s="7396" t="s">
        <v>3299</v>
      </c>
      <c r="B214" s="4522" t="s">
        <v>3300</v>
      </c>
      <c r="C214" s="4978">
        <f t="shared" si="45"/>
        <v>0</v>
      </c>
      <c r="D214" s="4979">
        <f t="shared" si="42"/>
        <v>0</v>
      </c>
      <c r="E214" s="4980">
        <f t="shared" si="42"/>
        <v>0</v>
      </c>
      <c r="F214" s="1106"/>
      <c r="G214" s="771"/>
      <c r="H214" s="1106"/>
      <c r="I214" s="771"/>
      <c r="J214" s="1106"/>
      <c r="K214" s="771"/>
      <c r="L214" s="1106"/>
      <c r="M214" s="771"/>
      <c r="N214" s="1106"/>
      <c r="O214" s="771"/>
      <c r="P214" s="1106"/>
      <c r="Q214" s="771"/>
      <c r="R214" s="1106"/>
      <c r="S214" s="771"/>
      <c r="T214" s="1106"/>
      <c r="U214" s="771"/>
      <c r="V214" s="1106"/>
      <c r="W214" s="771"/>
      <c r="X214" s="1106"/>
      <c r="Y214" s="771"/>
      <c r="Z214" s="1106"/>
      <c r="AA214" s="771"/>
      <c r="AB214" s="1106"/>
      <c r="AC214" s="771"/>
      <c r="AD214" s="1106"/>
      <c r="AE214" s="771"/>
      <c r="AF214" s="1106"/>
      <c r="AG214" s="759"/>
      <c r="AH214" s="1107"/>
      <c r="AI214" s="4890" t="str">
        <f t="shared" si="43"/>
        <v/>
      </c>
      <c r="CA214" s="1899" t="str">
        <f t="shared" si="46"/>
        <v/>
      </c>
      <c r="CK214" s="1901">
        <f t="shared" si="44"/>
        <v>0</v>
      </c>
    </row>
    <row r="215" spans="1:89" x14ac:dyDescent="0.3">
      <c r="A215" s="7396"/>
      <c r="B215" s="4523" t="s">
        <v>3301</v>
      </c>
      <c r="C215" s="4981">
        <f>SUM(D215:E215)</f>
        <v>0</v>
      </c>
      <c r="D215" s="4982">
        <f t="shared" si="42"/>
        <v>0</v>
      </c>
      <c r="E215" s="4983">
        <f t="shared" si="42"/>
        <v>0</v>
      </c>
      <c r="F215" s="1139"/>
      <c r="G215" s="1140"/>
      <c r="H215" s="1139"/>
      <c r="I215" s="1140"/>
      <c r="J215" s="1139"/>
      <c r="K215" s="1140"/>
      <c r="L215" s="1139"/>
      <c r="M215" s="1140"/>
      <c r="N215" s="1139"/>
      <c r="O215" s="1140"/>
      <c r="P215" s="1139"/>
      <c r="Q215" s="1140"/>
      <c r="R215" s="1139"/>
      <c r="S215" s="1140"/>
      <c r="T215" s="1139"/>
      <c r="U215" s="1140"/>
      <c r="V215" s="1139"/>
      <c r="W215" s="1140"/>
      <c r="X215" s="1139"/>
      <c r="Y215" s="1140"/>
      <c r="Z215" s="1139"/>
      <c r="AA215" s="1140"/>
      <c r="AB215" s="1139"/>
      <c r="AC215" s="1140"/>
      <c r="AD215" s="1139"/>
      <c r="AE215" s="1140"/>
      <c r="AF215" s="1139"/>
      <c r="AG215" s="1351"/>
      <c r="AH215" s="388"/>
      <c r="AI215" s="4890" t="str">
        <f>$CA215</f>
        <v/>
      </c>
      <c r="CA215" s="1899" t="str">
        <f t="shared" si="46"/>
        <v/>
      </c>
      <c r="CK215" s="1901">
        <f t="shared" si="44"/>
        <v>0</v>
      </c>
    </row>
    <row r="249" spans="1:2" hidden="1" x14ac:dyDescent="0.3">
      <c r="A249" s="4984">
        <f>SUM(D11:D52,D56:D96,D101:D103,D107:D109,D111:D112,D116:E118,D122:D130,B133:D133,B137:B139,B143:B144,B148:F149,D153:D168,D171:D202,C208:C215)</f>
        <v>0</v>
      </c>
      <c r="B249" s="4984">
        <f>SUM(CK11:CR215)</f>
        <v>0</v>
      </c>
    </row>
  </sheetData>
  <sheetProtection algorithmName="SHA-512" hashValue="gUBkaD7340ohlgMi7++GJ+beoe5vYawUbgt0pWqkc9Tr0XklHqz37XztPea63zOh54DCHmglia9nAsdOxTGDEA==" saltValue="qyUpEu52/UEwzVQ8nRvP0g==" spinCount="100000" sheet="1" objects="1" scenarios="1"/>
  <mergeCells count="161">
    <mergeCell ref="AH9:AH10"/>
    <mergeCell ref="AH205:AH207"/>
    <mergeCell ref="Q151:R151"/>
    <mergeCell ref="A214:A215"/>
    <mergeCell ref="AI9:AI10"/>
    <mergeCell ref="A11:A53"/>
    <mergeCell ref="B24:B25"/>
    <mergeCell ref="B26:C26"/>
    <mergeCell ref="B27:B29"/>
    <mergeCell ref="B30:B32"/>
    <mergeCell ref="B33:C33"/>
    <mergeCell ref="B34:B35"/>
    <mergeCell ref="B39:C39"/>
    <mergeCell ref="B40:B44"/>
    <mergeCell ref="B47:B50"/>
    <mergeCell ref="B51:B52"/>
    <mergeCell ref="B53:C53"/>
    <mergeCell ref="A208:A213"/>
    <mergeCell ref="P206:Q206"/>
    <mergeCell ref="R206:S206"/>
    <mergeCell ref="T206:U206"/>
    <mergeCell ref="V206:W206"/>
    <mergeCell ref="X206:Y206"/>
    <mergeCell ref="Z206:AA206"/>
    <mergeCell ref="B201:C201"/>
    <mergeCell ref="B202:C202"/>
    <mergeCell ref="B203:C203"/>
    <mergeCell ref="AB206:AC206"/>
    <mergeCell ref="AD206:AE206"/>
    <mergeCell ref="AF206:AG206"/>
    <mergeCell ref="A205:A207"/>
    <mergeCell ref="B205:B207"/>
    <mergeCell ref="C205:E206"/>
    <mergeCell ref="F205:AG205"/>
    <mergeCell ref="F206:G206"/>
    <mergeCell ref="H206:I206"/>
    <mergeCell ref="J206:K206"/>
    <mergeCell ref="L206:M206"/>
    <mergeCell ref="N206:O206"/>
    <mergeCell ref="A153:B160"/>
    <mergeCell ref="A161:B168"/>
    <mergeCell ref="A170:C170"/>
    <mergeCell ref="A171:A203"/>
    <mergeCell ref="B171:C171"/>
    <mergeCell ref="B172:B175"/>
    <mergeCell ref="B176:C176"/>
    <mergeCell ref="B177:C177"/>
    <mergeCell ref="B178:C178"/>
    <mergeCell ref="B185:B187"/>
    <mergeCell ref="B188:B190"/>
    <mergeCell ref="B191:C191"/>
    <mergeCell ref="B192:B193"/>
    <mergeCell ref="B194:C194"/>
    <mergeCell ref="B195:C195"/>
    <mergeCell ref="B179:C179"/>
    <mergeCell ref="B180:C180"/>
    <mergeCell ref="B181:C181"/>
    <mergeCell ref="B182:C182"/>
    <mergeCell ref="B183:C183"/>
    <mergeCell ref="B184:C184"/>
    <mergeCell ref="B196:C196"/>
    <mergeCell ref="B197:C197"/>
    <mergeCell ref="B198:B200"/>
    <mergeCell ref="E151:P151"/>
    <mergeCell ref="A146:A147"/>
    <mergeCell ref="B146:B147"/>
    <mergeCell ref="C146:F146"/>
    <mergeCell ref="G146:G147"/>
    <mergeCell ref="H146:H147"/>
    <mergeCell ref="A151:C152"/>
    <mergeCell ref="D151:D152"/>
    <mergeCell ref="A135:A136"/>
    <mergeCell ref="B135:I135"/>
    <mergeCell ref="A141:A142"/>
    <mergeCell ref="B141:B142"/>
    <mergeCell ref="C141:M141"/>
    <mergeCell ref="D120:D121"/>
    <mergeCell ref="E120:J120"/>
    <mergeCell ref="K120:L120"/>
    <mergeCell ref="A122:B124"/>
    <mergeCell ref="F114:G114"/>
    <mergeCell ref="H114:U114"/>
    <mergeCell ref="V114:V115"/>
    <mergeCell ref="A117:C117"/>
    <mergeCell ref="A116:C116"/>
    <mergeCell ref="W114:W115"/>
    <mergeCell ref="A107:C107"/>
    <mergeCell ref="A108:C108"/>
    <mergeCell ref="A114:C115"/>
    <mergeCell ref="D114:D115"/>
    <mergeCell ref="E114:E115"/>
    <mergeCell ref="A105:C106"/>
    <mergeCell ref="D105:D106"/>
    <mergeCell ref="E105:G105"/>
    <mergeCell ref="H105:H106"/>
    <mergeCell ref="A109:C109"/>
    <mergeCell ref="A111:C111"/>
    <mergeCell ref="A112:C112"/>
    <mergeCell ref="E101:F101"/>
    <mergeCell ref="A102:C102"/>
    <mergeCell ref="E102:F102"/>
    <mergeCell ref="B85:B89"/>
    <mergeCell ref="B90:C90"/>
    <mergeCell ref="B91:C91"/>
    <mergeCell ref="A100:C100"/>
    <mergeCell ref="E100:F100"/>
    <mergeCell ref="A56:A98"/>
    <mergeCell ref="B92:B95"/>
    <mergeCell ref="B98:C98"/>
    <mergeCell ref="B78:C78"/>
    <mergeCell ref="B79:B80"/>
    <mergeCell ref="B81:C81"/>
    <mergeCell ref="B82:C82"/>
    <mergeCell ref="B83:C83"/>
    <mergeCell ref="B84:C84"/>
    <mergeCell ref="B67:C67"/>
    <mergeCell ref="B68:C68"/>
    <mergeCell ref="B71:C71"/>
    <mergeCell ref="B72:B74"/>
    <mergeCell ref="B75:B77"/>
    <mergeCell ref="B69:B70"/>
    <mergeCell ref="B45:C45"/>
    <mergeCell ref="B36:C36"/>
    <mergeCell ref="B37:C37"/>
    <mergeCell ref="AE9:AE10"/>
    <mergeCell ref="AF9:AG9"/>
    <mergeCell ref="B11:C11"/>
    <mergeCell ref="B12:B15"/>
    <mergeCell ref="B16:C16"/>
    <mergeCell ref="B17:C17"/>
    <mergeCell ref="B22:C22"/>
    <mergeCell ref="B23:C23"/>
    <mergeCell ref="AB9:AB10"/>
    <mergeCell ref="AC9:AC10"/>
    <mergeCell ref="AD9:AD10"/>
    <mergeCell ref="Y9:AA9"/>
    <mergeCell ref="A6:X6"/>
    <mergeCell ref="A9:C10"/>
    <mergeCell ref="D9:D10"/>
    <mergeCell ref="E9:I9"/>
    <mergeCell ref="J9:X9"/>
    <mergeCell ref="B18:C18"/>
    <mergeCell ref="B19:C19"/>
    <mergeCell ref="B20:B21"/>
    <mergeCell ref="B38:C38"/>
    <mergeCell ref="A128:B130"/>
    <mergeCell ref="A125:B127"/>
    <mergeCell ref="B46:C46"/>
    <mergeCell ref="A55:C55"/>
    <mergeCell ref="B56:C56"/>
    <mergeCell ref="B57:B60"/>
    <mergeCell ref="B61:C61"/>
    <mergeCell ref="B62:C62"/>
    <mergeCell ref="B63:C63"/>
    <mergeCell ref="B64:C64"/>
    <mergeCell ref="A101:C101"/>
    <mergeCell ref="A103:C103"/>
    <mergeCell ref="A118:C118"/>
    <mergeCell ref="A120:C121"/>
    <mergeCell ref="B96:B97"/>
    <mergeCell ref="B65:B66"/>
  </mergeCells>
  <dataValidations count="5">
    <dataValidation type="whole" operator="greaterThanOrEqual" allowBlank="1" showInputMessage="1" showErrorMessage="1" sqref="D153:D168 E107:H109 E111:H112 AF11:AI52" xr:uid="{00000000-0002-0000-1300-000000000000}">
      <formula1>0</formula1>
    </dataValidation>
    <dataValidation type="whole" operator="greaterThanOrEqual" allowBlank="1" showInputMessage="1" showErrorMessage="1" error="Valor no Permitido" sqref="D101:D103 B133:D133 D111:D112 B148:H149 D107:D109 D11:D53 C208:AH215 D171:I203 B143:M144 B137:I139 D122:L130 D116:W118 D56:I98 E53:AI53" xr:uid="{00000000-0002-0000-1300-000001000000}">
      <formula1>0</formula1>
    </dataValidation>
    <dataValidation allowBlank="1" showInputMessage="1" showErrorMessage="1" error="Valor no Permitido" sqref="A6 C8:C24 Z8:AA8 A249:B249 AC8:AF8 A214 AB8:AB10 J169:J204 D8:Y10 I99:W115 D140:I140 D142:M142 B140:B141 A145:P145 G146:H146 D147:F147 D104:D105 B146:C147 A170:A208 C170:C182 A146:A149 D205:F207 G206:AG207 D204:I204 D54:I55 D99:D100 B170:B214 F106:H106 B71:B85 M169:AI204 K169:L189 K197:L204 E99:E106 B113:C132 D119:L121 C140:C142 D131:D132 J131:L140 E131:I136 B134:D136 D170:I170 C184:C207 C26:C49 M119:M140 CK148:CN149 I146:P149 A107:A144 AI208:AI215 AH205 B8:B20 AC9 Z10:AA10 AD9:AF10 B22:B24 B26:B40 B45:B47 A8:A56 B90:B92 C71:C94 H105 A99:A105 B98:C104 CC148:CF149 F99:H104 D113:H115 B111:C111 B107:C109 Q148:BZ149 C51:C64 B53:B65 B67:C69 AG10" xr:uid="{00000000-0002-0000-1300-000002000000}"/>
    <dataValidation type="whole" allowBlank="1" showInputMessage="1" showErrorMessage="1" sqref="E153:R168" xr:uid="{A0FDB89D-3F53-47CE-A258-1150B2EC9669}">
      <formula1>0</formula1>
      <formula2>9.99999999999999E+35</formula2>
    </dataValidation>
    <dataValidation type="whole" allowBlank="1" showInputMessage="1" showErrorMessage="1" sqref="E11:AE52" xr:uid="{334331EF-F247-419D-8EA6-97DC98F7C4FC}">
      <formula1>0</formula1>
      <formula2>9.99999999999999E+37</formula2>
    </dataValidation>
  </dataValidation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DI351"/>
  <sheetViews>
    <sheetView showGridLines="0" zoomScaleNormal="100" workbookViewId="0"/>
  </sheetViews>
  <sheetFormatPr baseColWidth="10" defaultColWidth="11.44140625" defaultRowHeight="14.4" x14ac:dyDescent="0.3"/>
  <cols>
    <col min="1" max="1" width="49.88671875" customWidth="1"/>
    <col min="2" max="2" width="26.88671875" customWidth="1"/>
    <col min="3" max="3" width="16.33203125" customWidth="1"/>
    <col min="4" max="4" width="19.33203125" customWidth="1"/>
    <col min="5" max="6" width="12.6640625" customWidth="1"/>
    <col min="7" max="7" width="15" customWidth="1"/>
    <col min="8" max="8" width="14.5546875" customWidth="1"/>
    <col min="9" max="40" width="12.6640625" customWidth="1"/>
    <col min="41" max="41" width="14.44140625" customWidth="1"/>
    <col min="42" max="42" width="12.6640625" customWidth="1"/>
    <col min="43" max="43" width="14.44140625" customWidth="1"/>
    <col min="44" max="44" width="12.44140625" customWidth="1"/>
    <col min="46" max="46" width="13.33203125" customWidth="1"/>
    <col min="48" max="48" width="12.33203125" customWidth="1"/>
    <col min="74" max="77" width="11" customWidth="1"/>
    <col min="78" max="78" width="13.33203125" customWidth="1"/>
    <col min="79" max="83" width="11.44140625" style="25" hidden="1" customWidth="1"/>
    <col min="84" max="89" width="11.44140625" hidden="1" customWidth="1"/>
    <col min="90" max="95" width="11.44140625" style="25" hidden="1" customWidth="1"/>
    <col min="96" max="105" width="11.44140625" style="25" customWidth="1"/>
    <col min="106" max="113" width="11.44140625" style="25"/>
  </cols>
  <sheetData>
    <row r="1" spans="1:95" x14ac:dyDescent="0.3">
      <c r="A1" s="50" t="s">
        <v>23</v>
      </c>
    </row>
    <row r="2" spans="1:95" x14ac:dyDescent="0.3">
      <c r="A2" s="50" t="str">
        <f>CONCATENATE("COMUNA: ",NOMBRE!B2, " (",NOMBRE!C2,NOMBRE!D2,NOMBRE!E2,NOMBRE!F2,NOMBRE!G2,")")</f>
        <v>COMUNA:  ()</v>
      </c>
    </row>
    <row r="3" spans="1:95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95" x14ac:dyDescent="0.3">
      <c r="A4" s="50" t="str">
        <f>CONCATENATE("MES: ",NOMBRE!B6, " (",NOMBRE!C6,NOMBRE!D6,")")</f>
        <v>MES:  ()</v>
      </c>
    </row>
    <row r="5" spans="1:95" x14ac:dyDescent="0.3">
      <c r="A5" s="50" t="str">
        <f>CONCATENATE("AÑO: ",NOMBRE!B7)</f>
        <v>AÑO: 2025</v>
      </c>
    </row>
    <row r="6" spans="1:95" s="9" customFormat="1" ht="18" customHeight="1" x14ac:dyDescent="0.3">
      <c r="A6" s="6115" t="s">
        <v>3302</v>
      </c>
      <c r="B6" s="6115"/>
      <c r="C6" s="6115"/>
      <c r="D6" s="6115"/>
      <c r="E6" s="6115"/>
      <c r="F6" s="6115"/>
      <c r="G6" s="6115"/>
      <c r="H6" s="6115"/>
      <c r="I6" s="6115"/>
      <c r="J6" s="6115"/>
      <c r="K6" s="6115"/>
      <c r="L6" s="6115"/>
      <c r="M6" s="6115"/>
      <c r="N6" s="6115"/>
      <c r="O6" s="4985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 s="3293"/>
      <c r="BV6" s="3293"/>
      <c r="BW6" s="3293"/>
      <c r="BX6" s="3293"/>
      <c r="BY6" s="3293"/>
      <c r="BZ6" s="3293"/>
      <c r="CA6" s="60"/>
      <c r="CB6" s="60"/>
      <c r="CC6" s="60"/>
      <c r="CD6" s="60"/>
      <c r="CE6" s="60"/>
      <c r="CL6" s="60"/>
      <c r="CM6" s="60"/>
      <c r="CN6" s="60"/>
      <c r="CO6" s="60"/>
      <c r="CP6" s="60"/>
      <c r="CQ6" s="60"/>
    </row>
    <row r="8" spans="1:95" ht="18" customHeight="1" x14ac:dyDescent="0.3">
      <c r="A8" s="1" t="s">
        <v>3303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</row>
    <row r="9" spans="1:95" ht="18" customHeight="1" x14ac:dyDescent="0.3">
      <c r="A9" s="3112" t="s">
        <v>3304</v>
      </c>
      <c r="B9" s="298"/>
      <c r="C9" s="8"/>
      <c r="D9" s="6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</row>
    <row r="10" spans="1:95" x14ac:dyDescent="0.3">
      <c r="A10" s="7401" t="s">
        <v>3305</v>
      </c>
      <c r="B10" s="7403" t="s">
        <v>77</v>
      </c>
      <c r="C10" s="7404"/>
      <c r="D10" s="6518"/>
      <c r="E10" s="7023" t="s">
        <v>101</v>
      </c>
      <c r="F10" s="7030"/>
      <c r="G10" s="7030"/>
      <c r="H10" s="7030"/>
      <c r="I10" s="7030"/>
      <c r="J10" s="7030"/>
      <c r="K10" s="7030"/>
      <c r="L10" s="7030"/>
      <c r="M10" s="7030"/>
      <c r="N10" s="7030"/>
      <c r="O10" s="7030"/>
      <c r="P10" s="7030"/>
      <c r="Q10" s="7030"/>
      <c r="R10" s="7030"/>
      <c r="S10" s="7030"/>
      <c r="T10" s="7030"/>
      <c r="U10" s="7030"/>
      <c r="V10" s="7030"/>
      <c r="W10" s="7030"/>
      <c r="X10" s="7030"/>
      <c r="Y10" s="7030"/>
      <c r="Z10" s="7030"/>
      <c r="AA10" s="7030"/>
      <c r="AB10" s="7030"/>
      <c r="AC10" s="7030"/>
      <c r="AD10" s="7030"/>
      <c r="AE10" s="7030"/>
      <c r="AF10" s="7030"/>
      <c r="AG10" s="7030"/>
      <c r="AH10" s="7030"/>
      <c r="AI10" s="7030"/>
      <c r="AJ10" s="7030"/>
      <c r="AK10" s="7030"/>
      <c r="AL10" s="7071"/>
      <c r="AM10" s="6975" t="s">
        <v>972</v>
      </c>
      <c r="AN10" s="7030"/>
      <c r="AO10" s="7030"/>
      <c r="AP10" s="7071"/>
      <c r="AQ10" s="7038" t="s">
        <v>973</v>
      </c>
      <c r="AR10" s="7037" t="s">
        <v>36</v>
      </c>
      <c r="AS10" s="6518" t="s">
        <v>37</v>
      </c>
    </row>
    <row r="11" spans="1:95" ht="15" customHeight="1" x14ac:dyDescent="0.3">
      <c r="A11" s="5851"/>
      <c r="B11" s="5945"/>
      <c r="C11" s="5777"/>
      <c r="D11" s="5759"/>
      <c r="E11" s="6989" t="s">
        <v>343</v>
      </c>
      <c r="F11" s="7078"/>
      <c r="G11" s="6989" t="s">
        <v>326</v>
      </c>
      <c r="H11" s="7078"/>
      <c r="I11" s="6989" t="s">
        <v>94</v>
      </c>
      <c r="J11" s="7078"/>
      <c r="K11" s="6989" t="s">
        <v>44</v>
      </c>
      <c r="L11" s="7078"/>
      <c r="M11" s="6989" t="s">
        <v>45</v>
      </c>
      <c r="N11" s="7078"/>
      <c r="O11" s="6989" t="s">
        <v>974</v>
      </c>
      <c r="P11" s="7078"/>
      <c r="Q11" s="6989" t="s">
        <v>629</v>
      </c>
      <c r="R11" s="7078"/>
      <c r="S11" s="6989" t="s">
        <v>48</v>
      </c>
      <c r="T11" s="7078"/>
      <c r="U11" s="6989" t="s">
        <v>49</v>
      </c>
      <c r="V11" s="7078"/>
      <c r="W11" s="6989" t="s">
        <v>975</v>
      </c>
      <c r="X11" s="7078"/>
      <c r="Y11" s="6989" t="s">
        <v>51</v>
      </c>
      <c r="Z11" s="7078"/>
      <c r="AA11" s="6989" t="s">
        <v>52</v>
      </c>
      <c r="AB11" s="7078"/>
      <c r="AC11" s="6989" t="s">
        <v>53</v>
      </c>
      <c r="AD11" s="7078"/>
      <c r="AE11" s="6989" t="s">
        <v>54</v>
      </c>
      <c r="AF11" s="7078"/>
      <c r="AG11" s="6989" t="s">
        <v>55</v>
      </c>
      <c r="AH11" s="7078"/>
      <c r="AI11" s="6989" t="s">
        <v>56</v>
      </c>
      <c r="AJ11" s="7078"/>
      <c r="AK11" s="7023" t="s">
        <v>57</v>
      </c>
      <c r="AL11" s="7071"/>
      <c r="AM11" s="7038" t="s">
        <v>976</v>
      </c>
      <c r="AN11" s="6850" t="s">
        <v>3306</v>
      </c>
      <c r="AO11" s="6118" t="s">
        <v>3307</v>
      </c>
      <c r="AP11" s="6284" t="s">
        <v>3308</v>
      </c>
      <c r="AQ11" s="5766"/>
      <c r="AR11" s="6118"/>
      <c r="AS11" s="5759"/>
    </row>
    <row r="12" spans="1:95" x14ac:dyDescent="0.3">
      <c r="A12" s="7402"/>
      <c r="B12" s="1313" t="s">
        <v>79</v>
      </c>
      <c r="C12" s="1135" t="s">
        <v>58</v>
      </c>
      <c r="D12" s="1092" t="s">
        <v>59</v>
      </c>
      <c r="E12" s="1313" t="s">
        <v>58</v>
      </c>
      <c r="F12" s="1092" t="s">
        <v>59</v>
      </c>
      <c r="G12" s="1313" t="s">
        <v>58</v>
      </c>
      <c r="H12" s="1092" t="s">
        <v>59</v>
      </c>
      <c r="I12" s="1313" t="s">
        <v>58</v>
      </c>
      <c r="J12" s="1092" t="s">
        <v>59</v>
      </c>
      <c r="K12" s="1313" t="s">
        <v>58</v>
      </c>
      <c r="L12" s="1092" t="s">
        <v>59</v>
      </c>
      <c r="M12" s="1313" t="s">
        <v>58</v>
      </c>
      <c r="N12" s="1092" t="s">
        <v>59</v>
      </c>
      <c r="O12" s="1313" t="s">
        <v>58</v>
      </c>
      <c r="P12" s="1092" t="s">
        <v>59</v>
      </c>
      <c r="Q12" s="1313" t="s">
        <v>58</v>
      </c>
      <c r="R12" s="1092" t="s">
        <v>59</v>
      </c>
      <c r="S12" s="1313" t="s">
        <v>58</v>
      </c>
      <c r="T12" s="1092" t="s">
        <v>59</v>
      </c>
      <c r="U12" s="1313" t="s">
        <v>58</v>
      </c>
      <c r="V12" s="1092" t="s">
        <v>59</v>
      </c>
      <c r="W12" s="1313" t="s">
        <v>58</v>
      </c>
      <c r="X12" s="1092" t="s">
        <v>59</v>
      </c>
      <c r="Y12" s="1313" t="s">
        <v>58</v>
      </c>
      <c r="Z12" s="1092" t="s">
        <v>59</v>
      </c>
      <c r="AA12" s="1313" t="s">
        <v>58</v>
      </c>
      <c r="AB12" s="1092" t="s">
        <v>59</v>
      </c>
      <c r="AC12" s="1313" t="s">
        <v>58</v>
      </c>
      <c r="AD12" s="1092" t="s">
        <v>59</v>
      </c>
      <c r="AE12" s="1313" t="s">
        <v>58</v>
      </c>
      <c r="AF12" s="1092" t="s">
        <v>59</v>
      </c>
      <c r="AG12" s="1313" t="s">
        <v>58</v>
      </c>
      <c r="AH12" s="1092" t="s">
        <v>59</v>
      </c>
      <c r="AI12" s="1313" t="s">
        <v>58</v>
      </c>
      <c r="AJ12" s="1092" t="s">
        <v>59</v>
      </c>
      <c r="AK12" s="1313" t="s">
        <v>58</v>
      </c>
      <c r="AL12" s="1136" t="s">
        <v>59</v>
      </c>
      <c r="AM12" s="5767"/>
      <c r="AN12" s="7405"/>
      <c r="AO12" s="5818"/>
      <c r="AP12" s="6491"/>
      <c r="AQ12" s="5767"/>
      <c r="AR12" s="5818"/>
      <c r="AS12" s="6687"/>
    </row>
    <row r="13" spans="1:95" ht="15" customHeight="1" x14ac:dyDescent="0.3">
      <c r="A13" s="4986" t="s">
        <v>761</v>
      </c>
      <c r="B13" s="4987">
        <f t="shared" ref="B13:B24" si="0">SUM(C13:D13)</f>
        <v>0</v>
      </c>
      <c r="C13" s="1127">
        <f t="shared" ref="C13:C24" si="1">SUM(E13,G13,I13,K13,M13,O13,Q13,S13,U13,W13,Y13,AA13,AC13,AE13,AG13,AI13,AK13)</f>
        <v>0</v>
      </c>
      <c r="D13" s="1126">
        <f t="shared" ref="D13:D24" si="2">SUM(F13,H13,J13,L13,N13,P13,R13,T13,V13,X13,Z13,AB13,AD13,AF13,AH13,AJ13,AL13)</f>
        <v>0</v>
      </c>
      <c r="E13" s="4988"/>
      <c r="F13" s="1096"/>
      <c r="G13" s="4988"/>
      <c r="H13" s="1099"/>
      <c r="I13" s="4988"/>
      <c r="J13" s="1099"/>
      <c r="K13" s="4988"/>
      <c r="L13" s="1099"/>
      <c r="M13" s="4988"/>
      <c r="N13" s="1099"/>
      <c r="O13" s="4988"/>
      <c r="P13" s="1099"/>
      <c r="Q13" s="4988"/>
      <c r="R13" s="1099"/>
      <c r="S13" s="4988"/>
      <c r="T13" s="1099"/>
      <c r="U13" s="4988"/>
      <c r="V13" s="1099"/>
      <c r="W13" s="4988"/>
      <c r="X13" s="1099"/>
      <c r="Y13" s="4988"/>
      <c r="Z13" s="1099"/>
      <c r="AA13" s="4988"/>
      <c r="AB13" s="1099"/>
      <c r="AC13" s="4988"/>
      <c r="AD13" s="1099"/>
      <c r="AE13" s="4988"/>
      <c r="AF13" s="1099"/>
      <c r="AG13" s="4988"/>
      <c r="AH13" s="1099"/>
      <c r="AI13" s="4988"/>
      <c r="AJ13" s="1099"/>
      <c r="AK13" s="4988"/>
      <c r="AL13" s="1100"/>
      <c r="AM13" s="4850"/>
      <c r="AN13" s="4655"/>
      <c r="AO13" s="4655"/>
      <c r="AP13" s="4989"/>
      <c r="AQ13" s="4850"/>
      <c r="AR13" s="4655"/>
      <c r="AS13" s="1096"/>
      <c r="AT13" s="1898" t="str">
        <f>CA13&amp;CB13&amp;CC13&amp;CD13</f>
        <v/>
      </c>
      <c r="BY13" s="1970"/>
      <c r="BZ13" s="1970"/>
      <c r="CA13" s="1899" t="str">
        <f>IF(AM13+AN13+AO13+AP13&lt;&gt;$B13,"* La suma de "&amp;AM$10&amp;""&amp;" no puede ser distinto del Total Ambos Sexos. ","")</f>
        <v/>
      </c>
      <c r="CB13" s="1899" t="str">
        <f>IF(AND($B13&lt;&gt;0,AQ13=""),"* No olvide ingresar la variable Personas con discapacidad (con RND). Digite Cero si no tiene. ",IF(AQ13&gt;$B13,"* La variable Personas con discapacidad (con RND) no puede superar el Total Ambos Sexos. ",""))</f>
        <v/>
      </c>
      <c r="CC13" s="1899" t="str">
        <f>IF(AND($B13&lt;&gt;0,AR13=""),"* No olvide ingresar la variable Pueblos Originarios. Digite CERO si no tiene. ",IF(AR13&gt;$B13,"* La variable Pueblos Originarios no puede superar el Total Ambos Sexos. ",""))</f>
        <v/>
      </c>
      <c r="CD13" s="1899" t="str">
        <f>IF(AND($B13&lt;&gt;0,AS13=""),"* No olvide ingresar la variable Migrantes. Digite CERO si no tiene.  ",IF(AS13&gt;$B13,"* La variable Migrantes no puede superar el Total Ambos Sexos. ",""))</f>
        <v/>
      </c>
      <c r="CE13" s="1970"/>
      <c r="CL13" s="1970"/>
      <c r="CM13" s="3026">
        <f>IF(AM13+AN13+AO13+AP13&lt;&gt;$B13,1,0)</f>
        <v>0</v>
      </c>
      <c r="CN13" s="4005">
        <f>IF(AND($B13&lt;&gt;0,AQ13=""),1,IF(AQ13&gt;$B13,1,0))</f>
        <v>0</v>
      </c>
      <c r="CO13" s="4005">
        <f>IF(AND($B13&lt;&gt;0,AR13=""),1,IF(AR13&gt;$B13,1,0))</f>
        <v>0</v>
      </c>
      <c r="CP13" s="4005">
        <f>IF(AND($B13&lt;&gt;0,AS13=""),1,IF(AS13&gt;$B13,1,0))</f>
        <v>0</v>
      </c>
      <c r="CQ13"/>
    </row>
    <row r="14" spans="1:95" ht="15" customHeight="1" x14ac:dyDescent="0.3">
      <c r="A14" s="400" t="s">
        <v>3309</v>
      </c>
      <c r="B14" s="4990">
        <f t="shared" si="0"/>
        <v>0</v>
      </c>
      <c r="C14" s="2257">
        <f t="shared" si="1"/>
        <v>0</v>
      </c>
      <c r="D14" s="146">
        <f t="shared" si="2"/>
        <v>0</v>
      </c>
      <c r="E14" s="290"/>
      <c r="F14" s="107"/>
      <c r="G14" s="290"/>
      <c r="H14" s="637"/>
      <c r="I14" s="290"/>
      <c r="J14" s="637"/>
      <c r="K14" s="290"/>
      <c r="L14" s="637"/>
      <c r="M14" s="290"/>
      <c r="N14" s="637"/>
      <c r="O14" s="290"/>
      <c r="P14" s="637"/>
      <c r="Q14" s="290"/>
      <c r="R14" s="637"/>
      <c r="S14" s="290"/>
      <c r="T14" s="637"/>
      <c r="U14" s="290"/>
      <c r="V14" s="637"/>
      <c r="W14" s="290"/>
      <c r="X14" s="637"/>
      <c r="Y14" s="290"/>
      <c r="Z14" s="637"/>
      <c r="AA14" s="290"/>
      <c r="AB14" s="637"/>
      <c r="AC14" s="290"/>
      <c r="AD14" s="637"/>
      <c r="AE14" s="290"/>
      <c r="AF14" s="637"/>
      <c r="AG14" s="290"/>
      <c r="AH14" s="637"/>
      <c r="AI14" s="290"/>
      <c r="AJ14" s="637"/>
      <c r="AK14" s="290"/>
      <c r="AL14" s="431"/>
      <c r="AM14" s="296"/>
      <c r="AN14" s="535"/>
      <c r="AO14" s="535"/>
      <c r="AP14" s="61"/>
      <c r="AQ14" s="296"/>
      <c r="AR14" s="535"/>
      <c r="AS14" s="107"/>
      <c r="AT14" s="1898" t="str">
        <f t="shared" ref="AT14:AT18" si="3">CA14&amp;CB14&amp;CC14&amp;CD14</f>
        <v/>
      </c>
      <c r="BY14" s="1970"/>
      <c r="BZ14" s="1970"/>
      <c r="CA14" s="1899" t="str">
        <f t="shared" ref="CA14:CA24" si="4">IF(AM14+AN14+AO14+AP14&lt;&gt;$B14,"* La suma de "&amp;AM$10&amp;""&amp;" no puede ser distinto del Total Ambos Sexos. ","")</f>
        <v/>
      </c>
      <c r="CB14" s="1899" t="str">
        <f t="shared" ref="CB14:CB24" si="5">IF(AND($B14&lt;&gt;0,AQ14=""),"* No olvide ingresar la variable Personas con discapacidad (con RND). Digite Cero si no tiene. ",IF(AQ14&gt;$B14,"* La variable Personas con discapacidad (con RND) no puede superar el Total Ambos Sexos. ",""))</f>
        <v/>
      </c>
      <c r="CC14" s="1899" t="str">
        <f t="shared" ref="CC14:CC24" si="6">IF(AND($B14&lt;&gt;0,AR14=""),"* No olvide ingresar la variable Pueblos Originarios. Digite CERO si no tiene. ",IF(AR14&gt;$B14,"* La variable Pueblos Originarios no puede superar el Total Ambos Sexos. ",""))</f>
        <v/>
      </c>
      <c r="CD14" s="1899" t="str">
        <f t="shared" ref="CD14:CD24" si="7">IF(AND($B14&lt;&gt;0,AS14=""),"* No olvide ingresar la variable Migrantes. Digite CERO si no tiene.  ",IF(AS14&gt;$B14,"* La variable Migrantes no puede superar el Total Ambos Sexos. ",""))</f>
        <v/>
      </c>
      <c r="CE14" s="1970"/>
      <c r="CL14" s="1970"/>
      <c r="CM14" s="3026">
        <f t="shared" ref="CM14:CM17" si="8">IF(AM14+AN14+AO14+AP14&lt;&gt;$B14,1,0)</f>
        <v>0</v>
      </c>
      <c r="CN14" s="4005">
        <f t="shared" ref="CN14:CN18" si="9">IF(AND($B14&lt;&gt;0,AQ14=""),1,IF(AQ14&gt;$B14,1,0))</f>
        <v>0</v>
      </c>
      <c r="CO14" s="4005">
        <f t="shared" ref="CO14:CO18" si="10">IF(AND($B14&lt;&gt;0,AR14=""),1,IF(AR14&gt;$B14,1,0))</f>
        <v>0</v>
      </c>
      <c r="CP14" s="4005">
        <f t="shared" ref="CP14:CP18" si="11">IF(AND($B14&lt;&gt;0,AS14=""),1,IF(AS14&gt;$B14,1,0))</f>
        <v>0</v>
      </c>
      <c r="CQ14"/>
    </row>
    <row r="15" spans="1:95" ht="19.5" customHeight="1" x14ac:dyDescent="0.3">
      <c r="A15" s="1015" t="s">
        <v>3310</v>
      </c>
      <c r="B15" s="978">
        <f t="shared" si="0"/>
        <v>0</v>
      </c>
      <c r="C15" s="4991">
        <f t="shared" si="1"/>
        <v>0</v>
      </c>
      <c r="D15" s="3144">
        <f t="shared" si="2"/>
        <v>0</v>
      </c>
      <c r="E15" s="3151"/>
      <c r="F15" s="1264"/>
      <c r="G15" s="3151"/>
      <c r="H15" s="1479"/>
      <c r="I15" s="3151"/>
      <c r="J15" s="1479"/>
      <c r="K15" s="3151"/>
      <c r="L15" s="1479"/>
      <c r="M15" s="290"/>
      <c r="N15" s="637"/>
      <c r="O15" s="290"/>
      <c r="P15" s="637"/>
      <c r="Q15" s="1114"/>
      <c r="R15" s="1118"/>
      <c r="S15" s="1114"/>
      <c r="T15" s="1118"/>
      <c r="U15" s="1114"/>
      <c r="V15" s="1118"/>
      <c r="W15" s="1114"/>
      <c r="X15" s="1118"/>
      <c r="Y15" s="1114"/>
      <c r="Z15" s="1118"/>
      <c r="AA15" s="1114"/>
      <c r="AB15" s="1118"/>
      <c r="AC15" s="1114"/>
      <c r="AD15" s="1118"/>
      <c r="AE15" s="1114"/>
      <c r="AF15" s="1118"/>
      <c r="AG15" s="1114"/>
      <c r="AH15" s="1118"/>
      <c r="AI15" s="1114"/>
      <c r="AJ15" s="1118"/>
      <c r="AK15" s="1114"/>
      <c r="AL15" s="1120"/>
      <c r="AM15" s="1326"/>
      <c r="AN15" s="1278"/>
      <c r="AO15" s="1278"/>
      <c r="AP15" s="1322"/>
      <c r="AQ15" s="1326"/>
      <c r="AR15" s="1278"/>
      <c r="AS15" s="1115"/>
      <c r="AT15" s="1898" t="str">
        <f>CA15&amp;CB15&amp;CC15&amp;CD15</f>
        <v/>
      </c>
      <c r="BY15" s="1970"/>
      <c r="BZ15" s="1970"/>
      <c r="CA15" s="1899" t="str">
        <f t="shared" si="4"/>
        <v/>
      </c>
      <c r="CB15" s="1899" t="str">
        <f t="shared" si="5"/>
        <v/>
      </c>
      <c r="CC15" s="1899" t="str">
        <f t="shared" si="6"/>
        <v/>
      </c>
      <c r="CD15" s="1899" t="str">
        <f t="shared" si="7"/>
        <v/>
      </c>
      <c r="CE15" s="1970"/>
      <c r="CL15" s="1970"/>
      <c r="CM15" s="3026">
        <f t="shared" si="8"/>
        <v>0</v>
      </c>
      <c r="CN15" s="4005">
        <f t="shared" si="9"/>
        <v>0</v>
      </c>
      <c r="CO15" s="4005">
        <f t="shared" si="10"/>
        <v>0</v>
      </c>
      <c r="CP15" s="4005">
        <f t="shared" si="11"/>
        <v>0</v>
      </c>
      <c r="CQ15"/>
    </row>
    <row r="16" spans="1:95" ht="15" customHeight="1" x14ac:dyDescent="0.3">
      <c r="A16" s="4992" t="s">
        <v>3311</v>
      </c>
      <c r="B16" s="4993">
        <f t="shared" si="0"/>
        <v>0</v>
      </c>
      <c r="C16" s="3054">
        <f t="shared" si="1"/>
        <v>0</v>
      </c>
      <c r="D16" s="4994">
        <f t="shared" si="2"/>
        <v>0</v>
      </c>
      <c r="E16" s="1114"/>
      <c r="F16" s="1115"/>
      <c r="G16" s="1114"/>
      <c r="H16" s="1118"/>
      <c r="I16" s="1114"/>
      <c r="J16" s="1118"/>
      <c r="K16" s="1114"/>
      <c r="L16" s="1118"/>
      <c r="M16" s="1114"/>
      <c r="N16" s="1118"/>
      <c r="O16" s="1114"/>
      <c r="P16" s="1118"/>
      <c r="Q16" s="1114"/>
      <c r="R16" s="1118"/>
      <c r="S16" s="1114"/>
      <c r="T16" s="1118"/>
      <c r="U16" s="1114"/>
      <c r="V16" s="1118"/>
      <c r="W16" s="1114"/>
      <c r="X16" s="1118"/>
      <c r="Y16" s="1114"/>
      <c r="Z16" s="1118"/>
      <c r="AA16" s="1114"/>
      <c r="AB16" s="1118"/>
      <c r="AC16" s="1114"/>
      <c r="AD16" s="1118"/>
      <c r="AE16" s="1114"/>
      <c r="AF16" s="1118"/>
      <c r="AG16" s="1114"/>
      <c r="AH16" s="1118"/>
      <c r="AI16" s="1114"/>
      <c r="AJ16" s="1118"/>
      <c r="AK16" s="1114"/>
      <c r="AL16" s="1120"/>
      <c r="AM16" s="1326"/>
      <c r="AN16" s="1278"/>
      <c r="AO16" s="1278"/>
      <c r="AP16" s="1322"/>
      <c r="AQ16" s="1326"/>
      <c r="AR16" s="1278"/>
      <c r="AS16" s="1115"/>
      <c r="AT16" s="1898" t="str">
        <f t="shared" si="3"/>
        <v/>
      </c>
      <c r="BY16" s="1970"/>
      <c r="BZ16" s="1970"/>
      <c r="CA16" s="1899" t="str">
        <f t="shared" si="4"/>
        <v/>
      </c>
      <c r="CB16" s="1899" t="str">
        <f t="shared" si="5"/>
        <v/>
      </c>
      <c r="CC16" s="1899" t="str">
        <f t="shared" si="6"/>
        <v/>
      </c>
      <c r="CD16" s="1899" t="str">
        <f t="shared" si="7"/>
        <v/>
      </c>
      <c r="CE16" s="1970"/>
      <c r="CL16" s="1970"/>
      <c r="CM16" s="3026">
        <f t="shared" si="8"/>
        <v>0</v>
      </c>
      <c r="CN16" s="4005">
        <f t="shared" si="9"/>
        <v>0</v>
      </c>
      <c r="CO16" s="4005">
        <f t="shared" si="10"/>
        <v>0</v>
      </c>
      <c r="CP16" s="4005">
        <f t="shared" si="11"/>
        <v>0</v>
      </c>
      <c r="CQ16"/>
    </row>
    <row r="17" spans="1:113" ht="15" customHeight="1" x14ac:dyDescent="0.3">
      <c r="A17" s="1015" t="s">
        <v>3312</v>
      </c>
      <c r="B17" s="3053">
        <f t="shared" si="0"/>
        <v>0</v>
      </c>
      <c r="C17" s="1195">
        <f t="shared" si="1"/>
        <v>0</v>
      </c>
      <c r="D17" s="4994">
        <f t="shared" si="2"/>
        <v>0</v>
      </c>
      <c r="E17" s="47"/>
      <c r="F17" s="1118"/>
      <c r="G17" s="1114"/>
      <c r="H17" s="1118"/>
      <c r="I17" s="1114"/>
      <c r="J17" s="1118"/>
      <c r="K17" s="1114"/>
      <c r="L17" s="1118"/>
      <c r="M17" s="1114"/>
      <c r="N17" s="1118"/>
      <c r="O17" s="1114"/>
      <c r="P17" s="1118"/>
      <c r="Q17" s="1114"/>
      <c r="R17" s="1118"/>
      <c r="S17" s="1114"/>
      <c r="T17" s="1118"/>
      <c r="U17" s="1114"/>
      <c r="V17" s="1118"/>
      <c r="W17" s="1114"/>
      <c r="X17" s="1118"/>
      <c r="Y17" s="1114"/>
      <c r="Z17" s="1118"/>
      <c r="AA17" s="1114"/>
      <c r="AB17" s="1118"/>
      <c r="AC17" s="1114"/>
      <c r="AD17" s="1118"/>
      <c r="AE17" s="1114"/>
      <c r="AF17" s="1118"/>
      <c r="AG17" s="1114"/>
      <c r="AH17" s="1118"/>
      <c r="AI17" s="1114"/>
      <c r="AJ17" s="1118"/>
      <c r="AK17" s="1114"/>
      <c r="AL17" s="1120"/>
      <c r="AM17" s="377"/>
      <c r="AN17" s="1278"/>
      <c r="AO17" s="1278"/>
      <c r="AP17" s="1322"/>
      <c r="AQ17" s="377"/>
      <c r="AR17" s="594"/>
      <c r="AS17" s="2"/>
      <c r="AT17" s="1898" t="str">
        <f t="shared" si="3"/>
        <v/>
      </c>
      <c r="BY17" s="1970"/>
      <c r="BZ17" s="1970"/>
      <c r="CA17" s="1899" t="str">
        <f t="shared" si="4"/>
        <v/>
      </c>
      <c r="CB17" s="1899" t="str">
        <f t="shared" si="5"/>
        <v/>
      </c>
      <c r="CC17" s="1899" t="str">
        <f t="shared" si="6"/>
        <v/>
      </c>
      <c r="CD17" s="1899" t="str">
        <f t="shared" si="7"/>
        <v/>
      </c>
      <c r="CE17" s="1970"/>
      <c r="CL17" s="1970"/>
      <c r="CM17" s="3026">
        <f t="shared" si="8"/>
        <v>0</v>
      </c>
      <c r="CN17" s="4005">
        <f t="shared" si="9"/>
        <v>0</v>
      </c>
      <c r="CO17" s="4005">
        <f t="shared" si="10"/>
        <v>0</v>
      </c>
      <c r="CP17" s="4005">
        <f t="shared" si="11"/>
        <v>0</v>
      </c>
      <c r="CQ17"/>
    </row>
    <row r="18" spans="1:113" ht="15" customHeight="1" x14ac:dyDescent="0.3">
      <c r="A18" s="1015" t="s">
        <v>3313</v>
      </c>
      <c r="B18" s="1230">
        <f t="shared" si="0"/>
        <v>0</v>
      </c>
      <c r="C18" s="4995">
        <f t="shared" si="1"/>
        <v>0</v>
      </c>
      <c r="D18" s="485">
        <f t="shared" si="2"/>
        <v>0</v>
      </c>
      <c r="E18" s="4834"/>
      <c r="F18" s="1482"/>
      <c r="G18" s="4838"/>
      <c r="H18" s="3749"/>
      <c r="I18" s="4838"/>
      <c r="J18" s="3749"/>
      <c r="K18" s="1114"/>
      <c r="L18" s="1118"/>
      <c r="M18" s="1114"/>
      <c r="N18" s="1118"/>
      <c r="O18" s="1289"/>
      <c r="P18" s="311"/>
      <c r="Q18" s="1289"/>
      <c r="R18" s="311"/>
      <c r="S18" s="1289"/>
      <c r="T18" s="311"/>
      <c r="U18" s="1289"/>
      <c r="V18" s="311"/>
      <c r="W18" s="1289"/>
      <c r="X18" s="311"/>
      <c r="Y18" s="1289"/>
      <c r="Z18" s="311"/>
      <c r="AA18" s="1289"/>
      <c r="AB18" s="311"/>
      <c r="AC18" s="1289"/>
      <c r="AD18" s="311"/>
      <c r="AE18" s="1289"/>
      <c r="AF18" s="311"/>
      <c r="AG18" s="1289"/>
      <c r="AH18" s="311"/>
      <c r="AI18" s="1289"/>
      <c r="AJ18" s="311"/>
      <c r="AK18" s="1289"/>
      <c r="AL18" s="297"/>
      <c r="AM18" s="1330"/>
      <c r="AN18" s="262"/>
      <c r="AO18" s="262"/>
      <c r="AP18" s="392"/>
      <c r="AQ18" s="1330"/>
      <c r="AR18" s="1283"/>
      <c r="AS18" s="388"/>
      <c r="AT18" s="1898" t="str">
        <f t="shared" si="3"/>
        <v/>
      </c>
      <c r="BY18" s="1970"/>
      <c r="BZ18" s="1970"/>
      <c r="CA18" s="1899" t="str">
        <f t="shared" si="4"/>
        <v/>
      </c>
      <c r="CB18" s="1899" t="str">
        <f t="shared" si="5"/>
        <v/>
      </c>
      <c r="CC18" s="1899" t="str">
        <f t="shared" si="6"/>
        <v/>
      </c>
      <c r="CD18" s="1899" t="str">
        <f t="shared" si="7"/>
        <v/>
      </c>
      <c r="CE18" s="1970"/>
      <c r="CL18" s="1970"/>
      <c r="CM18" s="3026">
        <f>IF(AM18+AN18+AO18+AP18&lt;&gt;$B18,1,0)</f>
        <v>0</v>
      </c>
      <c r="CN18" s="4005">
        <f t="shared" si="9"/>
        <v>0</v>
      </c>
      <c r="CO18" s="4005">
        <f t="shared" si="10"/>
        <v>0</v>
      </c>
      <c r="CP18" s="4005">
        <f t="shared" si="11"/>
        <v>0</v>
      </c>
      <c r="CQ18"/>
    </row>
    <row r="19" spans="1:113" ht="15" customHeight="1" x14ac:dyDescent="0.3">
      <c r="A19" s="4986" t="s">
        <v>770</v>
      </c>
      <c r="B19" s="1230">
        <f t="shared" si="0"/>
        <v>0</v>
      </c>
      <c r="C19" s="1197">
        <f t="shared" si="1"/>
        <v>0</v>
      </c>
      <c r="D19" s="1126">
        <f t="shared" si="2"/>
        <v>0</v>
      </c>
      <c r="E19" s="4987">
        <f t="shared" ref="E19:AS19" si="12">SUM(E20:E24)</f>
        <v>0</v>
      </c>
      <c r="F19" s="1126">
        <f t="shared" si="12"/>
        <v>0</v>
      </c>
      <c r="G19" s="4987">
        <f t="shared" si="12"/>
        <v>0</v>
      </c>
      <c r="H19" s="1129">
        <f t="shared" si="12"/>
        <v>0</v>
      </c>
      <c r="I19" s="4987">
        <f t="shared" si="12"/>
        <v>0</v>
      </c>
      <c r="J19" s="1129">
        <f t="shared" si="12"/>
        <v>0</v>
      </c>
      <c r="K19" s="4987">
        <f t="shared" si="12"/>
        <v>0</v>
      </c>
      <c r="L19" s="1129">
        <f t="shared" si="12"/>
        <v>0</v>
      </c>
      <c r="M19" s="4987">
        <f t="shared" si="12"/>
        <v>0</v>
      </c>
      <c r="N19" s="1129">
        <f t="shared" si="12"/>
        <v>0</v>
      </c>
      <c r="O19" s="4987">
        <f t="shared" si="12"/>
        <v>0</v>
      </c>
      <c r="P19" s="1129">
        <f t="shared" si="12"/>
        <v>0</v>
      </c>
      <c r="Q19" s="4987">
        <f t="shared" si="12"/>
        <v>0</v>
      </c>
      <c r="R19" s="1129">
        <f t="shared" si="12"/>
        <v>0</v>
      </c>
      <c r="S19" s="4987">
        <f t="shared" si="12"/>
        <v>0</v>
      </c>
      <c r="T19" s="1129">
        <f t="shared" si="12"/>
        <v>0</v>
      </c>
      <c r="U19" s="4987">
        <f t="shared" si="12"/>
        <v>0</v>
      </c>
      <c r="V19" s="1129">
        <f t="shared" si="12"/>
        <v>0</v>
      </c>
      <c r="W19" s="4987">
        <f t="shared" si="12"/>
        <v>0</v>
      </c>
      <c r="X19" s="1129">
        <f t="shared" si="12"/>
        <v>0</v>
      </c>
      <c r="Y19" s="4987">
        <f t="shared" si="12"/>
        <v>0</v>
      </c>
      <c r="Z19" s="1129">
        <f t="shared" si="12"/>
        <v>0</v>
      </c>
      <c r="AA19" s="4987">
        <f t="shared" si="12"/>
        <v>0</v>
      </c>
      <c r="AB19" s="1129">
        <f t="shared" si="12"/>
        <v>0</v>
      </c>
      <c r="AC19" s="4987">
        <f t="shared" si="12"/>
        <v>0</v>
      </c>
      <c r="AD19" s="1129">
        <f t="shared" si="12"/>
        <v>0</v>
      </c>
      <c r="AE19" s="4987">
        <f t="shared" si="12"/>
        <v>0</v>
      </c>
      <c r="AF19" s="1129">
        <f t="shared" si="12"/>
        <v>0</v>
      </c>
      <c r="AG19" s="4987">
        <f t="shared" si="12"/>
        <v>0</v>
      </c>
      <c r="AH19" s="1129">
        <f t="shared" si="12"/>
        <v>0</v>
      </c>
      <c r="AI19" s="4987">
        <f t="shared" si="12"/>
        <v>0</v>
      </c>
      <c r="AJ19" s="1129">
        <f t="shared" si="12"/>
        <v>0</v>
      </c>
      <c r="AK19" s="4987">
        <f t="shared" si="12"/>
        <v>0</v>
      </c>
      <c r="AL19" s="1131">
        <f t="shared" si="12"/>
        <v>0</v>
      </c>
      <c r="AM19" s="4861">
        <f t="shared" si="12"/>
        <v>0</v>
      </c>
      <c r="AN19" s="1141">
        <f t="shared" si="12"/>
        <v>0</v>
      </c>
      <c r="AO19" s="1141">
        <f t="shared" si="12"/>
        <v>0</v>
      </c>
      <c r="AP19" s="4966">
        <f t="shared" si="12"/>
        <v>0</v>
      </c>
      <c r="AQ19" s="4861">
        <f t="shared" si="12"/>
        <v>0</v>
      </c>
      <c r="AR19" s="1141">
        <f t="shared" si="12"/>
        <v>0</v>
      </c>
      <c r="AS19" s="1126">
        <f t="shared" si="12"/>
        <v>0</v>
      </c>
      <c r="AT19" s="167"/>
      <c r="BY19" s="1970"/>
      <c r="BZ19" s="1970"/>
      <c r="CA19" s="1970"/>
      <c r="CB19" s="1970"/>
      <c r="CC19" s="1970"/>
      <c r="CD19" s="1970"/>
      <c r="CE19" s="1970"/>
      <c r="CL19" s="1970"/>
      <c r="CM19"/>
      <c r="CN19"/>
      <c r="CO19"/>
      <c r="CP19"/>
      <c r="CQ19"/>
    </row>
    <row r="20" spans="1:113" ht="15" customHeight="1" x14ac:dyDescent="0.3">
      <c r="A20" s="1010" t="s">
        <v>3314</v>
      </c>
      <c r="B20" s="3053">
        <f t="shared" si="0"/>
        <v>0</v>
      </c>
      <c r="C20" s="3054">
        <f t="shared" si="1"/>
        <v>0</v>
      </c>
      <c r="D20" s="4996">
        <f t="shared" si="2"/>
        <v>0</v>
      </c>
      <c r="E20" s="192"/>
      <c r="F20" s="2"/>
      <c r="G20" s="192"/>
      <c r="H20" s="383"/>
      <c r="I20" s="192"/>
      <c r="J20" s="383"/>
      <c r="K20" s="192"/>
      <c r="L20" s="383"/>
      <c r="M20" s="192"/>
      <c r="N20" s="383"/>
      <c r="O20" s="192"/>
      <c r="P20" s="383"/>
      <c r="Q20" s="192"/>
      <c r="R20" s="383"/>
      <c r="S20" s="192"/>
      <c r="T20" s="383"/>
      <c r="U20" s="192"/>
      <c r="V20" s="383"/>
      <c r="W20" s="192"/>
      <c r="X20" s="383"/>
      <c r="Y20" s="192"/>
      <c r="Z20" s="383"/>
      <c r="AA20" s="192"/>
      <c r="AB20" s="383"/>
      <c r="AC20" s="192"/>
      <c r="AD20" s="383"/>
      <c r="AE20" s="192"/>
      <c r="AF20" s="383"/>
      <c r="AG20" s="192"/>
      <c r="AH20" s="383"/>
      <c r="AI20" s="192"/>
      <c r="AJ20" s="383"/>
      <c r="AK20" s="192"/>
      <c r="AL20" s="384"/>
      <c r="AM20" s="4605"/>
      <c r="AN20" s="594"/>
      <c r="AO20" s="594"/>
      <c r="AP20" s="376"/>
      <c r="AQ20" s="4605"/>
      <c r="AR20" s="4602"/>
      <c r="AS20" s="1348"/>
      <c r="AT20" s="1898" t="str">
        <f>CA20&amp;CB20&amp;CC20&amp;CD20</f>
        <v/>
      </c>
      <c r="BY20" s="1970"/>
      <c r="BZ20" s="1970"/>
      <c r="CA20" s="1899" t="str">
        <f>IF(AM20+AN20+AO20+AP20&lt;&gt;$B20,"* La suma de "&amp;AM$10&amp;""&amp;" no puede ser distinto del Total Ambos Sexos. ","")</f>
        <v/>
      </c>
      <c r="CB20" s="1899" t="str">
        <f t="shared" si="5"/>
        <v/>
      </c>
      <c r="CC20" s="1899" t="str">
        <f t="shared" si="6"/>
        <v/>
      </c>
      <c r="CD20" s="1899" t="str">
        <f t="shared" si="7"/>
        <v/>
      </c>
      <c r="CE20" s="1970"/>
      <c r="CL20" s="1970"/>
      <c r="CM20" s="3026">
        <f t="shared" ref="CM20:CM24" si="13">IF(AM20+AN20+AO20+AP20&lt;&gt;$B20,1,0)</f>
        <v>0</v>
      </c>
      <c r="CN20" s="4005">
        <f t="shared" ref="CN20:CN24" si="14">IF(AND($B20&lt;&gt;0,AQ20=""),1,IF(AQ20&gt;$B20,1,0))</f>
        <v>0</v>
      </c>
      <c r="CO20" s="4005">
        <f t="shared" ref="CO20:CO23" si="15">IF(AND($B20&lt;&gt;0,AR20=""),1,IF(AR20&gt;$B20,1,0))</f>
        <v>0</v>
      </c>
      <c r="CP20" s="4005">
        <f t="shared" ref="CP20:CP24" si="16">IF(AND($B20&lt;&gt;0,AS20=""),1,IF(AS20&gt;$B20,1,0))</f>
        <v>0</v>
      </c>
      <c r="CQ20"/>
    </row>
    <row r="21" spans="1:113" ht="15" customHeight="1" x14ac:dyDescent="0.3">
      <c r="A21" s="1015" t="s">
        <v>1022</v>
      </c>
      <c r="B21" s="4993">
        <f t="shared" si="0"/>
        <v>0</v>
      </c>
      <c r="C21" s="1195">
        <f t="shared" si="1"/>
        <v>0</v>
      </c>
      <c r="D21" s="3144">
        <f t="shared" si="2"/>
        <v>0</v>
      </c>
      <c r="E21" s="1114"/>
      <c r="F21" s="1115"/>
      <c r="G21" s="1114"/>
      <c r="H21" s="1118"/>
      <c r="I21" s="1114"/>
      <c r="J21" s="1118"/>
      <c r="K21" s="1114"/>
      <c r="L21" s="1118"/>
      <c r="M21" s="1114"/>
      <c r="N21" s="1118"/>
      <c r="O21" s="1114"/>
      <c r="P21" s="1118"/>
      <c r="Q21" s="1114"/>
      <c r="R21" s="1118"/>
      <c r="S21" s="1114"/>
      <c r="T21" s="1118"/>
      <c r="U21" s="1114"/>
      <c r="V21" s="1118"/>
      <c r="W21" s="1114"/>
      <c r="X21" s="1118"/>
      <c r="Y21" s="1114"/>
      <c r="Z21" s="1118"/>
      <c r="AA21" s="1114"/>
      <c r="AB21" s="1118"/>
      <c r="AC21" s="1114"/>
      <c r="AD21" s="1118"/>
      <c r="AE21" s="1114"/>
      <c r="AF21" s="1118"/>
      <c r="AG21" s="1114"/>
      <c r="AH21" s="1118"/>
      <c r="AI21" s="1114"/>
      <c r="AJ21" s="1118"/>
      <c r="AK21" s="1114"/>
      <c r="AL21" s="1120"/>
      <c r="AM21" s="1326"/>
      <c r="AN21" s="1278"/>
      <c r="AO21" s="1278"/>
      <c r="AP21" s="1322"/>
      <c r="AQ21" s="1326"/>
      <c r="AR21" s="1278"/>
      <c r="AS21" s="1115"/>
      <c r="AT21" s="1898" t="str">
        <f>CA21&amp;CB21&amp;CC21&amp;CD21</f>
        <v/>
      </c>
      <c r="BY21" s="1970"/>
      <c r="BZ21" s="1970"/>
      <c r="CA21" s="1899" t="str">
        <f t="shared" si="4"/>
        <v/>
      </c>
      <c r="CB21" s="1899" t="str">
        <f t="shared" si="5"/>
        <v/>
      </c>
      <c r="CC21" s="1899" t="str">
        <f t="shared" si="6"/>
        <v/>
      </c>
      <c r="CD21" s="1899" t="str">
        <f t="shared" si="7"/>
        <v/>
      </c>
      <c r="CE21" s="1970"/>
      <c r="CL21" s="1970"/>
      <c r="CM21" s="3026">
        <f t="shared" si="13"/>
        <v>0</v>
      </c>
      <c r="CN21" s="4005">
        <f t="shared" si="14"/>
        <v>0</v>
      </c>
      <c r="CO21" s="4005">
        <f t="shared" si="15"/>
        <v>0</v>
      </c>
      <c r="CP21" s="4005">
        <f t="shared" si="16"/>
        <v>0</v>
      </c>
      <c r="CQ21"/>
    </row>
    <row r="22" spans="1:113" ht="15" customHeight="1" x14ac:dyDescent="0.3">
      <c r="A22" s="205" t="s">
        <v>990</v>
      </c>
      <c r="B22" s="3056">
        <f t="shared" si="0"/>
        <v>0</v>
      </c>
      <c r="C22" s="4997">
        <f t="shared" si="1"/>
        <v>0</v>
      </c>
      <c r="D22" s="2430">
        <f t="shared" si="2"/>
        <v>0</v>
      </c>
      <c r="E22" s="47"/>
      <c r="F22" s="42"/>
      <c r="G22" s="47"/>
      <c r="H22" s="95"/>
      <c r="I22" s="47"/>
      <c r="J22" s="95"/>
      <c r="K22" s="47"/>
      <c r="L22" s="95"/>
      <c r="M22" s="47"/>
      <c r="N22" s="95"/>
      <c r="O22" s="47"/>
      <c r="P22" s="95"/>
      <c r="Q22" s="47"/>
      <c r="R22" s="95"/>
      <c r="S22" s="47"/>
      <c r="T22" s="95"/>
      <c r="U22" s="47"/>
      <c r="V22" s="95"/>
      <c r="W22" s="47"/>
      <c r="X22" s="95"/>
      <c r="Y22" s="47"/>
      <c r="Z22" s="95"/>
      <c r="AA22" s="47"/>
      <c r="AB22" s="95"/>
      <c r="AC22" s="47"/>
      <c r="AD22" s="95"/>
      <c r="AE22" s="47"/>
      <c r="AF22" s="95"/>
      <c r="AG22" s="47"/>
      <c r="AH22" s="95"/>
      <c r="AI22" s="47"/>
      <c r="AJ22" s="95"/>
      <c r="AK22" s="47"/>
      <c r="AL22" s="4612"/>
      <c r="AM22" s="74"/>
      <c r="AN22" s="242"/>
      <c r="AO22" s="242"/>
      <c r="AP22" s="75"/>
      <c r="AQ22" s="74"/>
      <c r="AR22" s="242"/>
      <c r="AS22" s="42"/>
      <c r="AT22" s="1898" t="str">
        <f>CA22&amp;CB22&amp;CC22&amp;CD22</f>
        <v/>
      </c>
      <c r="BY22" s="1970"/>
      <c r="BZ22" s="1970"/>
      <c r="CA22" s="1899" t="str">
        <f t="shared" si="4"/>
        <v/>
      </c>
      <c r="CB22" s="1899" t="str">
        <f t="shared" si="5"/>
        <v/>
      </c>
      <c r="CC22" s="1899" t="str">
        <f t="shared" si="6"/>
        <v/>
      </c>
      <c r="CD22" s="1899" t="str">
        <f t="shared" si="7"/>
        <v/>
      </c>
      <c r="CE22" s="1970"/>
      <c r="CL22" s="1970"/>
      <c r="CM22" s="3026">
        <f t="shared" si="13"/>
        <v>0</v>
      </c>
      <c r="CN22" s="4005">
        <f t="shared" si="14"/>
        <v>0</v>
      </c>
      <c r="CO22" s="4005">
        <f t="shared" si="15"/>
        <v>0</v>
      </c>
      <c r="CP22" s="4005">
        <f t="shared" si="16"/>
        <v>0</v>
      </c>
      <c r="CQ22"/>
    </row>
    <row r="23" spans="1:113" ht="15" customHeight="1" x14ac:dyDescent="0.3">
      <c r="A23" s="4998" t="s">
        <v>3315</v>
      </c>
      <c r="B23" s="4993">
        <f t="shared" si="0"/>
        <v>0</v>
      </c>
      <c r="C23" s="1195">
        <f t="shared" si="1"/>
        <v>0</v>
      </c>
      <c r="D23" s="3144">
        <f t="shared" si="2"/>
        <v>0</v>
      </c>
      <c r="E23" s="1114"/>
      <c r="F23" s="1115"/>
      <c r="G23" s="1114"/>
      <c r="H23" s="1118"/>
      <c r="I23" s="1114"/>
      <c r="J23" s="1118"/>
      <c r="K23" s="1114"/>
      <c r="L23" s="1118"/>
      <c r="M23" s="1114"/>
      <c r="N23" s="1118"/>
      <c r="O23" s="1114"/>
      <c r="P23" s="1118"/>
      <c r="Q23" s="1114"/>
      <c r="R23" s="1118"/>
      <c r="S23" s="1114"/>
      <c r="T23" s="1118"/>
      <c r="U23" s="1114"/>
      <c r="V23" s="1118"/>
      <c r="W23" s="1114"/>
      <c r="X23" s="1118"/>
      <c r="Y23" s="1114"/>
      <c r="Z23" s="1118"/>
      <c r="AA23" s="1114"/>
      <c r="AB23" s="1118"/>
      <c r="AC23" s="1114"/>
      <c r="AD23" s="1118"/>
      <c r="AE23" s="1114"/>
      <c r="AF23" s="1118"/>
      <c r="AG23" s="1114"/>
      <c r="AH23" s="1118"/>
      <c r="AI23" s="1114"/>
      <c r="AJ23" s="1118"/>
      <c r="AK23" s="1114"/>
      <c r="AL23" s="1120"/>
      <c r="AM23" s="1326"/>
      <c r="AN23" s="1278"/>
      <c r="AO23" s="1278"/>
      <c r="AP23" s="1322"/>
      <c r="AQ23" s="1326"/>
      <c r="AR23" s="1278"/>
      <c r="AS23" s="1115"/>
      <c r="AT23" s="1898" t="str">
        <f>CA23&amp;CB23&amp;CC23&amp;CD23</f>
        <v/>
      </c>
      <c r="BY23" s="1970"/>
      <c r="BZ23" s="1970"/>
      <c r="CA23" s="1899" t="str">
        <f t="shared" si="4"/>
        <v/>
      </c>
      <c r="CB23" s="1899" t="str">
        <f t="shared" si="5"/>
        <v/>
      </c>
      <c r="CC23" s="1899" t="str">
        <f t="shared" si="6"/>
        <v/>
      </c>
      <c r="CD23" s="1899" t="str">
        <f t="shared" si="7"/>
        <v/>
      </c>
      <c r="CE23" s="1970"/>
      <c r="CL23" s="1970"/>
      <c r="CM23" s="3026">
        <f t="shared" si="13"/>
        <v>0</v>
      </c>
      <c r="CN23" s="4005">
        <f t="shared" si="14"/>
        <v>0</v>
      </c>
      <c r="CO23" s="4005">
        <f t="shared" si="15"/>
        <v>0</v>
      </c>
      <c r="CP23" s="4005">
        <f t="shared" si="16"/>
        <v>0</v>
      </c>
      <c r="CQ23"/>
    </row>
    <row r="24" spans="1:113" ht="15" customHeight="1" x14ac:dyDescent="0.3">
      <c r="A24" s="1028" t="s">
        <v>3316</v>
      </c>
      <c r="B24" s="1230">
        <f t="shared" si="0"/>
        <v>0</v>
      </c>
      <c r="C24" s="1197">
        <f t="shared" si="1"/>
        <v>0</v>
      </c>
      <c r="D24" s="3497">
        <f t="shared" si="2"/>
        <v>0</v>
      </c>
      <c r="E24" s="1289"/>
      <c r="F24" s="1474"/>
      <c r="G24" s="1289"/>
      <c r="H24" s="311"/>
      <c r="I24" s="1289"/>
      <c r="J24" s="311"/>
      <c r="K24" s="1289"/>
      <c r="L24" s="311"/>
      <c r="M24" s="1289"/>
      <c r="N24" s="311"/>
      <c r="O24" s="1289"/>
      <c r="P24" s="311"/>
      <c r="Q24" s="1289"/>
      <c r="R24" s="311"/>
      <c r="S24" s="1289"/>
      <c r="T24" s="311"/>
      <c r="U24" s="1289"/>
      <c r="V24" s="311"/>
      <c r="W24" s="1289"/>
      <c r="X24" s="311"/>
      <c r="Y24" s="1289"/>
      <c r="Z24" s="311"/>
      <c r="AA24" s="1289"/>
      <c r="AB24" s="311"/>
      <c r="AC24" s="1289"/>
      <c r="AD24" s="311"/>
      <c r="AE24" s="1289"/>
      <c r="AF24" s="311"/>
      <c r="AG24" s="1289"/>
      <c r="AH24" s="311"/>
      <c r="AI24" s="1289"/>
      <c r="AJ24" s="311"/>
      <c r="AK24" s="1289"/>
      <c r="AL24" s="297"/>
      <c r="AM24" s="266"/>
      <c r="AN24" s="262"/>
      <c r="AO24" s="262"/>
      <c r="AP24" s="1475"/>
      <c r="AQ24" s="266"/>
      <c r="AR24" s="262"/>
      <c r="AS24" s="1474"/>
      <c r="AT24" s="1898" t="str">
        <f>CA24&amp;CB24&amp;CC24&amp;CD24</f>
        <v/>
      </c>
      <c r="BY24" s="1970"/>
      <c r="BZ24" s="1970"/>
      <c r="CA24" s="1899" t="str">
        <f t="shared" si="4"/>
        <v/>
      </c>
      <c r="CB24" s="1899" t="str">
        <f t="shared" si="5"/>
        <v/>
      </c>
      <c r="CC24" s="1899" t="str">
        <f t="shared" si="6"/>
        <v/>
      </c>
      <c r="CD24" s="1899" t="str">
        <f t="shared" si="7"/>
        <v/>
      </c>
      <c r="CE24" s="1970"/>
      <c r="CL24" s="1970"/>
      <c r="CM24" s="3026">
        <f t="shared" si="13"/>
        <v>0</v>
      </c>
      <c r="CN24" s="4005">
        <f t="shared" si="14"/>
        <v>0</v>
      </c>
      <c r="CO24" s="4005">
        <f>IF(AND($B24&lt;&gt;0,AR24=""),1,IF(AR24&gt;$B24,1,0))</f>
        <v>0</v>
      </c>
      <c r="CP24" s="4005">
        <f t="shared" si="16"/>
        <v>0</v>
      </c>
      <c r="CQ24"/>
    </row>
    <row r="25" spans="1:113" ht="18" customHeight="1" x14ac:dyDescent="0.3">
      <c r="A25" s="3112" t="s">
        <v>3317</v>
      </c>
      <c r="B25" s="298"/>
      <c r="C25" s="8"/>
      <c r="D25" s="6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</row>
    <row r="26" spans="1:113" x14ac:dyDescent="0.3">
      <c r="A26" s="7406" t="s">
        <v>3318</v>
      </c>
      <c r="B26" s="7403" t="s">
        <v>77</v>
      </c>
      <c r="C26" s="7404"/>
      <c r="D26" s="6518"/>
      <c r="E26" s="7023" t="s">
        <v>101</v>
      </c>
      <c r="F26" s="7030"/>
      <c r="G26" s="7030"/>
      <c r="H26" s="7030"/>
      <c r="I26" s="7030"/>
      <c r="J26" s="7030"/>
      <c r="K26" s="7030"/>
      <c r="L26" s="7030"/>
      <c r="M26" s="7030"/>
      <c r="N26" s="7030"/>
      <c r="O26" s="7030"/>
      <c r="P26" s="7030"/>
      <c r="Q26" s="7030"/>
      <c r="R26" s="7030"/>
      <c r="S26" s="7030"/>
      <c r="T26" s="7030"/>
      <c r="U26" s="7030"/>
      <c r="V26" s="7030"/>
      <c r="W26" s="7030"/>
      <c r="X26" s="7030"/>
      <c r="Y26" s="7030"/>
      <c r="Z26" s="7030"/>
      <c r="AA26" s="7030"/>
      <c r="AB26" s="7030"/>
      <c r="AC26" s="7030"/>
      <c r="AD26" s="7030"/>
      <c r="AE26" s="7030"/>
      <c r="AF26" s="7030"/>
      <c r="AG26" s="7030"/>
      <c r="AH26" s="7030"/>
      <c r="AI26" s="7030"/>
      <c r="AJ26" s="7030"/>
      <c r="AK26" s="7030"/>
      <c r="AL26" s="7071"/>
      <c r="AM26" s="6975" t="s">
        <v>3319</v>
      </c>
      <c r="AN26" s="7030"/>
      <c r="AO26" s="7030"/>
      <c r="AP26" s="6976"/>
      <c r="BZ26" s="25"/>
      <c r="DI26"/>
    </row>
    <row r="27" spans="1:113" ht="15" customHeight="1" x14ac:dyDescent="0.3">
      <c r="A27" s="6063"/>
      <c r="B27" s="7392"/>
      <c r="C27" s="6467"/>
      <c r="D27" s="6687"/>
      <c r="E27" s="6989" t="s">
        <v>1334</v>
      </c>
      <c r="F27" s="7078"/>
      <c r="G27" s="6989" t="s">
        <v>1335</v>
      </c>
      <c r="H27" s="7078"/>
      <c r="I27" s="6989" t="s">
        <v>1389</v>
      </c>
      <c r="J27" s="7078"/>
      <c r="K27" s="6989" t="s">
        <v>3320</v>
      </c>
      <c r="L27" s="7078"/>
      <c r="M27" s="6989" t="s">
        <v>3321</v>
      </c>
      <c r="N27" s="7078"/>
      <c r="O27" s="6989" t="s">
        <v>3322</v>
      </c>
      <c r="P27" s="7078"/>
      <c r="Q27" s="6989" t="s">
        <v>3323</v>
      </c>
      <c r="R27" s="7078"/>
      <c r="S27" s="6989" t="s">
        <v>1394</v>
      </c>
      <c r="T27" s="7078"/>
      <c r="U27" s="6989" t="s">
        <v>1395</v>
      </c>
      <c r="V27" s="7078"/>
      <c r="W27" s="6989" t="s">
        <v>3324</v>
      </c>
      <c r="X27" s="7078"/>
      <c r="Y27" s="6989" t="s">
        <v>1397</v>
      </c>
      <c r="Z27" s="7078"/>
      <c r="AA27" s="6989" t="s">
        <v>1398</v>
      </c>
      <c r="AB27" s="7078"/>
      <c r="AC27" s="6989" t="s">
        <v>1399</v>
      </c>
      <c r="AD27" s="7078"/>
      <c r="AE27" s="6989" t="s">
        <v>1400</v>
      </c>
      <c r="AF27" s="7078"/>
      <c r="AG27" s="6989" t="s">
        <v>1401</v>
      </c>
      <c r="AH27" s="7078"/>
      <c r="AI27" s="6989" t="s">
        <v>1402</v>
      </c>
      <c r="AJ27" s="7078"/>
      <c r="AK27" s="7023" t="s">
        <v>57</v>
      </c>
      <c r="AL27" s="7030"/>
      <c r="AM27" s="6938" t="s">
        <v>3325</v>
      </c>
      <c r="AN27" s="6850" t="s">
        <v>3306</v>
      </c>
      <c r="AO27" s="6118" t="s">
        <v>3307</v>
      </c>
      <c r="AP27" s="5798" t="s">
        <v>3308</v>
      </c>
      <c r="BZ27" s="25"/>
      <c r="DI27"/>
    </row>
    <row r="28" spans="1:113" x14ac:dyDescent="0.3">
      <c r="A28" s="6645"/>
      <c r="B28" s="1313" t="s">
        <v>79</v>
      </c>
      <c r="C28" s="1135" t="s">
        <v>58</v>
      </c>
      <c r="D28" s="1092" t="s">
        <v>59</v>
      </c>
      <c r="E28" s="1313" t="s">
        <v>58</v>
      </c>
      <c r="F28" s="1092" t="s">
        <v>59</v>
      </c>
      <c r="G28" s="1313" t="s">
        <v>58</v>
      </c>
      <c r="H28" s="1092" t="s">
        <v>59</v>
      </c>
      <c r="I28" s="1313" t="s">
        <v>58</v>
      </c>
      <c r="J28" s="1092" t="s">
        <v>59</v>
      </c>
      <c r="K28" s="1313" t="s">
        <v>58</v>
      </c>
      <c r="L28" s="1092" t="s">
        <v>59</v>
      </c>
      <c r="M28" s="1135" t="s">
        <v>58</v>
      </c>
      <c r="N28" s="1092" t="s">
        <v>59</v>
      </c>
      <c r="O28" s="1313" t="s">
        <v>58</v>
      </c>
      <c r="P28" s="1092" t="s">
        <v>59</v>
      </c>
      <c r="Q28" s="1313" t="s">
        <v>58</v>
      </c>
      <c r="R28" s="1092" t="s">
        <v>59</v>
      </c>
      <c r="S28" s="1313" t="s">
        <v>58</v>
      </c>
      <c r="T28" s="1092" t="s">
        <v>59</v>
      </c>
      <c r="U28" s="1313" t="s">
        <v>58</v>
      </c>
      <c r="V28" s="1092" t="s">
        <v>59</v>
      </c>
      <c r="W28" s="1313" t="s">
        <v>58</v>
      </c>
      <c r="X28" s="1092" t="s">
        <v>59</v>
      </c>
      <c r="Y28" s="1313" t="s">
        <v>58</v>
      </c>
      <c r="Z28" s="1092" t="s">
        <v>59</v>
      </c>
      <c r="AA28" s="1313" t="s">
        <v>58</v>
      </c>
      <c r="AB28" s="1092" t="s">
        <v>59</v>
      </c>
      <c r="AC28" s="1313" t="s">
        <v>58</v>
      </c>
      <c r="AD28" s="1092" t="s">
        <v>59</v>
      </c>
      <c r="AE28" s="1313" t="s">
        <v>58</v>
      </c>
      <c r="AF28" s="1092" t="s">
        <v>59</v>
      </c>
      <c r="AG28" s="1313" t="s">
        <v>58</v>
      </c>
      <c r="AH28" s="1092" t="s">
        <v>59</v>
      </c>
      <c r="AI28" s="1313" t="s">
        <v>58</v>
      </c>
      <c r="AJ28" s="1092" t="s">
        <v>59</v>
      </c>
      <c r="AK28" s="1313" t="s">
        <v>58</v>
      </c>
      <c r="AL28" s="1101" t="s">
        <v>59</v>
      </c>
      <c r="AM28" s="6669"/>
      <c r="AN28" s="7405"/>
      <c r="AO28" s="5818"/>
      <c r="AP28" s="5799"/>
      <c r="BZ28" s="25"/>
      <c r="CM28" s="4999">
        <f>IF(B29&lt;&gt;SUM(B30:B50),1,0)</f>
        <v>0</v>
      </c>
      <c r="DI28"/>
    </row>
    <row r="29" spans="1:113" x14ac:dyDescent="0.3">
      <c r="A29" s="1592" t="s">
        <v>3326</v>
      </c>
      <c r="B29" s="1558">
        <f>SUM(C29:D29)</f>
        <v>0</v>
      </c>
      <c r="C29" s="1559">
        <f>+E29+G29+I29+K29+M29+O29+Q29+S29+U29+W29+Y29+AA29+AC29+AE29+AG29+AI29+AK29</f>
        <v>0</v>
      </c>
      <c r="D29" s="1560">
        <f>+F29+H29+J29+L29+N29+P29+R29+T29+V29+X29+Z29+AB29+AD29+AF29+AH29+AJ29+AL29</f>
        <v>0</v>
      </c>
      <c r="E29" s="5000"/>
      <c r="F29" s="5001"/>
      <c r="G29" s="5000"/>
      <c r="H29" s="4721"/>
      <c r="I29" s="5000"/>
      <c r="J29" s="4721"/>
      <c r="K29" s="5000"/>
      <c r="L29" s="5001"/>
      <c r="M29" s="5002"/>
      <c r="N29" s="4721"/>
      <c r="O29" s="5002"/>
      <c r="P29" s="4721"/>
      <c r="Q29" s="5002"/>
      <c r="R29" s="4721"/>
      <c r="S29" s="5002"/>
      <c r="T29" s="4721"/>
      <c r="U29" s="5002"/>
      <c r="V29" s="4721"/>
      <c r="W29" s="5002"/>
      <c r="X29" s="4721"/>
      <c r="Y29" s="5002"/>
      <c r="Z29" s="4721"/>
      <c r="AA29" s="5002"/>
      <c r="AB29" s="4721"/>
      <c r="AC29" s="5002"/>
      <c r="AD29" s="4721"/>
      <c r="AE29" s="5002"/>
      <c r="AF29" s="4721"/>
      <c r="AG29" s="5002"/>
      <c r="AH29" s="4721"/>
      <c r="AI29" s="5002"/>
      <c r="AJ29" s="4721"/>
      <c r="AK29" s="5002"/>
      <c r="AL29" s="5003"/>
      <c r="AM29" s="5004"/>
      <c r="AN29" s="5002"/>
      <c r="AO29" s="5002"/>
      <c r="AP29" s="4721"/>
      <c r="AQ29" s="1898" t="str">
        <f>CB29&amp;CA29&amp;CC29&amp;CD29&amp;CE29&amp;CF29</f>
        <v/>
      </c>
      <c r="BV29" s="1970"/>
      <c r="BW29" s="1970"/>
      <c r="BX29" s="1970"/>
      <c r="BY29" s="1970"/>
      <c r="CA29" s="4191" t="str">
        <f>IF(CM28=1,"* Existen Condiciones de Salud que son mayores al Total de Ingreso (N° Personas). ","")</f>
        <v/>
      </c>
      <c r="CB29" s="4191" t="str">
        <f>IF(CM29=1," * El total de Ingresos debe ser igual a la suma de los Tipos de Estrategia. ","")</f>
        <v/>
      </c>
      <c r="CC29" s="5005" t="str">
        <f>IF(CN29=1,"* Existen Condiciones de Salud en la variable Rehabilitación NNA que son Mayores a los Ingreso (N° Personas). ","")</f>
        <v/>
      </c>
      <c r="CD29" s="5005" t="str">
        <f>IF(CO29=1,"* Existen Condiciones de Salud en la variable Rehabilitación Integral APS que son Mayores a los Ingreso (N° Personas). ","")</f>
        <v/>
      </c>
      <c r="CE29" s="5005" t="str">
        <f>IF(CP29=1,"* Existen Condiciones de Salud en la variable Otros Rehabilitación que son Mayores a los Ingreso (N° Personas). ","")</f>
        <v/>
      </c>
      <c r="CF29" s="5005" t="str">
        <f>IF(CQ29=1,"* Existen Condiciones de Salud en la variable Rehabilitación móvil (rural) que son Mayores a los Ingreso (N° Personas). ","")</f>
        <v/>
      </c>
      <c r="CL29"/>
      <c r="CM29" s="4005">
        <f>IF(SUM(AM29:AP29)=B29,0,1)</f>
        <v>0</v>
      </c>
      <c r="CN29" s="4005">
        <f>IF($AM29&lt;MAX($AM30:$AM50),1,0)</f>
        <v>0</v>
      </c>
      <c r="CO29" s="4005">
        <f>IF(AN29&lt;MAX(AN30:AN50),1,0)</f>
        <v>0</v>
      </c>
      <c r="CP29" s="4005">
        <f>IF(AO29&lt;MAX(AO30:AO50),1,0)</f>
        <v>0</v>
      </c>
      <c r="CQ29" s="4005">
        <f>IF(AP29&lt;MAX(AP30:AP50),1,0)</f>
        <v>0</v>
      </c>
      <c r="DH29"/>
      <c r="DI29"/>
    </row>
    <row r="30" spans="1:113" x14ac:dyDescent="0.3">
      <c r="A30" s="5006" t="s">
        <v>3327</v>
      </c>
      <c r="B30" s="362">
        <f>SUM(C30:D30)</f>
        <v>0</v>
      </c>
      <c r="C30" s="952">
        <f t="shared" ref="C30:D51" si="17">+E30+G30+I30+K30+M30+O30+Q30+S30+U30+W30+Y30+AA30+AC30+AE30+AG30+AI30+AK30</f>
        <v>0</v>
      </c>
      <c r="D30" s="953">
        <f t="shared" si="17"/>
        <v>0</v>
      </c>
      <c r="E30" s="327"/>
      <c r="F30" s="905"/>
      <c r="G30" s="327"/>
      <c r="H30" s="142"/>
      <c r="I30" s="327"/>
      <c r="J30" s="142"/>
      <c r="K30" s="327"/>
      <c r="L30" s="905"/>
      <c r="M30" s="44"/>
      <c r="N30" s="142"/>
      <c r="O30" s="44"/>
      <c r="P30" s="142"/>
      <c r="Q30" s="44"/>
      <c r="R30" s="142"/>
      <c r="S30" s="44"/>
      <c r="T30" s="142"/>
      <c r="U30" s="44"/>
      <c r="V30" s="142"/>
      <c r="W30" s="44"/>
      <c r="X30" s="142"/>
      <c r="Y30" s="44"/>
      <c r="Z30" s="142"/>
      <c r="AA30" s="44"/>
      <c r="AB30" s="142"/>
      <c r="AC30" s="44"/>
      <c r="AD30" s="142"/>
      <c r="AE30" s="44"/>
      <c r="AF30" s="142"/>
      <c r="AG30" s="44"/>
      <c r="AH30" s="142"/>
      <c r="AI30" s="44"/>
      <c r="AJ30" s="142"/>
      <c r="AK30" s="44"/>
      <c r="AL30" s="45"/>
      <c r="AM30" s="2069"/>
      <c r="AN30" s="44"/>
      <c r="AO30" s="44"/>
      <c r="AP30" s="142"/>
      <c r="AQ30" s="1898" t="str">
        <f>CA30&amp;CB30&amp;CC30&amp;CD30&amp;CE30&amp;CF30</f>
        <v/>
      </c>
      <c r="BV30" s="1970"/>
      <c r="BW30" s="1970"/>
      <c r="BX30" s="1970"/>
      <c r="BY30" s="1970"/>
      <c r="CA30" s="1970"/>
      <c r="CB30" s="4191" t="str">
        <f>IF(CM30=1," * El total de Ingresos debe ser igual a la suma de los Tipos de Estrategia. ","")</f>
        <v/>
      </c>
      <c r="CC30" s="88"/>
      <c r="CD30" s="88"/>
      <c r="CE30" s="88"/>
      <c r="CF30" s="88"/>
      <c r="CL30"/>
      <c r="CM30" s="4005">
        <f t="shared" ref="CM30:CM51" si="18">IF(SUM(AM30:AP30)=B30,0,1)</f>
        <v>0</v>
      </c>
      <c r="CN30" s="1970"/>
      <c r="CO30" s="1970"/>
      <c r="CP30" s="1970"/>
      <c r="DH30"/>
      <c r="DI30"/>
    </row>
    <row r="31" spans="1:113" x14ac:dyDescent="0.3">
      <c r="A31" s="5006" t="s">
        <v>3328</v>
      </c>
      <c r="B31" s="5007">
        <f t="shared" ref="B31:B50" si="19">SUM(C31:D31)</f>
        <v>0</v>
      </c>
      <c r="C31" s="963">
        <f t="shared" si="17"/>
        <v>0</v>
      </c>
      <c r="D31" s="964">
        <f t="shared" si="17"/>
        <v>0</v>
      </c>
      <c r="E31" s="965"/>
      <c r="F31" s="967"/>
      <c r="G31" s="965"/>
      <c r="H31" s="966"/>
      <c r="I31" s="965"/>
      <c r="J31" s="966"/>
      <c r="K31" s="965"/>
      <c r="L31" s="967"/>
      <c r="M31" s="968"/>
      <c r="N31" s="966"/>
      <c r="O31" s="968"/>
      <c r="P31" s="966"/>
      <c r="Q31" s="968"/>
      <c r="R31" s="966"/>
      <c r="S31" s="968"/>
      <c r="T31" s="966"/>
      <c r="U31" s="968"/>
      <c r="V31" s="966"/>
      <c r="W31" s="968"/>
      <c r="X31" s="966"/>
      <c r="Y31" s="968"/>
      <c r="Z31" s="966"/>
      <c r="AA31" s="968"/>
      <c r="AB31" s="966"/>
      <c r="AC31" s="968"/>
      <c r="AD31" s="966"/>
      <c r="AE31" s="968"/>
      <c r="AF31" s="966"/>
      <c r="AG31" s="968"/>
      <c r="AH31" s="966"/>
      <c r="AI31" s="968"/>
      <c r="AJ31" s="966"/>
      <c r="AK31" s="968"/>
      <c r="AL31" s="970"/>
      <c r="AM31" s="1180"/>
      <c r="AN31" s="968"/>
      <c r="AO31" s="968"/>
      <c r="AP31" s="966"/>
      <c r="AQ31" s="1898" t="str">
        <f t="shared" ref="AQ31:AQ48" si="20">CA31&amp;CB31</f>
        <v/>
      </c>
      <c r="BV31" s="1970"/>
      <c r="BW31" s="1970"/>
      <c r="BX31" s="1970"/>
      <c r="BY31" s="1970"/>
      <c r="CA31" s="1970"/>
      <c r="CB31" s="4191" t="str">
        <f t="shared" ref="CB31:CB51" si="21">IF(CM31=1," * El total de Ingresos debe ser igual a la suma de los Tipos de Estrategia. ","")</f>
        <v/>
      </c>
      <c r="CC31" s="88"/>
      <c r="CD31" s="88"/>
      <c r="CE31" s="88"/>
      <c r="CF31" s="88"/>
      <c r="CL31"/>
      <c r="CM31" s="4005">
        <f t="shared" si="18"/>
        <v>0</v>
      </c>
      <c r="CN31" s="3969"/>
      <c r="CO31" s="3969"/>
      <c r="CP31" s="3969"/>
      <c r="DH31"/>
      <c r="DI31"/>
    </row>
    <row r="32" spans="1:113" x14ac:dyDescent="0.3">
      <c r="A32" s="1325" t="s">
        <v>3329</v>
      </c>
      <c r="B32" s="4711">
        <f t="shared" si="19"/>
        <v>0</v>
      </c>
      <c r="C32" s="963">
        <f t="shared" si="17"/>
        <v>0</v>
      </c>
      <c r="D32" s="964">
        <f t="shared" si="17"/>
        <v>0</v>
      </c>
      <c r="E32" s="965"/>
      <c r="F32" s="967"/>
      <c r="G32" s="965"/>
      <c r="H32" s="966"/>
      <c r="I32" s="965"/>
      <c r="J32" s="966"/>
      <c r="K32" s="965"/>
      <c r="L32" s="967"/>
      <c r="M32" s="968"/>
      <c r="N32" s="966"/>
      <c r="O32" s="968"/>
      <c r="P32" s="966"/>
      <c r="Q32" s="968"/>
      <c r="R32" s="966"/>
      <c r="S32" s="968"/>
      <c r="T32" s="966"/>
      <c r="U32" s="968"/>
      <c r="V32" s="966"/>
      <c r="W32" s="968"/>
      <c r="X32" s="966"/>
      <c r="Y32" s="968"/>
      <c r="Z32" s="966"/>
      <c r="AA32" s="968"/>
      <c r="AB32" s="966"/>
      <c r="AC32" s="968"/>
      <c r="AD32" s="966"/>
      <c r="AE32" s="968"/>
      <c r="AF32" s="966"/>
      <c r="AG32" s="968"/>
      <c r="AH32" s="966"/>
      <c r="AI32" s="968"/>
      <c r="AJ32" s="966"/>
      <c r="AK32" s="968"/>
      <c r="AL32" s="970"/>
      <c r="AM32" s="1180"/>
      <c r="AN32" s="968"/>
      <c r="AO32" s="968"/>
      <c r="AP32" s="966"/>
      <c r="AQ32" s="1898" t="str">
        <f t="shared" si="20"/>
        <v/>
      </c>
      <c r="BV32" s="1970"/>
      <c r="BW32" s="1970"/>
      <c r="BX32" s="1970"/>
      <c r="BY32" s="1970"/>
      <c r="CA32" s="1970"/>
      <c r="CB32" s="4191" t="str">
        <f t="shared" si="21"/>
        <v/>
      </c>
      <c r="CC32" s="88"/>
      <c r="CD32" s="88"/>
      <c r="CE32" s="88"/>
      <c r="CF32" s="88"/>
      <c r="CL32"/>
      <c r="CM32" s="4005">
        <f t="shared" si="18"/>
        <v>0</v>
      </c>
      <c r="CN32" s="3969"/>
      <c r="CO32" s="3969"/>
      <c r="CP32" s="3969"/>
      <c r="DH32"/>
      <c r="DI32"/>
    </row>
    <row r="33" spans="1:113" x14ac:dyDescent="0.3">
      <c r="A33" s="1325" t="s">
        <v>3330</v>
      </c>
      <c r="B33" s="4711">
        <f t="shared" si="19"/>
        <v>0</v>
      </c>
      <c r="C33" s="963">
        <f t="shared" si="17"/>
        <v>0</v>
      </c>
      <c r="D33" s="964">
        <f t="shared" si="17"/>
        <v>0</v>
      </c>
      <c r="E33" s="965"/>
      <c r="F33" s="967"/>
      <c r="G33" s="965"/>
      <c r="H33" s="966"/>
      <c r="I33" s="965"/>
      <c r="J33" s="966"/>
      <c r="K33" s="965"/>
      <c r="L33" s="967"/>
      <c r="M33" s="968"/>
      <c r="N33" s="966"/>
      <c r="O33" s="968"/>
      <c r="P33" s="966"/>
      <c r="Q33" s="968"/>
      <c r="R33" s="966"/>
      <c r="S33" s="968"/>
      <c r="T33" s="966"/>
      <c r="U33" s="968"/>
      <c r="V33" s="966"/>
      <c r="W33" s="968"/>
      <c r="X33" s="966"/>
      <c r="Y33" s="968"/>
      <c r="Z33" s="966"/>
      <c r="AA33" s="968"/>
      <c r="AB33" s="966"/>
      <c r="AC33" s="968"/>
      <c r="AD33" s="966"/>
      <c r="AE33" s="968"/>
      <c r="AF33" s="966"/>
      <c r="AG33" s="968"/>
      <c r="AH33" s="966"/>
      <c r="AI33" s="968"/>
      <c r="AJ33" s="966"/>
      <c r="AK33" s="968"/>
      <c r="AL33" s="970"/>
      <c r="AM33" s="1180"/>
      <c r="AN33" s="968"/>
      <c r="AO33" s="968"/>
      <c r="AP33" s="966"/>
      <c r="AQ33" s="1898" t="str">
        <f t="shared" si="20"/>
        <v/>
      </c>
      <c r="BV33" s="1970"/>
      <c r="BW33" s="1970"/>
      <c r="BX33" s="1970"/>
      <c r="BY33" s="1970"/>
      <c r="CA33" s="1970"/>
      <c r="CB33" s="4191" t="str">
        <f t="shared" si="21"/>
        <v/>
      </c>
      <c r="CC33" s="88"/>
      <c r="CD33" s="88"/>
      <c r="CE33" s="88"/>
      <c r="CF33" s="88"/>
      <c r="CL33"/>
      <c r="CM33" s="4005">
        <f t="shared" si="18"/>
        <v>0</v>
      </c>
      <c r="CN33" s="3969"/>
      <c r="CO33" s="3969"/>
      <c r="CP33" s="3969"/>
      <c r="DH33"/>
      <c r="DI33"/>
    </row>
    <row r="34" spans="1:113" x14ac:dyDescent="0.3">
      <c r="A34" s="1325" t="s">
        <v>3331</v>
      </c>
      <c r="B34" s="4711">
        <f t="shared" si="19"/>
        <v>0</v>
      </c>
      <c r="C34" s="963">
        <f t="shared" si="17"/>
        <v>0</v>
      </c>
      <c r="D34" s="964">
        <f t="shared" si="17"/>
        <v>0</v>
      </c>
      <c r="E34" s="965"/>
      <c r="F34" s="967"/>
      <c r="G34" s="965"/>
      <c r="H34" s="966"/>
      <c r="I34" s="965"/>
      <c r="J34" s="966"/>
      <c r="K34" s="965"/>
      <c r="L34" s="967"/>
      <c r="M34" s="968"/>
      <c r="N34" s="966"/>
      <c r="O34" s="968"/>
      <c r="P34" s="966"/>
      <c r="Q34" s="968"/>
      <c r="R34" s="966"/>
      <c r="S34" s="968"/>
      <c r="T34" s="966"/>
      <c r="U34" s="968"/>
      <c r="V34" s="966"/>
      <c r="W34" s="968"/>
      <c r="X34" s="966"/>
      <c r="Y34" s="968"/>
      <c r="Z34" s="966"/>
      <c r="AA34" s="968"/>
      <c r="AB34" s="966"/>
      <c r="AC34" s="968"/>
      <c r="AD34" s="966"/>
      <c r="AE34" s="968"/>
      <c r="AF34" s="966"/>
      <c r="AG34" s="968"/>
      <c r="AH34" s="966"/>
      <c r="AI34" s="968"/>
      <c r="AJ34" s="966"/>
      <c r="AK34" s="968"/>
      <c r="AL34" s="970"/>
      <c r="AM34" s="1180"/>
      <c r="AN34" s="968"/>
      <c r="AO34" s="968"/>
      <c r="AP34" s="966"/>
      <c r="AQ34" s="1898" t="str">
        <f t="shared" si="20"/>
        <v/>
      </c>
      <c r="BV34" s="1970"/>
      <c r="BW34" s="1970"/>
      <c r="BX34" s="1970"/>
      <c r="BY34" s="1970"/>
      <c r="CA34" s="1970"/>
      <c r="CB34" s="4191" t="str">
        <f t="shared" si="21"/>
        <v/>
      </c>
      <c r="CC34" s="88"/>
      <c r="CD34" s="88"/>
      <c r="CE34" s="88"/>
      <c r="CF34" s="88"/>
      <c r="CL34"/>
      <c r="CM34" s="4005">
        <f t="shared" si="18"/>
        <v>0</v>
      </c>
      <c r="CN34" s="3969"/>
      <c r="CO34" s="3969"/>
      <c r="CP34" s="3969"/>
      <c r="DH34"/>
      <c r="DI34"/>
    </row>
    <row r="35" spans="1:113" x14ac:dyDescent="0.3">
      <c r="A35" s="1325" t="s">
        <v>3332</v>
      </c>
      <c r="B35" s="4711">
        <f t="shared" si="19"/>
        <v>0</v>
      </c>
      <c r="C35" s="963">
        <f t="shared" si="17"/>
        <v>0</v>
      </c>
      <c r="D35" s="964">
        <f t="shared" si="17"/>
        <v>0</v>
      </c>
      <c r="E35" s="965"/>
      <c r="F35" s="967"/>
      <c r="G35" s="965"/>
      <c r="H35" s="966"/>
      <c r="I35" s="965"/>
      <c r="J35" s="966"/>
      <c r="K35" s="965"/>
      <c r="L35" s="967"/>
      <c r="M35" s="968"/>
      <c r="N35" s="966"/>
      <c r="O35" s="968"/>
      <c r="P35" s="966"/>
      <c r="Q35" s="968"/>
      <c r="R35" s="966"/>
      <c r="S35" s="968"/>
      <c r="T35" s="966"/>
      <c r="U35" s="968"/>
      <c r="V35" s="966"/>
      <c r="W35" s="968"/>
      <c r="X35" s="966"/>
      <c r="Y35" s="968"/>
      <c r="Z35" s="966"/>
      <c r="AA35" s="968"/>
      <c r="AB35" s="966"/>
      <c r="AC35" s="968"/>
      <c r="AD35" s="966"/>
      <c r="AE35" s="968"/>
      <c r="AF35" s="966"/>
      <c r="AG35" s="968"/>
      <c r="AH35" s="966"/>
      <c r="AI35" s="968"/>
      <c r="AJ35" s="966"/>
      <c r="AK35" s="968"/>
      <c r="AL35" s="970"/>
      <c r="AM35" s="1180"/>
      <c r="AN35" s="968"/>
      <c r="AO35" s="968"/>
      <c r="AP35" s="966"/>
      <c r="AQ35" s="1898" t="str">
        <f t="shared" si="20"/>
        <v/>
      </c>
      <c r="BV35" s="1970"/>
      <c r="BW35" s="1970"/>
      <c r="BX35" s="1970"/>
      <c r="BY35" s="1970"/>
      <c r="CA35" s="1970"/>
      <c r="CB35" s="4191" t="str">
        <f t="shared" si="21"/>
        <v/>
      </c>
      <c r="CC35" s="88"/>
      <c r="CD35" s="88"/>
      <c r="CE35" s="88"/>
      <c r="CF35" s="88"/>
      <c r="CL35"/>
      <c r="CM35" s="4005">
        <f t="shared" si="18"/>
        <v>0</v>
      </c>
      <c r="CN35" s="3969"/>
      <c r="CO35" s="3969"/>
      <c r="CP35" s="3969"/>
      <c r="DH35"/>
      <c r="DI35"/>
    </row>
    <row r="36" spans="1:113" x14ac:dyDescent="0.3">
      <c r="A36" s="5008" t="s">
        <v>3333</v>
      </c>
      <c r="B36" s="5009">
        <f t="shared" si="19"/>
        <v>0</v>
      </c>
      <c r="C36" s="963">
        <f t="shared" si="17"/>
        <v>0</v>
      </c>
      <c r="D36" s="964">
        <f t="shared" si="17"/>
        <v>0</v>
      </c>
      <c r="E36" s="965"/>
      <c r="F36" s="967"/>
      <c r="G36" s="965"/>
      <c r="H36" s="966"/>
      <c r="I36" s="965"/>
      <c r="J36" s="966"/>
      <c r="K36" s="965"/>
      <c r="L36" s="967"/>
      <c r="M36" s="968"/>
      <c r="N36" s="966"/>
      <c r="O36" s="968"/>
      <c r="P36" s="966"/>
      <c r="Q36" s="968"/>
      <c r="R36" s="966"/>
      <c r="S36" s="968"/>
      <c r="T36" s="966"/>
      <c r="U36" s="968"/>
      <c r="V36" s="966"/>
      <c r="W36" s="968"/>
      <c r="X36" s="966"/>
      <c r="Y36" s="968"/>
      <c r="Z36" s="966"/>
      <c r="AA36" s="968"/>
      <c r="AB36" s="966"/>
      <c r="AC36" s="968"/>
      <c r="AD36" s="966"/>
      <c r="AE36" s="968"/>
      <c r="AF36" s="966"/>
      <c r="AG36" s="968"/>
      <c r="AH36" s="966"/>
      <c r="AI36" s="968"/>
      <c r="AJ36" s="966"/>
      <c r="AK36" s="968"/>
      <c r="AL36" s="970"/>
      <c r="AM36" s="1180"/>
      <c r="AN36" s="968"/>
      <c r="AO36" s="968"/>
      <c r="AP36" s="966"/>
      <c r="AQ36" s="1898" t="str">
        <f t="shared" si="20"/>
        <v/>
      </c>
      <c r="BV36" s="1970"/>
      <c r="BW36" s="1970"/>
      <c r="BX36" s="1970"/>
      <c r="BY36" s="1970"/>
      <c r="CA36" s="1970"/>
      <c r="CB36" s="4191" t="str">
        <f t="shared" si="21"/>
        <v/>
      </c>
      <c r="CC36" s="88"/>
      <c r="CD36" s="88"/>
      <c r="CE36" s="88"/>
      <c r="CF36" s="88"/>
      <c r="CL36"/>
      <c r="CM36" s="4005">
        <f t="shared" si="18"/>
        <v>0</v>
      </c>
      <c r="CN36" s="3969"/>
      <c r="CO36" s="3969"/>
      <c r="CP36" s="3969"/>
      <c r="DH36"/>
      <c r="DI36"/>
    </row>
    <row r="37" spans="1:113" x14ac:dyDescent="0.3">
      <c r="A37" s="1812" t="s">
        <v>3334</v>
      </c>
      <c r="B37" s="962">
        <f t="shared" si="19"/>
        <v>0</v>
      </c>
      <c r="C37" s="963">
        <f t="shared" si="17"/>
        <v>0</v>
      </c>
      <c r="D37" s="964">
        <f t="shared" si="17"/>
        <v>0</v>
      </c>
      <c r="E37" s="965"/>
      <c r="F37" s="967"/>
      <c r="G37" s="965"/>
      <c r="H37" s="966"/>
      <c r="I37" s="965"/>
      <c r="J37" s="966"/>
      <c r="K37" s="965"/>
      <c r="L37" s="967"/>
      <c r="M37" s="968"/>
      <c r="N37" s="966"/>
      <c r="O37" s="968"/>
      <c r="P37" s="966"/>
      <c r="Q37" s="968"/>
      <c r="R37" s="966"/>
      <c r="S37" s="968"/>
      <c r="T37" s="966"/>
      <c r="U37" s="968"/>
      <c r="V37" s="966"/>
      <c r="W37" s="968"/>
      <c r="X37" s="966"/>
      <c r="Y37" s="968"/>
      <c r="Z37" s="966"/>
      <c r="AA37" s="968"/>
      <c r="AB37" s="966"/>
      <c r="AC37" s="968"/>
      <c r="AD37" s="966"/>
      <c r="AE37" s="968"/>
      <c r="AF37" s="966"/>
      <c r="AG37" s="968"/>
      <c r="AH37" s="966"/>
      <c r="AI37" s="968"/>
      <c r="AJ37" s="966"/>
      <c r="AK37" s="968"/>
      <c r="AL37" s="970"/>
      <c r="AM37" s="1180"/>
      <c r="AN37" s="968"/>
      <c r="AO37" s="968"/>
      <c r="AP37" s="966"/>
      <c r="AQ37" s="1898" t="str">
        <f t="shared" si="20"/>
        <v/>
      </c>
      <c r="BV37" s="1970"/>
      <c r="BW37" s="1970"/>
      <c r="BX37" s="1970"/>
      <c r="BY37" s="1970"/>
      <c r="CA37" s="1970"/>
      <c r="CB37" s="4191" t="str">
        <f t="shared" si="21"/>
        <v/>
      </c>
      <c r="CC37" s="88"/>
      <c r="CD37" s="88"/>
      <c r="CE37" s="88"/>
      <c r="CF37" s="88"/>
      <c r="CL37"/>
      <c r="CM37" s="4005">
        <f t="shared" si="18"/>
        <v>0</v>
      </c>
      <c r="CN37" s="3969"/>
      <c r="CO37" s="3969"/>
      <c r="CP37" s="3969"/>
      <c r="DH37"/>
      <c r="DI37"/>
    </row>
    <row r="38" spans="1:113" x14ac:dyDescent="0.3">
      <c r="A38" s="1809" t="s">
        <v>3335</v>
      </c>
      <c r="B38" s="975">
        <f t="shared" si="19"/>
        <v>0</v>
      </c>
      <c r="C38" s="963">
        <f t="shared" si="17"/>
        <v>0</v>
      </c>
      <c r="D38" s="964">
        <f t="shared" si="17"/>
        <v>0</v>
      </c>
      <c r="E38" s="965"/>
      <c r="F38" s="967"/>
      <c r="G38" s="965"/>
      <c r="H38" s="966"/>
      <c r="I38" s="965"/>
      <c r="J38" s="966"/>
      <c r="K38" s="965"/>
      <c r="L38" s="967"/>
      <c r="M38" s="968"/>
      <c r="N38" s="966"/>
      <c r="O38" s="968"/>
      <c r="P38" s="966"/>
      <c r="Q38" s="968"/>
      <c r="R38" s="966"/>
      <c r="S38" s="968"/>
      <c r="T38" s="966"/>
      <c r="U38" s="968"/>
      <c r="V38" s="966"/>
      <c r="W38" s="968"/>
      <c r="X38" s="966"/>
      <c r="Y38" s="968"/>
      <c r="Z38" s="966"/>
      <c r="AA38" s="968"/>
      <c r="AB38" s="966"/>
      <c r="AC38" s="968"/>
      <c r="AD38" s="966"/>
      <c r="AE38" s="968"/>
      <c r="AF38" s="966"/>
      <c r="AG38" s="968"/>
      <c r="AH38" s="966"/>
      <c r="AI38" s="968"/>
      <c r="AJ38" s="966"/>
      <c r="AK38" s="968"/>
      <c r="AL38" s="970"/>
      <c r="AM38" s="1180"/>
      <c r="AN38" s="968"/>
      <c r="AO38" s="968"/>
      <c r="AP38" s="966"/>
      <c r="AQ38" s="1898" t="str">
        <f t="shared" si="20"/>
        <v/>
      </c>
      <c r="BV38" s="1970"/>
      <c r="BW38" s="1970"/>
      <c r="BX38" s="1970"/>
      <c r="BY38" s="1970"/>
      <c r="CA38" s="1970"/>
      <c r="CB38" s="4191" t="str">
        <f t="shared" si="21"/>
        <v/>
      </c>
      <c r="CC38" s="88"/>
      <c r="CD38" s="88"/>
      <c r="CE38" s="88"/>
      <c r="CF38" s="88"/>
      <c r="CL38"/>
      <c r="CM38" s="4005">
        <f t="shared" si="18"/>
        <v>0</v>
      </c>
      <c r="CN38" s="3969"/>
      <c r="CO38" s="3969"/>
      <c r="CP38" s="3969"/>
      <c r="DH38"/>
      <c r="DI38"/>
    </row>
    <row r="39" spans="1:113" x14ac:dyDescent="0.3">
      <c r="A39" s="1812" t="s">
        <v>3336</v>
      </c>
      <c r="B39" s="962">
        <f t="shared" si="19"/>
        <v>0</v>
      </c>
      <c r="C39" s="963">
        <f t="shared" si="17"/>
        <v>0</v>
      </c>
      <c r="D39" s="964">
        <f t="shared" si="17"/>
        <v>0</v>
      </c>
      <c r="E39" s="965"/>
      <c r="F39" s="967"/>
      <c r="G39" s="965"/>
      <c r="H39" s="966"/>
      <c r="I39" s="965"/>
      <c r="J39" s="966"/>
      <c r="K39" s="965"/>
      <c r="L39" s="967"/>
      <c r="M39" s="968"/>
      <c r="N39" s="966"/>
      <c r="O39" s="968"/>
      <c r="P39" s="966"/>
      <c r="Q39" s="968"/>
      <c r="R39" s="966"/>
      <c r="S39" s="968"/>
      <c r="T39" s="966"/>
      <c r="U39" s="968"/>
      <c r="V39" s="966"/>
      <c r="W39" s="968"/>
      <c r="X39" s="966"/>
      <c r="Y39" s="968"/>
      <c r="Z39" s="966"/>
      <c r="AA39" s="968"/>
      <c r="AB39" s="966"/>
      <c r="AC39" s="968"/>
      <c r="AD39" s="966"/>
      <c r="AE39" s="968"/>
      <c r="AF39" s="966"/>
      <c r="AG39" s="968"/>
      <c r="AH39" s="966"/>
      <c r="AI39" s="968"/>
      <c r="AJ39" s="966"/>
      <c r="AK39" s="968"/>
      <c r="AL39" s="970"/>
      <c r="AM39" s="1180"/>
      <c r="AN39" s="968"/>
      <c r="AO39" s="968"/>
      <c r="AP39" s="966"/>
      <c r="AQ39" s="1898" t="str">
        <f t="shared" si="20"/>
        <v/>
      </c>
      <c r="BV39" s="1970"/>
      <c r="BW39" s="1970"/>
      <c r="BX39" s="1970"/>
      <c r="BY39" s="1970"/>
      <c r="CA39" s="1970"/>
      <c r="CB39" s="4191" t="str">
        <f t="shared" si="21"/>
        <v/>
      </c>
      <c r="CC39" s="88"/>
      <c r="CD39" s="88"/>
      <c r="CE39" s="88"/>
      <c r="CF39" s="88"/>
      <c r="CL39"/>
      <c r="CM39" s="4005">
        <f t="shared" si="18"/>
        <v>0</v>
      </c>
      <c r="CN39" s="3969"/>
      <c r="CO39" s="3969"/>
      <c r="CP39" s="3969"/>
      <c r="DH39"/>
      <c r="DI39"/>
    </row>
    <row r="40" spans="1:113" x14ac:dyDescent="0.3">
      <c r="A40" s="1812" t="s">
        <v>3337</v>
      </c>
      <c r="B40" s="962">
        <f t="shared" si="19"/>
        <v>0</v>
      </c>
      <c r="C40" s="963">
        <f t="shared" si="17"/>
        <v>0</v>
      </c>
      <c r="D40" s="964">
        <f t="shared" si="17"/>
        <v>0</v>
      </c>
      <c r="E40" s="965"/>
      <c r="F40" s="967"/>
      <c r="G40" s="965"/>
      <c r="H40" s="966"/>
      <c r="I40" s="965"/>
      <c r="J40" s="966"/>
      <c r="K40" s="965"/>
      <c r="L40" s="967"/>
      <c r="M40" s="968"/>
      <c r="N40" s="966"/>
      <c r="O40" s="968"/>
      <c r="P40" s="966"/>
      <c r="Q40" s="968"/>
      <c r="R40" s="966"/>
      <c r="S40" s="968"/>
      <c r="T40" s="966"/>
      <c r="U40" s="968"/>
      <c r="V40" s="966"/>
      <c r="W40" s="968"/>
      <c r="X40" s="966"/>
      <c r="Y40" s="968"/>
      <c r="Z40" s="966"/>
      <c r="AA40" s="968"/>
      <c r="AB40" s="966"/>
      <c r="AC40" s="968"/>
      <c r="AD40" s="966"/>
      <c r="AE40" s="968"/>
      <c r="AF40" s="966"/>
      <c r="AG40" s="968"/>
      <c r="AH40" s="966"/>
      <c r="AI40" s="968"/>
      <c r="AJ40" s="966"/>
      <c r="AK40" s="968"/>
      <c r="AL40" s="970"/>
      <c r="AM40" s="1180"/>
      <c r="AN40" s="968"/>
      <c r="AO40" s="968"/>
      <c r="AP40" s="966"/>
      <c r="AQ40" s="1898" t="str">
        <f t="shared" si="20"/>
        <v/>
      </c>
      <c r="BV40" s="1970"/>
      <c r="BW40" s="1970"/>
      <c r="BX40" s="1970"/>
      <c r="BY40" s="1970"/>
      <c r="CA40" s="1970"/>
      <c r="CB40" s="4191" t="str">
        <f t="shared" si="21"/>
        <v/>
      </c>
      <c r="CC40" s="88"/>
      <c r="CD40" s="88"/>
      <c r="CE40" s="88"/>
      <c r="CF40" s="88"/>
      <c r="CL40"/>
      <c r="CM40" s="4005">
        <f t="shared" si="18"/>
        <v>0</v>
      </c>
      <c r="CN40" s="3969"/>
      <c r="CO40" s="3969"/>
      <c r="CP40" s="3969"/>
      <c r="DH40"/>
      <c r="DI40"/>
    </row>
    <row r="41" spans="1:113" x14ac:dyDescent="0.3">
      <c r="A41" s="4653" t="s">
        <v>3338</v>
      </c>
      <c r="B41" s="5010">
        <f t="shared" si="19"/>
        <v>0</v>
      </c>
      <c r="C41" s="963">
        <f t="shared" si="17"/>
        <v>0</v>
      </c>
      <c r="D41" s="964">
        <f t="shared" si="17"/>
        <v>0</v>
      </c>
      <c r="E41" s="965"/>
      <c r="F41" s="967"/>
      <c r="G41" s="965"/>
      <c r="H41" s="966"/>
      <c r="I41" s="965"/>
      <c r="J41" s="966"/>
      <c r="K41" s="965"/>
      <c r="L41" s="967"/>
      <c r="M41" s="968"/>
      <c r="N41" s="966"/>
      <c r="O41" s="968"/>
      <c r="P41" s="966"/>
      <c r="Q41" s="968"/>
      <c r="R41" s="966"/>
      <c r="S41" s="968"/>
      <c r="T41" s="966"/>
      <c r="U41" s="968"/>
      <c r="V41" s="966"/>
      <c r="W41" s="968"/>
      <c r="X41" s="966"/>
      <c r="Y41" s="968"/>
      <c r="Z41" s="966"/>
      <c r="AA41" s="968"/>
      <c r="AB41" s="966"/>
      <c r="AC41" s="968"/>
      <c r="AD41" s="966"/>
      <c r="AE41" s="968"/>
      <c r="AF41" s="966"/>
      <c r="AG41" s="968"/>
      <c r="AH41" s="966"/>
      <c r="AI41" s="968"/>
      <c r="AJ41" s="966"/>
      <c r="AK41" s="968"/>
      <c r="AL41" s="970"/>
      <c r="AM41" s="1180"/>
      <c r="AN41" s="968"/>
      <c r="AO41" s="968"/>
      <c r="AP41" s="966"/>
      <c r="AQ41" s="1898" t="str">
        <f t="shared" si="20"/>
        <v/>
      </c>
      <c r="BV41" s="1970"/>
      <c r="BW41" s="1970"/>
      <c r="BX41" s="1970"/>
      <c r="BY41" s="1970"/>
      <c r="CA41" s="1970"/>
      <c r="CB41" s="4191" t="str">
        <f t="shared" si="21"/>
        <v/>
      </c>
      <c r="CC41" s="88"/>
      <c r="CD41" s="88"/>
      <c r="CE41" s="88"/>
      <c r="CF41" s="88"/>
      <c r="CL41"/>
      <c r="CM41" s="4005">
        <f t="shared" si="18"/>
        <v>0</v>
      </c>
      <c r="CN41" s="3969"/>
      <c r="CO41" s="3969"/>
      <c r="CP41" s="3969"/>
      <c r="DH41"/>
      <c r="DI41"/>
    </row>
    <row r="42" spans="1:113" x14ac:dyDescent="0.3">
      <c r="A42" s="5008" t="s">
        <v>3339</v>
      </c>
      <c r="B42" s="5009">
        <f t="shared" si="19"/>
        <v>0</v>
      </c>
      <c r="C42" s="171">
        <f t="shared" si="17"/>
        <v>0</v>
      </c>
      <c r="D42" s="204">
        <f t="shared" si="17"/>
        <v>0</v>
      </c>
      <c r="E42" s="965"/>
      <c r="F42" s="967"/>
      <c r="G42" s="965"/>
      <c r="H42" s="967"/>
      <c r="I42" s="965"/>
      <c r="J42" s="966"/>
      <c r="K42" s="965"/>
      <c r="L42" s="967"/>
      <c r="M42" s="968"/>
      <c r="N42" s="967"/>
      <c r="O42" s="973"/>
      <c r="P42" s="967"/>
      <c r="Q42" s="973"/>
      <c r="R42" s="967"/>
      <c r="S42" s="973"/>
      <c r="T42" s="967"/>
      <c r="U42" s="973"/>
      <c r="V42" s="967"/>
      <c r="W42" s="973"/>
      <c r="X42" s="967"/>
      <c r="Y42" s="973"/>
      <c r="Z42" s="967"/>
      <c r="AA42" s="973"/>
      <c r="AB42" s="967"/>
      <c r="AC42" s="973"/>
      <c r="AD42" s="967"/>
      <c r="AE42" s="973"/>
      <c r="AF42" s="967"/>
      <c r="AG42" s="973"/>
      <c r="AH42" s="967"/>
      <c r="AI42" s="973"/>
      <c r="AJ42" s="967"/>
      <c r="AK42" s="973"/>
      <c r="AL42" s="969"/>
      <c r="AM42" s="1180"/>
      <c r="AN42" s="968"/>
      <c r="AO42" s="973"/>
      <c r="AP42" s="967"/>
      <c r="AQ42" s="1898" t="str">
        <f t="shared" si="20"/>
        <v/>
      </c>
      <c r="BV42" s="1970"/>
      <c r="BW42" s="1970"/>
      <c r="BX42" s="1970"/>
      <c r="BY42" s="1970"/>
      <c r="CA42" s="1970"/>
      <c r="CB42" s="4191" t="str">
        <f t="shared" si="21"/>
        <v/>
      </c>
      <c r="CC42" s="88"/>
      <c r="CD42" s="88"/>
      <c r="CE42" s="88"/>
      <c r="CF42" s="88"/>
      <c r="CL42"/>
      <c r="CM42" s="4005">
        <f t="shared" si="18"/>
        <v>0</v>
      </c>
      <c r="CN42" s="3969"/>
      <c r="CO42" s="3969"/>
      <c r="CP42" s="3969"/>
      <c r="DH42"/>
      <c r="DI42"/>
    </row>
    <row r="43" spans="1:113" x14ac:dyDescent="0.3">
      <c r="A43" s="5011" t="s">
        <v>3340</v>
      </c>
      <c r="B43" s="362">
        <f t="shared" si="19"/>
        <v>0</v>
      </c>
      <c r="C43" s="171">
        <f t="shared" si="17"/>
        <v>0</v>
      </c>
      <c r="D43" s="204">
        <f t="shared" si="17"/>
        <v>0</v>
      </c>
      <c r="E43" s="965"/>
      <c r="F43" s="967"/>
      <c r="G43" s="965"/>
      <c r="H43" s="967"/>
      <c r="I43" s="965"/>
      <c r="J43" s="966"/>
      <c r="K43" s="965"/>
      <c r="L43" s="967"/>
      <c r="M43" s="968"/>
      <c r="N43" s="967"/>
      <c r="O43" s="973"/>
      <c r="P43" s="967"/>
      <c r="Q43" s="973"/>
      <c r="R43" s="967"/>
      <c r="S43" s="973"/>
      <c r="T43" s="967"/>
      <c r="U43" s="973"/>
      <c r="V43" s="967"/>
      <c r="W43" s="973"/>
      <c r="X43" s="967"/>
      <c r="Y43" s="973"/>
      <c r="Z43" s="967"/>
      <c r="AA43" s="973"/>
      <c r="AB43" s="967"/>
      <c r="AC43" s="973"/>
      <c r="AD43" s="967"/>
      <c r="AE43" s="973"/>
      <c r="AF43" s="967"/>
      <c r="AG43" s="973"/>
      <c r="AH43" s="967"/>
      <c r="AI43" s="973"/>
      <c r="AJ43" s="967"/>
      <c r="AK43" s="973"/>
      <c r="AL43" s="969"/>
      <c r="AM43" s="1180"/>
      <c r="AN43" s="968"/>
      <c r="AO43" s="973"/>
      <c r="AP43" s="967"/>
      <c r="AQ43" s="1898" t="str">
        <f t="shared" si="20"/>
        <v/>
      </c>
      <c r="BV43" s="1970"/>
      <c r="BW43" s="1970"/>
      <c r="BX43" s="1970"/>
      <c r="BY43" s="1970"/>
      <c r="CA43" s="1970"/>
      <c r="CB43" s="4191" t="str">
        <f t="shared" si="21"/>
        <v/>
      </c>
      <c r="CC43" s="88"/>
      <c r="CD43" s="88"/>
      <c r="CE43" s="88"/>
      <c r="CF43" s="88"/>
      <c r="CL43"/>
      <c r="CM43" s="4005">
        <f t="shared" si="18"/>
        <v>0</v>
      </c>
      <c r="CN43" s="3969"/>
      <c r="CO43" s="3969"/>
      <c r="CP43" s="3969"/>
      <c r="DH43"/>
      <c r="DI43"/>
    </row>
    <row r="44" spans="1:113" x14ac:dyDescent="0.3">
      <c r="A44" s="4973" t="s">
        <v>3341</v>
      </c>
      <c r="B44" s="362">
        <f t="shared" si="19"/>
        <v>0</v>
      </c>
      <c r="C44" s="171">
        <f t="shared" si="17"/>
        <v>0</v>
      </c>
      <c r="D44" s="204">
        <f t="shared" si="17"/>
        <v>0</v>
      </c>
      <c r="E44" s="965"/>
      <c r="F44" s="967"/>
      <c r="G44" s="965"/>
      <c r="H44" s="967"/>
      <c r="I44" s="965"/>
      <c r="J44" s="966"/>
      <c r="K44" s="965"/>
      <c r="L44" s="967"/>
      <c r="M44" s="968"/>
      <c r="N44" s="967"/>
      <c r="O44" s="973"/>
      <c r="P44" s="967"/>
      <c r="Q44" s="973"/>
      <c r="R44" s="967"/>
      <c r="S44" s="973"/>
      <c r="T44" s="967"/>
      <c r="U44" s="973"/>
      <c r="V44" s="967"/>
      <c r="W44" s="973"/>
      <c r="X44" s="967"/>
      <c r="Y44" s="973"/>
      <c r="Z44" s="967"/>
      <c r="AA44" s="973"/>
      <c r="AB44" s="967"/>
      <c r="AC44" s="973"/>
      <c r="AD44" s="967"/>
      <c r="AE44" s="973"/>
      <c r="AF44" s="967"/>
      <c r="AG44" s="973"/>
      <c r="AH44" s="967"/>
      <c r="AI44" s="973"/>
      <c r="AJ44" s="967"/>
      <c r="AK44" s="973"/>
      <c r="AL44" s="969"/>
      <c r="AM44" s="1180"/>
      <c r="AN44" s="968"/>
      <c r="AO44" s="973"/>
      <c r="AP44" s="967"/>
      <c r="AQ44" s="1898" t="str">
        <f t="shared" si="20"/>
        <v/>
      </c>
      <c r="BV44" s="1970"/>
      <c r="BW44" s="1970"/>
      <c r="BX44" s="1970"/>
      <c r="BY44" s="1970"/>
      <c r="CA44" s="1970"/>
      <c r="CB44" s="4191" t="str">
        <f t="shared" si="21"/>
        <v/>
      </c>
      <c r="CC44" s="88"/>
      <c r="CD44" s="88"/>
      <c r="CE44" s="88"/>
      <c r="CF44" s="88"/>
      <c r="CL44"/>
      <c r="CM44" s="4005">
        <f t="shared" si="18"/>
        <v>0</v>
      </c>
      <c r="CN44" s="3969"/>
      <c r="CO44" s="3969"/>
      <c r="CP44" s="3969"/>
      <c r="DH44"/>
      <c r="DI44"/>
    </row>
    <row r="45" spans="1:113" x14ac:dyDescent="0.3">
      <c r="A45" s="5708" t="s">
        <v>3342</v>
      </c>
      <c r="B45" s="5658">
        <f>SUM(C45:D45)</f>
        <v>0</v>
      </c>
      <c r="C45" s="5660">
        <f>+E45+G45+I45+K45+M45+O45+Q45+S45+U45+W45+Y45+AA45+AC45+AE45+AG45+AI45+AK45</f>
        <v>0</v>
      </c>
      <c r="D45" s="5659">
        <f t="shared" ref="D45:D46" si="22">+F45+H45+J45+L45+N45+P45+R45+T45+V45+X45+Z45+AB45+AD45+AF45+AH45+AJ45+AL45</f>
        <v>0</v>
      </c>
      <c r="E45" s="3151"/>
      <c r="F45" s="5657"/>
      <c r="G45" s="5658"/>
      <c r="H45" s="5659"/>
      <c r="I45" s="3151"/>
      <c r="J45" s="5657"/>
      <c r="K45" s="5658"/>
      <c r="L45" s="5659"/>
      <c r="M45" s="5658"/>
      <c r="N45" s="5659"/>
      <c r="O45" s="3151"/>
      <c r="P45" s="5657"/>
      <c r="Q45" s="5658"/>
      <c r="R45" s="5659"/>
      <c r="S45" s="5658"/>
      <c r="T45" s="5659"/>
      <c r="U45" s="3151"/>
      <c r="V45" s="5657"/>
      <c r="W45" s="5658"/>
      <c r="X45" s="5659"/>
      <c r="Y45" s="3151"/>
      <c r="Z45" s="5657"/>
      <c r="AA45" s="5658"/>
      <c r="AB45" s="5659"/>
      <c r="AC45" s="3151"/>
      <c r="AD45" s="5657"/>
      <c r="AE45" s="5658"/>
      <c r="AF45" s="5659"/>
      <c r="AG45" s="5658"/>
      <c r="AH45" s="5659"/>
      <c r="AI45" s="5658"/>
      <c r="AJ45" s="5659"/>
      <c r="AK45" s="3151"/>
      <c r="AL45" s="5657"/>
      <c r="AM45" s="3151"/>
      <c r="AN45" s="3151"/>
      <c r="AO45" s="1279"/>
      <c r="AP45" s="703"/>
      <c r="AQ45" s="1898" t="str">
        <f t="shared" si="20"/>
        <v/>
      </c>
      <c r="BV45" s="1970"/>
      <c r="BW45" s="1970"/>
      <c r="BX45" s="1970"/>
      <c r="BY45" s="1970"/>
      <c r="CA45" s="1970"/>
      <c r="CB45" s="4191" t="str">
        <f t="shared" si="21"/>
        <v/>
      </c>
      <c r="CC45" s="88"/>
      <c r="CD45" s="88"/>
      <c r="CE45" s="88"/>
      <c r="CF45" s="88"/>
      <c r="CL45"/>
      <c r="CM45" s="4005">
        <f t="shared" si="18"/>
        <v>0</v>
      </c>
      <c r="CN45" s="3969"/>
      <c r="CO45" s="3969"/>
      <c r="CP45" s="3969"/>
      <c r="DH45"/>
      <c r="DI45"/>
    </row>
    <row r="46" spans="1:113" x14ac:dyDescent="0.3">
      <c r="A46" s="4973" t="s">
        <v>3343</v>
      </c>
      <c r="B46" s="362">
        <f t="shared" ref="B46" si="23">SUM(C46:D46)</f>
        <v>0</v>
      </c>
      <c r="C46" s="171">
        <f t="shared" ref="C46" si="24">+E46+G46+I46+K46+M46+O46+Q46+S46+U46+W46+Y46+AA46+AC46+AE46+AG46+AI46+AK46</f>
        <v>0</v>
      </c>
      <c r="D46" s="204">
        <f t="shared" si="22"/>
        <v>0</v>
      </c>
      <c r="E46" s="965"/>
      <c r="F46" s="967"/>
      <c r="G46" s="965"/>
      <c r="H46" s="967"/>
      <c r="I46" s="965"/>
      <c r="J46" s="966"/>
      <c r="K46" s="965"/>
      <c r="L46" s="967"/>
      <c r="M46" s="968"/>
      <c r="N46" s="967"/>
      <c r="O46" s="973"/>
      <c r="P46" s="967"/>
      <c r="Q46" s="973"/>
      <c r="R46" s="967"/>
      <c r="S46" s="973"/>
      <c r="T46" s="967"/>
      <c r="U46" s="973"/>
      <c r="V46" s="967"/>
      <c r="W46" s="973"/>
      <c r="X46" s="967"/>
      <c r="Y46" s="973"/>
      <c r="Z46" s="967"/>
      <c r="AA46" s="973"/>
      <c r="AB46" s="967"/>
      <c r="AC46" s="973"/>
      <c r="AD46" s="967"/>
      <c r="AE46" s="973"/>
      <c r="AF46" s="967"/>
      <c r="AG46" s="973"/>
      <c r="AH46" s="967"/>
      <c r="AI46" s="973"/>
      <c r="AJ46" s="967"/>
      <c r="AK46" s="973"/>
      <c r="AL46" s="969"/>
      <c r="AM46" s="1180"/>
      <c r="AN46" s="968"/>
      <c r="AO46" s="973"/>
      <c r="AP46" s="967"/>
      <c r="AQ46" s="1898" t="str">
        <f t="shared" si="20"/>
        <v/>
      </c>
      <c r="BV46" s="1970"/>
      <c r="BW46" s="1970"/>
      <c r="BX46" s="1970"/>
      <c r="BY46" s="1970"/>
      <c r="CA46" s="1970"/>
      <c r="CB46" s="4191" t="str">
        <f t="shared" si="21"/>
        <v/>
      </c>
      <c r="CC46" s="88"/>
      <c r="CD46" s="88"/>
      <c r="CE46" s="88"/>
      <c r="CF46" s="88"/>
      <c r="CL46"/>
      <c r="CM46" s="4005">
        <f t="shared" si="18"/>
        <v>0</v>
      </c>
      <c r="CN46" s="3969"/>
      <c r="CO46" s="3969"/>
      <c r="CP46" s="3969"/>
      <c r="DH46"/>
      <c r="DI46"/>
    </row>
    <row r="47" spans="1:113" x14ac:dyDescent="0.3">
      <c r="A47" s="5011" t="s">
        <v>3344</v>
      </c>
      <c r="B47" s="362">
        <f t="shared" si="19"/>
        <v>0</v>
      </c>
      <c r="C47" s="171">
        <f t="shared" si="17"/>
        <v>0</v>
      </c>
      <c r="D47" s="204">
        <f t="shared" si="17"/>
        <v>0</v>
      </c>
      <c r="E47" s="965"/>
      <c r="F47" s="967"/>
      <c r="G47" s="965"/>
      <c r="H47" s="967"/>
      <c r="I47" s="965"/>
      <c r="J47" s="966"/>
      <c r="K47" s="965"/>
      <c r="L47" s="967"/>
      <c r="M47" s="968"/>
      <c r="N47" s="967"/>
      <c r="O47" s="973"/>
      <c r="P47" s="967"/>
      <c r="Q47" s="973"/>
      <c r="R47" s="967"/>
      <c r="S47" s="973"/>
      <c r="T47" s="967"/>
      <c r="U47" s="973"/>
      <c r="V47" s="967"/>
      <c r="W47" s="973"/>
      <c r="X47" s="967"/>
      <c r="Y47" s="973"/>
      <c r="Z47" s="967"/>
      <c r="AA47" s="973"/>
      <c r="AB47" s="967"/>
      <c r="AC47" s="973"/>
      <c r="AD47" s="967"/>
      <c r="AE47" s="973"/>
      <c r="AF47" s="967"/>
      <c r="AG47" s="973"/>
      <c r="AH47" s="967"/>
      <c r="AI47" s="973"/>
      <c r="AJ47" s="967"/>
      <c r="AK47" s="973"/>
      <c r="AL47" s="969"/>
      <c r="AM47" s="1180"/>
      <c r="AN47" s="968"/>
      <c r="AO47" s="973"/>
      <c r="AP47" s="967"/>
      <c r="AQ47" s="1898" t="str">
        <f t="shared" si="20"/>
        <v/>
      </c>
      <c r="BV47" s="1970"/>
      <c r="BW47" s="1970"/>
      <c r="BX47" s="1970"/>
      <c r="BY47" s="1970"/>
      <c r="CA47" s="1970"/>
      <c r="CB47" s="4191" t="str">
        <f t="shared" si="21"/>
        <v/>
      </c>
      <c r="CC47" s="88"/>
      <c r="CD47" s="88"/>
      <c r="CE47" s="88"/>
      <c r="CF47" s="88"/>
      <c r="CL47"/>
      <c r="CM47" s="4005">
        <f t="shared" si="18"/>
        <v>0</v>
      </c>
      <c r="CN47" s="3969"/>
      <c r="CO47" s="3969"/>
      <c r="CP47" s="3969"/>
      <c r="DH47"/>
      <c r="DI47"/>
    </row>
    <row r="48" spans="1:113" x14ac:dyDescent="0.3">
      <c r="A48" s="5011" t="s">
        <v>3345</v>
      </c>
      <c r="B48" s="362">
        <f t="shared" si="19"/>
        <v>0</v>
      </c>
      <c r="C48" s="171">
        <f t="shared" si="17"/>
        <v>0</v>
      </c>
      <c r="D48" s="204">
        <f t="shared" si="17"/>
        <v>0</v>
      </c>
      <c r="E48" s="965"/>
      <c r="F48" s="967"/>
      <c r="G48" s="965"/>
      <c r="H48" s="967"/>
      <c r="I48" s="965"/>
      <c r="J48" s="966"/>
      <c r="K48" s="965"/>
      <c r="L48" s="967"/>
      <c r="M48" s="968"/>
      <c r="N48" s="967"/>
      <c r="O48" s="973"/>
      <c r="P48" s="967"/>
      <c r="Q48" s="973"/>
      <c r="R48" s="967"/>
      <c r="S48" s="973"/>
      <c r="T48" s="967"/>
      <c r="U48" s="973"/>
      <c r="V48" s="967"/>
      <c r="W48" s="973"/>
      <c r="X48" s="967"/>
      <c r="Y48" s="973"/>
      <c r="Z48" s="967"/>
      <c r="AA48" s="973"/>
      <c r="AB48" s="967"/>
      <c r="AC48" s="973"/>
      <c r="AD48" s="967"/>
      <c r="AE48" s="973"/>
      <c r="AF48" s="967"/>
      <c r="AG48" s="973"/>
      <c r="AH48" s="967"/>
      <c r="AI48" s="973"/>
      <c r="AJ48" s="967"/>
      <c r="AK48" s="973"/>
      <c r="AL48" s="969"/>
      <c r="AM48" s="1180"/>
      <c r="AN48" s="968"/>
      <c r="AO48" s="973"/>
      <c r="AP48" s="967"/>
      <c r="AQ48" s="1898" t="str">
        <f t="shared" si="20"/>
        <v/>
      </c>
      <c r="BV48" s="1970"/>
      <c r="BW48" s="1970"/>
      <c r="BX48" s="1970"/>
      <c r="BY48" s="1970"/>
      <c r="CA48" s="1970"/>
      <c r="CB48" s="4191" t="str">
        <f t="shared" si="21"/>
        <v/>
      </c>
      <c r="CC48" s="88"/>
      <c r="CD48" s="88"/>
      <c r="CE48" s="88"/>
      <c r="CF48" s="88"/>
      <c r="CL48"/>
      <c r="CM48" s="4005">
        <f t="shared" si="18"/>
        <v>0</v>
      </c>
      <c r="CN48" s="3969"/>
      <c r="CO48" s="3969"/>
      <c r="CP48" s="3969"/>
      <c r="DH48"/>
      <c r="DI48"/>
    </row>
    <row r="49" spans="1:113" x14ac:dyDescent="0.3">
      <c r="A49" s="5011" t="s">
        <v>3346</v>
      </c>
      <c r="B49" s="5012">
        <f t="shared" si="19"/>
        <v>0</v>
      </c>
      <c r="C49" s="5013">
        <f t="shared" si="17"/>
        <v>0</v>
      </c>
      <c r="D49" s="28">
        <f t="shared" si="17"/>
        <v>0</v>
      </c>
      <c r="E49" s="212"/>
      <c r="F49" s="1161"/>
      <c r="G49" s="212"/>
      <c r="H49" s="1161"/>
      <c r="I49" s="212"/>
      <c r="J49" s="34"/>
      <c r="K49" s="212"/>
      <c r="L49" s="1161"/>
      <c r="M49" s="1162"/>
      <c r="N49" s="1161"/>
      <c r="O49" s="1018"/>
      <c r="P49" s="1161"/>
      <c r="Q49" s="1018"/>
      <c r="R49" s="1161"/>
      <c r="S49" s="1018"/>
      <c r="T49" s="1161"/>
      <c r="U49" s="1018"/>
      <c r="V49" s="1161"/>
      <c r="W49" s="1018"/>
      <c r="X49" s="1161"/>
      <c r="Y49" s="1018"/>
      <c r="Z49" s="1161"/>
      <c r="AA49" s="1018"/>
      <c r="AB49" s="1161"/>
      <c r="AC49" s="1018"/>
      <c r="AD49" s="1161"/>
      <c r="AE49" s="1018"/>
      <c r="AF49" s="1161"/>
      <c r="AG49" s="1018"/>
      <c r="AH49" s="1161"/>
      <c r="AI49" s="1018"/>
      <c r="AJ49" s="1161"/>
      <c r="AK49" s="1018"/>
      <c r="AL49" s="1163"/>
      <c r="AM49" s="3527"/>
      <c r="AN49" s="1162"/>
      <c r="AO49" s="1018"/>
      <c r="AP49" s="1161"/>
      <c r="AQ49" s="1898" t="str">
        <f>CB49</f>
        <v/>
      </c>
      <c r="BV49" s="1970"/>
      <c r="BW49" s="1970"/>
      <c r="BX49" s="1970"/>
      <c r="BY49" s="1970"/>
      <c r="CA49" s="1970"/>
      <c r="CB49" s="4191" t="str">
        <f t="shared" si="21"/>
        <v/>
      </c>
      <c r="CC49" s="88"/>
      <c r="CD49" s="88"/>
      <c r="CE49" s="88"/>
      <c r="CF49" s="88"/>
      <c r="CL49"/>
      <c r="CM49" s="4005">
        <f>IF(SUM(AM49:AP49)=B49,0,1)</f>
        <v>0</v>
      </c>
      <c r="CN49" s="3969"/>
      <c r="CO49" s="3969"/>
      <c r="CP49" s="3969"/>
      <c r="DH49"/>
      <c r="DI49"/>
    </row>
    <row r="50" spans="1:113" x14ac:dyDescent="0.3">
      <c r="A50" s="5011" t="s">
        <v>591</v>
      </c>
      <c r="B50" s="5007">
        <f t="shared" si="19"/>
        <v>0</v>
      </c>
      <c r="C50" s="963">
        <f t="shared" si="17"/>
        <v>0</v>
      </c>
      <c r="D50" s="964">
        <f t="shared" si="17"/>
        <v>0</v>
      </c>
      <c r="E50" s="965"/>
      <c r="F50" s="967"/>
      <c r="G50" s="965"/>
      <c r="H50" s="967"/>
      <c r="I50" s="965"/>
      <c r="J50" s="966"/>
      <c r="K50" s="965"/>
      <c r="L50" s="967"/>
      <c r="M50" s="968"/>
      <c r="N50" s="967"/>
      <c r="O50" s="973"/>
      <c r="P50" s="967"/>
      <c r="Q50" s="973"/>
      <c r="R50" s="967"/>
      <c r="S50" s="973"/>
      <c r="T50" s="967"/>
      <c r="U50" s="973"/>
      <c r="V50" s="967"/>
      <c r="W50" s="973"/>
      <c r="X50" s="967"/>
      <c r="Y50" s="973"/>
      <c r="Z50" s="967"/>
      <c r="AA50" s="973"/>
      <c r="AB50" s="967"/>
      <c r="AC50" s="973"/>
      <c r="AD50" s="967"/>
      <c r="AE50" s="973"/>
      <c r="AF50" s="967"/>
      <c r="AG50" s="973"/>
      <c r="AH50" s="967"/>
      <c r="AI50" s="973"/>
      <c r="AJ50" s="967"/>
      <c r="AK50" s="973"/>
      <c r="AL50" s="969"/>
      <c r="AM50" s="1180"/>
      <c r="AN50" s="968"/>
      <c r="AO50" s="973"/>
      <c r="AP50" s="967"/>
      <c r="AQ50" s="1898" t="str">
        <f t="shared" ref="AQ50:AQ51" si="25">CB50</f>
        <v/>
      </c>
      <c r="BV50" s="1970"/>
      <c r="BW50" s="1970"/>
      <c r="BX50" s="1970"/>
      <c r="BY50" s="1970"/>
      <c r="CA50" s="1970"/>
      <c r="CB50" s="4191" t="str">
        <f>IF(CM50=1," * El total de Ingresos debe ser igual a la suma de los Tipos de Estrategia. ","")</f>
        <v/>
      </c>
      <c r="CC50" s="88"/>
      <c r="CD50" s="88"/>
      <c r="CE50" s="88"/>
      <c r="CF50" s="88"/>
      <c r="CL50"/>
      <c r="CM50" s="4005">
        <f t="shared" si="18"/>
        <v>0</v>
      </c>
      <c r="CN50" s="3969"/>
      <c r="CO50" s="3969"/>
      <c r="CP50" s="3969"/>
      <c r="DH50"/>
      <c r="DI50"/>
    </row>
    <row r="51" spans="1:113" x14ac:dyDescent="0.3">
      <c r="A51" s="423" t="s">
        <v>3347</v>
      </c>
      <c r="B51" s="5014">
        <f>SUM(C51:D51)</f>
        <v>0</v>
      </c>
      <c r="C51" s="171">
        <f t="shared" si="17"/>
        <v>0</v>
      </c>
      <c r="D51" s="204">
        <f t="shared" si="17"/>
        <v>0</v>
      </c>
      <c r="E51" s="327"/>
      <c r="F51" s="905"/>
      <c r="G51" s="327"/>
      <c r="H51" s="142"/>
      <c r="I51" s="327"/>
      <c r="J51" s="142"/>
      <c r="K51" s="327"/>
      <c r="L51" s="905"/>
      <c r="M51" s="44"/>
      <c r="N51" s="142"/>
      <c r="O51" s="44"/>
      <c r="P51" s="142"/>
      <c r="Q51" s="44"/>
      <c r="R51" s="142"/>
      <c r="S51" s="44"/>
      <c r="T51" s="142"/>
      <c r="U51" s="44"/>
      <c r="V51" s="142"/>
      <c r="W51" s="44"/>
      <c r="X51" s="142"/>
      <c r="Y51" s="44"/>
      <c r="Z51" s="142"/>
      <c r="AA51" s="44"/>
      <c r="AB51" s="142"/>
      <c r="AC51" s="44"/>
      <c r="AD51" s="142"/>
      <c r="AE51" s="44"/>
      <c r="AF51" s="142"/>
      <c r="AG51" s="44"/>
      <c r="AH51" s="142"/>
      <c r="AI51" s="44"/>
      <c r="AJ51" s="142"/>
      <c r="AK51" s="44"/>
      <c r="AL51" s="45"/>
      <c r="AM51" s="2069"/>
      <c r="AN51" s="44"/>
      <c r="AO51" s="44"/>
      <c r="AP51" s="142"/>
      <c r="AQ51" s="1898" t="str">
        <f t="shared" si="25"/>
        <v/>
      </c>
      <c r="BV51" s="1970"/>
      <c r="BW51" s="1970"/>
      <c r="BX51" s="1970"/>
      <c r="BY51" s="1970"/>
      <c r="CA51" s="1970"/>
      <c r="CB51" s="4191" t="str">
        <f t="shared" si="21"/>
        <v/>
      </c>
      <c r="CC51" s="88"/>
      <c r="CD51" s="88"/>
      <c r="CE51" s="88"/>
      <c r="CF51" s="88"/>
      <c r="CL51"/>
      <c r="CM51" s="4005">
        <f t="shared" si="18"/>
        <v>0</v>
      </c>
      <c r="CN51" s="3969"/>
      <c r="CO51" s="3969"/>
      <c r="CP51" s="3969"/>
      <c r="DH51"/>
      <c r="DI51"/>
    </row>
    <row r="52" spans="1:113" x14ac:dyDescent="0.3">
      <c r="A52" s="1449" t="s">
        <v>3348</v>
      </c>
      <c r="B52" s="5015">
        <f>SUM(C52:D52)</f>
        <v>0</v>
      </c>
      <c r="C52" s="1168">
        <f>+E52+G52+I52+K52+M52+O52+Q52+S52+U52+W52+Y52+AA52+AC52+AE52+AG52+AI52+AK52</f>
        <v>0</v>
      </c>
      <c r="D52" s="414">
        <f>+F52+H52+J52+L52+N52+P52+R52+T52+V52+X52+Z52+AB52+AD52+AF52+AH52+AJ52+AL52</f>
        <v>0</v>
      </c>
      <c r="E52" s="989"/>
      <c r="F52" s="990"/>
      <c r="G52" s="989"/>
      <c r="H52" s="877"/>
      <c r="I52" s="989"/>
      <c r="J52" s="877"/>
      <c r="K52" s="989"/>
      <c r="L52" s="990"/>
      <c r="M52" s="991"/>
      <c r="N52" s="877"/>
      <c r="O52" s="991"/>
      <c r="P52" s="877"/>
      <c r="Q52" s="991"/>
      <c r="R52" s="877"/>
      <c r="S52" s="991"/>
      <c r="T52" s="877"/>
      <c r="U52" s="991"/>
      <c r="V52" s="877"/>
      <c r="W52" s="991"/>
      <c r="X52" s="877"/>
      <c r="Y52" s="991"/>
      <c r="Z52" s="877"/>
      <c r="AA52" s="991"/>
      <c r="AB52" s="877"/>
      <c r="AC52" s="991"/>
      <c r="AD52" s="877"/>
      <c r="AE52" s="991"/>
      <c r="AF52" s="877"/>
      <c r="AG52" s="991"/>
      <c r="AH52" s="877"/>
      <c r="AI52" s="991"/>
      <c r="AJ52" s="877"/>
      <c r="AK52" s="991"/>
      <c r="AL52" s="993"/>
      <c r="AM52" s="1182"/>
      <c r="AN52" s="991"/>
      <c r="AO52" s="991"/>
      <c r="AP52" s="877"/>
      <c r="AQ52" s="1898" t="str">
        <f>CA52&amp;CB52</f>
        <v/>
      </c>
      <c r="BV52" s="1970"/>
      <c r="BW52" s="1970"/>
      <c r="BX52" s="1970"/>
      <c r="BY52" s="1970"/>
      <c r="CA52" s="1970"/>
      <c r="CB52" s="4191" t="str">
        <f>IF(CM52=1," * El total de Ingresos debe ser igual a la suma de los Tipos de Estrategia. ","")</f>
        <v/>
      </c>
      <c r="CC52" s="88"/>
      <c r="CD52" s="88"/>
      <c r="CE52" s="88"/>
      <c r="CF52" s="88"/>
      <c r="CL52"/>
      <c r="CM52" s="4005">
        <f>IF(SUM(AM52:AP52)=B52,0,1)</f>
        <v>0</v>
      </c>
      <c r="CN52" s="3969"/>
      <c r="CO52" s="3969"/>
      <c r="CP52" s="3969"/>
      <c r="DH52"/>
      <c r="DI52"/>
    </row>
    <row r="53" spans="1:113" ht="18" customHeight="1" x14ac:dyDescent="0.3">
      <c r="A53" s="3" t="s">
        <v>3349</v>
      </c>
      <c r="B53" s="2191"/>
      <c r="C53" s="5016"/>
      <c r="D53" s="2191"/>
      <c r="E53" s="2191"/>
      <c r="F53" s="2191"/>
      <c r="G53" s="2191"/>
      <c r="H53" s="2191"/>
      <c r="CA53" s="88"/>
      <c r="CB53" s="89"/>
      <c r="CC53" s="89"/>
      <c r="CD53" s="89"/>
      <c r="CE53" s="89"/>
      <c r="CL53" s="89"/>
      <c r="CM53" s="88"/>
      <c r="CN53" s="89"/>
      <c r="CO53" s="89"/>
      <c r="CP53" s="89"/>
      <c r="CQ53" s="89"/>
    </row>
    <row r="54" spans="1:113" ht="20.25" customHeight="1" x14ac:dyDescent="0.3">
      <c r="A54" s="7412" t="s">
        <v>27</v>
      </c>
      <c r="B54" s="7401" t="s">
        <v>28</v>
      </c>
      <c r="C54" s="7030" t="s">
        <v>3319</v>
      </c>
      <c r="D54" s="7030"/>
      <c r="E54" s="7030"/>
      <c r="F54" s="7071"/>
      <c r="G54" s="7134" t="s">
        <v>3350</v>
      </c>
      <c r="H54" s="7123"/>
    </row>
    <row r="55" spans="1:113" ht="20.399999999999999" x14ac:dyDescent="0.3">
      <c r="A55" s="7391"/>
      <c r="B55" s="7402"/>
      <c r="C55" s="1313" t="s">
        <v>976</v>
      </c>
      <c r="D55" s="1833" t="s">
        <v>3306</v>
      </c>
      <c r="E55" s="1786" t="s">
        <v>3307</v>
      </c>
      <c r="F55" s="1791" t="s">
        <v>3308</v>
      </c>
      <c r="G55" s="5017" t="s">
        <v>3351</v>
      </c>
      <c r="H55" s="4585" t="s">
        <v>3352</v>
      </c>
    </row>
    <row r="56" spans="1:113" x14ac:dyDescent="0.3">
      <c r="A56" s="5018" t="s">
        <v>3353</v>
      </c>
      <c r="B56" s="4123">
        <f>SUM(C56:F56)</f>
        <v>0</v>
      </c>
      <c r="C56" s="4764"/>
      <c r="D56" s="3856"/>
      <c r="E56" s="2690"/>
      <c r="F56" s="5019"/>
      <c r="G56" s="2689"/>
      <c r="H56" s="2691"/>
      <c r="I56" t="str">
        <f>CA56&amp;CB56&amp;CC56</f>
        <v/>
      </c>
      <c r="CA56" s="432" t="str">
        <f>IF(AND($B56&gt;0,$G56="")," * No olvide digitar la variable "&amp;$G$54&amp;""&amp;" Presencial (Establecimiento). Digite CERO si no tiene.","")</f>
        <v/>
      </c>
      <c r="CB56" s="432" t="str">
        <f>IF(AND($B56&gt;0,$H56="")," * No olvide digitar la variable "&amp;$G$54&amp;""&amp;" Domiciliaria. Digite CERO si no tiene.","")</f>
        <v/>
      </c>
      <c r="CC56" s="432" t="str">
        <f>IF(AND($G56+$H56&gt;$B56)," * La variable "&amp;$G$54&amp;""&amp;" No puede ser mayor al Total.","")</f>
        <v/>
      </c>
      <c r="CM56" s="180">
        <f>IF(AND($B56&gt;0,$G56=""),1,0)</f>
        <v>0</v>
      </c>
      <c r="CN56" s="180">
        <f>IF(AND($B56&gt;0,$H56=""),1,0)</f>
        <v>0</v>
      </c>
      <c r="CO56" s="180">
        <f>IF(AND($G56+$H56&gt;$B56),1,0)</f>
        <v>0</v>
      </c>
    </row>
    <row r="57" spans="1:113" x14ac:dyDescent="0.3">
      <c r="A57" s="4973" t="s">
        <v>3354</v>
      </c>
      <c r="B57" s="4123">
        <f>SUM(C57:F57)</f>
        <v>0</v>
      </c>
      <c r="C57" s="4766"/>
      <c r="D57" s="4797"/>
      <c r="E57" s="4767"/>
      <c r="F57" s="5020"/>
      <c r="G57" s="5021"/>
      <c r="H57" s="4768"/>
      <c r="I57" t="str">
        <f t="shared" ref="I57:I60" si="26">CA57&amp;CB57&amp;CC57</f>
        <v/>
      </c>
      <c r="CA57" s="432" t="str">
        <f t="shared" ref="CA57:CA60" si="27">IF(AND($B57&gt;0,$G57="")," * No olvide digitar la variable "&amp;$G$54&amp;""&amp;" Presencial (Establecimiento). Digite CERO si no tiene.","")</f>
        <v/>
      </c>
      <c r="CB57" s="432" t="str">
        <f t="shared" ref="CB57:CB60" si="28">IF(AND($B57&gt;0,$H57="")," * No olvide digitar la variable "&amp;$G$54&amp;""&amp;" Domiciliaria. Digite CERO si no tiene.","")</f>
        <v/>
      </c>
      <c r="CC57" s="432" t="str">
        <f t="shared" ref="CC57:CC60" si="29">IF(AND($G57+$H57&gt;$B57)," * La variable "&amp;$G$54&amp;""&amp;" No puede ser mayor al Total.","")</f>
        <v/>
      </c>
      <c r="CM57" s="180">
        <f t="shared" ref="CM57:CM60" si="30">IF(AND($B57&gt;0,$G57=""),1,0)</f>
        <v>0</v>
      </c>
      <c r="CN57" s="180">
        <f t="shared" ref="CN57:CN60" si="31">IF(AND($B57&gt;0,$H57=""),1,0)</f>
        <v>0</v>
      </c>
      <c r="CO57" s="180">
        <f t="shared" ref="CO57:CO60" si="32">IF(AND($G57+$H57&gt;$B57),1,0)</f>
        <v>0</v>
      </c>
    </row>
    <row r="58" spans="1:113" x14ac:dyDescent="0.3">
      <c r="A58" s="4973" t="s">
        <v>3355</v>
      </c>
      <c r="B58" s="4123">
        <f>SUM(C58:F58)</f>
        <v>0</v>
      </c>
      <c r="C58" s="4766"/>
      <c r="D58" s="4797"/>
      <c r="E58" s="4767"/>
      <c r="F58" s="5020"/>
      <c r="G58" s="5021"/>
      <c r="H58" s="4768"/>
      <c r="I58" t="str">
        <f t="shared" si="26"/>
        <v/>
      </c>
      <c r="CA58" s="432" t="str">
        <f t="shared" si="27"/>
        <v/>
      </c>
      <c r="CB58" s="432" t="str">
        <f t="shared" si="28"/>
        <v/>
      </c>
      <c r="CC58" s="432" t="str">
        <f t="shared" si="29"/>
        <v/>
      </c>
      <c r="CM58" s="180">
        <f t="shared" si="30"/>
        <v>0</v>
      </c>
      <c r="CN58" s="180">
        <f t="shared" si="31"/>
        <v>0</v>
      </c>
      <c r="CO58" s="180">
        <f t="shared" si="32"/>
        <v>0</v>
      </c>
    </row>
    <row r="59" spans="1:113" x14ac:dyDescent="0.3">
      <c r="A59" s="4973" t="s">
        <v>3356</v>
      </c>
      <c r="B59" s="4123">
        <f>SUM(C59:F59)</f>
        <v>0</v>
      </c>
      <c r="C59" s="4766"/>
      <c r="D59" s="4797"/>
      <c r="E59" s="4767"/>
      <c r="F59" s="5020"/>
      <c r="G59" s="5021"/>
      <c r="H59" s="4768"/>
      <c r="I59" t="str">
        <f t="shared" si="26"/>
        <v/>
      </c>
      <c r="CA59" s="432" t="str">
        <f t="shared" si="27"/>
        <v/>
      </c>
      <c r="CB59" s="432" t="str">
        <f t="shared" si="28"/>
        <v/>
      </c>
      <c r="CC59" s="432" t="str">
        <f t="shared" si="29"/>
        <v/>
      </c>
      <c r="CM59" s="180">
        <f t="shared" si="30"/>
        <v>0</v>
      </c>
      <c r="CN59" s="180">
        <f t="shared" si="31"/>
        <v>0</v>
      </c>
      <c r="CO59" s="180">
        <f t="shared" si="32"/>
        <v>0</v>
      </c>
    </row>
    <row r="60" spans="1:113" x14ac:dyDescent="0.3">
      <c r="A60" s="4973" t="s">
        <v>503</v>
      </c>
      <c r="B60" s="4123">
        <f>SUM(C60:F60)</f>
        <v>0</v>
      </c>
      <c r="C60" s="4769"/>
      <c r="D60" s="5022"/>
      <c r="E60" s="4770"/>
      <c r="F60" s="5023"/>
      <c r="G60" s="5024"/>
      <c r="H60" s="838"/>
      <c r="I60" t="str">
        <f t="shared" si="26"/>
        <v/>
      </c>
      <c r="CA60" s="432" t="str">
        <f t="shared" si="27"/>
        <v/>
      </c>
      <c r="CB60" s="432" t="str">
        <f t="shared" si="28"/>
        <v/>
      </c>
      <c r="CC60" s="432" t="str">
        <f t="shared" si="29"/>
        <v/>
      </c>
      <c r="CM60" s="180">
        <f t="shared" si="30"/>
        <v>0</v>
      </c>
      <c r="CN60" s="180">
        <f t="shared" si="31"/>
        <v>0</v>
      </c>
      <c r="CO60" s="180">
        <f t="shared" si="32"/>
        <v>0</v>
      </c>
    </row>
    <row r="61" spans="1:113" x14ac:dyDescent="0.3">
      <c r="A61" s="5025" t="s">
        <v>77</v>
      </c>
      <c r="B61" s="5026">
        <f t="shared" ref="B61:G61" si="33">SUM(B56:B60)</f>
        <v>0</v>
      </c>
      <c r="C61" s="387">
        <f t="shared" si="33"/>
        <v>0</v>
      </c>
      <c r="D61" s="1328">
        <f t="shared" si="33"/>
        <v>0</v>
      </c>
      <c r="E61" s="1329">
        <f t="shared" si="33"/>
        <v>0</v>
      </c>
      <c r="F61" s="5027">
        <f t="shared" si="33"/>
        <v>0</v>
      </c>
      <c r="G61" s="5028">
        <f t="shared" si="33"/>
        <v>0</v>
      </c>
      <c r="H61" s="387">
        <f>SUM(H56:H60)</f>
        <v>0</v>
      </c>
    </row>
    <row r="62" spans="1:113" ht="18" customHeight="1" x14ac:dyDescent="0.3">
      <c r="A62" s="3" t="s">
        <v>3357</v>
      </c>
      <c r="B62" s="8"/>
      <c r="C62" s="8"/>
      <c r="D62" s="1"/>
      <c r="E62" s="1"/>
      <c r="F62" s="1"/>
      <c r="G62" s="1"/>
      <c r="H62" s="1"/>
      <c r="I62" s="1"/>
      <c r="J62" s="1"/>
      <c r="K62" s="1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113" x14ac:dyDescent="0.3">
      <c r="A63" s="7412" t="s">
        <v>27</v>
      </c>
      <c r="B63" s="6518" t="s">
        <v>28</v>
      </c>
      <c r="C63" s="7413" t="s">
        <v>29</v>
      </c>
      <c r="D63" s="7413"/>
      <c r="E63" s="7413"/>
      <c r="F63" s="7413"/>
      <c r="G63" s="7413"/>
      <c r="H63" s="7413"/>
      <c r="I63" s="7413"/>
      <c r="J63" s="7413"/>
      <c r="K63" s="7413"/>
      <c r="L63" s="7413"/>
      <c r="M63" s="7413"/>
      <c r="N63" s="7413"/>
      <c r="O63" s="7413"/>
      <c r="P63" s="7413"/>
      <c r="Q63" s="7413"/>
      <c r="R63" s="7413"/>
      <c r="S63" s="7414"/>
      <c r="T63" s="7030" t="s">
        <v>3319</v>
      </c>
      <c r="U63" s="7030"/>
      <c r="V63" s="7030"/>
      <c r="W63" s="6976"/>
      <c r="X63" s="7148" t="s">
        <v>3358</v>
      </c>
      <c r="Y63" s="7407"/>
      <c r="Z63" s="7149"/>
    </row>
    <row r="64" spans="1:113" ht="30.6" x14ac:dyDescent="0.3">
      <c r="A64" s="7391"/>
      <c r="B64" s="6687"/>
      <c r="C64" s="5029" t="s">
        <v>1334</v>
      </c>
      <c r="D64" s="5030" t="s">
        <v>1335</v>
      </c>
      <c r="E64" s="5030" t="s">
        <v>1389</v>
      </c>
      <c r="F64" s="5030" t="s">
        <v>3320</v>
      </c>
      <c r="G64" s="5030" t="s">
        <v>3321</v>
      </c>
      <c r="H64" s="5030" t="s">
        <v>3322</v>
      </c>
      <c r="I64" s="5030" t="s">
        <v>3323</v>
      </c>
      <c r="J64" s="5030" t="s">
        <v>1394</v>
      </c>
      <c r="K64" s="5030" t="s">
        <v>1395</v>
      </c>
      <c r="L64" s="5030" t="s">
        <v>3324</v>
      </c>
      <c r="M64" s="5030" t="s">
        <v>1397</v>
      </c>
      <c r="N64" s="5030" t="s">
        <v>1398</v>
      </c>
      <c r="O64" s="5030" t="s">
        <v>1399</v>
      </c>
      <c r="P64" s="5030" t="s">
        <v>1400</v>
      </c>
      <c r="Q64" s="5030" t="s">
        <v>1401</v>
      </c>
      <c r="R64" s="5030" t="s">
        <v>1402</v>
      </c>
      <c r="S64" s="5031" t="s">
        <v>57</v>
      </c>
      <c r="T64" s="1313" t="s">
        <v>3325</v>
      </c>
      <c r="U64" s="1135" t="s">
        <v>3306</v>
      </c>
      <c r="V64" s="1238" t="s">
        <v>3307</v>
      </c>
      <c r="W64" s="1238" t="s">
        <v>3308</v>
      </c>
      <c r="X64" s="5032" t="s">
        <v>3359</v>
      </c>
      <c r="Y64" s="1238" t="s">
        <v>3360</v>
      </c>
      <c r="Z64" s="1092" t="s">
        <v>3352</v>
      </c>
    </row>
    <row r="65" spans="1:95" x14ac:dyDescent="0.3">
      <c r="A65" s="4973" t="s">
        <v>3354</v>
      </c>
      <c r="B65" s="3182">
        <f>SUM(C65:S65)</f>
        <v>0</v>
      </c>
      <c r="C65" s="4766"/>
      <c r="D65" s="4767"/>
      <c r="E65" s="4767"/>
      <c r="F65" s="4767"/>
      <c r="G65" s="4767"/>
      <c r="H65" s="4767"/>
      <c r="I65" s="4767"/>
      <c r="J65" s="4767"/>
      <c r="K65" s="4767"/>
      <c r="L65" s="4767"/>
      <c r="M65" s="4767"/>
      <c r="N65" s="4767"/>
      <c r="O65" s="4767"/>
      <c r="P65" s="4767"/>
      <c r="Q65" s="4767"/>
      <c r="R65" s="4767"/>
      <c r="S65" s="5033"/>
      <c r="T65" s="22"/>
      <c r="U65" s="535"/>
      <c r="V65" s="535"/>
      <c r="W65" s="107"/>
      <c r="X65" s="290"/>
      <c r="Y65" s="535"/>
      <c r="Z65" s="107"/>
      <c r="AA65" s="1898" t="str">
        <f>CA65&amp;CB65</f>
        <v/>
      </c>
      <c r="BF65" s="1970"/>
      <c r="BG65" s="1970"/>
      <c r="BH65" s="1970"/>
      <c r="BI65" s="1970"/>
      <c r="BJ65" s="1970"/>
      <c r="BK65" s="1970"/>
      <c r="BL65" s="1970"/>
      <c r="BM65" s="1970"/>
      <c r="BN65" s="1970"/>
      <c r="BO65" s="1970"/>
      <c r="BP65" s="1970"/>
      <c r="BQ65" s="1970"/>
      <c r="BR65" s="1970"/>
      <c r="BS65" s="1970"/>
      <c r="BT65" s="1970"/>
      <c r="BU65" s="1970"/>
      <c r="BV65" s="1970"/>
      <c r="BW65" s="1970"/>
      <c r="BX65" s="1970"/>
      <c r="BY65" s="1970"/>
      <c r="BZ65" s="1970"/>
      <c r="CA65" s="1899" t="str">
        <f>IF(T65+U65+V65+W65&lt;&gt;$B65,"* La suma de "&amp;T$63&amp;""&amp;" no debe ser distinto del Total. ","")</f>
        <v/>
      </c>
      <c r="CB65" s="1899" t="str">
        <f>IF(X65+Y65+Z65&gt;$B65,"* La suma de "&amp;X$63&amp;""&amp;" no puede superar el Total. ","")</f>
        <v/>
      </c>
      <c r="CE65" s="1970"/>
      <c r="CL65" s="1970"/>
      <c r="CM65" s="1901">
        <f>IF(T65+U65+V65+W65&lt;&gt;$B65,1,0)</f>
        <v>0</v>
      </c>
      <c r="CN65" s="1901">
        <f>IF(X65+Y65+Z65&gt;$B65,1,0)</f>
        <v>0</v>
      </c>
      <c r="CO65"/>
      <c r="CP65"/>
      <c r="CQ65"/>
    </row>
    <row r="66" spans="1:95" x14ac:dyDescent="0.3">
      <c r="A66" s="4973" t="s">
        <v>3355</v>
      </c>
      <c r="B66" s="4686">
        <f>SUM(C66:S66)</f>
        <v>0</v>
      </c>
      <c r="C66" s="4766"/>
      <c r="D66" s="4767"/>
      <c r="E66" s="4767"/>
      <c r="F66" s="4767"/>
      <c r="G66" s="4767"/>
      <c r="H66" s="4767"/>
      <c r="I66" s="4767"/>
      <c r="J66" s="4767"/>
      <c r="K66" s="4767"/>
      <c r="L66" s="4767"/>
      <c r="M66" s="4767"/>
      <c r="N66" s="4767"/>
      <c r="O66" s="4767"/>
      <c r="P66" s="4767"/>
      <c r="Q66" s="4767"/>
      <c r="R66" s="4767"/>
      <c r="S66" s="5033"/>
      <c r="T66" s="1116"/>
      <c r="U66" s="1278"/>
      <c r="V66" s="1278"/>
      <c r="W66" s="1115"/>
      <c r="X66" s="1114"/>
      <c r="Y66" s="1278"/>
      <c r="Z66" s="1115"/>
      <c r="AA66" s="1898" t="str">
        <f t="shared" ref="AA66:AA68" si="34">CA66&amp;CB66</f>
        <v/>
      </c>
      <c r="BF66" s="1970"/>
      <c r="BG66" s="1970"/>
      <c r="BH66" s="1970"/>
      <c r="BI66" s="1970"/>
      <c r="BJ66" s="1970"/>
      <c r="BK66" s="1970"/>
      <c r="BL66" s="1970"/>
      <c r="BM66" s="1970"/>
      <c r="BN66" s="1970"/>
      <c r="BO66" s="1970"/>
      <c r="BP66" s="1970"/>
      <c r="BQ66" s="1970"/>
      <c r="BR66" s="1970"/>
      <c r="BS66" s="1970"/>
      <c r="BT66" s="1970"/>
      <c r="BU66" s="1970"/>
      <c r="BV66" s="1970"/>
      <c r="BW66" s="1970"/>
      <c r="BX66" s="1970"/>
      <c r="BY66" s="1970"/>
      <c r="BZ66" s="1970"/>
      <c r="CA66" s="1899" t="str">
        <f t="shared" ref="CA66:CA68" si="35">IF(T66+U66+V66+W66&lt;&gt;$B66,"* La suma de "&amp;T$63&amp;""&amp;" no debe ser distinto del Total. ","")</f>
        <v/>
      </c>
      <c r="CB66" s="1899" t="str">
        <f t="shared" ref="CB66:CB68" si="36">IF(X66+Y66+Z66&gt;$B66,"* La suma de "&amp;X$63&amp;""&amp;" no puede superar el Total. ","")</f>
        <v/>
      </c>
      <c r="CE66" s="1970"/>
      <c r="CL66" s="1970"/>
      <c r="CM66" s="1901">
        <f>IF(T66+U66+V66+W66&lt;&gt;$B66,1,0)</f>
        <v>0</v>
      </c>
      <c r="CN66" s="1901">
        <f>IF(X66+Y66+Z66&gt;$B66,1,0)</f>
        <v>0</v>
      </c>
      <c r="CO66"/>
      <c r="CP66"/>
      <c r="CQ66"/>
    </row>
    <row r="67" spans="1:95" x14ac:dyDescent="0.3">
      <c r="A67" s="4973" t="s">
        <v>3356</v>
      </c>
      <c r="B67" s="4686">
        <f>SUM(C67:S67)</f>
        <v>0</v>
      </c>
      <c r="C67" s="4766"/>
      <c r="D67" s="4767"/>
      <c r="E67" s="4767"/>
      <c r="F67" s="4767"/>
      <c r="G67" s="4767"/>
      <c r="H67" s="4767"/>
      <c r="I67" s="4767"/>
      <c r="J67" s="4767"/>
      <c r="K67" s="4767"/>
      <c r="L67" s="4767"/>
      <c r="M67" s="4767"/>
      <c r="N67" s="4767"/>
      <c r="O67" s="4767"/>
      <c r="P67" s="4767"/>
      <c r="Q67" s="4767"/>
      <c r="R67" s="4767"/>
      <c r="S67" s="5033"/>
      <c r="T67" s="1116"/>
      <c r="U67" s="1278"/>
      <c r="V67" s="1278"/>
      <c r="W67" s="1115"/>
      <c r="X67" s="1114"/>
      <c r="Y67" s="1278"/>
      <c r="Z67" s="1115"/>
      <c r="AA67" s="1898" t="str">
        <f t="shared" si="34"/>
        <v/>
      </c>
      <c r="BF67" s="1970"/>
      <c r="BG67" s="1970"/>
      <c r="BH67" s="1970"/>
      <c r="BI67" s="1970"/>
      <c r="BJ67" s="1970"/>
      <c r="BK67" s="1970"/>
      <c r="BL67" s="1970"/>
      <c r="BM67" s="1970"/>
      <c r="BN67" s="1970"/>
      <c r="BO67" s="1970"/>
      <c r="BP67" s="1970"/>
      <c r="BQ67" s="1970"/>
      <c r="BR67" s="1970"/>
      <c r="BS67" s="1970"/>
      <c r="BT67" s="1970"/>
      <c r="BU67" s="1970"/>
      <c r="BV67" s="1970"/>
      <c r="BW67" s="1970"/>
      <c r="BX67" s="1970"/>
      <c r="BY67" s="1970"/>
      <c r="BZ67" s="1970"/>
      <c r="CA67" s="1899" t="str">
        <f t="shared" si="35"/>
        <v/>
      </c>
      <c r="CB67" s="1899" t="str">
        <f t="shared" si="36"/>
        <v/>
      </c>
      <c r="CE67" s="1970"/>
      <c r="CL67" s="1970"/>
      <c r="CM67" s="1901">
        <f>IF(T67+U67+V67+W67&lt;&gt;$B67,1,0)</f>
        <v>0</v>
      </c>
      <c r="CN67" s="1901">
        <f>IF(X67+Y67+Z67&gt;$B67,1,0)</f>
        <v>0</v>
      </c>
    </row>
    <row r="68" spans="1:95" x14ac:dyDescent="0.3">
      <c r="A68" s="4973" t="s">
        <v>503</v>
      </c>
      <c r="B68" s="5034">
        <f>SUM(C68:S68)</f>
        <v>0</v>
      </c>
      <c r="C68" s="4766"/>
      <c r="D68" s="4767"/>
      <c r="E68" s="4767"/>
      <c r="F68" s="4767"/>
      <c r="G68" s="4767"/>
      <c r="H68" s="4767"/>
      <c r="I68" s="4767"/>
      <c r="J68" s="4767"/>
      <c r="K68" s="4767"/>
      <c r="L68" s="4767"/>
      <c r="M68" s="4767"/>
      <c r="N68" s="4767"/>
      <c r="O68" s="4767"/>
      <c r="P68" s="4767"/>
      <c r="Q68" s="4767"/>
      <c r="R68" s="4767"/>
      <c r="S68" s="5033"/>
      <c r="T68" s="1152"/>
      <c r="U68" s="1283"/>
      <c r="V68" s="1283"/>
      <c r="W68" s="388"/>
      <c r="X68" s="1139"/>
      <c r="Y68" s="1283"/>
      <c r="Z68" s="388"/>
      <c r="AA68" s="1898" t="str">
        <f t="shared" si="34"/>
        <v/>
      </c>
      <c r="BF68" s="1970"/>
      <c r="BG68" s="1970"/>
      <c r="BH68" s="1970"/>
      <c r="BI68" s="1970"/>
      <c r="BJ68" s="1970"/>
      <c r="BK68" s="1970"/>
      <c r="BL68" s="1970"/>
      <c r="BM68" s="1970"/>
      <c r="BN68" s="1970"/>
      <c r="BO68" s="1970"/>
      <c r="BP68" s="1970"/>
      <c r="BQ68" s="1970"/>
      <c r="BR68" s="1970"/>
      <c r="BS68" s="1970"/>
      <c r="BT68" s="1970"/>
      <c r="BU68" s="1970"/>
      <c r="BV68" s="1970"/>
      <c r="BW68" s="1970"/>
      <c r="BX68" s="1970"/>
      <c r="BY68" s="1970"/>
      <c r="BZ68" s="1970"/>
      <c r="CA68" s="1899" t="str">
        <f t="shared" si="35"/>
        <v/>
      </c>
      <c r="CB68" s="1899" t="str">
        <f t="shared" si="36"/>
        <v/>
      </c>
      <c r="CE68" s="1970"/>
      <c r="CL68" s="1970"/>
      <c r="CM68" s="1901">
        <f>IF(T68+U68+V68+W68&lt;&gt;$B68,1,0)</f>
        <v>0</v>
      </c>
      <c r="CN68" s="1901">
        <f>IF(X68+Y68+Z68&gt;$B68,1,0)</f>
        <v>0</v>
      </c>
    </row>
    <row r="69" spans="1:95" x14ac:dyDescent="0.3">
      <c r="A69" s="5025" t="s">
        <v>77</v>
      </c>
      <c r="B69" s="5035">
        <f>SUM(B65:B68)</f>
        <v>0</v>
      </c>
      <c r="C69" s="5036">
        <f>SUM(C65:C68)</f>
        <v>0</v>
      </c>
      <c r="D69" s="5037">
        <f t="shared" ref="D69:Z69" si="37">SUM(D65:D68)</f>
        <v>0</v>
      </c>
      <c r="E69" s="5037">
        <f t="shared" si="37"/>
        <v>0</v>
      </c>
      <c r="F69" s="5037">
        <f t="shared" si="37"/>
        <v>0</v>
      </c>
      <c r="G69" s="5037">
        <f t="shared" si="37"/>
        <v>0</v>
      </c>
      <c r="H69" s="5037">
        <f t="shared" si="37"/>
        <v>0</v>
      </c>
      <c r="I69" s="5037">
        <f t="shared" si="37"/>
        <v>0</v>
      </c>
      <c r="J69" s="5037">
        <f t="shared" si="37"/>
        <v>0</v>
      </c>
      <c r="K69" s="5037">
        <f t="shared" si="37"/>
        <v>0</v>
      </c>
      <c r="L69" s="5037">
        <f t="shared" si="37"/>
        <v>0</v>
      </c>
      <c r="M69" s="5037">
        <f t="shared" si="37"/>
        <v>0</v>
      </c>
      <c r="N69" s="5037">
        <f t="shared" si="37"/>
        <v>0</v>
      </c>
      <c r="O69" s="5037">
        <f t="shared" si="37"/>
        <v>0</v>
      </c>
      <c r="P69" s="5037">
        <f t="shared" si="37"/>
        <v>0</v>
      </c>
      <c r="Q69" s="5037">
        <f t="shared" si="37"/>
        <v>0</v>
      </c>
      <c r="R69" s="5037">
        <f t="shared" si="37"/>
        <v>0</v>
      </c>
      <c r="S69" s="5038">
        <f t="shared" si="37"/>
        <v>0</v>
      </c>
      <c r="T69" s="5039">
        <f t="shared" si="37"/>
        <v>0</v>
      </c>
      <c r="U69" s="5037">
        <f t="shared" si="37"/>
        <v>0</v>
      </c>
      <c r="V69" s="5037">
        <f t="shared" si="37"/>
        <v>0</v>
      </c>
      <c r="W69" s="4656">
        <f t="shared" si="37"/>
        <v>0</v>
      </c>
      <c r="X69" s="5036">
        <f t="shared" si="37"/>
        <v>0</v>
      </c>
      <c r="Y69" s="5037">
        <f t="shared" si="37"/>
        <v>0</v>
      </c>
      <c r="Z69" s="4656">
        <f t="shared" si="37"/>
        <v>0</v>
      </c>
    </row>
    <row r="70" spans="1:95" ht="18" customHeight="1" x14ac:dyDescent="0.3">
      <c r="A70" s="3" t="s">
        <v>3361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95" x14ac:dyDescent="0.3">
      <c r="A71" s="7412" t="s">
        <v>27</v>
      </c>
      <c r="B71" s="7401" t="s">
        <v>28</v>
      </c>
      <c r="C71" s="7413" t="s">
        <v>29</v>
      </c>
      <c r="D71" s="7413"/>
      <c r="E71" s="7413"/>
      <c r="F71" s="7413"/>
      <c r="G71" s="7413"/>
      <c r="H71" s="7413"/>
      <c r="I71" s="7413"/>
      <c r="J71" s="7413"/>
      <c r="K71" s="7413"/>
      <c r="L71" s="7413"/>
      <c r="M71" s="7413"/>
      <c r="N71" s="7413"/>
      <c r="O71" s="7413"/>
      <c r="P71" s="7413"/>
      <c r="Q71" s="7413"/>
      <c r="R71" s="7413"/>
      <c r="S71" s="7414"/>
      <c r="T71" s="7023" t="s">
        <v>3319</v>
      </c>
      <c r="U71" s="7030"/>
      <c r="V71" s="7030"/>
      <c r="W71" s="6976"/>
      <c r="X71" s="7148" t="s">
        <v>3358</v>
      </c>
      <c r="Y71" s="7407"/>
      <c r="Z71" s="7149"/>
    </row>
    <row r="72" spans="1:95" ht="30.6" x14ac:dyDescent="0.3">
      <c r="A72" s="7391"/>
      <c r="B72" s="7402"/>
      <c r="C72" s="5029" t="s">
        <v>1334</v>
      </c>
      <c r="D72" s="5030" t="s">
        <v>1335</v>
      </c>
      <c r="E72" s="5030" t="s">
        <v>1389</v>
      </c>
      <c r="F72" s="5030" t="s">
        <v>3320</v>
      </c>
      <c r="G72" s="5030" t="s">
        <v>3321</v>
      </c>
      <c r="H72" s="5030" t="s">
        <v>3322</v>
      </c>
      <c r="I72" s="5030" t="s">
        <v>3323</v>
      </c>
      <c r="J72" s="5030" t="s">
        <v>1394</v>
      </c>
      <c r="K72" s="5030" t="s">
        <v>1395</v>
      </c>
      <c r="L72" s="5030" t="s">
        <v>3324</v>
      </c>
      <c r="M72" s="5030" t="s">
        <v>1397</v>
      </c>
      <c r="N72" s="5030" t="s">
        <v>1398</v>
      </c>
      <c r="O72" s="5030" t="s">
        <v>1399</v>
      </c>
      <c r="P72" s="5030" t="s">
        <v>1400</v>
      </c>
      <c r="Q72" s="5030" t="s">
        <v>1401</v>
      </c>
      <c r="R72" s="5030" t="s">
        <v>1402</v>
      </c>
      <c r="S72" s="5031" t="s">
        <v>57</v>
      </c>
      <c r="T72" s="1313" t="s">
        <v>3325</v>
      </c>
      <c r="U72" s="1135" t="s">
        <v>3306</v>
      </c>
      <c r="V72" s="1238" t="s">
        <v>3307</v>
      </c>
      <c r="W72" s="1238" t="s">
        <v>3308</v>
      </c>
      <c r="X72" s="5032" t="s">
        <v>3359</v>
      </c>
      <c r="Y72" s="1238" t="s">
        <v>3360</v>
      </c>
      <c r="Z72" s="1092" t="s">
        <v>3352</v>
      </c>
    </row>
    <row r="73" spans="1:95" x14ac:dyDescent="0.3">
      <c r="A73" s="4973" t="s">
        <v>3354</v>
      </c>
      <c r="B73" s="3182">
        <f>SUM(C73:S73)</f>
        <v>0</v>
      </c>
      <c r="C73" s="4766"/>
      <c r="D73" s="4767"/>
      <c r="E73" s="4767"/>
      <c r="F73" s="4767"/>
      <c r="G73" s="4767"/>
      <c r="H73" s="4767"/>
      <c r="I73" s="4767"/>
      <c r="J73" s="4767"/>
      <c r="K73" s="4767"/>
      <c r="L73" s="4767"/>
      <c r="M73" s="4767"/>
      <c r="N73" s="4767"/>
      <c r="O73" s="4767"/>
      <c r="P73" s="4767"/>
      <c r="Q73" s="4767"/>
      <c r="R73" s="4767"/>
      <c r="S73" s="5033"/>
      <c r="T73" s="290"/>
      <c r="U73" s="22"/>
      <c r="V73" s="535"/>
      <c r="W73" s="535"/>
      <c r="X73" s="290"/>
      <c r="Y73" s="535"/>
      <c r="Z73" s="107"/>
      <c r="AA73" s="1898" t="str">
        <f>CA73&amp;CB73</f>
        <v/>
      </c>
      <c r="BF73" s="1970"/>
      <c r="BG73" s="1970"/>
      <c r="BH73" s="1970"/>
      <c r="BI73" s="1970"/>
      <c r="BJ73" s="1970"/>
      <c r="BK73" s="1970"/>
      <c r="BL73" s="1970"/>
      <c r="BM73" s="1970"/>
      <c r="BN73" s="1970"/>
      <c r="BO73" s="1970"/>
      <c r="BP73" s="1970"/>
      <c r="BQ73" s="1970"/>
      <c r="BR73" s="1970"/>
      <c r="BS73" s="1970"/>
      <c r="BT73" s="1970"/>
      <c r="BU73" s="1970"/>
      <c r="BV73" s="1970"/>
      <c r="BW73" s="1970"/>
      <c r="BX73" s="1970"/>
      <c r="BY73" s="1970"/>
      <c r="BZ73" s="1970"/>
      <c r="CA73" s="1899" t="str">
        <f>IF(T73+U73+V73+W73&lt;&gt;$B73,"* La suma de "&amp;T$71&amp;""&amp;" no debe ser distinto del Total. ","")</f>
        <v/>
      </c>
      <c r="CB73" s="1899" t="str">
        <f>IF(X73+Y73+Z73&gt;$B73,"* La suma de "&amp;X$71&amp;""&amp;" no puede superar el Total. ","")</f>
        <v/>
      </c>
      <c r="CE73" s="1970"/>
      <c r="CL73" s="1970"/>
      <c r="CM73" s="1901">
        <f>IF(T73+U73+V73+W73&lt;&gt;$B73,1,0)</f>
        <v>0</v>
      </c>
      <c r="CN73" s="1901">
        <f>IF(X73+Y73+Z73&gt;$B73,1,0)</f>
        <v>0</v>
      </c>
    </row>
    <row r="74" spans="1:95" x14ac:dyDescent="0.3">
      <c r="A74" s="4973" t="s">
        <v>3355</v>
      </c>
      <c r="B74" s="4686">
        <f>SUM(C74:S74)</f>
        <v>0</v>
      </c>
      <c r="C74" s="4766"/>
      <c r="D74" s="4767"/>
      <c r="E74" s="4767"/>
      <c r="F74" s="4767"/>
      <c r="G74" s="4767"/>
      <c r="H74" s="4767"/>
      <c r="I74" s="4767"/>
      <c r="J74" s="4767"/>
      <c r="K74" s="4767"/>
      <c r="L74" s="4767"/>
      <c r="M74" s="4767"/>
      <c r="N74" s="4767"/>
      <c r="O74" s="4767"/>
      <c r="P74" s="4767"/>
      <c r="Q74" s="4767"/>
      <c r="R74" s="4767"/>
      <c r="S74" s="5033"/>
      <c r="T74" s="1114"/>
      <c r="U74" s="1116"/>
      <c r="V74" s="1278"/>
      <c r="W74" s="1278"/>
      <c r="X74" s="1114"/>
      <c r="Y74" s="1278"/>
      <c r="Z74" s="1115"/>
      <c r="AA74" s="1898" t="str">
        <f t="shared" ref="AA74:AA76" si="38">CA74&amp;CB74</f>
        <v/>
      </c>
      <c r="BF74" s="1970"/>
      <c r="BG74" s="1970"/>
      <c r="BH74" s="1970"/>
      <c r="BI74" s="1970"/>
      <c r="BJ74" s="1970"/>
      <c r="BK74" s="1970"/>
      <c r="BL74" s="1970"/>
      <c r="BM74" s="1970"/>
      <c r="BN74" s="1970"/>
      <c r="BO74" s="1970"/>
      <c r="BP74" s="1970"/>
      <c r="BQ74" s="1970"/>
      <c r="BR74" s="1970"/>
      <c r="BS74" s="1970"/>
      <c r="BT74" s="1970"/>
      <c r="BU74" s="1970"/>
      <c r="BV74" s="1970"/>
      <c r="BW74" s="1970"/>
      <c r="BX74" s="1970"/>
      <c r="BY74" s="1970"/>
      <c r="BZ74" s="1970"/>
      <c r="CA74" s="1899" t="str">
        <f t="shared" ref="CA74:CA76" si="39">IF(T74+U74+V74+W74&lt;&gt;$B74,"* La suma de "&amp;T$71&amp;""&amp;" no debe ser distinto del Total. ","")</f>
        <v/>
      </c>
      <c r="CB74" s="1899" t="str">
        <f t="shared" ref="CB74:CB76" si="40">IF(X74+Y74+Z74&gt;$B74,"* La suma de "&amp;X$71&amp;""&amp;" no puede superar el Total. ","")</f>
        <v/>
      </c>
      <c r="CE74" s="1970"/>
      <c r="CL74" s="1970"/>
      <c r="CM74" s="1901">
        <f>IF(T74+U74+V74+W74&lt;&gt;$B74,1,0)</f>
        <v>0</v>
      </c>
      <c r="CN74" s="1901">
        <f>IF(X74+Y74+Z74&gt;$B74,1,0)</f>
        <v>0</v>
      </c>
    </row>
    <row r="75" spans="1:95" x14ac:dyDescent="0.3">
      <c r="A75" s="4973" t="s">
        <v>3356</v>
      </c>
      <c r="B75" s="4686">
        <f>SUM(C75:S75)</f>
        <v>0</v>
      </c>
      <c r="C75" s="4766"/>
      <c r="D75" s="4767"/>
      <c r="E75" s="4767"/>
      <c r="F75" s="4767"/>
      <c r="G75" s="4767"/>
      <c r="H75" s="4767"/>
      <c r="I75" s="4767"/>
      <c r="J75" s="4767"/>
      <c r="K75" s="4767"/>
      <c r="L75" s="4767"/>
      <c r="M75" s="4767"/>
      <c r="N75" s="4767"/>
      <c r="O75" s="4767"/>
      <c r="P75" s="4767"/>
      <c r="Q75" s="4767"/>
      <c r="R75" s="4767"/>
      <c r="S75" s="5033"/>
      <c r="T75" s="1114"/>
      <c r="U75" s="1116"/>
      <c r="V75" s="1278"/>
      <c r="W75" s="1278"/>
      <c r="X75" s="1114"/>
      <c r="Y75" s="1278"/>
      <c r="Z75" s="1115"/>
      <c r="AA75" s="1898" t="str">
        <f t="shared" si="38"/>
        <v/>
      </c>
      <c r="BF75" s="1970"/>
      <c r="BG75" s="1970"/>
      <c r="BH75" s="1970"/>
      <c r="BI75" s="1970"/>
      <c r="BJ75" s="1970"/>
      <c r="BK75" s="1970"/>
      <c r="BL75" s="1970"/>
      <c r="BM75" s="1970"/>
      <c r="BN75" s="1970"/>
      <c r="BO75" s="1970"/>
      <c r="BP75" s="1970"/>
      <c r="BQ75" s="1970"/>
      <c r="BR75" s="1970"/>
      <c r="BS75" s="1970"/>
      <c r="BT75" s="1970"/>
      <c r="BU75" s="1970"/>
      <c r="BV75" s="1970"/>
      <c r="BW75" s="1970"/>
      <c r="BX75" s="1970"/>
      <c r="BY75" s="1970"/>
      <c r="BZ75" s="1970"/>
      <c r="CA75" s="1899" t="str">
        <f t="shared" si="39"/>
        <v/>
      </c>
      <c r="CB75" s="1899" t="str">
        <f t="shared" si="40"/>
        <v/>
      </c>
      <c r="CE75" s="1970"/>
      <c r="CL75" s="1970"/>
      <c r="CM75" s="1901">
        <f>IF(T75+U75+V75+W75&lt;&gt;$B75,1,0)</f>
        <v>0</v>
      </c>
      <c r="CN75" s="1901">
        <f>IF(X75+Y75+Z75&gt;$B75,1,0)</f>
        <v>0</v>
      </c>
    </row>
    <row r="76" spans="1:95" x14ac:dyDescent="0.3">
      <c r="A76" s="4973" t="s">
        <v>503</v>
      </c>
      <c r="B76" s="5034">
        <f>SUM(C76:S76)</f>
        <v>0</v>
      </c>
      <c r="C76" s="4766"/>
      <c r="D76" s="4767"/>
      <c r="E76" s="4767"/>
      <c r="F76" s="4767"/>
      <c r="G76" s="4767"/>
      <c r="H76" s="4767"/>
      <c r="I76" s="4767"/>
      <c r="J76" s="4767"/>
      <c r="K76" s="4767"/>
      <c r="L76" s="4767"/>
      <c r="M76" s="4767"/>
      <c r="N76" s="4767"/>
      <c r="O76" s="4767"/>
      <c r="P76" s="4767"/>
      <c r="Q76" s="4767"/>
      <c r="R76" s="4767"/>
      <c r="S76" s="5033"/>
      <c r="T76" s="1139"/>
      <c r="U76" s="1152"/>
      <c r="V76" s="1283"/>
      <c r="W76" s="1283"/>
      <c r="X76" s="1139"/>
      <c r="Y76" s="1283"/>
      <c r="Z76" s="388"/>
      <c r="AA76" s="1898" t="str">
        <f t="shared" si="38"/>
        <v/>
      </c>
      <c r="BF76" s="1970"/>
      <c r="BG76" s="1970"/>
      <c r="BH76" s="1970"/>
      <c r="BI76" s="1970"/>
      <c r="BJ76" s="1970"/>
      <c r="BK76" s="1970"/>
      <c r="BL76" s="1970"/>
      <c r="BM76" s="1970"/>
      <c r="BN76" s="1970"/>
      <c r="BO76" s="1970"/>
      <c r="BP76" s="1970"/>
      <c r="BQ76" s="1970"/>
      <c r="BR76" s="1970"/>
      <c r="BS76" s="1970"/>
      <c r="BT76" s="1970"/>
      <c r="BU76" s="1970"/>
      <c r="BV76" s="1970"/>
      <c r="BW76" s="1970"/>
      <c r="BX76" s="1970"/>
      <c r="BY76" s="1970"/>
      <c r="BZ76" s="1970"/>
      <c r="CA76" s="1899" t="str">
        <f t="shared" si="39"/>
        <v/>
      </c>
      <c r="CB76" s="1899" t="str">
        <f t="shared" si="40"/>
        <v/>
      </c>
      <c r="CE76" s="1970"/>
      <c r="CL76" s="1970"/>
      <c r="CM76" s="1901">
        <f>IF(T76+U76+V76+W76&lt;&gt;$B76,1,0)</f>
        <v>0</v>
      </c>
      <c r="CN76" s="1901">
        <f>IF(X76+Y76+Z76&gt;$B76,1,0)</f>
        <v>0</v>
      </c>
    </row>
    <row r="77" spans="1:95" x14ac:dyDescent="0.3">
      <c r="A77" s="5025" t="s">
        <v>77</v>
      </c>
      <c r="B77" s="5035">
        <f>SUM(B73:B76)</f>
        <v>0</v>
      </c>
      <c r="C77" s="5036">
        <f>SUM(C73:C76)</f>
        <v>0</v>
      </c>
      <c r="D77" s="5037">
        <f t="shared" ref="D77:R77" si="41">SUM(D73:D76)</f>
        <v>0</v>
      </c>
      <c r="E77" s="5037">
        <f t="shared" si="41"/>
        <v>0</v>
      </c>
      <c r="F77" s="5037">
        <f t="shared" si="41"/>
        <v>0</v>
      </c>
      <c r="G77" s="5037">
        <f t="shared" si="41"/>
        <v>0</v>
      </c>
      <c r="H77" s="5037">
        <f t="shared" si="41"/>
        <v>0</v>
      </c>
      <c r="I77" s="5037">
        <f t="shared" si="41"/>
        <v>0</v>
      </c>
      <c r="J77" s="5037">
        <f t="shared" si="41"/>
        <v>0</v>
      </c>
      <c r="K77" s="5037">
        <f t="shared" si="41"/>
        <v>0</v>
      </c>
      <c r="L77" s="5037">
        <f t="shared" si="41"/>
        <v>0</v>
      </c>
      <c r="M77" s="5037">
        <f t="shared" si="41"/>
        <v>0</v>
      </c>
      <c r="N77" s="5037">
        <f t="shared" si="41"/>
        <v>0</v>
      </c>
      <c r="O77" s="5037">
        <f t="shared" si="41"/>
        <v>0</v>
      </c>
      <c r="P77" s="5037">
        <f t="shared" si="41"/>
        <v>0</v>
      </c>
      <c r="Q77" s="5037">
        <f t="shared" si="41"/>
        <v>0</v>
      </c>
      <c r="R77" s="5037">
        <f t="shared" si="41"/>
        <v>0</v>
      </c>
      <c r="S77" s="5038">
        <f>SUM(S73:S76)</f>
        <v>0</v>
      </c>
      <c r="T77" s="5040">
        <f>SUM(T73:T76)</f>
        <v>0</v>
      </c>
      <c r="U77" s="4783">
        <f t="shared" ref="U77:Z77" si="42">SUM(U73:U76)</f>
        <v>0</v>
      </c>
      <c r="V77" s="4783">
        <f t="shared" si="42"/>
        <v>0</v>
      </c>
      <c r="W77" s="5041">
        <f t="shared" si="42"/>
        <v>0</v>
      </c>
      <c r="X77" s="5042">
        <f t="shared" si="42"/>
        <v>0</v>
      </c>
      <c r="Y77" s="4783">
        <f t="shared" si="42"/>
        <v>0</v>
      </c>
      <c r="Z77" s="4784">
        <f t="shared" si="42"/>
        <v>0</v>
      </c>
    </row>
    <row r="78" spans="1:95" ht="18" customHeight="1" x14ac:dyDescent="0.3">
      <c r="A78" s="13" t="s">
        <v>3362</v>
      </c>
      <c r="B78" s="5043"/>
      <c r="C78" s="8"/>
      <c r="D78" s="4"/>
      <c r="E78" s="8"/>
    </row>
    <row r="79" spans="1:95" ht="26.25" customHeight="1" x14ac:dyDescent="0.3">
      <c r="A79" s="1312" t="s">
        <v>277</v>
      </c>
      <c r="B79" s="1313" t="s">
        <v>3325</v>
      </c>
      <c r="C79" s="1135" t="s">
        <v>3306</v>
      </c>
      <c r="D79" s="1238" t="s">
        <v>3307</v>
      </c>
      <c r="E79" s="1252" t="s">
        <v>3308</v>
      </c>
    </row>
    <row r="80" spans="1:95" ht="15" customHeight="1" x14ac:dyDescent="0.3">
      <c r="A80" s="4853" t="s">
        <v>3363</v>
      </c>
      <c r="B80" s="290"/>
      <c r="C80" s="22"/>
      <c r="D80" s="535"/>
      <c r="E80" s="637"/>
    </row>
    <row r="81" spans="1:5" ht="15" customHeight="1" x14ac:dyDescent="0.3">
      <c r="A81" s="4853" t="s">
        <v>3364</v>
      </c>
      <c r="B81" s="1114"/>
      <c r="C81" s="1116"/>
      <c r="D81" s="1278"/>
      <c r="E81" s="1118"/>
    </row>
    <row r="82" spans="1:5" ht="15" customHeight="1" x14ac:dyDescent="0.3">
      <c r="A82" s="4853" t="s">
        <v>3365</v>
      </c>
      <c r="B82" s="1114"/>
      <c r="C82" s="1116"/>
      <c r="D82" s="1278"/>
      <c r="E82" s="1118"/>
    </row>
    <row r="83" spans="1:5" ht="21.75" customHeight="1" x14ac:dyDescent="0.3">
      <c r="A83" s="1223" t="s">
        <v>3366</v>
      </c>
      <c r="B83" s="1114"/>
      <c r="C83" s="1116"/>
      <c r="D83" s="1278"/>
      <c r="E83" s="1118"/>
    </row>
    <row r="84" spans="1:5" ht="15" customHeight="1" x14ac:dyDescent="0.3">
      <c r="A84" s="4853" t="s">
        <v>3367</v>
      </c>
      <c r="B84" s="192"/>
      <c r="C84" s="4610"/>
      <c r="D84" s="594"/>
      <c r="E84" s="383"/>
    </row>
    <row r="85" spans="1:5" ht="15" customHeight="1" x14ac:dyDescent="0.3">
      <c r="A85" s="4853" t="s">
        <v>3368</v>
      </c>
      <c r="B85" s="192"/>
      <c r="C85" s="1116"/>
      <c r="D85" s="594"/>
      <c r="E85" s="383"/>
    </row>
    <row r="86" spans="1:5" ht="15" customHeight="1" x14ac:dyDescent="0.3">
      <c r="A86" s="4853" t="s">
        <v>3369</v>
      </c>
      <c r="B86" s="192"/>
      <c r="C86" s="1116"/>
      <c r="D86" s="594"/>
      <c r="E86" s="383"/>
    </row>
    <row r="87" spans="1:5" ht="15" customHeight="1" x14ac:dyDescent="0.3">
      <c r="A87" s="4853" t="s">
        <v>3370</v>
      </c>
      <c r="B87" s="192"/>
      <c r="C87" s="1116"/>
      <c r="D87" s="594"/>
      <c r="E87" s="383"/>
    </row>
    <row r="88" spans="1:5" ht="15" customHeight="1" x14ac:dyDescent="0.3">
      <c r="A88" s="4853" t="s">
        <v>3371</v>
      </c>
      <c r="B88" s="192"/>
      <c r="C88" s="1116"/>
      <c r="D88" s="594"/>
      <c r="E88" s="383"/>
    </row>
    <row r="89" spans="1:5" ht="15" customHeight="1" x14ac:dyDescent="0.3">
      <c r="A89" s="5044" t="s">
        <v>3372</v>
      </c>
      <c r="B89" s="192"/>
      <c r="C89" s="1116"/>
      <c r="D89" s="594"/>
      <c r="E89" s="383"/>
    </row>
    <row r="90" spans="1:5" ht="15" customHeight="1" x14ac:dyDescent="0.3">
      <c r="A90" s="4853" t="s">
        <v>3373</v>
      </c>
      <c r="B90" s="192"/>
      <c r="C90" s="1116"/>
      <c r="D90" s="594"/>
      <c r="E90" s="383"/>
    </row>
    <row r="91" spans="1:5" ht="15" customHeight="1" x14ac:dyDescent="0.3">
      <c r="A91" s="4853" t="s">
        <v>3374</v>
      </c>
      <c r="B91" s="192"/>
      <c r="C91" s="1116"/>
      <c r="D91" s="594"/>
      <c r="E91" s="383"/>
    </row>
    <row r="92" spans="1:5" ht="15" customHeight="1" x14ac:dyDescent="0.3">
      <c r="A92" s="1223" t="s">
        <v>3375</v>
      </c>
      <c r="B92" s="192"/>
      <c r="C92" s="1116"/>
      <c r="D92" s="594"/>
      <c r="E92" s="383"/>
    </row>
    <row r="93" spans="1:5" ht="15" customHeight="1" x14ac:dyDescent="0.3">
      <c r="A93" s="5045" t="s">
        <v>3376</v>
      </c>
      <c r="B93" s="192"/>
      <c r="C93" s="1116"/>
      <c r="D93" s="594"/>
      <c r="E93" s="383"/>
    </row>
    <row r="94" spans="1:5" ht="15" customHeight="1" x14ac:dyDescent="0.3">
      <c r="A94" s="2284" t="s">
        <v>3377</v>
      </c>
      <c r="B94" s="192"/>
      <c r="C94" s="1116"/>
      <c r="D94" s="594"/>
      <c r="E94" s="383"/>
    </row>
    <row r="95" spans="1:5" ht="15" customHeight="1" x14ac:dyDescent="0.3">
      <c r="A95" s="5671" t="s">
        <v>3477</v>
      </c>
      <c r="B95" s="192"/>
      <c r="C95" s="1116"/>
      <c r="D95" s="594"/>
      <c r="E95" s="383"/>
    </row>
    <row r="96" spans="1:5" ht="15" customHeight="1" x14ac:dyDescent="0.3">
      <c r="A96" s="4853" t="s">
        <v>3378</v>
      </c>
      <c r="B96" s="192"/>
      <c r="C96" s="1116"/>
      <c r="D96" s="594"/>
      <c r="E96" s="383"/>
    </row>
    <row r="97" spans="1:5" ht="15" customHeight="1" x14ac:dyDescent="0.3">
      <c r="A97" s="1312" t="s">
        <v>77</v>
      </c>
      <c r="B97" s="5042">
        <f>SUM(B80:B96)</f>
        <v>0</v>
      </c>
      <c r="C97" s="5041">
        <f>SUM(C80:C96)</f>
        <v>0</v>
      </c>
      <c r="D97" s="4783">
        <f>SUM(D80:D96)</f>
        <v>0</v>
      </c>
      <c r="E97" s="5046">
        <f>SUM(E80:E96)</f>
        <v>0</v>
      </c>
    </row>
    <row r="98" spans="1:5" ht="18" customHeight="1" x14ac:dyDescent="0.3">
      <c r="A98" s="15" t="s">
        <v>3379</v>
      </c>
      <c r="B98" s="8"/>
      <c r="C98" s="8"/>
      <c r="D98" s="8"/>
      <c r="E98" s="8"/>
    </row>
    <row r="99" spans="1:5" ht="25.5" customHeight="1" x14ac:dyDescent="0.3">
      <c r="A99" s="5047" t="s">
        <v>27</v>
      </c>
      <c r="B99" s="1238" t="s">
        <v>3325</v>
      </c>
      <c r="C99" s="1135" t="s">
        <v>3306</v>
      </c>
      <c r="D99" s="1238" t="s">
        <v>3307</v>
      </c>
      <c r="E99" s="1252" t="s">
        <v>3308</v>
      </c>
    </row>
    <row r="100" spans="1:5" x14ac:dyDescent="0.3">
      <c r="A100" s="4973" t="s">
        <v>1406</v>
      </c>
      <c r="B100" s="1278"/>
      <c r="C100" s="1116"/>
      <c r="D100" s="1278"/>
      <c r="E100" s="1118"/>
    </row>
    <row r="101" spans="1:5" x14ac:dyDescent="0.3">
      <c r="A101" s="4973" t="s">
        <v>1037</v>
      </c>
      <c r="B101" s="1278"/>
      <c r="C101" s="1116"/>
      <c r="D101" s="1278"/>
      <c r="E101" s="1118"/>
    </row>
    <row r="102" spans="1:5" x14ac:dyDescent="0.3">
      <c r="A102" s="4973" t="s">
        <v>504</v>
      </c>
      <c r="B102" s="1278"/>
      <c r="C102" s="1116"/>
      <c r="D102" s="1278"/>
      <c r="E102" s="1118"/>
    </row>
    <row r="103" spans="1:5" x14ac:dyDescent="0.3">
      <c r="A103" s="4973" t="s">
        <v>1034</v>
      </c>
      <c r="B103" s="1278"/>
      <c r="C103" s="1116"/>
      <c r="D103" s="1278"/>
      <c r="E103" s="1118"/>
    </row>
    <row r="104" spans="1:5" x14ac:dyDescent="0.3">
      <c r="A104" s="1411" t="s">
        <v>2067</v>
      </c>
      <c r="B104" s="1283"/>
      <c r="C104" s="1152"/>
      <c r="D104" s="1283"/>
      <c r="E104" s="1140"/>
    </row>
    <row r="105" spans="1:5" x14ac:dyDescent="0.3">
      <c r="A105" s="5048" t="s">
        <v>77</v>
      </c>
      <c r="B105" s="5041">
        <f>SUM(B100:B104)</f>
        <v>0</v>
      </c>
      <c r="C105" s="5041">
        <f>SUM(C100:C104)</f>
        <v>0</v>
      </c>
      <c r="D105" s="4783">
        <f>SUM(D100:D104)</f>
        <v>0</v>
      </c>
      <c r="E105" s="5046">
        <f>SUM(E100:E104)</f>
        <v>0</v>
      </c>
    </row>
    <row r="106" spans="1:5" ht="18" customHeight="1" x14ac:dyDescent="0.3">
      <c r="A106" s="15" t="s">
        <v>3380</v>
      </c>
      <c r="B106" s="8"/>
      <c r="C106" s="8"/>
      <c r="D106" s="8"/>
      <c r="E106" s="8"/>
    </row>
    <row r="107" spans="1:5" ht="25.5" customHeight="1" x14ac:dyDescent="0.3">
      <c r="A107" s="5047" t="s">
        <v>27</v>
      </c>
      <c r="B107" s="1238" t="s">
        <v>3325</v>
      </c>
      <c r="C107" s="1135" t="s">
        <v>3306</v>
      </c>
      <c r="D107" s="1238" t="s">
        <v>3307</v>
      </c>
      <c r="E107" s="1252" t="s">
        <v>3308</v>
      </c>
    </row>
    <row r="108" spans="1:5" x14ac:dyDescent="0.3">
      <c r="A108" s="4973" t="s">
        <v>1406</v>
      </c>
      <c r="B108" s="1278"/>
      <c r="C108" s="1116"/>
      <c r="D108" s="1278"/>
      <c r="E108" s="1118"/>
    </row>
    <row r="109" spans="1:5" x14ac:dyDescent="0.3">
      <c r="A109" s="4973" t="s">
        <v>1037</v>
      </c>
      <c r="B109" s="1278"/>
      <c r="C109" s="1116"/>
      <c r="D109" s="1278"/>
      <c r="E109" s="1118"/>
    </row>
    <row r="110" spans="1:5" x14ac:dyDescent="0.3">
      <c r="A110" s="4973" t="s">
        <v>504</v>
      </c>
      <c r="B110" s="1278"/>
      <c r="C110" s="1116"/>
      <c r="D110" s="1278"/>
      <c r="E110" s="1118"/>
    </row>
    <row r="111" spans="1:5" x14ac:dyDescent="0.3">
      <c r="A111" s="4973" t="s">
        <v>1034</v>
      </c>
      <c r="B111" s="1278"/>
      <c r="C111" s="1116"/>
      <c r="D111" s="1278"/>
      <c r="E111" s="1118"/>
    </row>
    <row r="112" spans="1:5" x14ac:dyDescent="0.3">
      <c r="A112" s="1411" t="s">
        <v>2067</v>
      </c>
      <c r="B112" s="1283"/>
      <c r="C112" s="1152"/>
      <c r="D112" s="1283"/>
      <c r="E112" s="1140"/>
    </row>
    <row r="113" spans="1:93" x14ac:dyDescent="0.3">
      <c r="A113" s="5048" t="s">
        <v>77</v>
      </c>
      <c r="B113" s="5041">
        <f>SUM(B108:B112)</f>
        <v>0</v>
      </c>
      <c r="C113" s="5041">
        <f>SUM(C108:C112)</f>
        <v>0</v>
      </c>
      <c r="D113" s="4783">
        <f>SUM(D108:D112)</f>
        <v>0</v>
      </c>
      <c r="E113" s="5046">
        <f>SUM(E108:E112)</f>
        <v>0</v>
      </c>
    </row>
    <row r="114" spans="1:93" ht="18" customHeight="1" x14ac:dyDescent="0.3">
      <c r="A114" s="13" t="s">
        <v>3381</v>
      </c>
      <c r="B114" s="25"/>
      <c r="C114" s="25"/>
      <c r="D114" s="5049"/>
      <c r="E114" s="8"/>
      <c r="F114" s="8"/>
      <c r="G114" s="8"/>
      <c r="H114" s="8"/>
    </row>
    <row r="115" spans="1:93" ht="15" customHeight="1" x14ac:dyDescent="0.3">
      <c r="A115" s="7408" t="s">
        <v>3382</v>
      </c>
      <c r="B115" s="7410" t="s">
        <v>77</v>
      </c>
      <c r="C115" s="7023" t="s">
        <v>3319</v>
      </c>
      <c r="D115" s="7030"/>
      <c r="E115" s="7030"/>
      <c r="F115" s="7071"/>
      <c r="G115" s="7407" t="s">
        <v>3383</v>
      </c>
      <c r="H115" s="7149"/>
    </row>
    <row r="116" spans="1:93" ht="24.75" customHeight="1" x14ac:dyDescent="0.3">
      <c r="A116" s="7409"/>
      <c r="B116" s="7411"/>
      <c r="C116" s="1313" t="s">
        <v>3325</v>
      </c>
      <c r="D116" s="1135" t="s">
        <v>3306</v>
      </c>
      <c r="E116" s="1238" t="s">
        <v>3307</v>
      </c>
      <c r="F116" s="1241" t="s">
        <v>3308</v>
      </c>
      <c r="G116" s="1242" t="s">
        <v>3359</v>
      </c>
      <c r="H116" s="1092" t="s">
        <v>3360</v>
      </c>
    </row>
    <row r="117" spans="1:93" ht="15" customHeight="1" x14ac:dyDescent="0.3">
      <c r="A117" s="5050" t="s">
        <v>3384</v>
      </c>
      <c r="B117" s="4910">
        <f>SUM(C117:F117)</f>
        <v>0</v>
      </c>
      <c r="C117" s="1106"/>
      <c r="D117" s="1108"/>
      <c r="E117" s="773"/>
      <c r="F117" s="759"/>
      <c r="G117" s="1321"/>
      <c r="H117" s="1107"/>
      <c r="CA117" s="432" t="str">
        <f>IF(AND($B117&gt;0,$G117="")," * No olvide digitar la variable "&amp;$G$116&amp;""&amp;" Presencial (Establecimiento). Digite CERO si no tiene.","")</f>
        <v/>
      </c>
      <c r="CB117" s="432" t="str">
        <f>IF(AND($B117&gt;0,$H117="")," * No olvide digitar la variable "&amp;$G$115&amp;""&amp;" A distancia. Digite CERO si no tiene.","")</f>
        <v/>
      </c>
      <c r="CC117" s="432" t="str">
        <f>IF(AND($G117+$H117&gt;$B117)," * La variable "&amp;$G$115&amp;""&amp;" No puede ser mayor al Total.","")</f>
        <v/>
      </c>
      <c r="CM117" s="180">
        <f>IF(AND($B117&gt;0,$G117=""),1,0)</f>
        <v>0</v>
      </c>
      <c r="CN117" s="180">
        <f>IF(AND($B117&gt;0,$H117=""),1,0)</f>
        <v>0</v>
      </c>
      <c r="CO117" s="180">
        <f>IF(AND($G117+$H117&gt;$B117),1,0)</f>
        <v>0</v>
      </c>
    </row>
    <row r="118" spans="1:93" ht="15" customHeight="1" x14ac:dyDescent="0.3">
      <c r="A118" s="5051" t="s">
        <v>3385</v>
      </c>
      <c r="B118" s="5052">
        <f>SUM(C118:F118)</f>
        <v>0</v>
      </c>
      <c r="C118" s="1289"/>
      <c r="D118" s="5053"/>
      <c r="E118" s="262"/>
      <c r="F118" s="297"/>
      <c r="G118" s="266"/>
      <c r="H118" s="1474"/>
      <c r="CA118" s="432" t="str">
        <f>IF(AND($B118&gt;0,$G118="")," * No olvide digitar la variable "&amp;$G$116&amp;""&amp;" Presencial (Establecimiento). Digite CERO si no tiene.","")</f>
        <v/>
      </c>
      <c r="CB118" s="432" t="str">
        <f>IF(AND($B118&gt;0,$H118="")," * No olvide digitar la variable "&amp;$G$115&amp;""&amp;" A distancia. Digite CERO si no tiene.","")</f>
        <v/>
      </c>
      <c r="CC118" s="432" t="str">
        <f>IF(AND($G118+$H118&gt;$B118)," * La variable "&amp;$G$115&amp;""&amp;" No puede ser mayor al Total.","")</f>
        <v/>
      </c>
      <c r="CM118" s="180">
        <f>IF(AND($B118&gt;0,$G118=""),1,0)</f>
        <v>0</v>
      </c>
      <c r="CN118" s="180">
        <f>IF(AND($B118&gt;0,$H118=""),1,0)</f>
        <v>0</v>
      </c>
      <c r="CO118" s="180">
        <f>IF(AND($G118+$H118&gt;$B118),1,0)</f>
        <v>0</v>
      </c>
    </row>
    <row r="119" spans="1:93" ht="18" customHeight="1" x14ac:dyDescent="0.3">
      <c r="A119" s="298" t="s">
        <v>3386</v>
      </c>
      <c r="B119" s="25"/>
      <c r="C119" s="25"/>
      <c r="D119" s="60"/>
      <c r="E119" s="5054"/>
      <c r="F119" s="5055"/>
      <c r="G119" s="5056"/>
      <c r="H119" s="5057"/>
      <c r="I119" s="3506"/>
      <c r="J119" s="3506"/>
      <c r="K119" s="3506"/>
    </row>
    <row r="120" spans="1:93" x14ac:dyDescent="0.3">
      <c r="A120" s="7412" t="s">
        <v>3387</v>
      </c>
      <c r="B120" s="7401" t="s">
        <v>77</v>
      </c>
      <c r="C120" s="7419" t="s">
        <v>3388</v>
      </c>
      <c r="D120" s="7420"/>
      <c r="E120" s="7421"/>
      <c r="F120" s="7422" t="s">
        <v>3389</v>
      </c>
      <c r="G120" s="7423" t="s">
        <v>3390</v>
      </c>
      <c r="H120" s="6975" t="s">
        <v>3319</v>
      </c>
      <c r="I120" s="7030"/>
      <c r="J120" s="7030"/>
      <c r="K120" s="6976"/>
    </row>
    <row r="121" spans="1:93" ht="40.799999999999997" x14ac:dyDescent="0.3">
      <c r="A121" s="7391"/>
      <c r="B121" s="7402"/>
      <c r="C121" s="3839" t="s">
        <v>3391</v>
      </c>
      <c r="D121" s="1961" t="s">
        <v>3392</v>
      </c>
      <c r="E121" s="1785" t="s">
        <v>3393</v>
      </c>
      <c r="F121" s="7422"/>
      <c r="G121" s="7423"/>
      <c r="H121" s="1242" t="s">
        <v>3325</v>
      </c>
      <c r="I121" s="1238" t="s">
        <v>3306</v>
      </c>
      <c r="J121" s="1238" t="s">
        <v>3307</v>
      </c>
      <c r="K121" s="1252" t="s">
        <v>3308</v>
      </c>
    </row>
    <row r="122" spans="1:93" ht="15" customHeight="1" x14ac:dyDescent="0.3">
      <c r="A122" s="1227" t="s">
        <v>3394</v>
      </c>
      <c r="B122" s="1184">
        <f>SUM(C122:G122)</f>
        <v>0</v>
      </c>
      <c r="C122" s="1106"/>
      <c r="D122" s="773"/>
      <c r="E122" s="771"/>
      <c r="F122" s="1108"/>
      <c r="G122" s="759"/>
      <c r="H122" s="1321"/>
      <c r="I122" s="773"/>
      <c r="J122" s="773"/>
      <c r="K122" s="771"/>
      <c r="L122" s="1898" t="str">
        <f>CA122&amp;CB122&amp;CC122</f>
        <v/>
      </c>
      <c r="AQ122" s="1970"/>
      <c r="AR122" s="1970"/>
      <c r="AS122" s="1970"/>
      <c r="AT122" s="1970"/>
      <c r="AU122" s="1970"/>
      <c r="AV122" s="1970"/>
      <c r="AW122" s="1970"/>
      <c r="AX122" s="1970"/>
      <c r="AY122" s="1970"/>
      <c r="AZ122" s="1970"/>
      <c r="BA122" s="1970"/>
      <c r="BB122" s="1970"/>
      <c r="BC122" s="1970"/>
      <c r="BD122" s="1970"/>
      <c r="BE122" s="1970"/>
      <c r="BF122" s="1970"/>
      <c r="BG122" s="1970"/>
      <c r="BH122" s="1970"/>
      <c r="BI122" s="1970"/>
      <c r="BJ122" s="1970"/>
      <c r="BK122" s="1970"/>
      <c r="BL122" s="1970"/>
      <c r="BM122" s="1970"/>
      <c r="BN122" s="1970"/>
      <c r="BO122" s="1970"/>
      <c r="BP122" s="1970"/>
      <c r="BQ122" s="1970"/>
      <c r="BR122" s="1970"/>
      <c r="BS122" s="1970"/>
      <c r="BT122" s="1970"/>
      <c r="BU122" s="1970"/>
      <c r="BV122" s="1970"/>
      <c r="BW122" s="1970"/>
      <c r="BX122" s="1970"/>
      <c r="BY122" s="1970"/>
      <c r="BZ122" s="1970"/>
      <c r="CA122" s="1899" t="str">
        <f>IF(H122+I122+J122+K122&lt;&gt;$B122,"* La suma de "&amp;H$120&amp;""&amp;" no debe ser distinto del Total. ","")</f>
        <v/>
      </c>
      <c r="CB122" s="1970"/>
      <c r="CC122" s="1970"/>
      <c r="CD122" s="1970"/>
      <c r="CE122" s="1970"/>
      <c r="CL122" s="1970"/>
      <c r="CM122" s="1901">
        <f>IF(H122+I122+J122+K122&lt;&gt;$B122,1,0)</f>
        <v>0</v>
      </c>
    </row>
    <row r="123" spans="1:93" ht="15" customHeight="1" x14ac:dyDescent="0.3">
      <c r="A123" s="1223" t="s">
        <v>3395</v>
      </c>
      <c r="B123" s="1187">
        <f>SUM(C123:G123)</f>
        <v>0</v>
      </c>
      <c r="C123" s="1114"/>
      <c r="D123" s="1278"/>
      <c r="E123" s="1118"/>
      <c r="F123" s="1116"/>
      <c r="G123" s="1120"/>
      <c r="H123" s="1326"/>
      <c r="I123" s="1278"/>
      <c r="J123" s="1278"/>
      <c r="K123" s="1118"/>
      <c r="L123" s="1898" t="str">
        <f>CA123&amp;CB123&amp;CC123</f>
        <v/>
      </c>
      <c r="AQ123" s="1970"/>
      <c r="AR123" s="1970"/>
      <c r="AS123" s="1970"/>
      <c r="AT123" s="1970"/>
      <c r="AU123" s="1970"/>
      <c r="AV123" s="1970"/>
      <c r="AW123" s="1970"/>
      <c r="AX123" s="1970"/>
      <c r="AY123" s="1970"/>
      <c r="AZ123" s="1970"/>
      <c r="BA123" s="1970"/>
      <c r="BB123" s="1970"/>
      <c r="BC123" s="1970"/>
      <c r="BD123" s="1970"/>
      <c r="BE123" s="1970"/>
      <c r="BF123" s="1970"/>
      <c r="BG123" s="1970"/>
      <c r="BH123" s="1970"/>
      <c r="BI123" s="1970"/>
      <c r="BJ123" s="1970"/>
      <c r="BK123" s="1970"/>
      <c r="BL123" s="1970"/>
      <c r="BM123" s="1970"/>
      <c r="BN123" s="1970"/>
      <c r="BO123" s="1970"/>
      <c r="BP123" s="1970"/>
      <c r="BQ123" s="1970"/>
      <c r="BR123" s="1970"/>
      <c r="BS123" s="1970"/>
      <c r="BT123" s="1970"/>
      <c r="BU123" s="1970"/>
      <c r="BV123" s="1970"/>
      <c r="BW123" s="1970"/>
      <c r="BX123" s="1970"/>
      <c r="BY123" s="1970"/>
      <c r="BZ123" s="1970"/>
      <c r="CA123" s="1899" t="str">
        <f t="shared" ref="CA123:CA124" si="43">IF(H123+I123+J123+K123&lt;&gt;$B123,"* La suma de "&amp;H$120&amp;""&amp;" no debe ser distinto del Total. ","")</f>
        <v/>
      </c>
      <c r="CB123" s="1970"/>
      <c r="CC123" s="1970"/>
      <c r="CD123" s="1970"/>
      <c r="CE123" s="1970"/>
      <c r="CL123" s="1970"/>
      <c r="CM123" s="1901">
        <f>IF(H123+I123+J123+K123&lt;&gt;$B123,1,0)</f>
        <v>0</v>
      </c>
    </row>
    <row r="124" spans="1:93" ht="15" customHeight="1" x14ac:dyDescent="0.3">
      <c r="A124" s="1224" t="s">
        <v>3396</v>
      </c>
      <c r="B124" s="1188">
        <f>SUM(C124:G124)</f>
        <v>0</v>
      </c>
      <c r="C124" s="1139"/>
      <c r="D124" s="1283"/>
      <c r="E124" s="1140"/>
      <c r="F124" s="1152"/>
      <c r="G124" s="1351"/>
      <c r="H124" s="1330"/>
      <c r="I124" s="1283"/>
      <c r="J124" s="1283"/>
      <c r="K124" s="1140"/>
      <c r="L124" s="1898" t="str">
        <f>CA124&amp;CB124&amp;CC124</f>
        <v/>
      </c>
      <c r="AQ124" s="1970"/>
      <c r="AR124" s="1970"/>
      <c r="AS124" s="1970"/>
      <c r="AT124" s="1970"/>
      <c r="AU124" s="1970"/>
      <c r="AV124" s="1970"/>
      <c r="AW124" s="1970"/>
      <c r="AX124" s="1970"/>
      <c r="AY124" s="1970"/>
      <c r="AZ124" s="1970"/>
      <c r="BA124" s="1970"/>
      <c r="BB124" s="1970"/>
      <c r="BC124" s="1970"/>
      <c r="BD124" s="1970"/>
      <c r="BE124" s="1970"/>
      <c r="BF124" s="1970"/>
      <c r="BG124" s="1970"/>
      <c r="BH124" s="1970"/>
      <c r="BI124" s="1970"/>
      <c r="BJ124" s="1970"/>
      <c r="BK124" s="1970"/>
      <c r="BL124" s="1970"/>
      <c r="BM124" s="1970"/>
      <c r="BN124" s="1970"/>
      <c r="BO124" s="1970"/>
      <c r="BP124" s="1970"/>
      <c r="BQ124" s="1970"/>
      <c r="BR124" s="1970"/>
      <c r="BS124" s="1970"/>
      <c r="BT124" s="1970"/>
      <c r="BU124" s="1970"/>
      <c r="BV124" s="1970"/>
      <c r="BW124" s="1970"/>
      <c r="BX124" s="1970"/>
      <c r="BY124" s="1970"/>
      <c r="BZ124" s="1970"/>
      <c r="CA124" s="1899" t="str">
        <f t="shared" si="43"/>
        <v/>
      </c>
      <c r="CB124" s="1970"/>
      <c r="CC124" s="1970"/>
      <c r="CD124" s="1970"/>
      <c r="CE124" s="1970"/>
      <c r="CL124" s="1970"/>
      <c r="CM124" s="1901">
        <f>IF(H124+I124+J124+K124&lt;&gt;$B124,1,0)</f>
        <v>0</v>
      </c>
    </row>
    <row r="125" spans="1:93" ht="18" customHeight="1" x14ac:dyDescent="0.3">
      <c r="A125" s="15" t="s">
        <v>3397</v>
      </c>
      <c r="B125" s="25"/>
      <c r="C125" s="25"/>
      <c r="D125" s="5049"/>
      <c r="E125" s="5049"/>
      <c r="F125" s="5049"/>
      <c r="G125" s="5049"/>
      <c r="H125" s="5049"/>
      <c r="I125" s="5049"/>
      <c r="J125" s="5049"/>
      <c r="K125" s="5049"/>
      <c r="L125" s="5049"/>
    </row>
    <row r="126" spans="1:93" ht="21.75" customHeight="1" x14ac:dyDescent="0.3">
      <c r="A126" s="7412" t="s">
        <v>3398</v>
      </c>
      <c r="B126" s="7401" t="s">
        <v>3399</v>
      </c>
      <c r="C126" s="6989" t="s">
        <v>3400</v>
      </c>
      <c r="D126" s="7078"/>
      <c r="E126" s="6989" t="s">
        <v>3401</v>
      </c>
      <c r="F126" s="7078"/>
      <c r="G126" s="6989" t="s">
        <v>3402</v>
      </c>
      <c r="H126" s="7078"/>
      <c r="I126" s="6989" t="s">
        <v>3403</v>
      </c>
      <c r="J126" s="6991"/>
      <c r="K126" s="7424" t="s">
        <v>3404</v>
      </c>
      <c r="L126" s="7149"/>
    </row>
    <row r="127" spans="1:93" ht="30.6" x14ac:dyDescent="0.3">
      <c r="A127" s="7391"/>
      <c r="B127" s="7402"/>
      <c r="C127" s="1313" t="s">
        <v>3405</v>
      </c>
      <c r="D127" s="1092" t="s">
        <v>3406</v>
      </c>
      <c r="E127" s="1313" t="s">
        <v>3405</v>
      </c>
      <c r="F127" s="1092" t="s">
        <v>3406</v>
      </c>
      <c r="G127" s="1313" t="s">
        <v>3405</v>
      </c>
      <c r="H127" s="1490" t="s">
        <v>3406</v>
      </c>
      <c r="I127" s="1313" t="s">
        <v>3405</v>
      </c>
      <c r="J127" s="1136" t="s">
        <v>3406</v>
      </c>
      <c r="K127" s="1242" t="s">
        <v>3359</v>
      </c>
      <c r="L127" s="1092" t="s">
        <v>3360</v>
      </c>
    </row>
    <row r="128" spans="1:93" x14ac:dyDescent="0.3">
      <c r="A128" s="7415" t="s">
        <v>3407</v>
      </c>
      <c r="B128" s="1227" t="s">
        <v>2124</v>
      </c>
      <c r="C128" s="1106"/>
      <c r="D128" s="1107"/>
      <c r="E128" s="1106"/>
      <c r="F128" s="1107"/>
      <c r="G128" s="1106"/>
      <c r="H128" s="1107"/>
      <c r="I128" s="1106"/>
      <c r="J128" s="1284"/>
      <c r="K128" s="1326"/>
      <c r="L128" s="1107"/>
    </row>
    <row r="129" spans="1:41" ht="20.399999999999999" x14ac:dyDescent="0.3">
      <c r="A129" s="5844"/>
      <c r="B129" s="1223" t="s">
        <v>3408</v>
      </c>
      <c r="C129" s="1114"/>
      <c r="D129" s="1115"/>
      <c r="E129" s="1114"/>
      <c r="F129" s="1115"/>
      <c r="G129" s="1114"/>
      <c r="H129" s="1115"/>
      <c r="I129" s="1114"/>
      <c r="J129" s="1322"/>
      <c r="K129" s="1326"/>
      <c r="L129" s="1115"/>
    </row>
    <row r="130" spans="1:41" x14ac:dyDescent="0.3">
      <c r="A130" s="5844"/>
      <c r="B130" s="1223" t="s">
        <v>3409</v>
      </c>
      <c r="C130" s="1114"/>
      <c r="D130" s="1115"/>
      <c r="E130" s="1114"/>
      <c r="F130" s="1115"/>
      <c r="G130" s="1114"/>
      <c r="H130" s="1115"/>
      <c r="I130" s="1114"/>
      <c r="J130" s="1322"/>
      <c r="K130" s="1326"/>
      <c r="L130" s="1115"/>
    </row>
    <row r="131" spans="1:41" x14ac:dyDescent="0.3">
      <c r="A131" s="7416"/>
      <c r="B131" s="1223" t="s">
        <v>3410</v>
      </c>
      <c r="C131" s="1139"/>
      <c r="D131" s="388"/>
      <c r="E131" s="1139"/>
      <c r="F131" s="388"/>
      <c r="G131" s="1139"/>
      <c r="H131" s="388"/>
      <c r="I131" s="1139"/>
      <c r="J131" s="392"/>
      <c r="K131" s="1330"/>
      <c r="L131" s="388"/>
    </row>
    <row r="132" spans="1:41" x14ac:dyDescent="0.3">
      <c r="A132" s="7396" t="s">
        <v>3411</v>
      </c>
      <c r="B132" s="1227" t="s">
        <v>2124</v>
      </c>
      <c r="C132" s="1106"/>
      <c r="D132" s="1107"/>
      <c r="E132" s="1106"/>
      <c r="F132" s="1107"/>
      <c r="G132" s="1106"/>
      <c r="H132" s="1107"/>
      <c r="I132" s="1106"/>
      <c r="J132" s="1284"/>
      <c r="K132" s="1321"/>
      <c r="L132" s="1107"/>
    </row>
    <row r="133" spans="1:41" ht="20.399999999999999" x14ac:dyDescent="0.3">
      <c r="A133" s="7425"/>
      <c r="B133" s="1223" t="s">
        <v>3412</v>
      </c>
      <c r="C133" s="1114"/>
      <c r="D133" s="1115"/>
      <c r="E133" s="1114"/>
      <c r="F133" s="1115"/>
      <c r="G133" s="1114"/>
      <c r="H133" s="1115"/>
      <c r="I133" s="1114"/>
      <c r="J133" s="1322"/>
      <c r="K133" s="1326"/>
      <c r="L133" s="1115"/>
    </row>
    <row r="134" spans="1:41" x14ac:dyDescent="0.3">
      <c r="A134" s="7425"/>
      <c r="B134" s="1223" t="s">
        <v>3410</v>
      </c>
      <c r="C134" s="1114"/>
      <c r="D134" s="1115"/>
      <c r="E134" s="1114"/>
      <c r="F134" s="1115"/>
      <c r="G134" s="1114"/>
      <c r="H134" s="1115"/>
      <c r="I134" s="1114"/>
      <c r="J134" s="1322"/>
      <c r="K134" s="1326"/>
      <c r="L134" s="1115"/>
    </row>
    <row r="135" spans="1:41" x14ac:dyDescent="0.3">
      <c r="A135" s="7425"/>
      <c r="B135" s="1781" t="s">
        <v>3413</v>
      </c>
      <c r="C135" s="192"/>
      <c r="D135" s="2"/>
      <c r="E135" s="192"/>
      <c r="F135" s="2"/>
      <c r="G135" s="192"/>
      <c r="H135" s="2"/>
      <c r="I135" s="192"/>
      <c r="J135" s="376"/>
      <c r="K135" s="377"/>
      <c r="L135" s="2"/>
    </row>
    <row r="136" spans="1:41" x14ac:dyDescent="0.3">
      <c r="A136" s="7425"/>
      <c r="B136" s="1224" t="s">
        <v>3414</v>
      </c>
      <c r="C136" s="1139"/>
      <c r="D136" s="388"/>
      <c r="E136" s="1139"/>
      <c r="F136" s="388"/>
      <c r="G136" s="1139"/>
      <c r="H136" s="388"/>
      <c r="I136" s="1139"/>
      <c r="J136" s="392"/>
      <c r="K136" s="1330"/>
      <c r="L136" s="388"/>
    </row>
    <row r="137" spans="1:41" x14ac:dyDescent="0.3">
      <c r="A137" s="7415" t="s">
        <v>3415</v>
      </c>
      <c r="B137" s="1227" t="s">
        <v>3416</v>
      </c>
      <c r="C137" s="1106"/>
      <c r="D137" s="1107"/>
      <c r="E137" s="1106"/>
      <c r="F137" s="1107"/>
      <c r="G137" s="1106"/>
      <c r="H137" s="1107"/>
      <c r="I137" s="1106"/>
      <c r="J137" s="1284"/>
      <c r="K137" s="1321"/>
      <c r="L137" s="1107"/>
    </row>
    <row r="138" spans="1:41" ht="20.399999999999999" x14ac:dyDescent="0.3">
      <c r="A138" s="5844"/>
      <c r="B138" s="1223" t="s">
        <v>3412</v>
      </c>
      <c r="C138" s="1114"/>
      <c r="D138" s="1115"/>
      <c r="E138" s="1114"/>
      <c r="F138" s="1115"/>
      <c r="G138" s="1114"/>
      <c r="H138" s="1115"/>
      <c r="I138" s="1114"/>
      <c r="J138" s="1322"/>
      <c r="K138" s="1326"/>
      <c r="L138" s="1115"/>
    </row>
    <row r="139" spans="1:41" x14ac:dyDescent="0.3">
      <c r="A139" s="5844"/>
      <c r="B139" s="1223" t="s">
        <v>3410</v>
      </c>
      <c r="C139" s="1114"/>
      <c r="D139" s="1115"/>
      <c r="E139" s="1114"/>
      <c r="F139" s="1115"/>
      <c r="G139" s="1114"/>
      <c r="H139" s="1115"/>
      <c r="I139" s="1114"/>
      <c r="J139" s="1322"/>
      <c r="K139" s="1326"/>
      <c r="L139" s="1115"/>
    </row>
    <row r="140" spans="1:41" x14ac:dyDescent="0.3">
      <c r="A140" s="5844"/>
      <c r="B140" s="1223" t="s">
        <v>3417</v>
      </c>
      <c r="C140" s="1114"/>
      <c r="D140" s="1115"/>
      <c r="E140" s="1114"/>
      <c r="F140" s="1115"/>
      <c r="G140" s="1114"/>
      <c r="H140" s="1115"/>
      <c r="I140" s="1114"/>
      <c r="J140" s="1322"/>
      <c r="K140" s="1326"/>
      <c r="L140" s="1115"/>
    </row>
    <row r="141" spans="1:41" x14ac:dyDescent="0.3">
      <c r="A141" s="5844"/>
      <c r="B141" s="1781" t="s">
        <v>3413</v>
      </c>
      <c r="C141" s="1114"/>
      <c r="D141" s="1115"/>
      <c r="E141" s="1114"/>
      <c r="F141" s="1115"/>
      <c r="G141" s="1114"/>
      <c r="H141" s="1115"/>
      <c r="I141" s="1114"/>
      <c r="J141" s="1322"/>
      <c r="K141" s="1326"/>
      <c r="L141" s="1115"/>
    </row>
    <row r="142" spans="1:41" x14ac:dyDescent="0.3">
      <c r="A142" s="7416"/>
      <c r="B142" s="1224" t="s">
        <v>3414</v>
      </c>
      <c r="C142" s="47"/>
      <c r="D142" s="42"/>
      <c r="E142" s="47"/>
      <c r="F142" s="42"/>
      <c r="G142" s="47"/>
      <c r="H142" s="42"/>
      <c r="I142" s="47"/>
      <c r="J142" s="75"/>
      <c r="K142" s="74"/>
      <c r="L142" s="42"/>
    </row>
    <row r="143" spans="1:41" x14ac:dyDescent="0.3">
      <c r="A143" s="1456" t="s">
        <v>3418</v>
      </c>
      <c r="B143" s="1456" t="s">
        <v>3409</v>
      </c>
      <c r="C143" s="4988"/>
      <c r="D143" s="1096"/>
      <c r="E143" s="4988"/>
      <c r="F143" s="1096"/>
      <c r="G143" s="4988"/>
      <c r="H143" s="1096"/>
      <c r="I143" s="4988"/>
      <c r="J143" s="4989"/>
      <c r="K143" s="4850"/>
      <c r="L143" s="1096"/>
    </row>
    <row r="144" spans="1:41" ht="18" customHeight="1" x14ac:dyDescent="0.3">
      <c r="A144" s="1" t="s">
        <v>3419</v>
      </c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1:113" ht="18" customHeight="1" x14ac:dyDescent="0.3">
      <c r="A145" s="3" t="s">
        <v>3420</v>
      </c>
      <c r="B145" s="1"/>
      <c r="C145" s="8"/>
      <c r="D145" s="4"/>
      <c r="E145" s="5059"/>
      <c r="F145" s="4"/>
      <c r="G145" s="5059"/>
      <c r="H145" s="5059"/>
      <c r="I145" s="4"/>
      <c r="J145" s="5060"/>
      <c r="K145" s="5060"/>
      <c r="L145" s="5060"/>
      <c r="M145" s="5060"/>
      <c r="N145" s="5060"/>
      <c r="O145" s="5060"/>
      <c r="P145" s="5060"/>
      <c r="Q145" s="5060"/>
      <c r="R145" s="5059"/>
      <c r="S145" s="4"/>
      <c r="T145" s="5060"/>
      <c r="U145" s="5060"/>
      <c r="V145" s="5059"/>
      <c r="W145" s="5061"/>
      <c r="X145" s="4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1:113" x14ac:dyDescent="0.3">
      <c r="A146" s="7410" t="s">
        <v>769</v>
      </c>
      <c r="B146" s="7403" t="s">
        <v>77</v>
      </c>
      <c r="C146" s="7404"/>
      <c r="D146" s="6518"/>
      <c r="E146" s="7417" t="s">
        <v>101</v>
      </c>
      <c r="F146" s="6223"/>
      <c r="G146" s="6223"/>
      <c r="H146" s="6223"/>
      <c r="I146" s="6223"/>
      <c r="J146" s="6223"/>
      <c r="K146" s="6223"/>
      <c r="L146" s="6223"/>
      <c r="M146" s="6223"/>
      <c r="N146" s="6223"/>
      <c r="O146" s="6223"/>
      <c r="P146" s="6223"/>
      <c r="Q146" s="6223"/>
      <c r="R146" s="6223"/>
      <c r="S146" s="6223"/>
      <c r="T146" s="6223"/>
      <c r="U146" s="6223"/>
      <c r="V146" s="6223"/>
      <c r="W146" s="6223"/>
      <c r="X146" s="6223"/>
      <c r="Y146" s="6223"/>
      <c r="Z146" s="6223"/>
      <c r="AA146" s="6223"/>
      <c r="AB146" s="6223"/>
      <c r="AC146" s="6223"/>
      <c r="AD146" s="6223"/>
      <c r="AE146" s="6223"/>
      <c r="AF146" s="6223"/>
      <c r="AG146" s="6223"/>
      <c r="AH146" s="6223"/>
      <c r="AI146" s="6223"/>
      <c r="AJ146" s="6223"/>
      <c r="AK146" s="6223"/>
      <c r="AL146" s="6223"/>
      <c r="AM146" s="7426" t="s">
        <v>3421</v>
      </c>
      <c r="AN146" s="7138"/>
      <c r="AO146" s="7067"/>
    </row>
    <row r="147" spans="1:113" x14ac:dyDescent="0.3">
      <c r="A147" s="6663"/>
      <c r="B147" s="7392"/>
      <c r="C147" s="6467"/>
      <c r="D147" s="6687"/>
      <c r="E147" s="7418" t="s">
        <v>343</v>
      </c>
      <c r="F147" s="7418"/>
      <c r="G147" s="7418" t="s">
        <v>326</v>
      </c>
      <c r="H147" s="7418"/>
      <c r="I147" s="7418" t="s">
        <v>94</v>
      </c>
      <c r="J147" s="7418"/>
      <c r="K147" s="7427" t="s">
        <v>44</v>
      </c>
      <c r="L147" s="7427"/>
      <c r="M147" s="7078" t="s">
        <v>45</v>
      </c>
      <c r="N147" s="6989"/>
      <c r="O147" s="7418" t="s">
        <v>974</v>
      </c>
      <c r="P147" s="7418"/>
      <c r="Q147" s="7418" t="s">
        <v>629</v>
      </c>
      <c r="R147" s="7418"/>
      <c r="S147" s="7418" t="s">
        <v>48</v>
      </c>
      <c r="T147" s="7418"/>
      <c r="U147" s="7418" t="s">
        <v>49</v>
      </c>
      <c r="V147" s="7418"/>
      <c r="W147" s="7418" t="s">
        <v>975</v>
      </c>
      <c r="X147" s="7418"/>
      <c r="Y147" s="7418" t="s">
        <v>51</v>
      </c>
      <c r="Z147" s="7418"/>
      <c r="AA147" s="7418" t="s">
        <v>52</v>
      </c>
      <c r="AB147" s="7418"/>
      <c r="AC147" s="7418" t="s">
        <v>53</v>
      </c>
      <c r="AD147" s="6989"/>
      <c r="AE147" s="7418" t="s">
        <v>54</v>
      </c>
      <c r="AF147" s="7418"/>
      <c r="AG147" s="7418" t="s">
        <v>55</v>
      </c>
      <c r="AH147" s="7418"/>
      <c r="AI147" s="7418" t="s">
        <v>56</v>
      </c>
      <c r="AJ147" s="7418"/>
      <c r="AK147" s="6976" t="s">
        <v>57</v>
      </c>
      <c r="AL147" s="7023"/>
      <c r="AM147" s="7366" t="s">
        <v>3422</v>
      </c>
      <c r="AN147" s="7428" t="s">
        <v>3423</v>
      </c>
      <c r="AO147" s="7429"/>
    </row>
    <row r="148" spans="1:113" ht="20.399999999999999" x14ac:dyDescent="0.3">
      <c r="A148" s="7411"/>
      <c r="B148" s="5062" t="s">
        <v>79</v>
      </c>
      <c r="C148" s="4616" t="s">
        <v>58</v>
      </c>
      <c r="D148" s="1092" t="s">
        <v>59</v>
      </c>
      <c r="E148" s="5063" t="s">
        <v>58</v>
      </c>
      <c r="F148" s="4584" t="s">
        <v>59</v>
      </c>
      <c r="G148" s="5063" t="s">
        <v>58</v>
      </c>
      <c r="H148" s="4584" t="s">
        <v>59</v>
      </c>
      <c r="I148" s="5063" t="s">
        <v>58</v>
      </c>
      <c r="J148" s="4584" t="s">
        <v>59</v>
      </c>
      <c r="K148" s="5063" t="s">
        <v>58</v>
      </c>
      <c r="L148" s="4584" t="s">
        <v>59</v>
      </c>
      <c r="M148" s="5064" t="s">
        <v>58</v>
      </c>
      <c r="N148" s="5065" t="s">
        <v>59</v>
      </c>
      <c r="O148" s="5063" t="s">
        <v>58</v>
      </c>
      <c r="P148" s="4584" t="s">
        <v>59</v>
      </c>
      <c r="Q148" s="5063" t="s">
        <v>58</v>
      </c>
      <c r="R148" s="4584" t="s">
        <v>59</v>
      </c>
      <c r="S148" s="5063" t="s">
        <v>58</v>
      </c>
      <c r="T148" s="4584" t="s">
        <v>59</v>
      </c>
      <c r="U148" s="5063" t="s">
        <v>58</v>
      </c>
      <c r="V148" s="4584" t="s">
        <v>59</v>
      </c>
      <c r="W148" s="5063" t="s">
        <v>58</v>
      </c>
      <c r="X148" s="4584" t="s">
        <v>59</v>
      </c>
      <c r="Y148" s="5063" t="s">
        <v>58</v>
      </c>
      <c r="Z148" s="4584" t="s">
        <v>59</v>
      </c>
      <c r="AA148" s="5063" t="s">
        <v>58</v>
      </c>
      <c r="AB148" s="4584" t="s">
        <v>59</v>
      </c>
      <c r="AC148" s="5063" t="s">
        <v>58</v>
      </c>
      <c r="AD148" s="5065" t="s">
        <v>59</v>
      </c>
      <c r="AE148" s="5063" t="s">
        <v>58</v>
      </c>
      <c r="AF148" s="4584" t="s">
        <v>59</v>
      </c>
      <c r="AG148" s="5063" t="s">
        <v>58</v>
      </c>
      <c r="AH148" s="4584" t="s">
        <v>59</v>
      </c>
      <c r="AI148" s="5063" t="s">
        <v>58</v>
      </c>
      <c r="AJ148" s="4584" t="s">
        <v>59</v>
      </c>
      <c r="AK148" s="5064" t="s">
        <v>58</v>
      </c>
      <c r="AL148" s="5065" t="s">
        <v>59</v>
      </c>
      <c r="AM148" s="7430"/>
      <c r="AN148" s="5066" t="s">
        <v>3424</v>
      </c>
      <c r="AO148" s="5067" t="s">
        <v>3425</v>
      </c>
    </row>
    <row r="149" spans="1:113" x14ac:dyDescent="0.3">
      <c r="A149" s="5068" t="s">
        <v>3426</v>
      </c>
      <c r="B149" s="359">
        <f t="shared" ref="B149:B177" si="44">SUM(C149:D149)</f>
        <v>0</v>
      </c>
      <c r="C149" s="3945">
        <f t="shared" ref="C149:C177" si="45">E149+G149+I149+K149+M149+O149+Q149+S149+U149+W149+Y149+AA149+AC149+AE149+AG149+AI149+AK149</f>
        <v>0</v>
      </c>
      <c r="D149" s="5069">
        <f t="shared" ref="D149:D177" si="46">F149+H149+J149+L149+N149+P149+R149+T149+V149+X149+Z149+AB149+AD149+AF149+AH149+AJ149+AL149</f>
        <v>0</v>
      </c>
      <c r="E149" s="1106"/>
      <c r="F149" s="771"/>
      <c r="G149" s="1106"/>
      <c r="H149" s="771"/>
      <c r="I149" s="1106"/>
      <c r="J149" s="771"/>
      <c r="K149" s="1106"/>
      <c r="L149" s="771"/>
      <c r="M149" s="1108"/>
      <c r="N149" s="1109"/>
      <c r="O149" s="1106"/>
      <c r="P149" s="771"/>
      <c r="Q149" s="1106"/>
      <c r="R149" s="771"/>
      <c r="S149" s="1106"/>
      <c r="T149" s="771"/>
      <c r="U149" s="1106"/>
      <c r="V149" s="771"/>
      <c r="W149" s="1106"/>
      <c r="X149" s="771"/>
      <c r="Y149" s="1106"/>
      <c r="Z149" s="771"/>
      <c r="AA149" s="1106"/>
      <c r="AB149" s="771"/>
      <c r="AC149" s="1106"/>
      <c r="AD149" s="1109"/>
      <c r="AE149" s="1106"/>
      <c r="AF149" s="771"/>
      <c r="AG149" s="1106"/>
      <c r="AH149" s="771"/>
      <c r="AI149" s="1106"/>
      <c r="AJ149" s="771"/>
      <c r="AK149" s="1108"/>
      <c r="AL149" s="1109"/>
      <c r="AM149" s="1321"/>
      <c r="AN149" s="773"/>
      <c r="AO149" s="771"/>
      <c r="AP149" s="1898" t="str">
        <f>$CA149</f>
        <v/>
      </c>
      <c r="BU149" s="1970"/>
      <c r="BV149" s="1970"/>
      <c r="BW149" s="1970"/>
      <c r="BX149" s="1970"/>
      <c r="BY149" s="1970"/>
      <c r="BZ149" s="1970"/>
      <c r="CA149" s="1899" t="str">
        <f>IF(AM149+AN149+AO149&lt;&gt;$B149,"* La suma de "&amp;AM$146&amp;""&amp;" no debe ser distinto del Total Ambos Sexos. ","")</f>
        <v/>
      </c>
      <c r="CB149" s="1970"/>
      <c r="CC149" s="1970"/>
      <c r="CD149" s="1970"/>
      <c r="CE149"/>
      <c r="CK149" s="1970"/>
      <c r="CM149" s="1901">
        <f t="shared" ref="CM149:CM177" si="47">IF(AM149+AN149+AO149&lt;&gt;$B149,1,0)</f>
        <v>0</v>
      </c>
      <c r="DI149"/>
    </row>
    <row r="150" spans="1:113" x14ac:dyDescent="0.3">
      <c r="A150" s="4857" t="s">
        <v>3309</v>
      </c>
      <c r="B150" s="359">
        <f t="shared" si="44"/>
        <v>0</v>
      </c>
      <c r="C150" s="3945">
        <f t="shared" si="45"/>
        <v>0</v>
      </c>
      <c r="D150" s="5070">
        <f t="shared" si="46"/>
        <v>0</v>
      </c>
      <c r="E150" s="1114"/>
      <c r="F150" s="1118"/>
      <c r="G150" s="1114"/>
      <c r="H150" s="1118"/>
      <c r="I150" s="1114"/>
      <c r="J150" s="1118"/>
      <c r="K150" s="1114"/>
      <c r="L150" s="1118"/>
      <c r="M150" s="1116"/>
      <c r="N150" s="1117"/>
      <c r="O150" s="1114"/>
      <c r="P150" s="1118"/>
      <c r="Q150" s="1114"/>
      <c r="R150" s="1118"/>
      <c r="S150" s="1114"/>
      <c r="T150" s="1118"/>
      <c r="U150" s="1114"/>
      <c r="V150" s="1118"/>
      <c r="W150" s="1114"/>
      <c r="X150" s="1118"/>
      <c r="Y150" s="1114"/>
      <c r="Z150" s="1118"/>
      <c r="AA150" s="1114"/>
      <c r="AB150" s="1118"/>
      <c r="AC150" s="1114"/>
      <c r="AD150" s="1117"/>
      <c r="AE150" s="1114"/>
      <c r="AF150" s="1118"/>
      <c r="AG150" s="1114"/>
      <c r="AH150" s="1118"/>
      <c r="AI150" s="1114"/>
      <c r="AJ150" s="1118"/>
      <c r="AK150" s="1116"/>
      <c r="AL150" s="1117"/>
      <c r="AM150" s="1326"/>
      <c r="AN150" s="1278"/>
      <c r="AO150" s="1118"/>
      <c r="AP150" s="1898" t="str">
        <f t="shared" ref="AP150:AP183" si="48">$CA150</f>
        <v/>
      </c>
      <c r="BU150" s="1970"/>
      <c r="BV150" s="1970"/>
      <c r="BW150" s="1970"/>
      <c r="BX150" s="1970"/>
      <c r="BY150" s="1970"/>
      <c r="BZ150" s="1970"/>
      <c r="CA150" s="1899" t="str">
        <f t="shared" ref="CA150:CA177" si="49">IF(AM150+AN150+AO150&lt;&gt;$B150,"* La suma de "&amp;AM$146&amp;""&amp;" no debe ser distinto del Total Ambos Sexos. ","")</f>
        <v/>
      </c>
      <c r="CB150" s="1970"/>
      <c r="CC150" s="1970"/>
      <c r="CD150" s="1970"/>
      <c r="CE150"/>
      <c r="CK150" s="1970"/>
      <c r="CM150" s="1901">
        <f t="shared" si="47"/>
        <v>0</v>
      </c>
      <c r="DI150"/>
    </row>
    <row r="151" spans="1:113" x14ac:dyDescent="0.3">
      <c r="A151" s="5011" t="s">
        <v>3334</v>
      </c>
      <c r="B151" s="359">
        <f t="shared" si="44"/>
        <v>0</v>
      </c>
      <c r="C151" s="3945">
        <f t="shared" si="45"/>
        <v>0</v>
      </c>
      <c r="D151" s="5070">
        <f t="shared" si="46"/>
        <v>0</v>
      </c>
      <c r="E151" s="1114"/>
      <c r="F151" s="1118"/>
      <c r="G151" s="1114"/>
      <c r="H151" s="1118"/>
      <c r="I151" s="1114"/>
      <c r="J151" s="1118"/>
      <c r="K151" s="1114"/>
      <c r="L151" s="1118"/>
      <c r="M151" s="1116"/>
      <c r="N151" s="1117"/>
      <c r="O151" s="1114"/>
      <c r="P151" s="1118"/>
      <c r="Q151" s="1114"/>
      <c r="R151" s="1118"/>
      <c r="S151" s="1114"/>
      <c r="T151" s="1118"/>
      <c r="U151" s="1114"/>
      <c r="V151" s="1118"/>
      <c r="W151" s="1114"/>
      <c r="X151" s="1118"/>
      <c r="Y151" s="1114"/>
      <c r="Z151" s="1118"/>
      <c r="AA151" s="1114"/>
      <c r="AB151" s="1118"/>
      <c r="AC151" s="1114"/>
      <c r="AD151" s="1117"/>
      <c r="AE151" s="1114"/>
      <c r="AF151" s="1118"/>
      <c r="AG151" s="1114"/>
      <c r="AH151" s="1118"/>
      <c r="AI151" s="1114"/>
      <c r="AJ151" s="1118"/>
      <c r="AK151" s="1116"/>
      <c r="AL151" s="1117"/>
      <c r="AM151" s="1326"/>
      <c r="AN151" s="1278"/>
      <c r="AO151" s="1118"/>
      <c r="AP151" s="1898" t="str">
        <f t="shared" si="48"/>
        <v/>
      </c>
      <c r="BU151" s="1970"/>
      <c r="BV151" s="1970"/>
      <c r="BW151" s="1970"/>
      <c r="BX151" s="1970"/>
      <c r="BY151" s="1970"/>
      <c r="BZ151" s="1970"/>
      <c r="CA151" s="1899" t="str">
        <f t="shared" si="49"/>
        <v/>
      </c>
      <c r="CB151" s="1970"/>
      <c r="CC151" s="1970"/>
      <c r="CD151" s="1970"/>
      <c r="CE151"/>
      <c r="CK151" s="1970"/>
      <c r="CM151" s="1901">
        <f t="shared" si="47"/>
        <v>0</v>
      </c>
      <c r="DI151"/>
    </row>
    <row r="152" spans="1:113" x14ac:dyDescent="0.3">
      <c r="A152" s="5011" t="s">
        <v>3335</v>
      </c>
      <c r="B152" s="359">
        <f t="shared" si="44"/>
        <v>0</v>
      </c>
      <c r="C152" s="3945">
        <f t="shared" si="45"/>
        <v>0</v>
      </c>
      <c r="D152" s="5070">
        <f t="shared" si="46"/>
        <v>0</v>
      </c>
      <c r="E152" s="1114"/>
      <c r="F152" s="1118"/>
      <c r="G152" s="1114"/>
      <c r="H152" s="1118"/>
      <c r="I152" s="1114"/>
      <c r="J152" s="1118"/>
      <c r="K152" s="1114"/>
      <c r="L152" s="1118"/>
      <c r="M152" s="1116"/>
      <c r="N152" s="1117"/>
      <c r="O152" s="1114"/>
      <c r="P152" s="1118"/>
      <c r="Q152" s="1114"/>
      <c r="R152" s="1118"/>
      <c r="S152" s="1114"/>
      <c r="T152" s="1118"/>
      <c r="U152" s="1114"/>
      <c r="V152" s="1118"/>
      <c r="W152" s="1114"/>
      <c r="X152" s="1118"/>
      <c r="Y152" s="1114"/>
      <c r="Z152" s="1118"/>
      <c r="AA152" s="1114"/>
      <c r="AB152" s="1118"/>
      <c r="AC152" s="1114"/>
      <c r="AD152" s="1117"/>
      <c r="AE152" s="1114"/>
      <c r="AF152" s="1118"/>
      <c r="AG152" s="1114"/>
      <c r="AH152" s="1118"/>
      <c r="AI152" s="1114"/>
      <c r="AJ152" s="1118"/>
      <c r="AK152" s="1116"/>
      <c r="AL152" s="1117"/>
      <c r="AM152" s="1326"/>
      <c r="AN152" s="1278"/>
      <c r="AO152" s="1118"/>
      <c r="AP152" s="1898" t="str">
        <f t="shared" si="48"/>
        <v/>
      </c>
      <c r="BU152" s="1970"/>
      <c r="BV152" s="1970"/>
      <c r="BW152" s="1970"/>
      <c r="BX152" s="1970"/>
      <c r="BY152" s="1970"/>
      <c r="BZ152" s="1970"/>
      <c r="CA152" s="1899" t="str">
        <f t="shared" si="49"/>
        <v/>
      </c>
      <c r="CB152" s="1970"/>
      <c r="CC152" s="1970"/>
      <c r="CD152" s="1970"/>
      <c r="CE152"/>
      <c r="CK152" s="1970"/>
      <c r="CM152" s="1901">
        <f t="shared" si="47"/>
        <v>0</v>
      </c>
      <c r="DI152"/>
    </row>
    <row r="153" spans="1:113" x14ac:dyDescent="0.3">
      <c r="A153" s="5011" t="s">
        <v>3336</v>
      </c>
      <c r="B153" s="359">
        <f t="shared" si="44"/>
        <v>0</v>
      </c>
      <c r="C153" s="3945">
        <f t="shared" si="45"/>
        <v>0</v>
      </c>
      <c r="D153" s="5070">
        <f t="shared" si="46"/>
        <v>0</v>
      </c>
      <c r="E153" s="1114"/>
      <c r="F153" s="1118"/>
      <c r="G153" s="1114"/>
      <c r="H153" s="1118"/>
      <c r="I153" s="1114"/>
      <c r="J153" s="1118"/>
      <c r="K153" s="1114"/>
      <c r="L153" s="1118"/>
      <c r="M153" s="1116"/>
      <c r="N153" s="1117"/>
      <c r="O153" s="1114"/>
      <c r="P153" s="1118"/>
      <c r="Q153" s="1114"/>
      <c r="R153" s="1118"/>
      <c r="S153" s="1114"/>
      <c r="T153" s="1118"/>
      <c r="U153" s="1114"/>
      <c r="V153" s="1118"/>
      <c r="W153" s="1114"/>
      <c r="X153" s="1118"/>
      <c r="Y153" s="1114"/>
      <c r="Z153" s="1118"/>
      <c r="AA153" s="1114"/>
      <c r="AB153" s="1118"/>
      <c r="AC153" s="1114"/>
      <c r="AD153" s="1117"/>
      <c r="AE153" s="1114"/>
      <c r="AF153" s="1118"/>
      <c r="AG153" s="1114"/>
      <c r="AH153" s="1118"/>
      <c r="AI153" s="1114"/>
      <c r="AJ153" s="1118"/>
      <c r="AK153" s="1116"/>
      <c r="AL153" s="1117"/>
      <c r="AM153" s="1326"/>
      <c r="AN153" s="1278"/>
      <c r="AO153" s="1118"/>
      <c r="AP153" s="1898" t="str">
        <f t="shared" si="48"/>
        <v/>
      </c>
      <c r="BU153" s="1970"/>
      <c r="BV153" s="1970"/>
      <c r="BW153" s="1970"/>
      <c r="BX153" s="1970"/>
      <c r="BY153" s="1970"/>
      <c r="BZ153" s="1970"/>
      <c r="CA153" s="1899" t="str">
        <f t="shared" si="49"/>
        <v/>
      </c>
      <c r="CB153" s="1970"/>
      <c r="CC153" s="1970"/>
      <c r="CD153" s="1970"/>
      <c r="CE153"/>
      <c r="CK153" s="1970"/>
      <c r="CM153" s="1901">
        <f t="shared" si="47"/>
        <v>0</v>
      </c>
      <c r="DI153"/>
    </row>
    <row r="154" spans="1:113" x14ac:dyDescent="0.3">
      <c r="A154" s="5011" t="s">
        <v>3427</v>
      </c>
      <c r="B154" s="359">
        <f t="shared" si="44"/>
        <v>0</v>
      </c>
      <c r="C154" s="3945">
        <f t="shared" si="45"/>
        <v>0</v>
      </c>
      <c r="D154" s="5070">
        <f t="shared" si="46"/>
        <v>0</v>
      </c>
      <c r="E154" s="1114"/>
      <c r="F154" s="1118"/>
      <c r="G154" s="1114"/>
      <c r="H154" s="1118"/>
      <c r="I154" s="1114"/>
      <c r="J154" s="1118"/>
      <c r="K154" s="1114"/>
      <c r="L154" s="1118"/>
      <c r="M154" s="1116"/>
      <c r="N154" s="1117"/>
      <c r="O154" s="1114"/>
      <c r="P154" s="1118"/>
      <c r="Q154" s="1114"/>
      <c r="R154" s="1118"/>
      <c r="S154" s="1114"/>
      <c r="T154" s="1118"/>
      <c r="U154" s="1114"/>
      <c r="V154" s="1118"/>
      <c r="W154" s="1114"/>
      <c r="X154" s="1118"/>
      <c r="Y154" s="1114"/>
      <c r="Z154" s="1118"/>
      <c r="AA154" s="1114"/>
      <c r="AB154" s="1118"/>
      <c r="AC154" s="1114"/>
      <c r="AD154" s="1117"/>
      <c r="AE154" s="1114"/>
      <c r="AF154" s="1118"/>
      <c r="AG154" s="1114"/>
      <c r="AH154" s="1118"/>
      <c r="AI154" s="1114"/>
      <c r="AJ154" s="1118"/>
      <c r="AK154" s="1116"/>
      <c r="AL154" s="1117"/>
      <c r="AM154" s="1326"/>
      <c r="AN154" s="1278"/>
      <c r="AO154" s="1118"/>
      <c r="AP154" s="1898" t="str">
        <f t="shared" si="48"/>
        <v/>
      </c>
      <c r="BU154" s="1970"/>
      <c r="BV154" s="1970"/>
      <c r="BW154" s="1970"/>
      <c r="BX154" s="1970"/>
      <c r="BY154" s="1970"/>
      <c r="BZ154" s="1970"/>
      <c r="CA154" s="1899" t="str">
        <f t="shared" si="49"/>
        <v/>
      </c>
      <c r="CB154" s="1970"/>
      <c r="CC154" s="1970"/>
      <c r="CD154" s="1970"/>
      <c r="CE154"/>
      <c r="CK154" s="1970"/>
      <c r="CM154" s="1901">
        <f t="shared" si="47"/>
        <v>0</v>
      </c>
      <c r="DI154"/>
    </row>
    <row r="155" spans="1:113" x14ac:dyDescent="0.3">
      <c r="A155" s="5011" t="s">
        <v>3428</v>
      </c>
      <c r="B155" s="359">
        <f t="shared" si="44"/>
        <v>0</v>
      </c>
      <c r="C155" s="3945">
        <f t="shared" si="45"/>
        <v>0</v>
      </c>
      <c r="D155" s="5070">
        <f t="shared" si="46"/>
        <v>0</v>
      </c>
      <c r="E155" s="1114"/>
      <c r="F155" s="1118"/>
      <c r="G155" s="1114"/>
      <c r="H155" s="1118"/>
      <c r="I155" s="1114"/>
      <c r="J155" s="1118"/>
      <c r="K155" s="1114"/>
      <c r="L155" s="1118"/>
      <c r="M155" s="1116"/>
      <c r="N155" s="1117"/>
      <c r="O155" s="1114"/>
      <c r="P155" s="1118"/>
      <c r="Q155" s="1114"/>
      <c r="R155" s="1118"/>
      <c r="S155" s="1114"/>
      <c r="T155" s="1118"/>
      <c r="U155" s="1114"/>
      <c r="V155" s="1118"/>
      <c r="W155" s="1114"/>
      <c r="X155" s="1118"/>
      <c r="Y155" s="1114"/>
      <c r="Z155" s="1118"/>
      <c r="AA155" s="1114"/>
      <c r="AB155" s="1118"/>
      <c r="AC155" s="1114"/>
      <c r="AD155" s="1117"/>
      <c r="AE155" s="1114"/>
      <c r="AF155" s="1118"/>
      <c r="AG155" s="1114"/>
      <c r="AH155" s="1118"/>
      <c r="AI155" s="1114"/>
      <c r="AJ155" s="1118"/>
      <c r="AK155" s="1116"/>
      <c r="AL155" s="1117"/>
      <c r="AM155" s="1326"/>
      <c r="AN155" s="1278"/>
      <c r="AO155" s="1118"/>
      <c r="AP155" s="1898" t="str">
        <f t="shared" si="48"/>
        <v/>
      </c>
      <c r="BU155" s="1970"/>
      <c r="BV155" s="1970"/>
      <c r="BW155" s="1970"/>
      <c r="BX155" s="1970"/>
      <c r="BY155" s="1970"/>
      <c r="BZ155" s="1970"/>
      <c r="CA155" s="1899" t="str">
        <f t="shared" si="49"/>
        <v/>
      </c>
      <c r="CB155" s="1970"/>
      <c r="CC155" s="1970"/>
      <c r="CD155" s="1970"/>
      <c r="CE155"/>
      <c r="CK155" s="1970"/>
      <c r="CM155" s="1901">
        <f t="shared" si="47"/>
        <v>0</v>
      </c>
      <c r="DI155"/>
    </row>
    <row r="156" spans="1:113" x14ac:dyDescent="0.3">
      <c r="A156" s="5011" t="s">
        <v>3340</v>
      </c>
      <c r="B156" s="359">
        <f t="shared" si="44"/>
        <v>0</v>
      </c>
      <c r="C156" s="3945">
        <f t="shared" si="45"/>
        <v>0</v>
      </c>
      <c r="D156" s="5070">
        <f t="shared" si="46"/>
        <v>0</v>
      </c>
      <c r="E156" s="1114"/>
      <c r="F156" s="1118"/>
      <c r="G156" s="1114"/>
      <c r="H156" s="1118"/>
      <c r="I156" s="1114"/>
      <c r="J156" s="1118"/>
      <c r="K156" s="1114"/>
      <c r="L156" s="1118"/>
      <c r="M156" s="1116"/>
      <c r="N156" s="1117"/>
      <c r="O156" s="1114"/>
      <c r="P156" s="1118"/>
      <c r="Q156" s="1114"/>
      <c r="R156" s="1118"/>
      <c r="S156" s="1114"/>
      <c r="T156" s="1118"/>
      <c r="U156" s="1114"/>
      <c r="V156" s="1118"/>
      <c r="W156" s="1114"/>
      <c r="X156" s="1118"/>
      <c r="Y156" s="1114"/>
      <c r="Z156" s="1118"/>
      <c r="AA156" s="1114"/>
      <c r="AB156" s="1118"/>
      <c r="AC156" s="1114"/>
      <c r="AD156" s="1117"/>
      <c r="AE156" s="1114"/>
      <c r="AF156" s="1118"/>
      <c r="AG156" s="1114"/>
      <c r="AH156" s="1118"/>
      <c r="AI156" s="1114"/>
      <c r="AJ156" s="1118"/>
      <c r="AK156" s="1116"/>
      <c r="AL156" s="1117"/>
      <c r="AM156" s="1326"/>
      <c r="AN156" s="1278"/>
      <c r="AO156" s="1118"/>
      <c r="AP156" s="1898" t="str">
        <f t="shared" si="48"/>
        <v/>
      </c>
      <c r="BU156" s="1970"/>
      <c r="BV156" s="1970"/>
      <c r="BW156" s="1970"/>
      <c r="BX156" s="1970"/>
      <c r="BY156" s="1970"/>
      <c r="BZ156" s="1970"/>
      <c r="CA156" s="1899" t="str">
        <f t="shared" si="49"/>
        <v/>
      </c>
      <c r="CB156" s="1970"/>
      <c r="CC156" s="1970"/>
      <c r="CD156" s="1970"/>
      <c r="CE156"/>
      <c r="CK156" s="1970"/>
      <c r="CM156" s="1901">
        <f t="shared" si="47"/>
        <v>0</v>
      </c>
      <c r="DI156"/>
    </row>
    <row r="157" spans="1:113" x14ac:dyDescent="0.3">
      <c r="A157" s="5011" t="s">
        <v>3429</v>
      </c>
      <c r="B157" s="359">
        <f t="shared" si="44"/>
        <v>0</v>
      </c>
      <c r="C157" s="3945">
        <f t="shared" si="45"/>
        <v>0</v>
      </c>
      <c r="D157" s="5070">
        <f t="shared" si="46"/>
        <v>0</v>
      </c>
      <c r="E157" s="1114"/>
      <c r="F157" s="1118"/>
      <c r="G157" s="1114"/>
      <c r="H157" s="1118"/>
      <c r="I157" s="1114"/>
      <c r="J157" s="1118"/>
      <c r="K157" s="1114"/>
      <c r="L157" s="1118"/>
      <c r="M157" s="1116"/>
      <c r="N157" s="1117"/>
      <c r="O157" s="1114"/>
      <c r="P157" s="1118"/>
      <c r="Q157" s="1114"/>
      <c r="R157" s="1118"/>
      <c r="S157" s="1114"/>
      <c r="T157" s="1118"/>
      <c r="U157" s="1114"/>
      <c r="V157" s="1118"/>
      <c r="W157" s="1114"/>
      <c r="X157" s="1118"/>
      <c r="Y157" s="1114"/>
      <c r="Z157" s="1118"/>
      <c r="AA157" s="1114"/>
      <c r="AB157" s="1118"/>
      <c r="AC157" s="1114"/>
      <c r="AD157" s="1117"/>
      <c r="AE157" s="1114"/>
      <c r="AF157" s="1118"/>
      <c r="AG157" s="1114"/>
      <c r="AH157" s="1118"/>
      <c r="AI157" s="1114"/>
      <c r="AJ157" s="1118"/>
      <c r="AK157" s="1116"/>
      <c r="AL157" s="1117"/>
      <c r="AM157" s="1326"/>
      <c r="AN157" s="1278"/>
      <c r="AO157" s="1118"/>
      <c r="AP157" s="1898" t="str">
        <f t="shared" si="48"/>
        <v/>
      </c>
      <c r="BU157" s="1970"/>
      <c r="BV157" s="1970"/>
      <c r="BW157" s="1970"/>
      <c r="BX157" s="1970"/>
      <c r="BY157" s="1970"/>
      <c r="BZ157" s="1970"/>
      <c r="CA157" s="1899" t="str">
        <f t="shared" si="49"/>
        <v/>
      </c>
      <c r="CB157" s="1970"/>
      <c r="CC157" s="1970"/>
      <c r="CD157" s="1970"/>
      <c r="CE157"/>
      <c r="CK157" s="1970"/>
      <c r="CM157" s="1901">
        <f t="shared" si="47"/>
        <v>0</v>
      </c>
      <c r="DI157"/>
    </row>
    <row r="158" spans="1:113" x14ac:dyDescent="0.3">
      <c r="A158" s="5011" t="s">
        <v>3430</v>
      </c>
      <c r="B158" s="359">
        <f t="shared" si="44"/>
        <v>0</v>
      </c>
      <c r="C158" s="3945">
        <f t="shared" si="45"/>
        <v>0</v>
      </c>
      <c r="D158" s="5070">
        <f t="shared" si="46"/>
        <v>0</v>
      </c>
      <c r="E158" s="1114"/>
      <c r="F158" s="1118"/>
      <c r="G158" s="1114"/>
      <c r="H158" s="1118"/>
      <c r="I158" s="1114"/>
      <c r="J158" s="1118"/>
      <c r="K158" s="1114"/>
      <c r="L158" s="1118"/>
      <c r="M158" s="1116"/>
      <c r="N158" s="1117"/>
      <c r="O158" s="1114"/>
      <c r="P158" s="1118"/>
      <c r="Q158" s="1114"/>
      <c r="R158" s="1118"/>
      <c r="S158" s="1114"/>
      <c r="T158" s="1118"/>
      <c r="U158" s="1114"/>
      <c r="V158" s="1118"/>
      <c r="W158" s="1114"/>
      <c r="X158" s="1118"/>
      <c r="Y158" s="1114"/>
      <c r="Z158" s="1118"/>
      <c r="AA158" s="1114"/>
      <c r="AB158" s="1118"/>
      <c r="AC158" s="1114"/>
      <c r="AD158" s="1117"/>
      <c r="AE158" s="1114"/>
      <c r="AF158" s="1118"/>
      <c r="AG158" s="1114"/>
      <c r="AH158" s="1118"/>
      <c r="AI158" s="1114"/>
      <c r="AJ158" s="1118"/>
      <c r="AK158" s="1116"/>
      <c r="AL158" s="1117"/>
      <c r="AM158" s="1326"/>
      <c r="AN158" s="1278"/>
      <c r="AO158" s="1118"/>
      <c r="AP158" s="1898" t="str">
        <f t="shared" si="48"/>
        <v/>
      </c>
      <c r="BU158" s="1970"/>
      <c r="BV158" s="1970"/>
      <c r="BW158" s="1970"/>
      <c r="BX158" s="1970"/>
      <c r="BY158" s="1970"/>
      <c r="BZ158" s="1970"/>
      <c r="CA158" s="1899" t="str">
        <f t="shared" si="49"/>
        <v/>
      </c>
      <c r="CB158" s="1970"/>
      <c r="CC158" s="1970"/>
      <c r="CD158" s="1970"/>
      <c r="CE158"/>
      <c r="CK158" s="1970"/>
      <c r="CM158" s="1901">
        <f t="shared" si="47"/>
        <v>0</v>
      </c>
      <c r="DI158"/>
    </row>
    <row r="159" spans="1:113" x14ac:dyDescent="0.3">
      <c r="A159" s="5011" t="s">
        <v>3431</v>
      </c>
      <c r="B159" s="359">
        <f t="shared" si="44"/>
        <v>0</v>
      </c>
      <c r="C159" s="3945">
        <f t="shared" si="45"/>
        <v>0</v>
      </c>
      <c r="D159" s="5070">
        <f t="shared" si="46"/>
        <v>0</v>
      </c>
      <c r="E159" s="1114"/>
      <c r="F159" s="1118"/>
      <c r="G159" s="1114"/>
      <c r="H159" s="1118"/>
      <c r="I159" s="1114"/>
      <c r="J159" s="1118"/>
      <c r="K159" s="1114"/>
      <c r="L159" s="1118"/>
      <c r="M159" s="1116"/>
      <c r="N159" s="1117"/>
      <c r="O159" s="1114"/>
      <c r="P159" s="1118"/>
      <c r="Q159" s="1114"/>
      <c r="R159" s="1118"/>
      <c r="S159" s="1114"/>
      <c r="T159" s="1118"/>
      <c r="U159" s="1114"/>
      <c r="V159" s="1118"/>
      <c r="W159" s="1114"/>
      <c r="X159" s="1118"/>
      <c r="Y159" s="1114"/>
      <c r="Z159" s="1118"/>
      <c r="AA159" s="1114"/>
      <c r="AB159" s="1118"/>
      <c r="AC159" s="1114"/>
      <c r="AD159" s="1117"/>
      <c r="AE159" s="1114"/>
      <c r="AF159" s="1118"/>
      <c r="AG159" s="1114"/>
      <c r="AH159" s="1118"/>
      <c r="AI159" s="1114"/>
      <c r="AJ159" s="1118"/>
      <c r="AK159" s="1116"/>
      <c r="AL159" s="1117"/>
      <c r="AM159" s="1326"/>
      <c r="AN159" s="1278"/>
      <c r="AO159" s="1118"/>
      <c r="AP159" s="1898" t="str">
        <f t="shared" si="48"/>
        <v/>
      </c>
      <c r="BU159" s="1970"/>
      <c r="BV159" s="1970"/>
      <c r="BW159" s="1970"/>
      <c r="BX159" s="1970"/>
      <c r="BY159" s="1970"/>
      <c r="BZ159" s="1970"/>
      <c r="CA159" s="1899" t="str">
        <f t="shared" si="49"/>
        <v/>
      </c>
      <c r="CB159" s="1970"/>
      <c r="CC159" s="1970"/>
      <c r="CD159" s="1970"/>
      <c r="CE159"/>
      <c r="CK159" s="1970"/>
      <c r="CM159" s="1901">
        <f t="shared" si="47"/>
        <v>0</v>
      </c>
      <c r="DI159"/>
    </row>
    <row r="160" spans="1:113" x14ac:dyDescent="0.3">
      <c r="A160" s="5011" t="s">
        <v>3432</v>
      </c>
      <c r="B160" s="359">
        <f t="shared" si="44"/>
        <v>0</v>
      </c>
      <c r="C160" s="3945">
        <f t="shared" si="45"/>
        <v>0</v>
      </c>
      <c r="D160" s="5070">
        <f t="shared" si="46"/>
        <v>0</v>
      </c>
      <c r="E160" s="1114"/>
      <c r="F160" s="1118"/>
      <c r="G160" s="1114"/>
      <c r="H160" s="1118"/>
      <c r="I160" s="1114"/>
      <c r="J160" s="1118"/>
      <c r="K160" s="1114"/>
      <c r="L160" s="1118"/>
      <c r="M160" s="1116"/>
      <c r="N160" s="1117"/>
      <c r="O160" s="1114"/>
      <c r="P160" s="1118"/>
      <c r="Q160" s="1114"/>
      <c r="R160" s="1118"/>
      <c r="S160" s="1114"/>
      <c r="T160" s="1118"/>
      <c r="U160" s="1114"/>
      <c r="V160" s="1118"/>
      <c r="W160" s="1114"/>
      <c r="X160" s="1118"/>
      <c r="Y160" s="1114"/>
      <c r="Z160" s="1118"/>
      <c r="AA160" s="1114"/>
      <c r="AB160" s="1118"/>
      <c r="AC160" s="1114"/>
      <c r="AD160" s="1117"/>
      <c r="AE160" s="1114"/>
      <c r="AF160" s="1118"/>
      <c r="AG160" s="1114"/>
      <c r="AH160" s="1118"/>
      <c r="AI160" s="1114"/>
      <c r="AJ160" s="1118"/>
      <c r="AK160" s="1116"/>
      <c r="AL160" s="1117"/>
      <c r="AM160" s="1326"/>
      <c r="AN160" s="1278"/>
      <c r="AO160" s="1118"/>
      <c r="AP160" s="1898" t="str">
        <f t="shared" si="48"/>
        <v/>
      </c>
      <c r="BU160" s="1970"/>
      <c r="BV160" s="1970"/>
      <c r="BW160" s="1970"/>
      <c r="BX160" s="1970"/>
      <c r="BY160" s="1970"/>
      <c r="BZ160" s="1970"/>
      <c r="CA160" s="1899" t="str">
        <f t="shared" si="49"/>
        <v/>
      </c>
      <c r="CB160" s="1970"/>
      <c r="CC160" s="1970"/>
      <c r="CD160" s="1970"/>
      <c r="CE160"/>
      <c r="CK160" s="1970"/>
      <c r="CM160" s="1901">
        <f t="shared" si="47"/>
        <v>0</v>
      </c>
      <c r="DI160"/>
    </row>
    <row r="161" spans="1:113" x14ac:dyDescent="0.3">
      <c r="A161" s="5011" t="s">
        <v>3433</v>
      </c>
      <c r="B161" s="359">
        <f t="shared" si="44"/>
        <v>0</v>
      </c>
      <c r="C161" s="3945">
        <f t="shared" si="45"/>
        <v>0</v>
      </c>
      <c r="D161" s="5070">
        <f t="shared" si="46"/>
        <v>0</v>
      </c>
      <c r="E161" s="1114"/>
      <c r="F161" s="1118"/>
      <c r="G161" s="1114"/>
      <c r="H161" s="1118"/>
      <c r="I161" s="1114"/>
      <c r="J161" s="1118"/>
      <c r="K161" s="1114"/>
      <c r="L161" s="1118"/>
      <c r="M161" s="1116"/>
      <c r="N161" s="1117"/>
      <c r="O161" s="1114"/>
      <c r="P161" s="1118"/>
      <c r="Q161" s="1114"/>
      <c r="R161" s="1118"/>
      <c r="S161" s="1114"/>
      <c r="T161" s="1118"/>
      <c r="U161" s="1114"/>
      <c r="V161" s="1118"/>
      <c r="W161" s="1114"/>
      <c r="X161" s="1118"/>
      <c r="Y161" s="1114"/>
      <c r="Z161" s="1118"/>
      <c r="AA161" s="1114"/>
      <c r="AB161" s="1118"/>
      <c r="AC161" s="1114"/>
      <c r="AD161" s="1117"/>
      <c r="AE161" s="1114"/>
      <c r="AF161" s="1118"/>
      <c r="AG161" s="1114"/>
      <c r="AH161" s="1118"/>
      <c r="AI161" s="1114"/>
      <c r="AJ161" s="1118"/>
      <c r="AK161" s="1116"/>
      <c r="AL161" s="1117"/>
      <c r="AM161" s="1326"/>
      <c r="AN161" s="1278"/>
      <c r="AO161" s="1118"/>
      <c r="AP161" s="1898" t="str">
        <f t="shared" si="48"/>
        <v/>
      </c>
      <c r="BU161" s="1970"/>
      <c r="BV161" s="1970"/>
      <c r="BW161" s="1970"/>
      <c r="BX161" s="1970"/>
      <c r="BY161" s="1970"/>
      <c r="BZ161" s="1970"/>
      <c r="CA161" s="1899" t="str">
        <f t="shared" si="49"/>
        <v/>
      </c>
      <c r="CB161" s="1970"/>
      <c r="CC161" s="1970"/>
      <c r="CD161" s="1970"/>
      <c r="CE161"/>
      <c r="CK161" s="1970"/>
      <c r="CM161" s="1901">
        <f t="shared" si="47"/>
        <v>0</v>
      </c>
      <c r="DI161"/>
    </row>
    <row r="162" spans="1:113" x14ac:dyDescent="0.3">
      <c r="A162" s="5011" t="s">
        <v>3346</v>
      </c>
      <c r="B162" s="359">
        <f t="shared" si="44"/>
        <v>0</v>
      </c>
      <c r="C162" s="3945">
        <f t="shared" si="45"/>
        <v>0</v>
      </c>
      <c r="D162" s="5070">
        <f t="shared" si="46"/>
        <v>0</v>
      </c>
      <c r="E162" s="1114"/>
      <c r="F162" s="1118"/>
      <c r="G162" s="1114"/>
      <c r="H162" s="1118"/>
      <c r="I162" s="1114"/>
      <c r="J162" s="1118"/>
      <c r="K162" s="1114"/>
      <c r="L162" s="1118"/>
      <c r="M162" s="1116"/>
      <c r="N162" s="1117"/>
      <c r="O162" s="1114"/>
      <c r="P162" s="1118"/>
      <c r="Q162" s="1114"/>
      <c r="R162" s="1118"/>
      <c r="S162" s="1114"/>
      <c r="T162" s="1118"/>
      <c r="U162" s="1114"/>
      <c r="V162" s="1118"/>
      <c r="W162" s="1114"/>
      <c r="X162" s="1118"/>
      <c r="Y162" s="1114"/>
      <c r="Z162" s="1118"/>
      <c r="AA162" s="1114"/>
      <c r="AB162" s="1118"/>
      <c r="AC162" s="1114"/>
      <c r="AD162" s="1117"/>
      <c r="AE162" s="1114"/>
      <c r="AF162" s="1118"/>
      <c r="AG162" s="1114"/>
      <c r="AH162" s="1118"/>
      <c r="AI162" s="1114"/>
      <c r="AJ162" s="1118"/>
      <c r="AK162" s="1116"/>
      <c r="AL162" s="1117"/>
      <c r="AM162" s="1326"/>
      <c r="AN162" s="1278"/>
      <c r="AO162" s="1118"/>
      <c r="AP162" s="1898" t="str">
        <f t="shared" si="48"/>
        <v/>
      </c>
      <c r="BU162" s="1970"/>
      <c r="BV162" s="1970"/>
      <c r="BW162" s="1970"/>
      <c r="BX162" s="1970"/>
      <c r="BY162" s="1970"/>
      <c r="BZ162" s="1970"/>
      <c r="CA162" s="1899" t="str">
        <f t="shared" si="49"/>
        <v/>
      </c>
      <c r="CB162" s="1970"/>
      <c r="CC162" s="1970"/>
      <c r="CD162" s="1970"/>
      <c r="CE162"/>
      <c r="CK162" s="1970"/>
      <c r="CM162" s="1901">
        <f t="shared" si="47"/>
        <v>0</v>
      </c>
      <c r="DI162"/>
    </row>
    <row r="163" spans="1:113" x14ac:dyDescent="0.3">
      <c r="A163" s="5011" t="s">
        <v>3434</v>
      </c>
      <c r="B163" s="359">
        <f t="shared" si="44"/>
        <v>0</v>
      </c>
      <c r="C163" s="3945">
        <f t="shared" si="45"/>
        <v>0</v>
      </c>
      <c r="D163" s="5070">
        <f t="shared" si="46"/>
        <v>0</v>
      </c>
      <c r="E163" s="1114"/>
      <c r="F163" s="1118"/>
      <c r="G163" s="1114"/>
      <c r="H163" s="1118"/>
      <c r="I163" s="1114"/>
      <c r="J163" s="1118"/>
      <c r="K163" s="1114"/>
      <c r="L163" s="1118"/>
      <c r="M163" s="1116"/>
      <c r="N163" s="1117"/>
      <c r="O163" s="1114"/>
      <c r="P163" s="1118"/>
      <c r="Q163" s="1114"/>
      <c r="R163" s="1118"/>
      <c r="S163" s="1114"/>
      <c r="T163" s="1118"/>
      <c r="U163" s="1114"/>
      <c r="V163" s="1118"/>
      <c r="W163" s="1114"/>
      <c r="X163" s="1118"/>
      <c r="Y163" s="1114"/>
      <c r="Z163" s="1118"/>
      <c r="AA163" s="1114"/>
      <c r="AB163" s="1118"/>
      <c r="AC163" s="1114"/>
      <c r="AD163" s="1117"/>
      <c r="AE163" s="1114"/>
      <c r="AF163" s="1118"/>
      <c r="AG163" s="1114"/>
      <c r="AH163" s="1118"/>
      <c r="AI163" s="1114"/>
      <c r="AJ163" s="1118"/>
      <c r="AK163" s="1116"/>
      <c r="AL163" s="1117"/>
      <c r="AM163" s="1326"/>
      <c r="AN163" s="1278"/>
      <c r="AO163" s="1118"/>
      <c r="AP163" s="1898" t="str">
        <f t="shared" si="48"/>
        <v/>
      </c>
      <c r="BU163" s="1970"/>
      <c r="BV163" s="1970"/>
      <c r="BW163" s="1970"/>
      <c r="BX163" s="1970"/>
      <c r="BY163" s="1970"/>
      <c r="BZ163" s="1970"/>
      <c r="CA163" s="1899" t="str">
        <f t="shared" si="49"/>
        <v/>
      </c>
      <c r="CB163" s="1970"/>
      <c r="CC163" s="1970"/>
      <c r="CD163" s="1970"/>
      <c r="CE163"/>
      <c r="CK163" s="1970"/>
      <c r="CM163" s="1901">
        <f t="shared" si="47"/>
        <v>0</v>
      </c>
      <c r="DI163"/>
    </row>
    <row r="164" spans="1:113" x14ac:dyDescent="0.3">
      <c r="A164" s="5011" t="s">
        <v>3435</v>
      </c>
      <c r="B164" s="359">
        <f t="shared" si="44"/>
        <v>0</v>
      </c>
      <c r="C164" s="3945">
        <f t="shared" si="45"/>
        <v>0</v>
      </c>
      <c r="D164" s="5070">
        <f t="shared" si="46"/>
        <v>0</v>
      </c>
      <c r="E164" s="1114"/>
      <c r="F164" s="1118"/>
      <c r="G164" s="1114"/>
      <c r="H164" s="1118"/>
      <c r="I164" s="1114"/>
      <c r="J164" s="1118"/>
      <c r="K164" s="1114"/>
      <c r="L164" s="1118"/>
      <c r="M164" s="1116"/>
      <c r="N164" s="1117"/>
      <c r="O164" s="1114"/>
      <c r="P164" s="1118"/>
      <c r="Q164" s="1114"/>
      <c r="R164" s="1118"/>
      <c r="S164" s="1114"/>
      <c r="T164" s="1118"/>
      <c r="U164" s="1114"/>
      <c r="V164" s="1118"/>
      <c r="W164" s="1114"/>
      <c r="X164" s="1118"/>
      <c r="Y164" s="1114"/>
      <c r="Z164" s="1118"/>
      <c r="AA164" s="1114"/>
      <c r="AB164" s="1118"/>
      <c r="AC164" s="1114"/>
      <c r="AD164" s="1117"/>
      <c r="AE164" s="1114"/>
      <c r="AF164" s="1118"/>
      <c r="AG164" s="1114"/>
      <c r="AH164" s="1118"/>
      <c r="AI164" s="1114"/>
      <c r="AJ164" s="1118"/>
      <c r="AK164" s="1116"/>
      <c r="AL164" s="1117"/>
      <c r="AM164" s="1326"/>
      <c r="AN164" s="1278"/>
      <c r="AO164" s="1118"/>
      <c r="AP164" s="1898" t="str">
        <f t="shared" si="48"/>
        <v/>
      </c>
      <c r="BU164" s="1970"/>
      <c r="BV164" s="1970"/>
      <c r="BW164" s="1970"/>
      <c r="BX164" s="1970"/>
      <c r="BY164" s="1970"/>
      <c r="BZ164" s="1970"/>
      <c r="CA164" s="1899" t="str">
        <f t="shared" si="49"/>
        <v/>
      </c>
      <c r="CB164" s="1970"/>
      <c r="CC164" s="1970"/>
      <c r="CD164" s="1970"/>
      <c r="CE164"/>
      <c r="CK164" s="1970"/>
      <c r="CM164" s="1901">
        <f t="shared" si="47"/>
        <v>0</v>
      </c>
      <c r="DI164"/>
    </row>
    <row r="165" spans="1:113" x14ac:dyDescent="0.3">
      <c r="A165" s="5011" t="s">
        <v>3436</v>
      </c>
      <c r="B165" s="359">
        <f t="shared" si="44"/>
        <v>0</v>
      </c>
      <c r="C165" s="3945">
        <f t="shared" si="45"/>
        <v>0</v>
      </c>
      <c r="D165" s="5070">
        <f t="shared" si="46"/>
        <v>0</v>
      </c>
      <c r="E165" s="1114"/>
      <c r="F165" s="1118"/>
      <c r="G165" s="1114"/>
      <c r="H165" s="1118"/>
      <c r="I165" s="1114"/>
      <c r="J165" s="1118"/>
      <c r="K165" s="1114"/>
      <c r="L165" s="1118"/>
      <c r="M165" s="1116"/>
      <c r="N165" s="1117"/>
      <c r="O165" s="1114"/>
      <c r="P165" s="1118"/>
      <c r="Q165" s="1114"/>
      <c r="R165" s="1118"/>
      <c r="S165" s="1114"/>
      <c r="T165" s="1118"/>
      <c r="U165" s="1114"/>
      <c r="V165" s="1118"/>
      <c r="W165" s="1114"/>
      <c r="X165" s="1118"/>
      <c r="Y165" s="1114"/>
      <c r="Z165" s="1118"/>
      <c r="AA165" s="1114"/>
      <c r="AB165" s="1118"/>
      <c r="AC165" s="1114"/>
      <c r="AD165" s="1117"/>
      <c r="AE165" s="1114"/>
      <c r="AF165" s="1118"/>
      <c r="AG165" s="1114"/>
      <c r="AH165" s="1118"/>
      <c r="AI165" s="1114"/>
      <c r="AJ165" s="1118"/>
      <c r="AK165" s="1116"/>
      <c r="AL165" s="1117"/>
      <c r="AM165" s="1326"/>
      <c r="AN165" s="1278"/>
      <c r="AO165" s="1118"/>
      <c r="AP165" s="1898" t="str">
        <f t="shared" si="48"/>
        <v/>
      </c>
      <c r="BU165" s="1970"/>
      <c r="BV165" s="1970"/>
      <c r="BW165" s="1970"/>
      <c r="BX165" s="1970"/>
      <c r="BY165" s="1970"/>
      <c r="BZ165" s="1970"/>
      <c r="CA165" s="1899" t="str">
        <f t="shared" si="49"/>
        <v/>
      </c>
      <c r="CB165" s="1970"/>
      <c r="CC165" s="1970"/>
      <c r="CD165" s="1970"/>
      <c r="CE165"/>
      <c r="CK165" s="1970"/>
      <c r="CM165" s="1901">
        <f t="shared" si="47"/>
        <v>0</v>
      </c>
      <c r="DI165"/>
    </row>
    <row r="166" spans="1:113" x14ac:dyDescent="0.3">
      <c r="A166" s="5011" t="s">
        <v>3332</v>
      </c>
      <c r="B166" s="359">
        <f t="shared" si="44"/>
        <v>0</v>
      </c>
      <c r="C166" s="3945">
        <f t="shared" si="45"/>
        <v>0</v>
      </c>
      <c r="D166" s="5070">
        <f t="shared" si="46"/>
        <v>0</v>
      </c>
      <c r="E166" s="1114"/>
      <c r="F166" s="1118"/>
      <c r="G166" s="1114"/>
      <c r="H166" s="1118"/>
      <c r="I166" s="1114"/>
      <c r="J166" s="1118"/>
      <c r="K166" s="1114"/>
      <c r="L166" s="1118"/>
      <c r="M166" s="1116"/>
      <c r="N166" s="1117"/>
      <c r="O166" s="1114"/>
      <c r="P166" s="1118"/>
      <c r="Q166" s="1114"/>
      <c r="R166" s="1118"/>
      <c r="S166" s="1114"/>
      <c r="T166" s="1118"/>
      <c r="U166" s="1114"/>
      <c r="V166" s="1118"/>
      <c r="W166" s="1114"/>
      <c r="X166" s="1118"/>
      <c r="Y166" s="1114"/>
      <c r="Z166" s="1118"/>
      <c r="AA166" s="1114"/>
      <c r="AB166" s="1118"/>
      <c r="AC166" s="1114"/>
      <c r="AD166" s="1117"/>
      <c r="AE166" s="1114"/>
      <c r="AF166" s="1118"/>
      <c r="AG166" s="1114"/>
      <c r="AH166" s="1118"/>
      <c r="AI166" s="1114"/>
      <c r="AJ166" s="1118"/>
      <c r="AK166" s="1116"/>
      <c r="AL166" s="1117"/>
      <c r="AM166" s="1326"/>
      <c r="AN166" s="1278"/>
      <c r="AO166" s="1118"/>
      <c r="AP166" s="1898" t="str">
        <f t="shared" si="48"/>
        <v/>
      </c>
      <c r="BU166" s="1970"/>
      <c r="BV166" s="1970"/>
      <c r="BW166" s="1970"/>
      <c r="BX166" s="1970"/>
      <c r="BY166" s="1970"/>
      <c r="BZ166" s="1970"/>
      <c r="CA166" s="1899" t="str">
        <f t="shared" si="49"/>
        <v/>
      </c>
      <c r="CB166" s="1970"/>
      <c r="CC166" s="1970"/>
      <c r="CD166" s="1970"/>
      <c r="CE166"/>
      <c r="CK166" s="1970"/>
      <c r="CM166" s="1901">
        <f t="shared" si="47"/>
        <v>0</v>
      </c>
      <c r="DI166"/>
    </row>
    <row r="167" spans="1:113" x14ac:dyDescent="0.3">
      <c r="A167" s="5011" t="s">
        <v>3437</v>
      </c>
      <c r="B167" s="359">
        <f t="shared" si="44"/>
        <v>0</v>
      </c>
      <c r="C167" s="3945">
        <f t="shared" si="45"/>
        <v>0</v>
      </c>
      <c r="D167" s="5070">
        <f t="shared" si="46"/>
        <v>0</v>
      </c>
      <c r="E167" s="1114"/>
      <c r="F167" s="1118"/>
      <c r="G167" s="1114"/>
      <c r="H167" s="1118"/>
      <c r="I167" s="1114"/>
      <c r="J167" s="1118"/>
      <c r="K167" s="1114"/>
      <c r="L167" s="1118"/>
      <c r="M167" s="1116"/>
      <c r="N167" s="1117"/>
      <c r="O167" s="1114"/>
      <c r="P167" s="1118"/>
      <c r="Q167" s="1114"/>
      <c r="R167" s="1118"/>
      <c r="S167" s="1114"/>
      <c r="T167" s="1118"/>
      <c r="U167" s="1114"/>
      <c r="V167" s="1118"/>
      <c r="W167" s="1114"/>
      <c r="X167" s="1118"/>
      <c r="Y167" s="1114"/>
      <c r="Z167" s="1118"/>
      <c r="AA167" s="1114"/>
      <c r="AB167" s="1118"/>
      <c r="AC167" s="1114"/>
      <c r="AD167" s="1117"/>
      <c r="AE167" s="1114"/>
      <c r="AF167" s="1118"/>
      <c r="AG167" s="1114"/>
      <c r="AH167" s="1118"/>
      <c r="AI167" s="1114"/>
      <c r="AJ167" s="1118"/>
      <c r="AK167" s="1116"/>
      <c r="AL167" s="1117"/>
      <c r="AM167" s="1326"/>
      <c r="AN167" s="1278"/>
      <c r="AO167" s="1118"/>
      <c r="AP167" s="1898" t="str">
        <f t="shared" si="48"/>
        <v/>
      </c>
      <c r="BU167" s="1970"/>
      <c r="BV167" s="1970"/>
      <c r="BW167" s="1970"/>
      <c r="BX167" s="1970"/>
      <c r="BY167" s="1970"/>
      <c r="BZ167" s="1970"/>
      <c r="CA167" s="1899" t="str">
        <f t="shared" si="49"/>
        <v/>
      </c>
      <c r="CB167" s="1970"/>
      <c r="CC167" s="1970"/>
      <c r="CD167" s="1970"/>
      <c r="CE167"/>
      <c r="CK167" s="1970"/>
      <c r="CM167" s="1901">
        <f t="shared" si="47"/>
        <v>0</v>
      </c>
      <c r="DI167"/>
    </row>
    <row r="168" spans="1:113" x14ac:dyDescent="0.3">
      <c r="A168" s="5011" t="s">
        <v>3438</v>
      </c>
      <c r="B168" s="359">
        <f t="shared" si="44"/>
        <v>0</v>
      </c>
      <c r="C168" s="3945">
        <f t="shared" si="45"/>
        <v>0</v>
      </c>
      <c r="D168" s="5070">
        <f t="shared" si="46"/>
        <v>0</v>
      </c>
      <c r="E168" s="1114"/>
      <c r="F168" s="1118"/>
      <c r="G168" s="1114"/>
      <c r="H168" s="1118"/>
      <c r="I168" s="1114"/>
      <c r="J168" s="1118"/>
      <c r="K168" s="1114"/>
      <c r="L168" s="1118"/>
      <c r="M168" s="1116"/>
      <c r="N168" s="1117"/>
      <c r="O168" s="1114"/>
      <c r="P168" s="1118"/>
      <c r="Q168" s="1114"/>
      <c r="R168" s="1118"/>
      <c r="S168" s="1114"/>
      <c r="T168" s="1118"/>
      <c r="U168" s="1114"/>
      <c r="V168" s="1118"/>
      <c r="W168" s="1114"/>
      <c r="X168" s="1118"/>
      <c r="Y168" s="1114"/>
      <c r="Z168" s="1118"/>
      <c r="AA168" s="1114"/>
      <c r="AB168" s="1118"/>
      <c r="AC168" s="1114"/>
      <c r="AD168" s="1117"/>
      <c r="AE168" s="1114"/>
      <c r="AF168" s="1118"/>
      <c r="AG168" s="1114"/>
      <c r="AH168" s="1118"/>
      <c r="AI168" s="1114"/>
      <c r="AJ168" s="1118"/>
      <c r="AK168" s="1116"/>
      <c r="AL168" s="1117"/>
      <c r="AM168" s="1326"/>
      <c r="AN168" s="1278"/>
      <c r="AO168" s="1118"/>
      <c r="AP168" s="1898" t="str">
        <f t="shared" si="48"/>
        <v/>
      </c>
      <c r="BU168" s="1970"/>
      <c r="BV168" s="1970"/>
      <c r="BW168" s="1970"/>
      <c r="BX168" s="1970"/>
      <c r="BY168" s="1970"/>
      <c r="BZ168" s="1970"/>
      <c r="CA168" s="1899" t="str">
        <f t="shared" si="49"/>
        <v/>
      </c>
      <c r="CB168" s="1970"/>
      <c r="CC168" s="1970"/>
      <c r="CD168" s="1970"/>
      <c r="CE168"/>
      <c r="CK168" s="1970"/>
      <c r="CM168" s="1901">
        <f t="shared" si="47"/>
        <v>0</v>
      </c>
      <c r="DI168"/>
    </row>
    <row r="169" spans="1:113" x14ac:dyDescent="0.3">
      <c r="A169" s="5011" t="s">
        <v>3439</v>
      </c>
      <c r="B169" s="359">
        <f t="shared" si="44"/>
        <v>0</v>
      </c>
      <c r="C169" s="3945">
        <f t="shared" si="45"/>
        <v>0</v>
      </c>
      <c r="D169" s="5070">
        <f t="shared" si="46"/>
        <v>0</v>
      </c>
      <c r="E169" s="1114"/>
      <c r="F169" s="1118"/>
      <c r="G169" s="1114"/>
      <c r="H169" s="1118"/>
      <c r="I169" s="1114"/>
      <c r="J169" s="1118"/>
      <c r="K169" s="1114"/>
      <c r="L169" s="1118"/>
      <c r="M169" s="1116"/>
      <c r="N169" s="1117"/>
      <c r="O169" s="1114"/>
      <c r="P169" s="1118"/>
      <c r="Q169" s="1114"/>
      <c r="R169" s="1118"/>
      <c r="S169" s="1114"/>
      <c r="T169" s="1118"/>
      <c r="U169" s="1114"/>
      <c r="V169" s="1118"/>
      <c r="W169" s="1114"/>
      <c r="X169" s="1118"/>
      <c r="Y169" s="1114"/>
      <c r="Z169" s="1118"/>
      <c r="AA169" s="1114"/>
      <c r="AB169" s="1118"/>
      <c r="AC169" s="1114"/>
      <c r="AD169" s="1117"/>
      <c r="AE169" s="1114"/>
      <c r="AF169" s="1118"/>
      <c r="AG169" s="1114"/>
      <c r="AH169" s="1118"/>
      <c r="AI169" s="1114"/>
      <c r="AJ169" s="1118"/>
      <c r="AK169" s="1116"/>
      <c r="AL169" s="1117"/>
      <c r="AM169" s="1326"/>
      <c r="AN169" s="1278"/>
      <c r="AO169" s="1118"/>
      <c r="AP169" s="1898" t="str">
        <f t="shared" si="48"/>
        <v/>
      </c>
      <c r="BU169" s="1970"/>
      <c r="BV169" s="1970"/>
      <c r="BW169" s="1970"/>
      <c r="BX169" s="1970"/>
      <c r="BY169" s="1970"/>
      <c r="BZ169" s="1970"/>
      <c r="CA169" s="1899" t="str">
        <f t="shared" si="49"/>
        <v/>
      </c>
      <c r="CB169" s="1970"/>
      <c r="CC169" s="1970"/>
      <c r="CD169" s="1970"/>
      <c r="CE169"/>
      <c r="CK169" s="1970"/>
      <c r="CM169" s="1901">
        <f t="shared" si="47"/>
        <v>0</v>
      </c>
      <c r="DI169"/>
    </row>
    <row r="170" spans="1:113" x14ac:dyDescent="0.3">
      <c r="A170" s="5011" t="s">
        <v>3111</v>
      </c>
      <c r="B170" s="359">
        <f t="shared" si="44"/>
        <v>0</v>
      </c>
      <c r="C170" s="3945">
        <f t="shared" si="45"/>
        <v>0</v>
      </c>
      <c r="D170" s="5070">
        <f t="shared" si="46"/>
        <v>0</v>
      </c>
      <c r="E170" s="1114"/>
      <c r="F170" s="1118"/>
      <c r="G170" s="1114"/>
      <c r="H170" s="1118"/>
      <c r="I170" s="1114"/>
      <c r="J170" s="1118"/>
      <c r="K170" s="1114"/>
      <c r="L170" s="1118"/>
      <c r="M170" s="1116"/>
      <c r="N170" s="1117"/>
      <c r="O170" s="1114"/>
      <c r="P170" s="1118"/>
      <c r="Q170" s="1114"/>
      <c r="R170" s="1118"/>
      <c r="S170" s="1114"/>
      <c r="T170" s="1118"/>
      <c r="U170" s="1114"/>
      <c r="V170" s="1118"/>
      <c r="W170" s="1114"/>
      <c r="X170" s="1118"/>
      <c r="Y170" s="1114"/>
      <c r="Z170" s="1118"/>
      <c r="AA170" s="1114"/>
      <c r="AB170" s="1118"/>
      <c r="AC170" s="1114"/>
      <c r="AD170" s="1117"/>
      <c r="AE170" s="1114"/>
      <c r="AF170" s="1118"/>
      <c r="AG170" s="1114"/>
      <c r="AH170" s="1118"/>
      <c r="AI170" s="1114"/>
      <c r="AJ170" s="1118"/>
      <c r="AK170" s="1116"/>
      <c r="AL170" s="1117"/>
      <c r="AM170" s="1326"/>
      <c r="AN170" s="1278"/>
      <c r="AO170" s="1118"/>
      <c r="AP170" s="1898" t="str">
        <f t="shared" si="48"/>
        <v/>
      </c>
      <c r="BU170" s="1970"/>
      <c r="BV170" s="1970"/>
      <c r="BW170" s="1970"/>
      <c r="BX170" s="1970"/>
      <c r="BY170" s="1970"/>
      <c r="BZ170" s="1970"/>
      <c r="CA170" s="1899" t="str">
        <f t="shared" si="49"/>
        <v/>
      </c>
      <c r="CB170" s="1970"/>
      <c r="CC170" s="1970"/>
      <c r="CD170" s="1970"/>
      <c r="CE170"/>
      <c r="CK170" s="1970"/>
      <c r="CM170" s="1901">
        <f t="shared" si="47"/>
        <v>0</v>
      </c>
      <c r="DI170"/>
    </row>
    <row r="171" spans="1:113" x14ac:dyDescent="0.3">
      <c r="A171" s="5011" t="s">
        <v>3440</v>
      </c>
      <c r="B171" s="359">
        <f t="shared" si="44"/>
        <v>0</v>
      </c>
      <c r="C171" s="3945">
        <f t="shared" si="45"/>
        <v>0</v>
      </c>
      <c r="D171" s="5070">
        <f t="shared" si="46"/>
        <v>0</v>
      </c>
      <c r="E171" s="1114"/>
      <c r="F171" s="1118"/>
      <c r="G171" s="1114"/>
      <c r="H171" s="1118"/>
      <c r="I171" s="1114"/>
      <c r="J171" s="1118"/>
      <c r="K171" s="1114"/>
      <c r="L171" s="1118"/>
      <c r="M171" s="1116"/>
      <c r="N171" s="1117"/>
      <c r="O171" s="1114"/>
      <c r="P171" s="1118"/>
      <c r="Q171" s="1114"/>
      <c r="R171" s="1118"/>
      <c r="S171" s="1114"/>
      <c r="T171" s="1118"/>
      <c r="U171" s="1114"/>
      <c r="V171" s="1118"/>
      <c r="W171" s="1114"/>
      <c r="X171" s="1118"/>
      <c r="Y171" s="1114"/>
      <c r="Z171" s="1118"/>
      <c r="AA171" s="1114"/>
      <c r="AB171" s="1118"/>
      <c r="AC171" s="1114"/>
      <c r="AD171" s="1117"/>
      <c r="AE171" s="1114"/>
      <c r="AF171" s="1118"/>
      <c r="AG171" s="1114"/>
      <c r="AH171" s="1118"/>
      <c r="AI171" s="1114"/>
      <c r="AJ171" s="1118"/>
      <c r="AK171" s="1116"/>
      <c r="AL171" s="1117"/>
      <c r="AM171" s="1326"/>
      <c r="AN171" s="1278"/>
      <c r="AO171" s="1118"/>
      <c r="AP171" s="1898" t="str">
        <f t="shared" si="48"/>
        <v/>
      </c>
      <c r="BU171" s="1970"/>
      <c r="BV171" s="1970"/>
      <c r="BW171" s="1970"/>
      <c r="BX171" s="1970"/>
      <c r="BY171" s="1970"/>
      <c r="BZ171" s="1970"/>
      <c r="CA171" s="1899" t="str">
        <f t="shared" si="49"/>
        <v/>
      </c>
      <c r="CB171" s="1970"/>
      <c r="CC171" s="1970"/>
      <c r="CD171" s="1970"/>
      <c r="CE171"/>
      <c r="CK171" s="1970"/>
      <c r="CM171" s="1901">
        <f t="shared" si="47"/>
        <v>0</v>
      </c>
      <c r="DI171"/>
    </row>
    <row r="172" spans="1:113" x14ac:dyDescent="0.3">
      <c r="A172" s="5011" t="s">
        <v>3344</v>
      </c>
      <c r="B172" s="359">
        <f t="shared" si="44"/>
        <v>0</v>
      </c>
      <c r="C172" s="3945">
        <f t="shared" si="45"/>
        <v>0</v>
      </c>
      <c r="D172" s="5070">
        <f t="shared" si="46"/>
        <v>0</v>
      </c>
      <c r="E172" s="1114"/>
      <c r="F172" s="1118"/>
      <c r="G172" s="1114"/>
      <c r="H172" s="1118"/>
      <c r="I172" s="1114"/>
      <c r="J172" s="1118"/>
      <c r="K172" s="1114"/>
      <c r="L172" s="1118"/>
      <c r="M172" s="1116"/>
      <c r="N172" s="1117"/>
      <c r="O172" s="1114"/>
      <c r="P172" s="1118"/>
      <c r="Q172" s="1114"/>
      <c r="R172" s="1118"/>
      <c r="S172" s="1114"/>
      <c r="T172" s="1118"/>
      <c r="U172" s="1114"/>
      <c r="V172" s="1118"/>
      <c r="W172" s="1114"/>
      <c r="X172" s="1118"/>
      <c r="Y172" s="1114"/>
      <c r="Z172" s="1118"/>
      <c r="AA172" s="1114"/>
      <c r="AB172" s="1118"/>
      <c r="AC172" s="1114"/>
      <c r="AD172" s="1117"/>
      <c r="AE172" s="1114"/>
      <c r="AF172" s="1118"/>
      <c r="AG172" s="1114"/>
      <c r="AH172" s="1118"/>
      <c r="AI172" s="1114"/>
      <c r="AJ172" s="1118"/>
      <c r="AK172" s="1116"/>
      <c r="AL172" s="1117"/>
      <c r="AM172" s="1326"/>
      <c r="AN172" s="1278"/>
      <c r="AO172" s="1118"/>
      <c r="AP172" s="1898" t="str">
        <f t="shared" si="48"/>
        <v/>
      </c>
      <c r="BU172" s="1970"/>
      <c r="BV172" s="1970"/>
      <c r="BW172" s="1970"/>
      <c r="BX172" s="1970"/>
      <c r="BY172" s="1970"/>
      <c r="BZ172" s="1970"/>
      <c r="CA172" s="1899" t="str">
        <f t="shared" si="49"/>
        <v/>
      </c>
      <c r="CB172" s="1970"/>
      <c r="CC172" s="1970"/>
      <c r="CD172" s="1970"/>
      <c r="CE172"/>
      <c r="CK172" s="1970"/>
      <c r="CM172" s="1901">
        <f t="shared" si="47"/>
        <v>0</v>
      </c>
      <c r="DI172"/>
    </row>
    <row r="173" spans="1:113" x14ac:dyDescent="0.3">
      <c r="A173" s="5011" t="s">
        <v>3345</v>
      </c>
      <c r="B173" s="359">
        <f t="shared" si="44"/>
        <v>0</v>
      </c>
      <c r="C173" s="3945">
        <f t="shared" si="45"/>
        <v>0</v>
      </c>
      <c r="D173" s="5070">
        <f t="shared" si="46"/>
        <v>0</v>
      </c>
      <c r="E173" s="1114"/>
      <c r="F173" s="1118"/>
      <c r="G173" s="1114"/>
      <c r="H173" s="1118"/>
      <c r="I173" s="1114"/>
      <c r="J173" s="1118"/>
      <c r="K173" s="1114"/>
      <c r="L173" s="1118"/>
      <c r="M173" s="1116"/>
      <c r="N173" s="1117"/>
      <c r="O173" s="1114"/>
      <c r="P173" s="1118"/>
      <c r="Q173" s="1114"/>
      <c r="R173" s="1118"/>
      <c r="S173" s="1114"/>
      <c r="T173" s="1118"/>
      <c r="U173" s="1114"/>
      <c r="V173" s="1118"/>
      <c r="W173" s="1114"/>
      <c r="X173" s="1118"/>
      <c r="Y173" s="1114"/>
      <c r="Z173" s="1118"/>
      <c r="AA173" s="1114"/>
      <c r="AB173" s="1118"/>
      <c r="AC173" s="1114"/>
      <c r="AD173" s="1117"/>
      <c r="AE173" s="1114"/>
      <c r="AF173" s="1118"/>
      <c r="AG173" s="1114"/>
      <c r="AH173" s="1118"/>
      <c r="AI173" s="1114"/>
      <c r="AJ173" s="1118"/>
      <c r="AK173" s="1116"/>
      <c r="AL173" s="1117"/>
      <c r="AM173" s="1326"/>
      <c r="AN173" s="1278"/>
      <c r="AO173" s="1118"/>
      <c r="AP173" s="1898" t="str">
        <f t="shared" si="48"/>
        <v/>
      </c>
      <c r="BU173" s="1970"/>
      <c r="BV173" s="1970"/>
      <c r="BW173" s="1970"/>
      <c r="BX173" s="1970"/>
      <c r="BY173" s="1970"/>
      <c r="BZ173" s="1970"/>
      <c r="CA173" s="1899" t="str">
        <f t="shared" si="49"/>
        <v/>
      </c>
      <c r="CB173" s="1970"/>
      <c r="CC173" s="1970"/>
      <c r="CD173" s="1970"/>
      <c r="CE173"/>
      <c r="CK173" s="1970"/>
      <c r="CM173" s="1901">
        <f t="shared" si="47"/>
        <v>0</v>
      </c>
      <c r="DI173"/>
    </row>
    <row r="174" spans="1:113" x14ac:dyDescent="0.3">
      <c r="A174" s="5011" t="s">
        <v>3441</v>
      </c>
      <c r="B174" s="359">
        <f t="shared" si="44"/>
        <v>0</v>
      </c>
      <c r="C174" s="3945">
        <f t="shared" si="45"/>
        <v>0</v>
      </c>
      <c r="D174" s="5070">
        <f t="shared" si="46"/>
        <v>0</v>
      </c>
      <c r="E174" s="1114"/>
      <c r="F174" s="1118"/>
      <c r="G174" s="1114"/>
      <c r="H174" s="1118"/>
      <c r="I174" s="1114"/>
      <c r="J174" s="1118"/>
      <c r="K174" s="1114"/>
      <c r="L174" s="1118"/>
      <c r="M174" s="1116"/>
      <c r="N174" s="1117"/>
      <c r="O174" s="1114"/>
      <c r="P174" s="1118"/>
      <c r="Q174" s="1114"/>
      <c r="R174" s="1118"/>
      <c r="S174" s="1114"/>
      <c r="T174" s="1118"/>
      <c r="U174" s="1114"/>
      <c r="V174" s="1118"/>
      <c r="W174" s="1114"/>
      <c r="X174" s="1118"/>
      <c r="Y174" s="1114"/>
      <c r="Z174" s="1118"/>
      <c r="AA174" s="1114"/>
      <c r="AB174" s="1118"/>
      <c r="AC174" s="1114"/>
      <c r="AD174" s="1117"/>
      <c r="AE174" s="1114"/>
      <c r="AF174" s="1118"/>
      <c r="AG174" s="1114"/>
      <c r="AH174" s="1118"/>
      <c r="AI174" s="1114"/>
      <c r="AJ174" s="1118"/>
      <c r="AK174" s="1116"/>
      <c r="AL174" s="1117"/>
      <c r="AM174" s="1326"/>
      <c r="AN174" s="1278"/>
      <c r="AO174" s="1118"/>
      <c r="AP174" s="1898" t="str">
        <f t="shared" si="48"/>
        <v/>
      </c>
      <c r="BU174" s="1970"/>
      <c r="BV174" s="1970"/>
      <c r="BW174" s="1970"/>
      <c r="BX174" s="1970"/>
      <c r="BY174" s="1970"/>
      <c r="BZ174" s="1970"/>
      <c r="CA174" s="1899" t="str">
        <f t="shared" si="49"/>
        <v/>
      </c>
      <c r="CB174" s="1970"/>
      <c r="CC174" s="1970"/>
      <c r="CD174" s="1970"/>
      <c r="CE174"/>
      <c r="CK174" s="1970"/>
      <c r="CM174" s="1901">
        <f t="shared" si="47"/>
        <v>0</v>
      </c>
      <c r="DI174"/>
    </row>
    <row r="175" spans="1:113" x14ac:dyDescent="0.3">
      <c r="A175" s="5011" t="s">
        <v>3442</v>
      </c>
      <c r="B175" s="359">
        <f t="shared" si="44"/>
        <v>0</v>
      </c>
      <c r="C175" s="3945">
        <f t="shared" si="45"/>
        <v>0</v>
      </c>
      <c r="D175" s="5070">
        <f t="shared" si="46"/>
        <v>0</v>
      </c>
      <c r="E175" s="1114"/>
      <c r="F175" s="1118"/>
      <c r="G175" s="1114"/>
      <c r="H175" s="1118"/>
      <c r="I175" s="1114"/>
      <c r="J175" s="1118"/>
      <c r="K175" s="1114"/>
      <c r="L175" s="1118"/>
      <c r="M175" s="1116"/>
      <c r="N175" s="1117"/>
      <c r="O175" s="1114"/>
      <c r="P175" s="1118"/>
      <c r="Q175" s="1114"/>
      <c r="R175" s="1118"/>
      <c r="S175" s="1114"/>
      <c r="T175" s="1118"/>
      <c r="U175" s="1114"/>
      <c r="V175" s="1118"/>
      <c r="W175" s="1114"/>
      <c r="X175" s="1118"/>
      <c r="Y175" s="1114"/>
      <c r="Z175" s="1118"/>
      <c r="AA175" s="1114"/>
      <c r="AB175" s="1118"/>
      <c r="AC175" s="1114"/>
      <c r="AD175" s="1117"/>
      <c r="AE175" s="1114"/>
      <c r="AF175" s="1118"/>
      <c r="AG175" s="1114"/>
      <c r="AH175" s="1118"/>
      <c r="AI175" s="1114"/>
      <c r="AJ175" s="1118"/>
      <c r="AK175" s="1116"/>
      <c r="AL175" s="1117"/>
      <c r="AM175" s="1326"/>
      <c r="AN175" s="1278"/>
      <c r="AO175" s="1118"/>
      <c r="AP175" s="1898" t="str">
        <f t="shared" si="48"/>
        <v/>
      </c>
      <c r="BU175" s="1970"/>
      <c r="BV175" s="1970"/>
      <c r="BW175" s="1970"/>
      <c r="BX175" s="1970"/>
      <c r="BY175" s="1970"/>
      <c r="BZ175" s="1970"/>
      <c r="CA175" s="1899" t="str">
        <f t="shared" si="49"/>
        <v/>
      </c>
      <c r="CB175" s="1970"/>
      <c r="CC175" s="1970"/>
      <c r="CD175" s="1970"/>
      <c r="CE175"/>
      <c r="CK175" s="1970"/>
      <c r="CM175" s="1901">
        <f t="shared" si="47"/>
        <v>0</v>
      </c>
      <c r="DI175"/>
    </row>
    <row r="176" spans="1:113" x14ac:dyDescent="0.3">
      <c r="A176" s="5011" t="s">
        <v>3341</v>
      </c>
      <c r="B176" s="359">
        <f t="shared" si="44"/>
        <v>0</v>
      </c>
      <c r="C176" s="3945">
        <f t="shared" si="45"/>
        <v>0</v>
      </c>
      <c r="D176" s="5070">
        <f t="shared" si="46"/>
        <v>0</v>
      </c>
      <c r="E176" s="1114"/>
      <c r="F176" s="1118"/>
      <c r="G176" s="1114"/>
      <c r="H176" s="1118"/>
      <c r="I176" s="1114"/>
      <c r="J176" s="1118"/>
      <c r="K176" s="1114"/>
      <c r="L176" s="1118"/>
      <c r="M176" s="1116"/>
      <c r="N176" s="1117"/>
      <c r="O176" s="1114"/>
      <c r="P176" s="1118"/>
      <c r="Q176" s="1114"/>
      <c r="R176" s="1118"/>
      <c r="S176" s="1114"/>
      <c r="T176" s="1118"/>
      <c r="U176" s="1114"/>
      <c r="V176" s="1118"/>
      <c r="W176" s="1114"/>
      <c r="X176" s="1118"/>
      <c r="Y176" s="1114"/>
      <c r="Z176" s="1118"/>
      <c r="AA176" s="1114"/>
      <c r="AB176" s="1118"/>
      <c r="AC176" s="1114"/>
      <c r="AD176" s="1117"/>
      <c r="AE176" s="1114"/>
      <c r="AF176" s="1118"/>
      <c r="AG176" s="1114"/>
      <c r="AH176" s="1118"/>
      <c r="AI176" s="1114"/>
      <c r="AJ176" s="1118"/>
      <c r="AK176" s="1116"/>
      <c r="AL176" s="1117"/>
      <c r="AM176" s="1326"/>
      <c r="AN176" s="1278"/>
      <c r="AO176" s="1118"/>
      <c r="AP176" s="1898" t="str">
        <f t="shared" si="48"/>
        <v/>
      </c>
      <c r="BU176" s="1970"/>
      <c r="BV176" s="1970"/>
      <c r="BW176" s="1970"/>
      <c r="BX176" s="1970"/>
      <c r="BY176" s="1970"/>
      <c r="BZ176" s="1970"/>
      <c r="CA176" s="1899" t="str">
        <f t="shared" si="49"/>
        <v/>
      </c>
      <c r="CB176" s="1970"/>
      <c r="CC176" s="1970"/>
      <c r="CD176" s="1970"/>
      <c r="CE176"/>
      <c r="CK176" s="1970"/>
      <c r="CM176" s="1901">
        <f t="shared" si="47"/>
        <v>0</v>
      </c>
      <c r="DI176"/>
    </row>
    <row r="177" spans="1:113" x14ac:dyDescent="0.3">
      <c r="A177" s="5071" t="s">
        <v>591</v>
      </c>
      <c r="B177" s="359">
        <f t="shared" si="44"/>
        <v>0</v>
      </c>
      <c r="C177" s="3945">
        <f t="shared" si="45"/>
        <v>0</v>
      </c>
      <c r="D177" s="5070">
        <f t="shared" si="46"/>
        <v>0</v>
      </c>
      <c r="E177" s="192"/>
      <c r="F177" s="383"/>
      <c r="G177" s="192"/>
      <c r="H177" s="383"/>
      <c r="I177" s="192"/>
      <c r="J177" s="383"/>
      <c r="K177" s="192"/>
      <c r="L177" s="383"/>
      <c r="M177" s="482"/>
      <c r="N177" s="1123"/>
      <c r="O177" s="192"/>
      <c r="P177" s="383"/>
      <c r="Q177" s="192"/>
      <c r="R177" s="383"/>
      <c r="S177" s="192"/>
      <c r="T177" s="383"/>
      <c r="U177" s="192"/>
      <c r="V177" s="383"/>
      <c r="W177" s="192"/>
      <c r="X177" s="383"/>
      <c r="Y177" s="192"/>
      <c r="Z177" s="383"/>
      <c r="AA177" s="192"/>
      <c r="AB177" s="383"/>
      <c r="AC177" s="192"/>
      <c r="AD177" s="1123"/>
      <c r="AE177" s="192"/>
      <c r="AF177" s="383"/>
      <c r="AG177" s="192"/>
      <c r="AH177" s="383"/>
      <c r="AI177" s="192"/>
      <c r="AJ177" s="383"/>
      <c r="AK177" s="482"/>
      <c r="AL177" s="1123"/>
      <c r="AM177" s="377"/>
      <c r="AN177" s="594"/>
      <c r="AO177" s="383"/>
      <c r="AP177" s="1898" t="str">
        <f t="shared" si="48"/>
        <v/>
      </c>
      <c r="BU177" s="1970"/>
      <c r="BV177" s="1970"/>
      <c r="BW177" s="1970"/>
      <c r="BX177" s="1970"/>
      <c r="BY177" s="1970"/>
      <c r="BZ177" s="1970"/>
      <c r="CA177" s="1899" t="str">
        <f t="shared" si="49"/>
        <v/>
      </c>
      <c r="CB177" s="1970"/>
      <c r="CC177" s="1970"/>
      <c r="CD177" s="1970"/>
      <c r="CE177"/>
      <c r="CK177" s="1970"/>
      <c r="CM177" s="1901">
        <f t="shared" si="47"/>
        <v>0</v>
      </c>
      <c r="DI177"/>
    </row>
    <row r="178" spans="1:113" x14ac:dyDescent="0.3">
      <c r="A178" s="5072" t="s">
        <v>905</v>
      </c>
      <c r="B178" s="5073">
        <f>SUM(B179:B183)</f>
        <v>0</v>
      </c>
      <c r="C178" s="5074">
        <f t="shared" ref="C178:AO178" si="50">SUM(C179:C183)</f>
        <v>0</v>
      </c>
      <c r="D178" s="5075">
        <f t="shared" si="50"/>
        <v>0</v>
      </c>
      <c r="E178" s="4987">
        <f t="shared" si="50"/>
        <v>0</v>
      </c>
      <c r="F178" s="1126">
        <f t="shared" si="50"/>
        <v>0</v>
      </c>
      <c r="G178" s="4987">
        <f t="shared" si="50"/>
        <v>0</v>
      </c>
      <c r="H178" s="1126">
        <f t="shared" si="50"/>
        <v>0</v>
      </c>
      <c r="I178" s="4987">
        <f t="shared" si="50"/>
        <v>0</v>
      </c>
      <c r="J178" s="1126">
        <f t="shared" si="50"/>
        <v>0</v>
      </c>
      <c r="K178" s="4987">
        <f t="shared" si="50"/>
        <v>0</v>
      </c>
      <c r="L178" s="1126">
        <f t="shared" si="50"/>
        <v>0</v>
      </c>
      <c r="M178" s="4987">
        <f t="shared" si="50"/>
        <v>0</v>
      </c>
      <c r="N178" s="4738">
        <f t="shared" si="50"/>
        <v>0</v>
      </c>
      <c r="O178" s="4987">
        <f t="shared" si="50"/>
        <v>0</v>
      </c>
      <c r="P178" s="1126">
        <f t="shared" si="50"/>
        <v>0</v>
      </c>
      <c r="Q178" s="4987">
        <f t="shared" si="50"/>
        <v>0</v>
      </c>
      <c r="R178" s="1126">
        <f t="shared" si="50"/>
        <v>0</v>
      </c>
      <c r="S178" s="4987">
        <f t="shared" si="50"/>
        <v>0</v>
      </c>
      <c r="T178" s="1126">
        <f t="shared" si="50"/>
        <v>0</v>
      </c>
      <c r="U178" s="4987">
        <f t="shared" si="50"/>
        <v>0</v>
      </c>
      <c r="V178" s="1126">
        <f t="shared" si="50"/>
        <v>0</v>
      </c>
      <c r="W178" s="4987">
        <f t="shared" si="50"/>
        <v>0</v>
      </c>
      <c r="X178" s="1126">
        <f t="shared" si="50"/>
        <v>0</v>
      </c>
      <c r="Y178" s="4987">
        <f t="shared" si="50"/>
        <v>0</v>
      </c>
      <c r="Z178" s="1126">
        <f t="shared" si="50"/>
        <v>0</v>
      </c>
      <c r="AA178" s="4987">
        <f t="shared" si="50"/>
        <v>0</v>
      </c>
      <c r="AB178" s="1126">
        <f t="shared" si="50"/>
        <v>0</v>
      </c>
      <c r="AC178" s="4987">
        <f t="shared" si="50"/>
        <v>0</v>
      </c>
      <c r="AD178" s="4738">
        <f t="shared" si="50"/>
        <v>0</v>
      </c>
      <c r="AE178" s="4987">
        <f t="shared" si="50"/>
        <v>0</v>
      </c>
      <c r="AF178" s="1126">
        <f t="shared" si="50"/>
        <v>0</v>
      </c>
      <c r="AG178" s="4987">
        <f t="shared" si="50"/>
        <v>0</v>
      </c>
      <c r="AH178" s="1126">
        <f t="shared" si="50"/>
        <v>0</v>
      </c>
      <c r="AI178" s="4987">
        <f t="shared" si="50"/>
        <v>0</v>
      </c>
      <c r="AJ178" s="1126">
        <f t="shared" si="50"/>
        <v>0</v>
      </c>
      <c r="AK178" s="4738">
        <f t="shared" si="50"/>
        <v>0</v>
      </c>
      <c r="AL178" s="1128">
        <f t="shared" si="50"/>
        <v>0</v>
      </c>
      <c r="AM178" s="4861">
        <f t="shared" si="50"/>
        <v>0</v>
      </c>
      <c r="AN178" s="1141">
        <f t="shared" si="50"/>
        <v>0</v>
      </c>
      <c r="AO178" s="1129">
        <f t="shared" si="50"/>
        <v>0</v>
      </c>
      <c r="AP178" s="1898"/>
      <c r="BU178" s="1970"/>
      <c r="BV178" s="1970"/>
      <c r="BW178" s="1970"/>
      <c r="BX178" s="1970"/>
      <c r="BY178" s="1970"/>
      <c r="BZ178" s="1970"/>
      <c r="CA178" s="1970"/>
      <c r="CB178" s="1970"/>
      <c r="CC178" s="1970"/>
      <c r="CD178" s="1970"/>
      <c r="CE178"/>
      <c r="CK178" s="1970"/>
      <c r="CM178"/>
      <c r="DI178"/>
    </row>
    <row r="179" spans="1:113" x14ac:dyDescent="0.3">
      <c r="A179" s="4973" t="s">
        <v>3314</v>
      </c>
      <c r="B179" s="5076">
        <f>SUM(C179:D179)</f>
        <v>0</v>
      </c>
      <c r="C179" s="3945">
        <f t="shared" ref="C179:D183" si="51">E179+G179+I179+K179+M179+O179+Q179+S179+U179+W179+Y179+AA179+AC179+AE179+AG179+AI179+AK179</f>
        <v>0</v>
      </c>
      <c r="D179" s="5070">
        <f t="shared" si="51"/>
        <v>0</v>
      </c>
      <c r="E179" s="290"/>
      <c r="F179" s="637"/>
      <c r="G179" s="290"/>
      <c r="H179" s="637"/>
      <c r="I179" s="290"/>
      <c r="J179" s="637"/>
      <c r="K179" s="290"/>
      <c r="L179" s="637"/>
      <c r="M179" s="22"/>
      <c r="N179" s="735"/>
      <c r="O179" s="290"/>
      <c r="P179" s="637"/>
      <c r="Q179" s="290"/>
      <c r="R179" s="637"/>
      <c r="S179" s="290"/>
      <c r="T179" s="637"/>
      <c r="U179" s="290"/>
      <c r="V179" s="637"/>
      <c r="W179" s="290"/>
      <c r="X179" s="637"/>
      <c r="Y179" s="290"/>
      <c r="Z179" s="637"/>
      <c r="AA179" s="290"/>
      <c r="AB179" s="637"/>
      <c r="AC179" s="290"/>
      <c r="AD179" s="735"/>
      <c r="AE179" s="290"/>
      <c r="AF179" s="637"/>
      <c r="AG179" s="290"/>
      <c r="AH179" s="637"/>
      <c r="AI179" s="290"/>
      <c r="AJ179" s="637"/>
      <c r="AK179" s="22"/>
      <c r="AL179" s="735"/>
      <c r="AM179" s="296"/>
      <c r="AN179" s="535"/>
      <c r="AO179" s="637"/>
      <c r="AP179" s="1898" t="str">
        <f t="shared" si="48"/>
        <v/>
      </c>
      <c r="BU179" s="1970"/>
      <c r="BV179" s="1970"/>
      <c r="BW179" s="1970"/>
      <c r="BX179" s="1970"/>
      <c r="BY179" s="1970"/>
      <c r="BZ179" s="1970"/>
      <c r="CA179" s="1899" t="str">
        <f>IF(AM179+AN179+AO179&lt;&gt;$B179,"* La suma de "&amp;AM$146&amp;""&amp;" no debe ser distinto del Total Ambos Sexos. ","")</f>
        <v/>
      </c>
      <c r="CB179" s="1970"/>
      <c r="CC179" s="1970"/>
      <c r="CD179" s="1970"/>
      <c r="CE179"/>
      <c r="CK179" s="1970"/>
      <c r="CM179" s="1901">
        <f>IF(AM179+AN179+AO179&lt;&gt;$B179,1,0)</f>
        <v>0</v>
      </c>
      <c r="DI179"/>
    </row>
    <row r="180" spans="1:113" x14ac:dyDescent="0.3">
      <c r="A180" s="4973" t="s">
        <v>1022</v>
      </c>
      <c r="B180" s="1173">
        <f>SUM(C180:D180)</f>
        <v>0</v>
      </c>
      <c r="C180" s="3945">
        <f t="shared" si="51"/>
        <v>0</v>
      </c>
      <c r="D180" s="5070">
        <f t="shared" si="51"/>
        <v>0</v>
      </c>
      <c r="E180" s="1114"/>
      <c r="F180" s="1118"/>
      <c r="G180" s="1114"/>
      <c r="H180" s="1118"/>
      <c r="I180" s="1114"/>
      <c r="J180" s="1118"/>
      <c r="K180" s="1114"/>
      <c r="L180" s="1118"/>
      <c r="M180" s="1116"/>
      <c r="N180" s="1117"/>
      <c r="O180" s="1114"/>
      <c r="P180" s="1118"/>
      <c r="Q180" s="1114"/>
      <c r="R180" s="1118"/>
      <c r="S180" s="1114"/>
      <c r="T180" s="1118"/>
      <c r="U180" s="1114"/>
      <c r="V180" s="1118"/>
      <c r="W180" s="1114"/>
      <c r="X180" s="1118"/>
      <c r="Y180" s="1114"/>
      <c r="Z180" s="1118"/>
      <c r="AA180" s="1114"/>
      <c r="AB180" s="1118"/>
      <c r="AC180" s="1114"/>
      <c r="AD180" s="1117"/>
      <c r="AE180" s="1114"/>
      <c r="AF180" s="1118"/>
      <c r="AG180" s="1114"/>
      <c r="AH180" s="1118"/>
      <c r="AI180" s="1114"/>
      <c r="AJ180" s="1118"/>
      <c r="AK180" s="1116"/>
      <c r="AL180" s="1117"/>
      <c r="AM180" s="1326"/>
      <c r="AN180" s="1278"/>
      <c r="AO180" s="1118"/>
      <c r="AP180" s="1898" t="str">
        <f t="shared" si="48"/>
        <v/>
      </c>
      <c r="BU180" s="1970"/>
      <c r="BV180" s="1970"/>
      <c r="BW180" s="1970"/>
      <c r="BX180" s="1970"/>
      <c r="BY180" s="1970"/>
      <c r="BZ180" s="1970"/>
      <c r="CA180" s="1899" t="str">
        <f t="shared" ref="CA180:CA183" si="52">IF(AM180+AN180+AO180&lt;&gt;$B180,"* La suma de "&amp;AM$146&amp;""&amp;" no debe ser distinto del Total Ambos Sexos. ","")</f>
        <v/>
      </c>
      <c r="CB180" s="1970"/>
      <c r="CC180" s="1970"/>
      <c r="CD180" s="1970"/>
      <c r="CE180"/>
      <c r="CK180" s="1970"/>
      <c r="CM180" s="1901">
        <f>IF(AM180+AN180+AO180&lt;&gt;$B180,1,0)</f>
        <v>0</v>
      </c>
      <c r="DI180"/>
    </row>
    <row r="181" spans="1:113" x14ac:dyDescent="0.3">
      <c r="A181" s="4973" t="s">
        <v>990</v>
      </c>
      <c r="B181" s="1173">
        <f>SUM(C181:D181)</f>
        <v>0</v>
      </c>
      <c r="C181" s="3945">
        <f t="shared" si="51"/>
        <v>0</v>
      </c>
      <c r="D181" s="5070">
        <f t="shared" si="51"/>
        <v>0</v>
      </c>
      <c r="E181" s="1114"/>
      <c r="F181" s="1118"/>
      <c r="G181" s="1114"/>
      <c r="H181" s="1118"/>
      <c r="I181" s="1114"/>
      <c r="J181" s="1118"/>
      <c r="K181" s="1114"/>
      <c r="L181" s="1118"/>
      <c r="M181" s="1116"/>
      <c r="N181" s="1117"/>
      <c r="O181" s="1114"/>
      <c r="P181" s="1118"/>
      <c r="Q181" s="1114"/>
      <c r="R181" s="1118"/>
      <c r="S181" s="1114"/>
      <c r="T181" s="1118"/>
      <c r="U181" s="1114"/>
      <c r="V181" s="1118"/>
      <c r="W181" s="1114"/>
      <c r="X181" s="1118"/>
      <c r="Y181" s="1114"/>
      <c r="Z181" s="1118"/>
      <c r="AA181" s="1114"/>
      <c r="AB181" s="1118"/>
      <c r="AC181" s="1114"/>
      <c r="AD181" s="1117"/>
      <c r="AE181" s="1114"/>
      <c r="AF181" s="1118"/>
      <c r="AG181" s="1114"/>
      <c r="AH181" s="1118"/>
      <c r="AI181" s="1114"/>
      <c r="AJ181" s="1118"/>
      <c r="AK181" s="1116"/>
      <c r="AL181" s="1117"/>
      <c r="AM181" s="1326"/>
      <c r="AN181" s="1278"/>
      <c r="AO181" s="1118"/>
      <c r="AP181" s="1898" t="str">
        <f t="shared" si="48"/>
        <v/>
      </c>
      <c r="BU181" s="1970"/>
      <c r="BV181" s="1970"/>
      <c r="BW181" s="1970"/>
      <c r="BX181" s="1970"/>
      <c r="BY181" s="1970"/>
      <c r="BZ181" s="1970"/>
      <c r="CA181" s="1899" t="str">
        <f t="shared" si="52"/>
        <v/>
      </c>
      <c r="CB181" s="1970"/>
      <c r="CC181" s="1970"/>
      <c r="CD181" s="1970"/>
      <c r="CE181"/>
      <c r="CK181" s="1970"/>
      <c r="CM181" s="1901">
        <f>IF(AM181+AN181+AO181&lt;&gt;$B181,1,0)</f>
        <v>0</v>
      </c>
      <c r="DI181"/>
    </row>
    <row r="182" spans="1:113" x14ac:dyDescent="0.3">
      <c r="A182" s="4973" t="s">
        <v>3443</v>
      </c>
      <c r="B182" s="1173">
        <f>SUM(C182:D182)</f>
        <v>0</v>
      </c>
      <c r="C182" s="3945">
        <f t="shared" si="51"/>
        <v>0</v>
      </c>
      <c r="D182" s="5070">
        <f t="shared" si="51"/>
        <v>0</v>
      </c>
      <c r="E182" s="1114"/>
      <c r="F182" s="1118"/>
      <c r="G182" s="1114"/>
      <c r="H182" s="1118"/>
      <c r="I182" s="1114"/>
      <c r="J182" s="1118"/>
      <c r="K182" s="1114"/>
      <c r="L182" s="1118"/>
      <c r="M182" s="1116"/>
      <c r="N182" s="1117"/>
      <c r="O182" s="1114"/>
      <c r="P182" s="1118"/>
      <c r="Q182" s="1114"/>
      <c r="R182" s="1118"/>
      <c r="S182" s="1114"/>
      <c r="T182" s="1118"/>
      <c r="U182" s="1114"/>
      <c r="V182" s="1118"/>
      <c r="W182" s="1114"/>
      <c r="X182" s="1118"/>
      <c r="Y182" s="1114"/>
      <c r="Z182" s="1118"/>
      <c r="AA182" s="1114"/>
      <c r="AB182" s="1118"/>
      <c r="AC182" s="1114"/>
      <c r="AD182" s="1117"/>
      <c r="AE182" s="1114"/>
      <c r="AF182" s="1118"/>
      <c r="AG182" s="1114"/>
      <c r="AH182" s="1118"/>
      <c r="AI182" s="1114"/>
      <c r="AJ182" s="1118"/>
      <c r="AK182" s="1116"/>
      <c r="AL182" s="1117"/>
      <c r="AM182" s="1326"/>
      <c r="AN182" s="1278"/>
      <c r="AO182" s="1118"/>
      <c r="AP182" s="1898" t="str">
        <f t="shared" si="48"/>
        <v/>
      </c>
      <c r="BU182" s="1970"/>
      <c r="BV182" s="1970"/>
      <c r="BW182" s="1970"/>
      <c r="BX182" s="1970"/>
      <c r="BY182" s="1970"/>
      <c r="BZ182" s="1970"/>
      <c r="CA182" s="1899" t="str">
        <f t="shared" si="52"/>
        <v/>
      </c>
      <c r="CB182" s="1970"/>
      <c r="CC182" s="1970"/>
      <c r="CD182" s="1970"/>
      <c r="CE182"/>
      <c r="CK182" s="1970"/>
      <c r="CM182" s="1901">
        <f>IF(AM182+AN182+AO182&lt;&gt;$B182,1,0)</f>
        <v>0</v>
      </c>
      <c r="DI182"/>
    </row>
    <row r="183" spans="1:113" x14ac:dyDescent="0.3">
      <c r="A183" s="4523" t="s">
        <v>591</v>
      </c>
      <c r="B183" s="1083">
        <f>SUM(C183:D183)</f>
        <v>0</v>
      </c>
      <c r="C183" s="5077">
        <f t="shared" si="51"/>
        <v>0</v>
      </c>
      <c r="D183" s="5078">
        <f t="shared" si="51"/>
        <v>0</v>
      </c>
      <c r="E183" s="1139"/>
      <c r="F183" s="1140"/>
      <c r="G183" s="1139"/>
      <c r="H183" s="1140"/>
      <c r="I183" s="1139"/>
      <c r="J183" s="1140"/>
      <c r="K183" s="1139"/>
      <c r="L183" s="1140"/>
      <c r="M183" s="1152"/>
      <c r="N183" s="1153"/>
      <c r="O183" s="1139"/>
      <c r="P183" s="1140"/>
      <c r="Q183" s="1139"/>
      <c r="R183" s="1140"/>
      <c r="S183" s="1139"/>
      <c r="T183" s="1140"/>
      <c r="U183" s="1139"/>
      <c r="V183" s="1140"/>
      <c r="W183" s="1139"/>
      <c r="X183" s="1140"/>
      <c r="Y183" s="1139"/>
      <c r="Z183" s="1140"/>
      <c r="AA183" s="1139"/>
      <c r="AB183" s="1140"/>
      <c r="AC183" s="1139"/>
      <c r="AD183" s="1153"/>
      <c r="AE183" s="1139"/>
      <c r="AF183" s="1140"/>
      <c r="AG183" s="1139"/>
      <c r="AH183" s="1140"/>
      <c r="AI183" s="1139"/>
      <c r="AJ183" s="1140"/>
      <c r="AK183" s="1152"/>
      <c r="AL183" s="1153"/>
      <c r="AM183" s="1330"/>
      <c r="AN183" s="1283"/>
      <c r="AO183" s="1140"/>
      <c r="AP183" s="1898" t="str">
        <f t="shared" si="48"/>
        <v/>
      </c>
      <c r="BU183" s="1970"/>
      <c r="BV183" s="1970"/>
      <c r="BW183" s="1970"/>
      <c r="BX183" s="1970"/>
      <c r="BY183" s="1970"/>
      <c r="BZ183" s="1970"/>
      <c r="CA183" s="1899" t="str">
        <f t="shared" si="52"/>
        <v/>
      </c>
      <c r="CB183" s="1970"/>
      <c r="CC183" s="1970"/>
      <c r="CD183" s="1970"/>
      <c r="CE183"/>
      <c r="CK183" s="1970"/>
      <c r="CM183" s="1901">
        <f>IF(AM183+AN183+AO183&lt;&gt;$B183,1,0)</f>
        <v>0</v>
      </c>
      <c r="DI183"/>
    </row>
    <row r="184" spans="1:113" x14ac:dyDescent="0.3">
      <c r="A184" s="1" t="s">
        <v>3444</v>
      </c>
      <c r="B184" s="8"/>
      <c r="C184" s="8"/>
      <c r="D184" s="1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CE184"/>
      <c r="CK184" s="25"/>
      <c r="DI184"/>
    </row>
    <row r="185" spans="1:113" x14ac:dyDescent="0.3">
      <c r="A185" s="7412" t="s">
        <v>27</v>
      </c>
      <c r="B185" s="7433" t="s">
        <v>77</v>
      </c>
      <c r="C185" s="7436" t="s">
        <v>29</v>
      </c>
      <c r="D185" s="7437"/>
      <c r="E185" s="7437"/>
      <c r="F185" s="7437"/>
      <c r="G185" s="7437"/>
      <c r="H185" s="7437"/>
      <c r="I185" s="7437"/>
      <c r="J185" s="7437"/>
      <c r="K185" s="7437"/>
      <c r="L185" s="7437"/>
      <c r="M185" s="7437"/>
      <c r="N185" s="7437"/>
      <c r="O185" s="7437"/>
      <c r="P185" s="7437"/>
      <c r="Q185" s="7437"/>
      <c r="R185" s="7437"/>
      <c r="S185" s="7438"/>
      <c r="T185" s="7123" t="s">
        <v>3421</v>
      </c>
      <c r="U185" s="7444"/>
      <c r="V185" s="7444"/>
      <c r="W185" s="7444"/>
      <c r="X185" s="7444"/>
      <c r="CE185"/>
      <c r="CK185" s="25"/>
      <c r="DI185"/>
    </row>
    <row r="186" spans="1:113" x14ac:dyDescent="0.3">
      <c r="A186" s="6082"/>
      <c r="B186" s="7434"/>
      <c r="C186" s="7439"/>
      <c r="D186" s="7440"/>
      <c r="E186" s="7440"/>
      <c r="F186" s="7440"/>
      <c r="G186" s="7440"/>
      <c r="H186" s="7440"/>
      <c r="I186" s="7440"/>
      <c r="J186" s="7440"/>
      <c r="K186" s="7440"/>
      <c r="L186" s="7440"/>
      <c r="M186" s="7440"/>
      <c r="N186" s="7440"/>
      <c r="O186" s="7440"/>
      <c r="P186" s="7440"/>
      <c r="Q186" s="7440"/>
      <c r="R186" s="7440"/>
      <c r="S186" s="7441"/>
      <c r="T186" s="7445" t="s">
        <v>3422</v>
      </c>
      <c r="U186" s="7446"/>
      <c r="V186" s="7447"/>
      <c r="W186" s="7148" t="s">
        <v>3445</v>
      </c>
      <c r="X186" s="7149"/>
      <c r="CE186"/>
      <c r="CK186" s="25"/>
      <c r="DI186"/>
    </row>
    <row r="187" spans="1:113" ht="30.6" x14ac:dyDescent="0.3">
      <c r="A187" s="7391"/>
      <c r="B187" s="7435"/>
      <c r="C187" s="5029" t="s">
        <v>343</v>
      </c>
      <c r="D187" s="5030" t="s">
        <v>326</v>
      </c>
      <c r="E187" s="5030" t="s">
        <v>94</v>
      </c>
      <c r="F187" s="5030" t="s">
        <v>44</v>
      </c>
      <c r="G187" s="5030" t="s">
        <v>45</v>
      </c>
      <c r="H187" s="5030" t="s">
        <v>974</v>
      </c>
      <c r="I187" s="5030" t="s">
        <v>629</v>
      </c>
      <c r="J187" s="5030" t="s">
        <v>48</v>
      </c>
      <c r="K187" s="5030" t="s">
        <v>49</v>
      </c>
      <c r="L187" s="5030" t="s">
        <v>975</v>
      </c>
      <c r="M187" s="5030" t="s">
        <v>51</v>
      </c>
      <c r="N187" s="5030" t="s">
        <v>52</v>
      </c>
      <c r="O187" s="5030" t="s">
        <v>53</v>
      </c>
      <c r="P187" s="5030" t="s">
        <v>54</v>
      </c>
      <c r="Q187" s="5030" t="s">
        <v>55</v>
      </c>
      <c r="R187" s="5030" t="s">
        <v>56</v>
      </c>
      <c r="S187" s="5031" t="s">
        <v>57</v>
      </c>
      <c r="T187" s="5017" t="s">
        <v>3446</v>
      </c>
      <c r="U187" s="4528" t="s">
        <v>3447</v>
      </c>
      <c r="V187" s="4529" t="s">
        <v>3448</v>
      </c>
      <c r="W187" s="5032" t="s">
        <v>3424</v>
      </c>
      <c r="X187" s="4529" t="s">
        <v>3425</v>
      </c>
      <c r="Y187" s="7"/>
      <c r="CE187"/>
      <c r="CK187" s="25"/>
      <c r="DI187"/>
    </row>
    <row r="188" spans="1:113" x14ac:dyDescent="0.3">
      <c r="A188" s="5018" t="s">
        <v>1406</v>
      </c>
      <c r="B188" s="3182">
        <f t="shared" ref="B188:B194" si="53">SUM(C188:S188)</f>
        <v>0</v>
      </c>
      <c r="C188" s="1114"/>
      <c r="D188" s="1278"/>
      <c r="E188" s="1278"/>
      <c r="F188" s="1278"/>
      <c r="G188" s="1278"/>
      <c r="H188" s="1278"/>
      <c r="I188" s="1278"/>
      <c r="J188" s="1278"/>
      <c r="K188" s="1278"/>
      <c r="L188" s="1278"/>
      <c r="M188" s="1278"/>
      <c r="N188" s="1278"/>
      <c r="O188" s="1278"/>
      <c r="P188" s="1278"/>
      <c r="Q188" s="1278"/>
      <c r="R188" s="1278"/>
      <c r="S188" s="1322"/>
      <c r="T188" s="1326"/>
      <c r="U188" s="1278"/>
      <c r="V188" s="1118"/>
      <c r="W188" s="1114"/>
      <c r="X188" s="1118"/>
      <c r="Y188" s="1898" t="str">
        <f>$CA188</f>
        <v/>
      </c>
      <c r="BD188" s="1970"/>
      <c r="BE188" s="1970"/>
      <c r="BF188" s="1970"/>
      <c r="BG188" s="1970"/>
      <c r="BH188" s="1970"/>
      <c r="BI188" s="1970"/>
      <c r="BJ188" s="1970"/>
      <c r="BK188" s="1970"/>
      <c r="BL188" s="1970"/>
      <c r="BM188" s="1970"/>
      <c r="BN188" s="1970"/>
      <c r="BO188" s="1970"/>
      <c r="BP188" s="1970"/>
      <c r="BQ188" s="1970"/>
      <c r="BR188" s="1970"/>
      <c r="BS188" s="1970"/>
      <c r="BT188" s="1970"/>
      <c r="BU188" s="1970"/>
      <c r="BV188" s="1970"/>
      <c r="BW188" s="1970"/>
      <c r="BX188" s="1970"/>
      <c r="BY188" s="1970"/>
      <c r="BZ188" s="1970"/>
      <c r="CA188" s="1899" t="str">
        <f>IF(T188+U188+V188+W188+X188&lt;&gt;$B188,"* La suma de "&amp;T$185&amp;""&amp;" no debe ser distinto del Total. ","")</f>
        <v/>
      </c>
      <c r="CB188" s="1970"/>
      <c r="CC188" s="1970"/>
      <c r="CD188" s="1970"/>
      <c r="CE188"/>
      <c r="CK188" s="1970"/>
      <c r="CM188" s="2707">
        <f t="shared" ref="CM188:CM194" si="54">IF(T188+U188+V188+W188+X188&lt;&gt;$B188,1,0)</f>
        <v>0</v>
      </c>
      <c r="DI188"/>
    </row>
    <row r="189" spans="1:113" x14ac:dyDescent="0.3">
      <c r="A189" s="4973" t="s">
        <v>2063</v>
      </c>
      <c r="B189" s="4686">
        <f t="shared" si="53"/>
        <v>0</v>
      </c>
      <c r="C189" s="1114"/>
      <c r="D189" s="1278"/>
      <c r="E189" s="1278"/>
      <c r="F189" s="1278"/>
      <c r="G189" s="1278"/>
      <c r="H189" s="1278"/>
      <c r="I189" s="1278"/>
      <c r="J189" s="1278"/>
      <c r="K189" s="1278"/>
      <c r="L189" s="1278"/>
      <c r="M189" s="1278"/>
      <c r="N189" s="1278"/>
      <c r="O189" s="1278"/>
      <c r="P189" s="1278"/>
      <c r="Q189" s="1278"/>
      <c r="R189" s="1278"/>
      <c r="S189" s="1322"/>
      <c r="T189" s="1326"/>
      <c r="U189" s="1278"/>
      <c r="V189" s="1118"/>
      <c r="W189" s="1114"/>
      <c r="X189" s="1118"/>
      <c r="Y189" s="1898" t="str">
        <f t="shared" ref="Y189:Y194" si="55">$CA189</f>
        <v/>
      </c>
      <c r="BD189" s="1970"/>
      <c r="BE189" s="1970"/>
      <c r="BF189" s="1970"/>
      <c r="BG189" s="1970"/>
      <c r="BH189" s="1970"/>
      <c r="BI189" s="1970"/>
      <c r="BJ189" s="1970"/>
      <c r="BK189" s="1970"/>
      <c r="BL189" s="1970"/>
      <c r="BM189" s="1970"/>
      <c r="BN189" s="1970"/>
      <c r="BO189" s="1970"/>
      <c r="BP189" s="1970"/>
      <c r="BQ189" s="1970"/>
      <c r="BR189" s="1970"/>
      <c r="BS189" s="1970"/>
      <c r="BT189" s="1970"/>
      <c r="BU189" s="1970"/>
      <c r="BV189" s="1970"/>
      <c r="BW189" s="1970"/>
      <c r="BX189" s="1970"/>
      <c r="BY189" s="1970"/>
      <c r="BZ189" s="1970"/>
      <c r="CA189" s="1899" t="str">
        <f t="shared" ref="CA189:CA194" si="56">IF(T189+U189+V189+W189+X189&lt;&gt;$B189,"* La suma de "&amp;T$185&amp;""&amp;" no debe ser distinto del Total. ","")</f>
        <v/>
      </c>
      <c r="CB189" s="1970"/>
      <c r="CC189" s="1970"/>
      <c r="CD189" s="1970"/>
      <c r="CE189"/>
      <c r="CK189" s="1970"/>
      <c r="CM189" s="2707">
        <f t="shared" si="54"/>
        <v>0</v>
      </c>
      <c r="DI189"/>
    </row>
    <row r="190" spans="1:113" x14ac:dyDescent="0.3">
      <c r="A190" s="4973" t="s">
        <v>3449</v>
      </c>
      <c r="B190" s="4686">
        <f t="shared" si="53"/>
        <v>0</v>
      </c>
      <c r="C190" s="1114"/>
      <c r="D190" s="1278"/>
      <c r="E190" s="1278"/>
      <c r="F190" s="1278"/>
      <c r="G190" s="1278"/>
      <c r="H190" s="1278"/>
      <c r="I190" s="1278"/>
      <c r="J190" s="1278"/>
      <c r="K190" s="1278"/>
      <c r="L190" s="1278"/>
      <c r="M190" s="1278"/>
      <c r="N190" s="1278"/>
      <c r="O190" s="1278"/>
      <c r="P190" s="1278"/>
      <c r="Q190" s="1278"/>
      <c r="R190" s="1278"/>
      <c r="S190" s="1322"/>
      <c r="T190" s="1326"/>
      <c r="U190" s="1278"/>
      <c r="V190" s="1118"/>
      <c r="W190" s="1114"/>
      <c r="X190" s="1118"/>
      <c r="Y190" s="1898" t="str">
        <f t="shared" si="55"/>
        <v/>
      </c>
      <c r="BD190" s="1970"/>
      <c r="BE190" s="1970"/>
      <c r="BF190" s="1970"/>
      <c r="BG190" s="1970"/>
      <c r="BH190" s="1970"/>
      <c r="BI190" s="1970"/>
      <c r="BJ190" s="1970"/>
      <c r="BK190" s="1970"/>
      <c r="BL190" s="1970"/>
      <c r="BM190" s="1970"/>
      <c r="BN190" s="1970"/>
      <c r="BO190" s="1970"/>
      <c r="BP190" s="1970"/>
      <c r="BQ190" s="1970"/>
      <c r="BR190" s="1970"/>
      <c r="BS190" s="1970"/>
      <c r="BT190" s="1970"/>
      <c r="BU190" s="1970"/>
      <c r="BV190" s="1970"/>
      <c r="BW190" s="1970"/>
      <c r="BX190" s="1970"/>
      <c r="BY190" s="1970"/>
      <c r="BZ190" s="1970"/>
      <c r="CA190" s="1899" t="str">
        <f t="shared" si="56"/>
        <v/>
      </c>
      <c r="CB190" s="1970"/>
      <c r="CC190" s="1970"/>
      <c r="CD190" s="1970"/>
      <c r="CE190"/>
      <c r="CK190" s="1970"/>
      <c r="CM190" s="2707">
        <f t="shared" si="54"/>
        <v>0</v>
      </c>
      <c r="DI190"/>
    </row>
    <row r="191" spans="1:113" x14ac:dyDescent="0.3">
      <c r="A191" s="1462" t="s">
        <v>1034</v>
      </c>
      <c r="B191" s="4686">
        <f t="shared" si="53"/>
        <v>0</v>
      </c>
      <c r="C191" s="1114"/>
      <c r="D191" s="1278"/>
      <c r="E191" s="1278"/>
      <c r="F191" s="1278"/>
      <c r="G191" s="1278"/>
      <c r="H191" s="1278"/>
      <c r="I191" s="1278"/>
      <c r="J191" s="1278"/>
      <c r="K191" s="1278"/>
      <c r="L191" s="1278"/>
      <c r="M191" s="1278"/>
      <c r="N191" s="1278"/>
      <c r="O191" s="1278"/>
      <c r="P191" s="1278"/>
      <c r="Q191" s="1278"/>
      <c r="R191" s="1278"/>
      <c r="S191" s="1322"/>
      <c r="T191" s="1326"/>
      <c r="U191" s="1278"/>
      <c r="V191" s="1118"/>
      <c r="W191" s="1114"/>
      <c r="X191" s="1118"/>
      <c r="Y191" s="1898" t="str">
        <f t="shared" si="55"/>
        <v/>
      </c>
      <c r="BD191" s="1970"/>
      <c r="BE191" s="1970"/>
      <c r="BF191" s="1970"/>
      <c r="BG191" s="1970"/>
      <c r="BH191" s="1970"/>
      <c r="BI191" s="1970"/>
      <c r="BJ191" s="1970"/>
      <c r="BK191" s="1970"/>
      <c r="BL191" s="1970"/>
      <c r="BM191" s="1970"/>
      <c r="BN191" s="1970"/>
      <c r="BO191" s="1970"/>
      <c r="BP191" s="1970"/>
      <c r="BQ191" s="1970"/>
      <c r="BR191" s="1970"/>
      <c r="BS191" s="1970"/>
      <c r="BT191" s="1970"/>
      <c r="BU191" s="1970"/>
      <c r="BV191" s="1970"/>
      <c r="BW191" s="1970"/>
      <c r="BX191" s="1970"/>
      <c r="BY191" s="1970"/>
      <c r="BZ191" s="1970"/>
      <c r="CA191" s="1899" t="str">
        <f t="shared" si="56"/>
        <v/>
      </c>
      <c r="CB191" s="1970"/>
      <c r="CC191" s="1970"/>
      <c r="CD191" s="1970"/>
      <c r="CE191"/>
      <c r="CK191" s="1970"/>
      <c r="CM191" s="2707">
        <f t="shared" si="54"/>
        <v>0</v>
      </c>
      <c r="DI191"/>
    </row>
    <row r="192" spans="1:113" x14ac:dyDescent="0.3">
      <c r="A192" s="1462" t="s">
        <v>1035</v>
      </c>
      <c r="B192" s="4686">
        <f t="shared" si="53"/>
        <v>0</v>
      </c>
      <c r="C192" s="1114"/>
      <c r="D192" s="1278"/>
      <c r="E192" s="1278"/>
      <c r="F192" s="1278"/>
      <c r="G192" s="1278"/>
      <c r="H192" s="1278"/>
      <c r="I192" s="1278"/>
      <c r="J192" s="1278"/>
      <c r="K192" s="1278"/>
      <c r="L192" s="1278"/>
      <c r="M192" s="1278"/>
      <c r="N192" s="1278"/>
      <c r="O192" s="1278"/>
      <c r="P192" s="1278"/>
      <c r="Q192" s="1278"/>
      <c r="R192" s="1278"/>
      <c r="S192" s="1322"/>
      <c r="T192" s="1326"/>
      <c r="U192" s="1278"/>
      <c r="V192" s="1118"/>
      <c r="W192" s="1114"/>
      <c r="X192" s="1118"/>
      <c r="Y192" s="1898" t="str">
        <f t="shared" si="55"/>
        <v/>
      </c>
      <c r="BD192" s="1970"/>
      <c r="BE192" s="1970"/>
      <c r="BF192" s="1970"/>
      <c r="BG192" s="1970"/>
      <c r="BH192" s="1970"/>
      <c r="BI192" s="1970"/>
      <c r="BJ192" s="1970"/>
      <c r="BK192" s="1970"/>
      <c r="BL192" s="1970"/>
      <c r="BM192" s="1970"/>
      <c r="BN192" s="1970"/>
      <c r="BO192" s="1970"/>
      <c r="BP192" s="1970"/>
      <c r="BQ192" s="1970"/>
      <c r="BR192" s="1970"/>
      <c r="BS192" s="1970"/>
      <c r="BT192" s="1970"/>
      <c r="BU192" s="1970"/>
      <c r="BV192" s="1970"/>
      <c r="BW192" s="1970"/>
      <c r="BX192" s="1970"/>
      <c r="BY192" s="1970"/>
      <c r="BZ192" s="1970"/>
      <c r="CA192" s="1899" t="str">
        <f t="shared" si="56"/>
        <v/>
      </c>
      <c r="CB192" s="1970"/>
      <c r="CC192" s="1970"/>
      <c r="CD192" s="1970"/>
      <c r="CE192"/>
      <c r="CK192" s="1970"/>
      <c r="CM192" s="2707">
        <f t="shared" si="54"/>
        <v>0</v>
      </c>
      <c r="DI192"/>
    </row>
    <row r="193" spans="1:113" x14ac:dyDescent="0.3">
      <c r="A193" s="2175" t="s">
        <v>3450</v>
      </c>
      <c r="B193" s="4686">
        <f t="shared" si="53"/>
        <v>0</v>
      </c>
      <c r="C193" s="1114"/>
      <c r="D193" s="1278"/>
      <c r="E193" s="1278"/>
      <c r="F193" s="1278"/>
      <c r="G193" s="1278"/>
      <c r="H193" s="1278"/>
      <c r="I193" s="1278"/>
      <c r="J193" s="1278"/>
      <c r="K193" s="1278"/>
      <c r="L193" s="1278"/>
      <c r="M193" s="1278"/>
      <c r="N193" s="1278"/>
      <c r="O193" s="1278"/>
      <c r="P193" s="1278"/>
      <c r="Q193" s="1278"/>
      <c r="R193" s="1278"/>
      <c r="S193" s="1322"/>
      <c r="T193" s="1326"/>
      <c r="U193" s="1278"/>
      <c r="V193" s="1118"/>
      <c r="W193" s="1114"/>
      <c r="X193" s="1118"/>
      <c r="Y193" s="1898" t="str">
        <f t="shared" si="55"/>
        <v/>
      </c>
      <c r="BD193" s="1970"/>
      <c r="BE193" s="1970"/>
      <c r="BF193" s="1970"/>
      <c r="BG193" s="1970"/>
      <c r="BH193" s="1970"/>
      <c r="BI193" s="1970"/>
      <c r="BJ193" s="1970"/>
      <c r="BK193" s="1970"/>
      <c r="BL193" s="1970"/>
      <c r="BM193" s="1970"/>
      <c r="BN193" s="1970"/>
      <c r="BO193" s="1970"/>
      <c r="BP193" s="1970"/>
      <c r="BQ193" s="1970"/>
      <c r="BR193" s="1970"/>
      <c r="BS193" s="1970"/>
      <c r="BT193" s="1970"/>
      <c r="BU193" s="1970"/>
      <c r="BV193" s="1970"/>
      <c r="BW193" s="1970"/>
      <c r="BX193" s="1970"/>
      <c r="BY193" s="1970"/>
      <c r="BZ193" s="1970"/>
      <c r="CA193" s="1899" t="str">
        <f t="shared" si="56"/>
        <v/>
      </c>
      <c r="CB193" s="1970"/>
      <c r="CC193" s="1970"/>
      <c r="CD193" s="1970"/>
      <c r="CE193"/>
      <c r="CK193" s="1970"/>
      <c r="CM193" s="2707">
        <f t="shared" si="54"/>
        <v>0</v>
      </c>
      <c r="DI193"/>
    </row>
    <row r="194" spans="1:113" x14ac:dyDescent="0.3">
      <c r="A194" s="1819" t="s">
        <v>98</v>
      </c>
      <c r="B194" s="5079">
        <f t="shared" si="53"/>
        <v>0</v>
      </c>
      <c r="C194" s="290"/>
      <c r="D194" s="535"/>
      <c r="E194" s="535"/>
      <c r="F194" s="535"/>
      <c r="G194" s="535"/>
      <c r="H194" s="535"/>
      <c r="I194" s="535"/>
      <c r="J194" s="535"/>
      <c r="K194" s="535"/>
      <c r="L194" s="535"/>
      <c r="M194" s="535"/>
      <c r="N194" s="535"/>
      <c r="O194" s="535"/>
      <c r="P194" s="535"/>
      <c r="Q194" s="535"/>
      <c r="R194" s="535"/>
      <c r="S194" s="61"/>
      <c r="T194" s="266"/>
      <c r="U194" s="262"/>
      <c r="V194" s="311"/>
      <c r="W194" s="1289"/>
      <c r="X194" s="311"/>
      <c r="Y194" s="1898" t="str">
        <f t="shared" si="55"/>
        <v/>
      </c>
      <c r="BD194" s="1970"/>
      <c r="BE194" s="1970"/>
      <c r="BF194" s="1970"/>
      <c r="BG194" s="1970"/>
      <c r="BH194" s="1970"/>
      <c r="BI194" s="1970"/>
      <c r="BJ194" s="1970"/>
      <c r="BK194" s="1970"/>
      <c r="BL194" s="1970"/>
      <c r="BM194" s="1970"/>
      <c r="BN194" s="1970"/>
      <c r="BO194" s="1970"/>
      <c r="BP194" s="1970"/>
      <c r="BQ194" s="1970"/>
      <c r="BR194" s="1970"/>
      <c r="BS194" s="1970"/>
      <c r="BT194" s="1970"/>
      <c r="BU194" s="1970"/>
      <c r="BV194" s="1970"/>
      <c r="BW194" s="1970"/>
      <c r="BX194" s="1970"/>
      <c r="BY194" s="1970"/>
      <c r="BZ194" s="1970"/>
      <c r="CA194" s="1899" t="str">
        <f t="shared" si="56"/>
        <v/>
      </c>
      <c r="CB194" s="1970"/>
      <c r="CC194" s="1970"/>
      <c r="CD194" s="1970"/>
      <c r="CE194"/>
      <c r="CK194" s="1970"/>
      <c r="CM194" s="2707">
        <f t="shared" si="54"/>
        <v>0</v>
      </c>
      <c r="DI194"/>
    </row>
    <row r="195" spans="1:113" x14ac:dyDescent="0.3">
      <c r="A195" s="5080" t="s">
        <v>77</v>
      </c>
      <c r="B195" s="5081">
        <f t="shared" ref="B195:X195" si="57">SUM(B188:B194)</f>
        <v>0</v>
      </c>
      <c r="C195" s="5036">
        <f t="shared" si="57"/>
        <v>0</v>
      </c>
      <c r="D195" s="5037">
        <f t="shared" si="57"/>
        <v>0</v>
      </c>
      <c r="E195" s="5037">
        <f t="shared" si="57"/>
        <v>0</v>
      </c>
      <c r="F195" s="5037">
        <f t="shared" si="57"/>
        <v>0</v>
      </c>
      <c r="G195" s="5037">
        <f t="shared" si="57"/>
        <v>0</v>
      </c>
      <c r="H195" s="5037">
        <f t="shared" si="57"/>
        <v>0</v>
      </c>
      <c r="I195" s="5037">
        <f t="shared" si="57"/>
        <v>0</v>
      </c>
      <c r="J195" s="5037">
        <f t="shared" si="57"/>
        <v>0</v>
      </c>
      <c r="K195" s="5037">
        <f t="shared" si="57"/>
        <v>0</v>
      </c>
      <c r="L195" s="5037">
        <f t="shared" si="57"/>
        <v>0</v>
      </c>
      <c r="M195" s="5037">
        <f t="shared" si="57"/>
        <v>0</v>
      </c>
      <c r="N195" s="5037">
        <f t="shared" si="57"/>
        <v>0</v>
      </c>
      <c r="O195" s="5037">
        <f t="shared" si="57"/>
        <v>0</v>
      </c>
      <c r="P195" s="5037">
        <f t="shared" si="57"/>
        <v>0</v>
      </c>
      <c r="Q195" s="5037">
        <f t="shared" si="57"/>
        <v>0</v>
      </c>
      <c r="R195" s="5037">
        <f t="shared" si="57"/>
        <v>0</v>
      </c>
      <c r="S195" s="5038">
        <f t="shared" si="57"/>
        <v>0</v>
      </c>
      <c r="T195" s="302">
        <f t="shared" si="57"/>
        <v>0</v>
      </c>
      <c r="U195" s="301">
        <f t="shared" si="57"/>
        <v>0</v>
      </c>
      <c r="V195" s="3195">
        <f t="shared" si="57"/>
        <v>0</v>
      </c>
      <c r="W195" s="3191">
        <f t="shared" si="57"/>
        <v>0</v>
      </c>
      <c r="X195" s="3195">
        <f t="shared" si="57"/>
        <v>0</v>
      </c>
      <c r="CE195"/>
      <c r="CK195" s="25"/>
      <c r="DI195"/>
    </row>
    <row r="196" spans="1:113" ht="18" customHeight="1" x14ac:dyDescent="0.3">
      <c r="A196" s="3" t="s">
        <v>3451</v>
      </c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CE196"/>
      <c r="CK196" s="25"/>
      <c r="DI196"/>
    </row>
    <row r="197" spans="1:113" x14ac:dyDescent="0.3">
      <c r="A197" s="7412" t="s">
        <v>27</v>
      </c>
      <c r="B197" s="7433" t="s">
        <v>77</v>
      </c>
      <c r="C197" s="7436" t="s">
        <v>29</v>
      </c>
      <c r="D197" s="7437"/>
      <c r="E197" s="7437"/>
      <c r="F197" s="7437"/>
      <c r="G197" s="7437"/>
      <c r="H197" s="7437"/>
      <c r="I197" s="7437"/>
      <c r="J197" s="7437"/>
      <c r="K197" s="7437"/>
      <c r="L197" s="7437"/>
      <c r="M197" s="7437"/>
      <c r="N197" s="7437"/>
      <c r="O197" s="7437"/>
      <c r="P197" s="7437"/>
      <c r="Q197" s="7437"/>
      <c r="R197" s="7437"/>
      <c r="S197" s="7438"/>
      <c r="T197" s="7122" t="s">
        <v>3421</v>
      </c>
      <c r="U197" s="7122"/>
      <c r="V197" s="7122"/>
      <c r="W197" s="7122"/>
      <c r="X197" s="7123"/>
      <c r="CE197"/>
      <c r="CK197" s="25"/>
      <c r="DI197"/>
    </row>
    <row r="198" spans="1:113" x14ac:dyDescent="0.3">
      <c r="A198" s="6082"/>
      <c r="B198" s="7434"/>
      <c r="C198" s="7439"/>
      <c r="D198" s="7440"/>
      <c r="E198" s="7440"/>
      <c r="F198" s="7440"/>
      <c r="G198" s="7440"/>
      <c r="H198" s="7440"/>
      <c r="I198" s="7440"/>
      <c r="J198" s="7440"/>
      <c r="K198" s="7440"/>
      <c r="L198" s="7440"/>
      <c r="M198" s="7440"/>
      <c r="N198" s="7440"/>
      <c r="O198" s="7440"/>
      <c r="P198" s="7440"/>
      <c r="Q198" s="7440"/>
      <c r="R198" s="7440"/>
      <c r="S198" s="7441"/>
      <c r="T198" s="7442" t="s">
        <v>3422</v>
      </c>
      <c r="U198" s="7442"/>
      <c r="V198" s="7443"/>
      <c r="W198" s="7148" t="s">
        <v>3445</v>
      </c>
      <c r="X198" s="7149"/>
      <c r="CE198"/>
      <c r="CK198" s="25"/>
      <c r="DI198"/>
    </row>
    <row r="199" spans="1:113" ht="30.6" x14ac:dyDescent="0.3">
      <c r="A199" s="7391"/>
      <c r="B199" s="7435"/>
      <c r="C199" s="5029" t="s">
        <v>343</v>
      </c>
      <c r="D199" s="5030" t="s">
        <v>326</v>
      </c>
      <c r="E199" s="5030" t="s">
        <v>94</v>
      </c>
      <c r="F199" s="5030" t="s">
        <v>44</v>
      </c>
      <c r="G199" s="5030" t="s">
        <v>45</v>
      </c>
      <c r="H199" s="5030" t="s">
        <v>974</v>
      </c>
      <c r="I199" s="5030" t="s">
        <v>629</v>
      </c>
      <c r="J199" s="5030" t="s">
        <v>48</v>
      </c>
      <c r="K199" s="5030" t="s">
        <v>49</v>
      </c>
      <c r="L199" s="5030" t="s">
        <v>975</v>
      </c>
      <c r="M199" s="5030" t="s">
        <v>51</v>
      </c>
      <c r="N199" s="5030" t="s">
        <v>52</v>
      </c>
      <c r="O199" s="5030" t="s">
        <v>53</v>
      </c>
      <c r="P199" s="5030" t="s">
        <v>54</v>
      </c>
      <c r="Q199" s="5030" t="s">
        <v>55</v>
      </c>
      <c r="R199" s="5030" t="s">
        <v>56</v>
      </c>
      <c r="S199" s="5031" t="s">
        <v>57</v>
      </c>
      <c r="T199" s="5017" t="s">
        <v>3446</v>
      </c>
      <c r="U199" s="4528" t="s">
        <v>3447</v>
      </c>
      <c r="V199" s="4529" t="s">
        <v>3448</v>
      </c>
      <c r="W199" s="5032" t="s">
        <v>3424</v>
      </c>
      <c r="X199" s="4529" t="s">
        <v>3425</v>
      </c>
      <c r="Y199" s="7"/>
      <c r="CE199"/>
      <c r="CK199" s="25"/>
      <c r="DI199"/>
    </row>
    <row r="200" spans="1:113" x14ac:dyDescent="0.3">
      <c r="A200" s="5018" t="s">
        <v>1406</v>
      </c>
      <c r="B200" s="3182">
        <f t="shared" ref="B200:B205" si="58">SUM(C200:S200)</f>
        <v>0</v>
      </c>
      <c r="C200" s="1114"/>
      <c r="D200" s="1278"/>
      <c r="E200" s="1278"/>
      <c r="F200" s="1278"/>
      <c r="G200" s="1278"/>
      <c r="H200" s="1278"/>
      <c r="I200" s="1278"/>
      <c r="J200" s="1278"/>
      <c r="K200" s="1278"/>
      <c r="L200" s="1278"/>
      <c r="M200" s="1278"/>
      <c r="N200" s="1278"/>
      <c r="O200" s="1278"/>
      <c r="P200" s="1278"/>
      <c r="Q200" s="1278"/>
      <c r="R200" s="1278"/>
      <c r="S200" s="1322"/>
      <c r="T200" s="1321"/>
      <c r="U200" s="773"/>
      <c r="V200" s="771"/>
      <c r="W200" s="1106"/>
      <c r="X200" s="771"/>
      <c r="Y200" s="1898" t="str">
        <f>$CA200</f>
        <v/>
      </c>
      <c r="BD200" s="1970"/>
      <c r="BE200" s="1970"/>
      <c r="BF200" s="1970"/>
      <c r="BG200" s="1970"/>
      <c r="BH200" s="1970"/>
      <c r="BI200" s="1970"/>
      <c r="BJ200" s="1970"/>
      <c r="BK200" s="1970"/>
      <c r="BL200" s="1970"/>
      <c r="BM200" s="1970"/>
      <c r="BN200" s="1970"/>
      <c r="BO200" s="1970"/>
      <c r="BP200" s="1970"/>
      <c r="BQ200" s="1970"/>
      <c r="BR200" s="1970"/>
      <c r="BS200" s="1970"/>
      <c r="BT200" s="1970"/>
      <c r="BU200" s="1970"/>
      <c r="BV200" s="1970"/>
      <c r="BW200" s="1970"/>
      <c r="BX200" s="1970"/>
      <c r="BY200" s="1970"/>
      <c r="BZ200" s="1970"/>
      <c r="CA200" s="1899" t="str">
        <f>IF(T200+U200+V200+W200+X200&lt;&gt;$B200,"* La suma de "&amp;T$185&amp;""&amp;" no debe ser distinto del Total. ","")</f>
        <v/>
      </c>
      <c r="CB200" s="1970"/>
      <c r="CC200" s="1970"/>
      <c r="CD200" s="1970"/>
      <c r="CE200"/>
      <c r="CK200" s="1970"/>
      <c r="CM200" s="2707">
        <f t="shared" ref="CM200:CM205" si="59">IF(T200+U200+V200+W200+X200&lt;&gt;$B200,1,0)</f>
        <v>0</v>
      </c>
      <c r="DI200"/>
    </row>
    <row r="201" spans="1:113" x14ac:dyDescent="0.3">
      <c r="A201" s="4973" t="s">
        <v>2063</v>
      </c>
      <c r="B201" s="4686">
        <f t="shared" si="58"/>
        <v>0</v>
      </c>
      <c r="C201" s="1114"/>
      <c r="D201" s="1278"/>
      <c r="E201" s="1278"/>
      <c r="F201" s="1278"/>
      <c r="G201" s="1278"/>
      <c r="H201" s="1278"/>
      <c r="I201" s="1278"/>
      <c r="J201" s="1278"/>
      <c r="K201" s="1278"/>
      <c r="L201" s="1278"/>
      <c r="M201" s="1278"/>
      <c r="N201" s="1278"/>
      <c r="O201" s="1278"/>
      <c r="P201" s="1278"/>
      <c r="Q201" s="1278"/>
      <c r="R201" s="1278"/>
      <c r="S201" s="1322"/>
      <c r="T201" s="1326"/>
      <c r="U201" s="1278"/>
      <c r="V201" s="1118"/>
      <c r="W201" s="1114"/>
      <c r="X201" s="1118"/>
      <c r="Y201" s="1898" t="str">
        <f t="shared" ref="Y201:Y205" si="60">$CA201</f>
        <v/>
      </c>
      <c r="BD201" s="1970"/>
      <c r="BE201" s="1970"/>
      <c r="BF201" s="1970"/>
      <c r="BG201" s="1970"/>
      <c r="BH201" s="1970"/>
      <c r="BI201" s="1970"/>
      <c r="BJ201" s="1970"/>
      <c r="BK201" s="1970"/>
      <c r="BL201" s="1970"/>
      <c r="BM201" s="1970"/>
      <c r="BN201" s="1970"/>
      <c r="BO201" s="1970"/>
      <c r="BP201" s="1970"/>
      <c r="BQ201" s="1970"/>
      <c r="BR201" s="1970"/>
      <c r="BS201" s="1970"/>
      <c r="BT201" s="1970"/>
      <c r="BU201" s="1970"/>
      <c r="BV201" s="1970"/>
      <c r="BW201" s="1970"/>
      <c r="BX201" s="1970"/>
      <c r="BY201" s="1970"/>
      <c r="BZ201" s="1970"/>
      <c r="CA201" s="1899" t="str">
        <f t="shared" ref="CA201:CA205" si="61">IF(T201+U201+V201+W201+X201&lt;&gt;$B201,"* La suma de "&amp;T$185&amp;""&amp;" no debe ser distinto del Total. ","")</f>
        <v/>
      </c>
      <c r="CB201" s="1970"/>
      <c r="CC201" s="1970"/>
      <c r="CD201" s="1970"/>
      <c r="CE201"/>
      <c r="CK201" s="1970"/>
      <c r="CM201" s="2707">
        <f t="shared" si="59"/>
        <v>0</v>
      </c>
      <c r="DI201"/>
    </row>
    <row r="202" spans="1:113" x14ac:dyDescent="0.3">
      <c r="A202" s="4973" t="s">
        <v>3449</v>
      </c>
      <c r="B202" s="4686">
        <f t="shared" si="58"/>
        <v>0</v>
      </c>
      <c r="C202" s="1114"/>
      <c r="D202" s="1278"/>
      <c r="E202" s="1278"/>
      <c r="F202" s="1278"/>
      <c r="G202" s="1278"/>
      <c r="H202" s="1278"/>
      <c r="I202" s="1278"/>
      <c r="J202" s="1278"/>
      <c r="K202" s="1278"/>
      <c r="L202" s="1278"/>
      <c r="M202" s="1278"/>
      <c r="N202" s="1278"/>
      <c r="O202" s="1278"/>
      <c r="P202" s="1278"/>
      <c r="Q202" s="1278"/>
      <c r="R202" s="1278"/>
      <c r="S202" s="1322"/>
      <c r="T202" s="1326"/>
      <c r="U202" s="1278"/>
      <c r="V202" s="1118"/>
      <c r="W202" s="1114"/>
      <c r="X202" s="1118"/>
      <c r="Y202" s="1898" t="str">
        <f t="shared" si="60"/>
        <v/>
      </c>
      <c r="BD202" s="1970"/>
      <c r="BE202" s="1970"/>
      <c r="BF202" s="1970"/>
      <c r="BG202" s="1970"/>
      <c r="BH202" s="1970"/>
      <c r="BI202" s="1970"/>
      <c r="BJ202" s="1970"/>
      <c r="BK202" s="1970"/>
      <c r="BL202" s="1970"/>
      <c r="BM202" s="1970"/>
      <c r="BN202" s="1970"/>
      <c r="BO202" s="1970"/>
      <c r="BP202" s="1970"/>
      <c r="BQ202" s="1970"/>
      <c r="BR202" s="1970"/>
      <c r="BS202" s="1970"/>
      <c r="BT202" s="1970"/>
      <c r="BU202" s="1970"/>
      <c r="BV202" s="1970"/>
      <c r="BW202" s="1970"/>
      <c r="BX202" s="1970"/>
      <c r="BY202" s="1970"/>
      <c r="BZ202" s="1970"/>
      <c r="CA202" s="1899" t="str">
        <f t="shared" si="61"/>
        <v/>
      </c>
      <c r="CB202" s="1970"/>
      <c r="CC202" s="1970"/>
      <c r="CD202" s="1970"/>
      <c r="CE202"/>
      <c r="CK202" s="1970"/>
      <c r="CM202" s="2707">
        <f t="shared" si="59"/>
        <v>0</v>
      </c>
      <c r="DI202"/>
    </row>
    <row r="203" spans="1:113" x14ac:dyDescent="0.3">
      <c r="A203" s="1462" t="s">
        <v>1034</v>
      </c>
      <c r="B203" s="4686">
        <f t="shared" si="58"/>
        <v>0</v>
      </c>
      <c r="C203" s="1114"/>
      <c r="D203" s="1278"/>
      <c r="E203" s="1278"/>
      <c r="F203" s="1278"/>
      <c r="G203" s="1278"/>
      <c r="H203" s="1278"/>
      <c r="I203" s="1278"/>
      <c r="J203" s="1278"/>
      <c r="K203" s="1278"/>
      <c r="L203" s="1278"/>
      <c r="M203" s="1278"/>
      <c r="N203" s="1278"/>
      <c r="O203" s="1278"/>
      <c r="P203" s="1278"/>
      <c r="Q203" s="1278"/>
      <c r="R203" s="1278"/>
      <c r="S203" s="1322"/>
      <c r="T203" s="1326"/>
      <c r="U203" s="1278"/>
      <c r="V203" s="1118"/>
      <c r="W203" s="1114"/>
      <c r="X203" s="1118"/>
      <c r="Y203" s="1898" t="str">
        <f t="shared" si="60"/>
        <v/>
      </c>
      <c r="BD203" s="1970"/>
      <c r="BE203" s="1970"/>
      <c r="BF203" s="1970"/>
      <c r="BG203" s="1970"/>
      <c r="BH203" s="1970"/>
      <c r="BI203" s="1970"/>
      <c r="BJ203" s="1970"/>
      <c r="BK203" s="1970"/>
      <c r="BL203" s="1970"/>
      <c r="BM203" s="1970"/>
      <c r="BN203" s="1970"/>
      <c r="BO203" s="1970"/>
      <c r="BP203" s="1970"/>
      <c r="BQ203" s="1970"/>
      <c r="BR203" s="1970"/>
      <c r="BS203" s="1970"/>
      <c r="BT203" s="1970"/>
      <c r="BU203" s="1970"/>
      <c r="BV203" s="1970"/>
      <c r="BW203" s="1970"/>
      <c r="BX203" s="1970"/>
      <c r="BY203" s="1970"/>
      <c r="BZ203" s="1970"/>
      <c r="CA203" s="1899" t="str">
        <f t="shared" si="61"/>
        <v/>
      </c>
      <c r="CB203" s="1970"/>
      <c r="CC203" s="1970"/>
      <c r="CD203" s="1970"/>
      <c r="CE203"/>
      <c r="CK203" s="1970"/>
      <c r="CM203" s="2707">
        <f t="shared" si="59"/>
        <v>0</v>
      </c>
      <c r="DI203"/>
    </row>
    <row r="204" spans="1:113" x14ac:dyDescent="0.3">
      <c r="A204" s="2175" t="s">
        <v>3450</v>
      </c>
      <c r="B204" s="4686">
        <f t="shared" si="58"/>
        <v>0</v>
      </c>
      <c r="C204" s="1114"/>
      <c r="D204" s="1278"/>
      <c r="E204" s="1278"/>
      <c r="F204" s="1278"/>
      <c r="G204" s="1278"/>
      <c r="H204" s="1278"/>
      <c r="I204" s="1278"/>
      <c r="J204" s="1278"/>
      <c r="K204" s="1278"/>
      <c r="L204" s="1278"/>
      <c r="M204" s="1278"/>
      <c r="N204" s="1278"/>
      <c r="O204" s="1278"/>
      <c r="P204" s="1278"/>
      <c r="Q204" s="1278"/>
      <c r="R204" s="1278"/>
      <c r="S204" s="1322"/>
      <c r="T204" s="1326"/>
      <c r="U204" s="1278"/>
      <c r="V204" s="1118"/>
      <c r="W204" s="1114"/>
      <c r="X204" s="1118"/>
      <c r="Y204" s="1898" t="str">
        <f t="shared" si="60"/>
        <v/>
      </c>
      <c r="BD204" s="1970"/>
      <c r="BE204" s="1970"/>
      <c r="BF204" s="1970"/>
      <c r="BG204" s="1970"/>
      <c r="BH204" s="1970"/>
      <c r="BI204" s="1970"/>
      <c r="BJ204" s="1970"/>
      <c r="BK204" s="1970"/>
      <c r="BL204" s="1970"/>
      <c r="BM204" s="1970"/>
      <c r="BN204" s="1970"/>
      <c r="BO204" s="1970"/>
      <c r="BP204" s="1970"/>
      <c r="BQ204" s="1970"/>
      <c r="BR204" s="1970"/>
      <c r="BS204" s="1970"/>
      <c r="BT204" s="1970"/>
      <c r="BU204" s="1970"/>
      <c r="BV204" s="1970"/>
      <c r="BW204" s="1970"/>
      <c r="BX204" s="1970"/>
      <c r="BY204" s="1970"/>
      <c r="BZ204" s="1970"/>
      <c r="CA204" s="1899" t="str">
        <f t="shared" si="61"/>
        <v/>
      </c>
      <c r="CB204" s="1970"/>
      <c r="CC204" s="1970"/>
      <c r="CD204" s="1970"/>
      <c r="CE204"/>
      <c r="CK204" s="1970"/>
      <c r="CM204" s="2707">
        <f t="shared" si="59"/>
        <v>0</v>
      </c>
      <c r="DI204"/>
    </row>
    <row r="205" spans="1:113" x14ac:dyDescent="0.3">
      <c r="A205" s="2175" t="s">
        <v>1035</v>
      </c>
      <c r="B205" s="3180">
        <f t="shared" si="58"/>
        <v>0</v>
      </c>
      <c r="C205" s="1114"/>
      <c r="D205" s="1278"/>
      <c r="E205" s="1278"/>
      <c r="F205" s="1278"/>
      <c r="G205" s="1278"/>
      <c r="H205" s="1278"/>
      <c r="I205" s="1278"/>
      <c r="J205" s="1278"/>
      <c r="K205" s="1278"/>
      <c r="L205" s="1278"/>
      <c r="M205" s="1278"/>
      <c r="N205" s="1278"/>
      <c r="O205" s="1278"/>
      <c r="P205" s="1278"/>
      <c r="Q205" s="1278"/>
      <c r="R205" s="1278"/>
      <c r="S205" s="1322"/>
      <c r="T205" s="266"/>
      <c r="U205" s="262"/>
      <c r="V205" s="311"/>
      <c r="W205" s="1289"/>
      <c r="X205" s="311"/>
      <c r="Y205" s="1898" t="str">
        <f t="shared" si="60"/>
        <v/>
      </c>
      <c r="BD205" s="1970"/>
      <c r="BE205" s="1970"/>
      <c r="BF205" s="1970"/>
      <c r="BG205" s="1970"/>
      <c r="BH205" s="1970"/>
      <c r="BI205" s="1970"/>
      <c r="BJ205" s="1970"/>
      <c r="BK205" s="1970"/>
      <c r="BL205" s="1970"/>
      <c r="BM205" s="1970"/>
      <c r="BN205" s="1970"/>
      <c r="BO205" s="1970"/>
      <c r="BP205" s="1970"/>
      <c r="BQ205" s="1970"/>
      <c r="BR205" s="1970"/>
      <c r="BS205" s="1970"/>
      <c r="BT205" s="1970"/>
      <c r="BU205" s="1970"/>
      <c r="BV205" s="1970"/>
      <c r="BW205" s="1970"/>
      <c r="BX205" s="1970"/>
      <c r="BY205" s="1970"/>
      <c r="BZ205" s="1970"/>
      <c r="CA205" s="1899" t="str">
        <f t="shared" si="61"/>
        <v/>
      </c>
      <c r="CB205" s="1970"/>
      <c r="CC205" s="1970"/>
      <c r="CD205" s="1970"/>
      <c r="CE205"/>
      <c r="CK205" s="1970"/>
      <c r="CM205" s="2707">
        <f t="shared" si="59"/>
        <v>0</v>
      </c>
      <c r="DI205"/>
    </row>
    <row r="206" spans="1:113" x14ac:dyDescent="0.3">
      <c r="A206" s="5048" t="s">
        <v>77</v>
      </c>
      <c r="B206" s="5081">
        <f t="shared" ref="B206:X206" si="62">SUM(B200:B205)</f>
        <v>0</v>
      </c>
      <c r="C206" s="5036">
        <f t="shared" si="62"/>
        <v>0</v>
      </c>
      <c r="D206" s="5037">
        <f t="shared" si="62"/>
        <v>0</v>
      </c>
      <c r="E206" s="5037">
        <f t="shared" si="62"/>
        <v>0</v>
      </c>
      <c r="F206" s="5037">
        <f t="shared" si="62"/>
        <v>0</v>
      </c>
      <c r="G206" s="5037">
        <f t="shared" si="62"/>
        <v>0</v>
      </c>
      <c r="H206" s="5037">
        <f t="shared" si="62"/>
        <v>0</v>
      </c>
      <c r="I206" s="5037">
        <f t="shared" si="62"/>
        <v>0</v>
      </c>
      <c r="J206" s="5037">
        <f t="shared" si="62"/>
        <v>0</v>
      </c>
      <c r="K206" s="5037">
        <f t="shared" si="62"/>
        <v>0</v>
      </c>
      <c r="L206" s="5037">
        <f t="shared" si="62"/>
        <v>0</v>
      </c>
      <c r="M206" s="5037">
        <f t="shared" si="62"/>
        <v>0</v>
      </c>
      <c r="N206" s="5037">
        <f t="shared" si="62"/>
        <v>0</v>
      </c>
      <c r="O206" s="5037">
        <f t="shared" si="62"/>
        <v>0</v>
      </c>
      <c r="P206" s="5037">
        <f t="shared" si="62"/>
        <v>0</v>
      </c>
      <c r="Q206" s="5037">
        <f t="shared" si="62"/>
        <v>0</v>
      </c>
      <c r="R206" s="5037">
        <f t="shared" si="62"/>
        <v>0</v>
      </c>
      <c r="S206" s="5038">
        <f t="shared" si="62"/>
        <v>0</v>
      </c>
      <c r="T206" s="5082">
        <f t="shared" si="62"/>
        <v>0</v>
      </c>
      <c r="U206" s="5083">
        <f t="shared" si="62"/>
        <v>0</v>
      </c>
      <c r="V206" s="5084">
        <f t="shared" si="62"/>
        <v>0</v>
      </c>
      <c r="W206" s="5085">
        <f t="shared" si="62"/>
        <v>0</v>
      </c>
      <c r="X206" s="5084">
        <f t="shared" si="62"/>
        <v>0</v>
      </c>
      <c r="CE206"/>
      <c r="CK206" s="25"/>
      <c r="DI206"/>
    </row>
    <row r="207" spans="1:113" ht="18" customHeight="1" x14ac:dyDescent="0.3">
      <c r="A207" s="3" t="s">
        <v>3452</v>
      </c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CE207"/>
      <c r="CK207" s="25"/>
      <c r="DI207"/>
    </row>
    <row r="208" spans="1:113" x14ac:dyDescent="0.3">
      <c r="A208" s="7412" t="s">
        <v>27</v>
      </c>
      <c r="B208" s="7433" t="s">
        <v>77</v>
      </c>
      <c r="C208" s="7436" t="s">
        <v>29</v>
      </c>
      <c r="D208" s="7437"/>
      <c r="E208" s="7437"/>
      <c r="F208" s="7437"/>
      <c r="G208" s="7437"/>
      <c r="H208" s="7437"/>
      <c r="I208" s="7437"/>
      <c r="J208" s="7437"/>
      <c r="K208" s="7437"/>
      <c r="L208" s="7437"/>
      <c r="M208" s="7437"/>
      <c r="N208" s="7437"/>
      <c r="O208" s="7437"/>
      <c r="P208" s="7437"/>
      <c r="Q208" s="7437"/>
      <c r="R208" s="7437"/>
      <c r="S208" s="7438"/>
      <c r="T208" s="7122" t="s">
        <v>3421</v>
      </c>
      <c r="U208" s="7122"/>
      <c r="V208" s="7122"/>
      <c r="W208" s="7122"/>
      <c r="X208" s="7123"/>
      <c r="CE208"/>
      <c r="CK208" s="25"/>
      <c r="DI208"/>
    </row>
    <row r="209" spans="1:113" x14ac:dyDescent="0.3">
      <c r="A209" s="6082"/>
      <c r="B209" s="7434"/>
      <c r="C209" s="7439"/>
      <c r="D209" s="7440"/>
      <c r="E209" s="7440"/>
      <c r="F209" s="7440"/>
      <c r="G209" s="7440"/>
      <c r="H209" s="7440"/>
      <c r="I209" s="7440"/>
      <c r="J209" s="7440"/>
      <c r="K209" s="7440"/>
      <c r="L209" s="7440"/>
      <c r="M209" s="7440"/>
      <c r="N209" s="7440"/>
      <c r="O209" s="7440"/>
      <c r="P209" s="7440"/>
      <c r="Q209" s="7440"/>
      <c r="R209" s="7440"/>
      <c r="S209" s="7441"/>
      <c r="T209" s="7442" t="s">
        <v>3422</v>
      </c>
      <c r="U209" s="7442"/>
      <c r="V209" s="7443"/>
      <c r="W209" s="7148" t="s">
        <v>3445</v>
      </c>
      <c r="X209" s="7149"/>
      <c r="CE209"/>
      <c r="CK209" s="25"/>
      <c r="DI209"/>
    </row>
    <row r="210" spans="1:113" ht="30.6" x14ac:dyDescent="0.3">
      <c r="A210" s="7391"/>
      <c r="B210" s="7435"/>
      <c r="C210" s="5029" t="s">
        <v>343</v>
      </c>
      <c r="D210" s="5030" t="s">
        <v>326</v>
      </c>
      <c r="E210" s="5030" t="s">
        <v>94</v>
      </c>
      <c r="F210" s="5030" t="s">
        <v>44</v>
      </c>
      <c r="G210" s="5030" t="s">
        <v>45</v>
      </c>
      <c r="H210" s="5030" t="s">
        <v>974</v>
      </c>
      <c r="I210" s="5030" t="s">
        <v>629</v>
      </c>
      <c r="J210" s="5030" t="s">
        <v>48</v>
      </c>
      <c r="K210" s="5030" t="s">
        <v>49</v>
      </c>
      <c r="L210" s="5030" t="s">
        <v>975</v>
      </c>
      <c r="M210" s="5030" t="s">
        <v>51</v>
      </c>
      <c r="N210" s="5030" t="s">
        <v>52</v>
      </c>
      <c r="O210" s="5030" t="s">
        <v>53</v>
      </c>
      <c r="P210" s="5030" t="s">
        <v>54</v>
      </c>
      <c r="Q210" s="5030" t="s">
        <v>55</v>
      </c>
      <c r="R210" s="5030" t="s">
        <v>56</v>
      </c>
      <c r="S210" s="5031" t="s">
        <v>57</v>
      </c>
      <c r="T210" s="5017" t="s">
        <v>3446</v>
      </c>
      <c r="U210" s="4528" t="s">
        <v>3447</v>
      </c>
      <c r="V210" s="4529" t="s">
        <v>3448</v>
      </c>
      <c r="W210" s="5032" t="s">
        <v>3424</v>
      </c>
      <c r="X210" s="4529" t="s">
        <v>3425</v>
      </c>
      <c r="Y210" s="7"/>
      <c r="CE210"/>
      <c r="CK210" s="25"/>
      <c r="DI210"/>
    </row>
    <row r="211" spans="1:113" x14ac:dyDescent="0.3">
      <c r="A211" s="5018" t="s">
        <v>1406</v>
      </c>
      <c r="B211" s="3182">
        <f>SUM(C211:S211)</f>
        <v>0</v>
      </c>
      <c r="C211" s="1114"/>
      <c r="D211" s="1278"/>
      <c r="E211" s="1278"/>
      <c r="F211" s="1278"/>
      <c r="G211" s="1278"/>
      <c r="H211" s="1278"/>
      <c r="I211" s="1278"/>
      <c r="J211" s="1278"/>
      <c r="K211" s="1278"/>
      <c r="L211" s="1278"/>
      <c r="M211" s="1278"/>
      <c r="N211" s="1278"/>
      <c r="O211" s="1278"/>
      <c r="P211" s="1278"/>
      <c r="Q211" s="1278"/>
      <c r="R211" s="1278"/>
      <c r="S211" s="1322"/>
      <c r="T211" s="296"/>
      <c r="U211" s="535"/>
      <c r="V211" s="637"/>
      <c r="W211" s="290"/>
      <c r="X211" s="637"/>
      <c r="Y211" s="1898" t="str">
        <f>$CA211</f>
        <v/>
      </c>
      <c r="BD211" s="1970"/>
      <c r="BE211" s="1970"/>
      <c r="BF211" s="1970"/>
      <c r="BG211" s="1970"/>
      <c r="BH211" s="1970"/>
      <c r="BI211" s="1970"/>
      <c r="BJ211" s="1970"/>
      <c r="BK211" s="1970"/>
      <c r="BL211" s="1970"/>
      <c r="BM211" s="1970"/>
      <c r="BN211" s="1970"/>
      <c r="BO211" s="1970"/>
      <c r="BP211" s="1970"/>
      <c r="BQ211" s="1970"/>
      <c r="BR211" s="1970"/>
      <c r="BS211" s="1970"/>
      <c r="BT211" s="1970"/>
      <c r="BU211" s="1970"/>
      <c r="BV211" s="1970"/>
      <c r="BW211" s="1970"/>
      <c r="BX211" s="1970"/>
      <c r="BY211" s="1970"/>
      <c r="BZ211" s="1970"/>
      <c r="CA211" s="1899" t="str">
        <f>IF(T211+U211+V211+W211+X211&lt;&gt;$B211,"* La suma de "&amp;T$185&amp;""&amp;" no debe ser distinto del Total. ","")</f>
        <v/>
      </c>
      <c r="CB211" s="1970"/>
      <c r="CC211" s="1970"/>
      <c r="CD211" s="1970"/>
      <c r="CE211"/>
      <c r="CK211" s="1970"/>
      <c r="CM211" s="2707">
        <f>IF(T211+U211+V211+W211+X211&lt;&gt;$B211,1,0)</f>
        <v>0</v>
      </c>
      <c r="DI211"/>
    </row>
    <row r="212" spans="1:113" x14ac:dyDescent="0.3">
      <c r="A212" s="4973" t="s">
        <v>2063</v>
      </c>
      <c r="B212" s="4686">
        <f>SUM(C212:S212)</f>
        <v>0</v>
      </c>
      <c r="C212" s="1114"/>
      <c r="D212" s="1278"/>
      <c r="E212" s="1278"/>
      <c r="F212" s="1278"/>
      <c r="G212" s="1278"/>
      <c r="H212" s="1278"/>
      <c r="I212" s="1278"/>
      <c r="J212" s="1278"/>
      <c r="K212" s="1278"/>
      <c r="L212" s="1278"/>
      <c r="M212" s="1278"/>
      <c r="N212" s="1278"/>
      <c r="O212" s="1278"/>
      <c r="P212" s="1278"/>
      <c r="Q212" s="1278"/>
      <c r="R212" s="1278"/>
      <c r="S212" s="1322"/>
      <c r="T212" s="1326"/>
      <c r="U212" s="1278"/>
      <c r="V212" s="1118"/>
      <c r="W212" s="1114"/>
      <c r="X212" s="1118"/>
      <c r="Y212" s="1898" t="str">
        <f t="shared" ref="Y212:Y214" si="63">$CA212</f>
        <v/>
      </c>
      <c r="BD212" s="1970"/>
      <c r="BE212" s="1970"/>
      <c r="BF212" s="1970"/>
      <c r="BG212" s="1970"/>
      <c r="BH212" s="1970"/>
      <c r="BI212" s="1970"/>
      <c r="BJ212" s="1970"/>
      <c r="BK212" s="1970"/>
      <c r="BL212" s="1970"/>
      <c r="BM212" s="1970"/>
      <c r="BN212" s="1970"/>
      <c r="BO212" s="1970"/>
      <c r="BP212" s="1970"/>
      <c r="BQ212" s="1970"/>
      <c r="BR212" s="1970"/>
      <c r="BS212" s="1970"/>
      <c r="BT212" s="1970"/>
      <c r="BU212" s="1970"/>
      <c r="BV212" s="1970"/>
      <c r="BW212" s="1970"/>
      <c r="BX212" s="1970"/>
      <c r="BY212" s="1970"/>
      <c r="BZ212" s="1970"/>
      <c r="CA212" s="1899" t="str">
        <f t="shared" ref="CA212:CA214" si="64">IF(T212+U212+V212+W212+X212&lt;&gt;$B212,"* La suma de "&amp;T$185&amp;""&amp;" no debe ser distinto del Total. ","")</f>
        <v/>
      </c>
      <c r="CB212" s="1970"/>
      <c r="CC212" s="1970"/>
      <c r="CD212" s="1970"/>
      <c r="CE212"/>
      <c r="CK212" s="1970"/>
      <c r="CM212" s="2707">
        <f>IF(T212+U212+V212+W212+X212&lt;&gt;$B212,1,0)</f>
        <v>0</v>
      </c>
      <c r="DI212"/>
    </row>
    <row r="213" spans="1:113" x14ac:dyDescent="0.3">
      <c r="A213" s="4973" t="s">
        <v>3449</v>
      </c>
      <c r="B213" s="4686">
        <f>SUM(C213:S213)</f>
        <v>0</v>
      </c>
      <c r="C213" s="1114"/>
      <c r="D213" s="1278"/>
      <c r="E213" s="1278"/>
      <c r="F213" s="1278"/>
      <c r="G213" s="1278"/>
      <c r="H213" s="1278"/>
      <c r="I213" s="1278"/>
      <c r="J213" s="1278"/>
      <c r="K213" s="1278"/>
      <c r="L213" s="1278"/>
      <c r="M213" s="1278"/>
      <c r="N213" s="1278"/>
      <c r="O213" s="1278"/>
      <c r="P213" s="1278"/>
      <c r="Q213" s="1278"/>
      <c r="R213" s="1278"/>
      <c r="S213" s="1322"/>
      <c r="T213" s="1326"/>
      <c r="U213" s="1278"/>
      <c r="V213" s="1118"/>
      <c r="W213" s="1114"/>
      <c r="X213" s="1118"/>
      <c r="Y213" s="1898" t="str">
        <f t="shared" si="63"/>
        <v/>
      </c>
      <c r="BD213" s="1970"/>
      <c r="BE213" s="1970"/>
      <c r="BF213" s="1970"/>
      <c r="BG213" s="1970"/>
      <c r="BH213" s="1970"/>
      <c r="BI213" s="1970"/>
      <c r="BJ213" s="1970"/>
      <c r="BK213" s="1970"/>
      <c r="BL213" s="1970"/>
      <c r="BM213" s="1970"/>
      <c r="BN213" s="1970"/>
      <c r="BO213" s="1970"/>
      <c r="BP213" s="1970"/>
      <c r="BQ213" s="1970"/>
      <c r="BR213" s="1970"/>
      <c r="BS213" s="1970"/>
      <c r="BT213" s="1970"/>
      <c r="BU213" s="1970"/>
      <c r="BV213" s="1970"/>
      <c r="BW213" s="1970"/>
      <c r="BX213" s="1970"/>
      <c r="BY213" s="1970"/>
      <c r="BZ213" s="1970"/>
      <c r="CA213" s="1899" t="str">
        <f t="shared" si="64"/>
        <v/>
      </c>
      <c r="CB213" s="1970"/>
      <c r="CC213" s="1970"/>
      <c r="CD213" s="1970"/>
      <c r="CE213"/>
      <c r="CK213" s="1970"/>
      <c r="CM213" s="2707">
        <f>IF(T213+U213+V213+W213+X213&lt;&gt;$B213,1,0)</f>
        <v>0</v>
      </c>
      <c r="DI213"/>
    </row>
    <row r="214" spans="1:113" x14ac:dyDescent="0.3">
      <c r="A214" s="1462" t="s">
        <v>1034</v>
      </c>
      <c r="B214" s="5034">
        <f>SUM(C214:S214)</f>
        <v>0</v>
      </c>
      <c r="C214" s="1139"/>
      <c r="D214" s="1283"/>
      <c r="E214" s="1283"/>
      <c r="F214" s="1283"/>
      <c r="G214" s="1283"/>
      <c r="H214" s="1283"/>
      <c r="I214" s="1283"/>
      <c r="J214" s="1283"/>
      <c r="K214" s="1283"/>
      <c r="L214" s="1283"/>
      <c r="M214" s="1283"/>
      <c r="N214" s="1283"/>
      <c r="O214" s="1283"/>
      <c r="P214" s="1283"/>
      <c r="Q214" s="1283"/>
      <c r="R214" s="1283"/>
      <c r="S214" s="392"/>
      <c r="T214" s="1330"/>
      <c r="U214" s="1283"/>
      <c r="V214" s="1140"/>
      <c r="W214" s="1139"/>
      <c r="X214" s="1140"/>
      <c r="Y214" s="1898" t="str">
        <f t="shared" si="63"/>
        <v/>
      </c>
      <c r="BD214" s="1970"/>
      <c r="BE214" s="1970"/>
      <c r="BF214" s="1970"/>
      <c r="BG214" s="1970"/>
      <c r="BH214" s="1970"/>
      <c r="BI214" s="1970"/>
      <c r="BJ214" s="1970"/>
      <c r="BK214" s="1970"/>
      <c r="BL214" s="1970"/>
      <c r="BM214" s="1970"/>
      <c r="BN214" s="1970"/>
      <c r="BO214" s="1970"/>
      <c r="BP214" s="1970"/>
      <c r="BQ214" s="1970"/>
      <c r="BR214" s="1970"/>
      <c r="BS214" s="1970"/>
      <c r="BT214" s="1970"/>
      <c r="BU214" s="1970"/>
      <c r="BV214" s="1970"/>
      <c r="BW214" s="1970"/>
      <c r="BX214" s="1970"/>
      <c r="BY214" s="1970"/>
      <c r="BZ214" s="1970"/>
      <c r="CA214" s="1899" t="str">
        <f t="shared" si="64"/>
        <v/>
      </c>
      <c r="CB214" s="1970"/>
      <c r="CC214" s="1970"/>
      <c r="CD214" s="1970"/>
      <c r="CE214"/>
      <c r="CK214" s="1970"/>
      <c r="CM214" s="2707">
        <f>IF(T214+U214+V214+W214+X214&lt;&gt;$B214,1,0)</f>
        <v>0</v>
      </c>
      <c r="DI214"/>
    </row>
    <row r="215" spans="1:113" x14ac:dyDescent="0.3">
      <c r="A215" s="5025" t="s">
        <v>77</v>
      </c>
      <c r="B215" s="5079">
        <f>SUM(B211:B214)</f>
        <v>0</v>
      </c>
      <c r="C215" s="3790">
        <f t="shared" ref="C215:X215" si="65">SUM(C211:C214)</f>
        <v>0</v>
      </c>
      <c r="D215" s="3792">
        <f t="shared" si="65"/>
        <v>0</v>
      </c>
      <c r="E215" s="3792">
        <f t="shared" si="65"/>
        <v>0</v>
      </c>
      <c r="F215" s="3792">
        <f t="shared" si="65"/>
        <v>0</v>
      </c>
      <c r="G215" s="3792">
        <f t="shared" si="65"/>
        <v>0</v>
      </c>
      <c r="H215" s="3792">
        <f t="shared" si="65"/>
        <v>0</v>
      </c>
      <c r="I215" s="3792">
        <f t="shared" si="65"/>
        <v>0</v>
      </c>
      <c r="J215" s="3792">
        <f t="shared" si="65"/>
        <v>0</v>
      </c>
      <c r="K215" s="3792">
        <f t="shared" si="65"/>
        <v>0</v>
      </c>
      <c r="L215" s="3792">
        <f t="shared" si="65"/>
        <v>0</v>
      </c>
      <c r="M215" s="3792">
        <f t="shared" si="65"/>
        <v>0</v>
      </c>
      <c r="N215" s="3792">
        <f t="shared" si="65"/>
        <v>0</v>
      </c>
      <c r="O215" s="3792">
        <f t="shared" si="65"/>
        <v>0</v>
      </c>
      <c r="P215" s="3792">
        <f t="shared" si="65"/>
        <v>0</v>
      </c>
      <c r="Q215" s="3792">
        <f t="shared" si="65"/>
        <v>0</v>
      </c>
      <c r="R215" s="3792">
        <f t="shared" si="65"/>
        <v>0</v>
      </c>
      <c r="S215" s="5086">
        <f t="shared" si="65"/>
        <v>0</v>
      </c>
      <c r="T215" s="5082">
        <f t="shared" si="65"/>
        <v>0</v>
      </c>
      <c r="U215" s="5083">
        <f t="shared" si="65"/>
        <v>0</v>
      </c>
      <c r="V215" s="5084">
        <f t="shared" si="65"/>
        <v>0</v>
      </c>
      <c r="W215" s="5085">
        <f t="shared" si="65"/>
        <v>0</v>
      </c>
      <c r="X215" s="5084">
        <f t="shared" si="65"/>
        <v>0</v>
      </c>
    </row>
    <row r="216" spans="1:113" ht="18" customHeight="1" x14ac:dyDescent="0.3">
      <c r="A216" s="1" t="s">
        <v>3453</v>
      </c>
      <c r="B216" s="8"/>
    </row>
    <row r="217" spans="1:113" x14ac:dyDescent="0.3">
      <c r="A217" s="1312" t="s">
        <v>3454</v>
      </c>
      <c r="B217" s="1444" t="s">
        <v>28</v>
      </c>
    </row>
    <row r="218" spans="1:113" x14ac:dyDescent="0.3">
      <c r="A218" s="1916" t="s">
        <v>3455</v>
      </c>
      <c r="B218" s="2729"/>
    </row>
    <row r="219" spans="1:113" x14ac:dyDescent="0.3">
      <c r="A219" s="4762" t="s">
        <v>3456</v>
      </c>
      <c r="B219" s="4598"/>
    </row>
    <row r="220" spans="1:113" x14ac:dyDescent="0.3">
      <c r="A220" s="4762" t="s">
        <v>3457</v>
      </c>
      <c r="B220" s="4598"/>
    </row>
    <row r="221" spans="1:113" x14ac:dyDescent="0.3">
      <c r="A221" s="1288" t="s">
        <v>3458</v>
      </c>
      <c r="B221" s="4599"/>
    </row>
    <row r="222" spans="1:113" ht="18" customHeight="1" x14ac:dyDescent="0.3">
      <c r="A222" s="3" t="s">
        <v>3459</v>
      </c>
      <c r="B222" s="8"/>
    </row>
    <row r="223" spans="1:113" x14ac:dyDescent="0.3">
      <c r="A223" s="1133" t="s">
        <v>277</v>
      </c>
      <c r="B223" s="1444" t="s">
        <v>77</v>
      </c>
    </row>
    <row r="224" spans="1:113" x14ac:dyDescent="0.3">
      <c r="A224" s="4762" t="s">
        <v>3460</v>
      </c>
      <c r="B224" s="4598"/>
    </row>
    <row r="225" spans="1:2" x14ac:dyDescent="0.3">
      <c r="A225" s="4762" t="s">
        <v>2062</v>
      </c>
      <c r="B225" s="4598"/>
    </row>
    <row r="226" spans="1:2" x14ac:dyDescent="0.3">
      <c r="A226" s="4762" t="s">
        <v>3461</v>
      </c>
      <c r="B226" s="4598"/>
    </row>
    <row r="227" spans="1:2" ht="24" customHeight="1" x14ac:dyDescent="0.3">
      <c r="A227" s="5087" t="s">
        <v>3462</v>
      </c>
      <c r="B227" s="4598"/>
    </row>
    <row r="228" spans="1:2" x14ac:dyDescent="0.3">
      <c r="A228" s="4762" t="s">
        <v>3463</v>
      </c>
      <c r="B228" s="4598"/>
    </row>
    <row r="229" spans="1:2" x14ac:dyDescent="0.3">
      <c r="A229" s="4762" t="s">
        <v>3464</v>
      </c>
      <c r="B229" s="4598"/>
    </row>
    <row r="230" spans="1:2" x14ac:dyDescent="0.3">
      <c r="A230" s="4762" t="s">
        <v>3465</v>
      </c>
      <c r="B230" s="4598"/>
    </row>
    <row r="231" spans="1:2" x14ac:dyDescent="0.3">
      <c r="A231" s="4762" t="s">
        <v>3466</v>
      </c>
      <c r="B231" s="4598"/>
    </row>
    <row r="232" spans="1:2" x14ac:dyDescent="0.3">
      <c r="A232" s="4762" t="s">
        <v>3467</v>
      </c>
      <c r="B232" s="4598"/>
    </row>
    <row r="233" spans="1:2" x14ac:dyDescent="0.3">
      <c r="A233" s="4762" t="s">
        <v>3468</v>
      </c>
      <c r="B233" s="4598"/>
    </row>
    <row r="234" spans="1:2" x14ac:dyDescent="0.3">
      <c r="A234" s="4762" t="s">
        <v>3469</v>
      </c>
      <c r="B234" s="4598"/>
    </row>
    <row r="235" spans="1:2" x14ac:dyDescent="0.3">
      <c r="A235" s="4762" t="s">
        <v>3470</v>
      </c>
      <c r="B235" s="4598"/>
    </row>
    <row r="236" spans="1:2" x14ac:dyDescent="0.3">
      <c r="A236" s="4762" t="s">
        <v>3471</v>
      </c>
      <c r="B236" s="4598"/>
    </row>
    <row r="237" spans="1:2" x14ac:dyDescent="0.3">
      <c r="A237" s="4762" t="s">
        <v>3472</v>
      </c>
      <c r="B237" s="4598"/>
    </row>
    <row r="238" spans="1:2" x14ac:dyDescent="0.3">
      <c r="A238" s="4762" t="s">
        <v>3473</v>
      </c>
      <c r="B238" s="4598"/>
    </row>
    <row r="239" spans="1:2" x14ac:dyDescent="0.3">
      <c r="A239" s="4762" t="s">
        <v>3474</v>
      </c>
      <c r="B239" s="4598"/>
    </row>
    <row r="240" spans="1:2" x14ac:dyDescent="0.3">
      <c r="A240" s="4762" t="s">
        <v>3475</v>
      </c>
      <c r="B240" s="4598"/>
    </row>
    <row r="241" spans="1:19" x14ac:dyDescent="0.3">
      <c r="A241" s="4762" t="s">
        <v>3476</v>
      </c>
      <c r="B241" s="4598"/>
    </row>
    <row r="242" spans="1:19" x14ac:dyDescent="0.3">
      <c r="A242" s="4762" t="s">
        <v>3477</v>
      </c>
      <c r="B242" s="4598"/>
    </row>
    <row r="243" spans="1:19" x14ac:dyDescent="0.3">
      <c r="A243" s="4762" t="s">
        <v>3478</v>
      </c>
      <c r="B243" s="4598"/>
    </row>
    <row r="244" spans="1:19" x14ac:dyDescent="0.3">
      <c r="A244" s="4762" t="s">
        <v>3479</v>
      </c>
      <c r="B244" s="4598"/>
    </row>
    <row r="245" spans="1:19" x14ac:dyDescent="0.3">
      <c r="A245" s="4762" t="s">
        <v>3480</v>
      </c>
      <c r="B245" s="4598"/>
    </row>
    <row r="246" spans="1:19" x14ac:dyDescent="0.3">
      <c r="A246" s="4762" t="s">
        <v>3481</v>
      </c>
      <c r="B246" s="4598"/>
    </row>
    <row r="247" spans="1:19" x14ac:dyDescent="0.3">
      <c r="A247" s="4762" t="s">
        <v>3482</v>
      </c>
      <c r="B247" s="4598"/>
    </row>
    <row r="248" spans="1:19" x14ac:dyDescent="0.3">
      <c r="A248" s="1288" t="s">
        <v>3483</v>
      </c>
      <c r="B248" s="4599"/>
    </row>
    <row r="249" spans="1:19" x14ac:dyDescent="0.3">
      <c r="A249" s="5088" t="s">
        <v>77</v>
      </c>
      <c r="B249" s="5089">
        <f>SUM(B224:B248)</f>
        <v>0</v>
      </c>
    </row>
    <row r="250" spans="1:19" ht="18" customHeight="1" x14ac:dyDescent="0.3">
      <c r="A250" s="1" t="s">
        <v>3484</v>
      </c>
      <c r="B250" s="1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</row>
    <row r="251" spans="1:19" ht="18" customHeight="1" x14ac:dyDescent="0.3">
      <c r="A251" s="1" t="s">
        <v>3485</v>
      </c>
      <c r="B251" s="13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</row>
    <row r="252" spans="1:19" x14ac:dyDescent="0.3">
      <c r="A252" s="7401" t="s">
        <v>3486</v>
      </c>
      <c r="B252" s="7431" t="s">
        <v>77</v>
      </c>
      <c r="C252" s="7023" t="s">
        <v>29</v>
      </c>
      <c r="D252" s="7030"/>
      <c r="E252" s="7030"/>
      <c r="F252" s="7030"/>
      <c r="G252" s="7030"/>
      <c r="H252" s="7030"/>
      <c r="I252" s="7030"/>
      <c r="J252" s="7030"/>
      <c r="K252" s="7030"/>
      <c r="L252" s="7030"/>
      <c r="M252" s="7030"/>
      <c r="N252" s="7030"/>
      <c r="O252" s="7030"/>
      <c r="P252" s="7030"/>
      <c r="Q252" s="7030"/>
      <c r="R252" s="7030"/>
      <c r="S252" s="6976"/>
    </row>
    <row r="253" spans="1:19" x14ac:dyDescent="0.3">
      <c r="A253" s="7402"/>
      <c r="B253" s="7432"/>
      <c r="C253" s="5029" t="s">
        <v>343</v>
      </c>
      <c r="D253" s="5030" t="s">
        <v>326</v>
      </c>
      <c r="E253" s="5030" t="s">
        <v>94</v>
      </c>
      <c r="F253" s="5030" t="s">
        <v>44</v>
      </c>
      <c r="G253" s="5030" t="s">
        <v>45</v>
      </c>
      <c r="H253" s="5030" t="s">
        <v>974</v>
      </c>
      <c r="I253" s="5030" t="s">
        <v>629</v>
      </c>
      <c r="J253" s="5030" t="s">
        <v>48</v>
      </c>
      <c r="K253" s="5030" t="s">
        <v>49</v>
      </c>
      <c r="L253" s="5030" t="s">
        <v>975</v>
      </c>
      <c r="M253" s="5030" t="s">
        <v>51</v>
      </c>
      <c r="N253" s="5030" t="s">
        <v>52</v>
      </c>
      <c r="O253" s="5030" t="s">
        <v>53</v>
      </c>
      <c r="P253" s="5030" t="s">
        <v>54</v>
      </c>
      <c r="Q253" s="5030" t="s">
        <v>55</v>
      </c>
      <c r="R253" s="5030" t="s">
        <v>56</v>
      </c>
      <c r="S253" s="4631" t="s">
        <v>57</v>
      </c>
    </row>
    <row r="254" spans="1:19" x14ac:dyDescent="0.3">
      <c r="A254" s="4414" t="s">
        <v>3487</v>
      </c>
      <c r="B254" s="1282">
        <f>SUM(C254:S254)</f>
        <v>0</v>
      </c>
      <c r="C254" s="1106"/>
      <c r="D254" s="773"/>
      <c r="E254" s="773"/>
      <c r="F254" s="773"/>
      <c r="G254" s="773"/>
      <c r="H254" s="773"/>
      <c r="I254" s="773"/>
      <c r="J254" s="773"/>
      <c r="K254" s="773"/>
      <c r="L254" s="773"/>
      <c r="M254" s="773"/>
      <c r="N254" s="773"/>
      <c r="O254" s="773"/>
      <c r="P254" s="773"/>
      <c r="Q254" s="773"/>
      <c r="R254" s="773"/>
      <c r="S254" s="771"/>
    </row>
    <row r="255" spans="1:19" x14ac:dyDescent="0.3">
      <c r="A255" s="5090" t="s">
        <v>3488</v>
      </c>
      <c r="B255" s="1243">
        <f>SUM(C255:S255)</f>
        <v>0</v>
      </c>
      <c r="C255" s="1114"/>
      <c r="D255" s="1278"/>
      <c r="E255" s="1278"/>
      <c r="F255" s="1278"/>
      <c r="G255" s="1278"/>
      <c r="H255" s="1278"/>
      <c r="I255" s="1278"/>
      <c r="J255" s="1278"/>
      <c r="K255" s="1278"/>
      <c r="L255" s="1278"/>
      <c r="M255" s="1278"/>
      <c r="N255" s="1278"/>
      <c r="O255" s="1278"/>
      <c r="P255" s="1278"/>
      <c r="Q255" s="1278"/>
      <c r="R255" s="1278"/>
      <c r="S255" s="1115"/>
    </row>
    <row r="256" spans="1:19" x14ac:dyDescent="0.3">
      <c r="A256" s="5091" t="s">
        <v>3489</v>
      </c>
      <c r="B256" s="5092">
        <f>SUM(C256:S256)</f>
        <v>0</v>
      </c>
      <c r="C256" s="1289"/>
      <c r="D256" s="262"/>
      <c r="E256" s="262"/>
      <c r="F256" s="262"/>
      <c r="G256" s="262"/>
      <c r="H256" s="262"/>
      <c r="I256" s="262"/>
      <c r="J256" s="262"/>
      <c r="K256" s="262"/>
      <c r="L256" s="262"/>
      <c r="M256" s="262"/>
      <c r="N256" s="262"/>
      <c r="O256" s="262"/>
      <c r="P256" s="262"/>
      <c r="Q256" s="262"/>
      <c r="R256" s="262"/>
      <c r="S256" s="1474"/>
    </row>
    <row r="257" spans="1:19" ht="18" customHeight="1" x14ac:dyDescent="0.3">
      <c r="A257" s="1" t="s">
        <v>3490</v>
      </c>
      <c r="B257" s="5093"/>
      <c r="C257" s="8"/>
      <c r="D257" s="5093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</row>
    <row r="258" spans="1:19" x14ac:dyDescent="0.3">
      <c r="A258" s="7401" t="s">
        <v>3491</v>
      </c>
      <c r="B258" s="7431" t="s">
        <v>192</v>
      </c>
      <c r="C258" s="7023" t="s">
        <v>29</v>
      </c>
      <c r="D258" s="7030"/>
      <c r="E258" s="7030"/>
      <c r="F258" s="7030"/>
      <c r="G258" s="7030"/>
      <c r="H258" s="7030"/>
      <c r="I258" s="7030"/>
      <c r="J258" s="7030"/>
      <c r="K258" s="7030"/>
      <c r="L258" s="7030"/>
      <c r="M258" s="7030"/>
      <c r="N258" s="7030"/>
      <c r="O258" s="7030"/>
      <c r="P258" s="7030"/>
      <c r="Q258" s="7030"/>
      <c r="R258" s="7030"/>
      <c r="S258" s="6976"/>
    </row>
    <row r="259" spans="1:19" x14ac:dyDescent="0.3">
      <c r="A259" s="7402"/>
      <c r="B259" s="7432"/>
      <c r="C259" s="5029" t="s">
        <v>343</v>
      </c>
      <c r="D259" s="5030" t="s">
        <v>326</v>
      </c>
      <c r="E259" s="5030" t="s">
        <v>94</v>
      </c>
      <c r="F259" s="5030" t="s">
        <v>44</v>
      </c>
      <c r="G259" s="5030" t="s">
        <v>45</v>
      </c>
      <c r="H259" s="5030" t="s">
        <v>974</v>
      </c>
      <c r="I259" s="5030" t="s">
        <v>629</v>
      </c>
      <c r="J259" s="5030" t="s">
        <v>48</v>
      </c>
      <c r="K259" s="5030" t="s">
        <v>49</v>
      </c>
      <c r="L259" s="5030" t="s">
        <v>975</v>
      </c>
      <c r="M259" s="5030" t="s">
        <v>51</v>
      </c>
      <c r="N259" s="5030" t="s">
        <v>52</v>
      </c>
      <c r="O259" s="5030" t="s">
        <v>53</v>
      </c>
      <c r="P259" s="5030" t="s">
        <v>54</v>
      </c>
      <c r="Q259" s="5030" t="s">
        <v>55</v>
      </c>
      <c r="R259" s="5030" t="s">
        <v>56</v>
      </c>
      <c r="S259" s="4631" t="s">
        <v>57</v>
      </c>
    </row>
    <row r="260" spans="1:19" x14ac:dyDescent="0.3">
      <c r="A260" s="295" t="s">
        <v>3492</v>
      </c>
      <c r="B260" s="295">
        <f t="shared" ref="B260:B286" si="66">SUM(C260:S260)</f>
        <v>0</v>
      </c>
      <c r="C260" s="1106"/>
      <c r="D260" s="773"/>
      <c r="E260" s="773"/>
      <c r="F260" s="773"/>
      <c r="G260" s="773"/>
      <c r="H260" s="773"/>
      <c r="I260" s="773"/>
      <c r="J260" s="773"/>
      <c r="K260" s="773"/>
      <c r="L260" s="773"/>
      <c r="M260" s="773"/>
      <c r="N260" s="773"/>
      <c r="O260" s="773"/>
      <c r="P260" s="773"/>
      <c r="Q260" s="773"/>
      <c r="R260" s="773"/>
      <c r="S260" s="1107"/>
    </row>
    <row r="261" spans="1:19" x14ac:dyDescent="0.3">
      <c r="A261" s="1187" t="s">
        <v>3493</v>
      </c>
      <c r="B261" s="1187">
        <f t="shared" si="66"/>
        <v>0</v>
      </c>
      <c r="C261" s="1114"/>
      <c r="D261" s="1278"/>
      <c r="E261" s="1278"/>
      <c r="F261" s="1278"/>
      <c r="G261" s="1278"/>
      <c r="H261" s="1278"/>
      <c r="I261" s="1278"/>
      <c r="J261" s="1278"/>
      <c r="K261" s="1278"/>
      <c r="L261" s="1278"/>
      <c r="M261" s="1278"/>
      <c r="N261" s="1278"/>
      <c r="O261" s="1278"/>
      <c r="P261" s="1278"/>
      <c r="Q261" s="1278"/>
      <c r="R261" s="1278"/>
      <c r="S261" s="1115"/>
    </row>
    <row r="262" spans="1:19" x14ac:dyDescent="0.3">
      <c r="A262" s="1187" t="s">
        <v>3494</v>
      </c>
      <c r="B262" s="1187">
        <f t="shared" si="66"/>
        <v>0</v>
      </c>
      <c r="C262" s="1114"/>
      <c r="D262" s="1278"/>
      <c r="E262" s="1278"/>
      <c r="F262" s="1278"/>
      <c r="G262" s="1278"/>
      <c r="H262" s="1278"/>
      <c r="I262" s="1278"/>
      <c r="J262" s="1278"/>
      <c r="K262" s="1278"/>
      <c r="L262" s="1278"/>
      <c r="M262" s="1278"/>
      <c r="N262" s="1278"/>
      <c r="O262" s="1278"/>
      <c r="P262" s="1278"/>
      <c r="Q262" s="1278"/>
      <c r="R262" s="1278"/>
      <c r="S262" s="1115"/>
    </row>
    <row r="263" spans="1:19" x14ac:dyDescent="0.3">
      <c r="A263" s="1187" t="s">
        <v>3495</v>
      </c>
      <c r="B263" s="1187">
        <f t="shared" si="66"/>
        <v>0</v>
      </c>
      <c r="C263" s="1114"/>
      <c r="D263" s="1278"/>
      <c r="E263" s="1278"/>
      <c r="F263" s="1278"/>
      <c r="G263" s="1278"/>
      <c r="H263" s="1278"/>
      <c r="I263" s="1278"/>
      <c r="J263" s="1278"/>
      <c r="K263" s="1278"/>
      <c r="L263" s="1278"/>
      <c r="M263" s="1278"/>
      <c r="N263" s="1278"/>
      <c r="O263" s="1278"/>
      <c r="P263" s="1278"/>
      <c r="Q263" s="1278"/>
      <c r="R263" s="1278"/>
      <c r="S263" s="1115"/>
    </row>
    <row r="264" spans="1:19" x14ac:dyDescent="0.3">
      <c r="A264" s="1187" t="s">
        <v>3496</v>
      </c>
      <c r="B264" s="1187">
        <f t="shared" si="66"/>
        <v>0</v>
      </c>
      <c r="C264" s="1114"/>
      <c r="D264" s="1278"/>
      <c r="E264" s="1278"/>
      <c r="F264" s="1278"/>
      <c r="G264" s="1278"/>
      <c r="H264" s="1278"/>
      <c r="I264" s="1278"/>
      <c r="J264" s="1278"/>
      <c r="K264" s="1278"/>
      <c r="L264" s="1278"/>
      <c r="M264" s="1278"/>
      <c r="N264" s="1278"/>
      <c r="O264" s="1278"/>
      <c r="P264" s="1278"/>
      <c r="Q264" s="1278"/>
      <c r="R264" s="1278"/>
      <c r="S264" s="1115"/>
    </row>
    <row r="265" spans="1:19" x14ac:dyDescent="0.3">
      <c r="A265" s="1187" t="s">
        <v>3497</v>
      </c>
      <c r="B265" s="1187">
        <f t="shared" si="66"/>
        <v>0</v>
      </c>
      <c r="C265" s="1114"/>
      <c r="D265" s="1278"/>
      <c r="E265" s="1278"/>
      <c r="F265" s="1278"/>
      <c r="G265" s="1278"/>
      <c r="H265" s="1278"/>
      <c r="I265" s="1278"/>
      <c r="J265" s="1278"/>
      <c r="K265" s="1278"/>
      <c r="L265" s="1278"/>
      <c r="M265" s="1278"/>
      <c r="N265" s="1278"/>
      <c r="O265" s="1278"/>
      <c r="P265" s="1278"/>
      <c r="Q265" s="1278"/>
      <c r="R265" s="1278"/>
      <c r="S265" s="1115"/>
    </row>
    <row r="266" spans="1:19" x14ac:dyDescent="0.3">
      <c r="A266" s="1187" t="s">
        <v>3498</v>
      </c>
      <c r="B266" s="1187">
        <f t="shared" si="66"/>
        <v>0</v>
      </c>
      <c r="C266" s="1114"/>
      <c r="D266" s="1278"/>
      <c r="E266" s="1278"/>
      <c r="F266" s="1278"/>
      <c r="G266" s="1278"/>
      <c r="H266" s="1278"/>
      <c r="I266" s="1278"/>
      <c r="J266" s="1278"/>
      <c r="K266" s="1278"/>
      <c r="L266" s="1278"/>
      <c r="M266" s="1278"/>
      <c r="N266" s="1278"/>
      <c r="O266" s="1278"/>
      <c r="P266" s="1278"/>
      <c r="Q266" s="1278"/>
      <c r="R266" s="1278"/>
      <c r="S266" s="1115"/>
    </row>
    <row r="267" spans="1:19" x14ac:dyDescent="0.3">
      <c r="A267" s="1187" t="s">
        <v>3499</v>
      </c>
      <c r="B267" s="1187">
        <f t="shared" si="66"/>
        <v>0</v>
      </c>
      <c r="C267" s="1114"/>
      <c r="D267" s="1278"/>
      <c r="E267" s="1278"/>
      <c r="F267" s="1278"/>
      <c r="G267" s="1278"/>
      <c r="H267" s="1278"/>
      <c r="I267" s="1278"/>
      <c r="J267" s="1278"/>
      <c r="K267" s="1278"/>
      <c r="L267" s="1278"/>
      <c r="M267" s="1278"/>
      <c r="N267" s="1278"/>
      <c r="O267" s="1278"/>
      <c r="P267" s="1278"/>
      <c r="Q267" s="1278"/>
      <c r="R267" s="1278"/>
      <c r="S267" s="1115"/>
    </row>
    <row r="268" spans="1:19" x14ac:dyDescent="0.3">
      <c r="A268" s="1187" t="s">
        <v>3500</v>
      </c>
      <c r="B268" s="1187">
        <f t="shared" si="66"/>
        <v>0</v>
      </c>
      <c r="C268" s="1114"/>
      <c r="D268" s="1278"/>
      <c r="E268" s="1278"/>
      <c r="F268" s="1278"/>
      <c r="G268" s="1278"/>
      <c r="H268" s="1278"/>
      <c r="I268" s="1278"/>
      <c r="J268" s="1278"/>
      <c r="K268" s="1278"/>
      <c r="L268" s="1278"/>
      <c r="M268" s="1278"/>
      <c r="N268" s="1278"/>
      <c r="O268" s="1278"/>
      <c r="P268" s="1278"/>
      <c r="Q268" s="1278"/>
      <c r="R268" s="1278"/>
      <c r="S268" s="1115"/>
    </row>
    <row r="269" spans="1:19" x14ac:dyDescent="0.3">
      <c r="A269" s="1187" t="s">
        <v>3501</v>
      </c>
      <c r="B269" s="1187">
        <f t="shared" si="66"/>
        <v>0</v>
      </c>
      <c r="C269" s="1114"/>
      <c r="D269" s="1278"/>
      <c r="E269" s="1278"/>
      <c r="F269" s="1278"/>
      <c r="G269" s="1278"/>
      <c r="H269" s="1278"/>
      <c r="I269" s="1278"/>
      <c r="J269" s="1278"/>
      <c r="K269" s="1278"/>
      <c r="L269" s="1278"/>
      <c r="M269" s="1278"/>
      <c r="N269" s="1278"/>
      <c r="O269" s="1278"/>
      <c r="P269" s="1278"/>
      <c r="Q269" s="1278"/>
      <c r="R269" s="1278"/>
      <c r="S269" s="1115"/>
    </row>
    <row r="270" spans="1:19" ht="21.6" x14ac:dyDescent="0.3">
      <c r="A270" s="1186" t="s">
        <v>3502</v>
      </c>
      <c r="B270" s="1187">
        <f t="shared" si="66"/>
        <v>0</v>
      </c>
      <c r="C270" s="1114"/>
      <c r="D270" s="1278"/>
      <c r="E270" s="1278"/>
      <c r="F270" s="1278"/>
      <c r="G270" s="1278"/>
      <c r="H270" s="1278"/>
      <c r="I270" s="1278"/>
      <c r="J270" s="1278"/>
      <c r="K270" s="1278"/>
      <c r="L270" s="1278"/>
      <c r="M270" s="1278"/>
      <c r="N270" s="1278"/>
      <c r="O270" s="1278"/>
      <c r="P270" s="1278"/>
      <c r="Q270" s="1278"/>
      <c r="R270" s="1278"/>
      <c r="S270" s="1115"/>
    </row>
    <row r="271" spans="1:19" ht="21.6" x14ac:dyDescent="0.3">
      <c r="A271" s="1186" t="s">
        <v>3503</v>
      </c>
      <c r="B271" s="1187">
        <f t="shared" si="66"/>
        <v>0</v>
      </c>
      <c r="C271" s="1114"/>
      <c r="D271" s="1278"/>
      <c r="E271" s="1278"/>
      <c r="F271" s="1278"/>
      <c r="G271" s="1278"/>
      <c r="H271" s="1278"/>
      <c r="I271" s="1278"/>
      <c r="J271" s="1278"/>
      <c r="K271" s="1278"/>
      <c r="L271" s="1278"/>
      <c r="M271" s="1278"/>
      <c r="N271" s="1278"/>
      <c r="O271" s="1278"/>
      <c r="P271" s="1278"/>
      <c r="Q271" s="1278"/>
      <c r="R271" s="1278"/>
      <c r="S271" s="1115"/>
    </row>
    <row r="272" spans="1:19" x14ac:dyDescent="0.3">
      <c r="A272" s="1187" t="s">
        <v>3504</v>
      </c>
      <c r="B272" s="1187">
        <f t="shared" si="66"/>
        <v>0</v>
      </c>
      <c r="C272" s="1114"/>
      <c r="D272" s="1278"/>
      <c r="E272" s="1278"/>
      <c r="F272" s="1278"/>
      <c r="G272" s="1278"/>
      <c r="H272" s="1278"/>
      <c r="I272" s="1278"/>
      <c r="J272" s="1278"/>
      <c r="K272" s="1278"/>
      <c r="L272" s="1278"/>
      <c r="M272" s="1278"/>
      <c r="N272" s="1278"/>
      <c r="O272" s="1278"/>
      <c r="P272" s="1278"/>
      <c r="Q272" s="1278"/>
      <c r="R272" s="1278"/>
      <c r="S272" s="1115"/>
    </row>
    <row r="273" spans="1:19" x14ac:dyDescent="0.3">
      <c r="A273" s="1187" t="s">
        <v>3505</v>
      </c>
      <c r="B273" s="1187">
        <f t="shared" si="66"/>
        <v>0</v>
      </c>
      <c r="C273" s="1114"/>
      <c r="D273" s="1278"/>
      <c r="E273" s="1278"/>
      <c r="F273" s="1278"/>
      <c r="G273" s="1278"/>
      <c r="H273" s="1278"/>
      <c r="I273" s="1278"/>
      <c r="J273" s="1278"/>
      <c r="K273" s="1278"/>
      <c r="L273" s="1278"/>
      <c r="M273" s="1278"/>
      <c r="N273" s="1278"/>
      <c r="O273" s="1278"/>
      <c r="P273" s="1278"/>
      <c r="Q273" s="1278"/>
      <c r="R273" s="1278"/>
      <c r="S273" s="1115"/>
    </row>
    <row r="274" spans="1:19" x14ac:dyDescent="0.3">
      <c r="A274" s="1187" t="s">
        <v>3506</v>
      </c>
      <c r="B274" s="1187">
        <f t="shared" si="66"/>
        <v>0</v>
      </c>
      <c r="C274" s="1114"/>
      <c r="D274" s="1278"/>
      <c r="E274" s="1278"/>
      <c r="F274" s="1278"/>
      <c r="G274" s="1278"/>
      <c r="H274" s="1278"/>
      <c r="I274" s="1278"/>
      <c r="J274" s="1278"/>
      <c r="K274" s="1278"/>
      <c r="L274" s="1278"/>
      <c r="M274" s="1278"/>
      <c r="N274" s="1278"/>
      <c r="O274" s="1278"/>
      <c r="P274" s="1278"/>
      <c r="Q274" s="1278"/>
      <c r="R274" s="1278"/>
      <c r="S274" s="1115"/>
    </row>
    <row r="275" spans="1:19" x14ac:dyDescent="0.3">
      <c r="A275" s="1187" t="s">
        <v>3507</v>
      </c>
      <c r="B275" s="1187">
        <f t="shared" si="66"/>
        <v>0</v>
      </c>
      <c r="C275" s="1114"/>
      <c r="D275" s="1278"/>
      <c r="E275" s="1278"/>
      <c r="F275" s="1278"/>
      <c r="G275" s="1278"/>
      <c r="H275" s="1278"/>
      <c r="I275" s="1278"/>
      <c r="J275" s="1278"/>
      <c r="K275" s="1278"/>
      <c r="L275" s="1278"/>
      <c r="M275" s="1278"/>
      <c r="N275" s="1278"/>
      <c r="O275" s="1278"/>
      <c r="P275" s="1278"/>
      <c r="Q275" s="1278"/>
      <c r="R275" s="1278"/>
      <c r="S275" s="1115"/>
    </row>
    <row r="276" spans="1:19" x14ac:dyDescent="0.3">
      <c r="A276" s="1187" t="s">
        <v>3508</v>
      </c>
      <c r="B276" s="1187">
        <f t="shared" si="66"/>
        <v>0</v>
      </c>
      <c r="C276" s="1114"/>
      <c r="D276" s="1278"/>
      <c r="E276" s="1278"/>
      <c r="F276" s="1278"/>
      <c r="G276" s="1278"/>
      <c r="H276" s="1278"/>
      <c r="I276" s="1278"/>
      <c r="J276" s="1278"/>
      <c r="K276" s="1278"/>
      <c r="L276" s="1278"/>
      <c r="M276" s="1278"/>
      <c r="N276" s="1278"/>
      <c r="O276" s="1278"/>
      <c r="P276" s="1278"/>
      <c r="Q276" s="1278"/>
      <c r="R276" s="1278"/>
      <c r="S276" s="1115"/>
    </row>
    <row r="277" spans="1:19" x14ac:dyDescent="0.3">
      <c r="A277" s="1187" t="s">
        <v>3509</v>
      </c>
      <c r="B277" s="1187">
        <f t="shared" si="66"/>
        <v>0</v>
      </c>
      <c r="C277" s="1114"/>
      <c r="D277" s="1278"/>
      <c r="E277" s="1278"/>
      <c r="F277" s="1278"/>
      <c r="G277" s="1278"/>
      <c r="H277" s="1278"/>
      <c r="I277" s="1278"/>
      <c r="J277" s="1278"/>
      <c r="K277" s="1278"/>
      <c r="L277" s="1278"/>
      <c r="M277" s="1278"/>
      <c r="N277" s="1278"/>
      <c r="O277" s="1278"/>
      <c r="P277" s="1278"/>
      <c r="Q277" s="1278"/>
      <c r="R277" s="1278"/>
      <c r="S277" s="1115"/>
    </row>
    <row r="278" spans="1:19" x14ac:dyDescent="0.3">
      <c r="A278" s="1187" t="s">
        <v>3510</v>
      </c>
      <c r="B278" s="1187">
        <f t="shared" si="66"/>
        <v>0</v>
      </c>
      <c r="C278" s="1114"/>
      <c r="D278" s="1278"/>
      <c r="E278" s="1278"/>
      <c r="F278" s="1278"/>
      <c r="G278" s="1278"/>
      <c r="H278" s="1278"/>
      <c r="I278" s="1278"/>
      <c r="J278" s="1278"/>
      <c r="K278" s="1278"/>
      <c r="L278" s="1278"/>
      <c r="M278" s="1278"/>
      <c r="N278" s="1278"/>
      <c r="O278" s="1278"/>
      <c r="P278" s="1278"/>
      <c r="Q278" s="1278"/>
      <c r="R278" s="1278"/>
      <c r="S278" s="1115"/>
    </row>
    <row r="279" spans="1:19" x14ac:dyDescent="0.3">
      <c r="A279" s="1187" t="s">
        <v>3511</v>
      </c>
      <c r="B279" s="1187">
        <f t="shared" si="66"/>
        <v>0</v>
      </c>
      <c r="C279" s="1114"/>
      <c r="D279" s="1278"/>
      <c r="E279" s="1278"/>
      <c r="F279" s="1278"/>
      <c r="G279" s="1278"/>
      <c r="H279" s="1278"/>
      <c r="I279" s="1278"/>
      <c r="J279" s="1278"/>
      <c r="K279" s="1278"/>
      <c r="L279" s="1278"/>
      <c r="M279" s="1278"/>
      <c r="N279" s="1278"/>
      <c r="O279" s="1278"/>
      <c r="P279" s="1278"/>
      <c r="Q279" s="1278"/>
      <c r="R279" s="1278"/>
      <c r="S279" s="1115"/>
    </row>
    <row r="280" spans="1:19" x14ac:dyDescent="0.3">
      <c r="A280" s="1187" t="s">
        <v>3512</v>
      </c>
      <c r="B280" s="1187">
        <f t="shared" si="66"/>
        <v>0</v>
      </c>
      <c r="C280" s="1114"/>
      <c r="D280" s="1278"/>
      <c r="E280" s="1278"/>
      <c r="F280" s="1278"/>
      <c r="G280" s="1278"/>
      <c r="H280" s="1278"/>
      <c r="I280" s="1278"/>
      <c r="J280" s="1278"/>
      <c r="K280" s="1278"/>
      <c r="L280" s="1278"/>
      <c r="M280" s="1278"/>
      <c r="N280" s="1278"/>
      <c r="O280" s="1278"/>
      <c r="P280" s="1278"/>
      <c r="Q280" s="1278"/>
      <c r="R280" s="1278"/>
      <c r="S280" s="1115"/>
    </row>
    <row r="281" spans="1:19" x14ac:dyDescent="0.3">
      <c r="A281" s="193" t="s">
        <v>3513</v>
      </c>
      <c r="B281" s="1187">
        <f t="shared" si="66"/>
        <v>0</v>
      </c>
      <c r="C281" s="290"/>
      <c r="D281" s="535"/>
      <c r="E281" s="535"/>
      <c r="F281" s="535"/>
      <c r="G281" s="535"/>
      <c r="H281" s="535"/>
      <c r="I281" s="535"/>
      <c r="J281" s="535"/>
      <c r="K281" s="535"/>
      <c r="L281" s="535"/>
      <c r="M281" s="535"/>
      <c r="N281" s="535"/>
      <c r="O281" s="535"/>
      <c r="P281" s="535"/>
      <c r="Q281" s="535"/>
      <c r="R281" s="535"/>
      <c r="S281" s="107"/>
    </row>
    <row r="282" spans="1:19" x14ac:dyDescent="0.3">
      <c r="A282" s="193" t="s">
        <v>3514</v>
      </c>
      <c r="B282" s="1187">
        <f t="shared" si="66"/>
        <v>0</v>
      </c>
      <c r="C282" s="1114"/>
      <c r="D282" s="1278"/>
      <c r="E282" s="1278"/>
      <c r="F282" s="1278"/>
      <c r="G282" s="1278"/>
      <c r="H282" s="1278"/>
      <c r="I282" s="1278"/>
      <c r="J282" s="1278"/>
      <c r="K282" s="1278"/>
      <c r="L282" s="1278"/>
      <c r="M282" s="1278"/>
      <c r="N282" s="1278"/>
      <c r="O282" s="1278"/>
      <c r="P282" s="1278"/>
      <c r="Q282" s="1278"/>
      <c r="R282" s="1278"/>
      <c r="S282" s="1115"/>
    </row>
    <row r="283" spans="1:19" ht="15" customHeight="1" x14ac:dyDescent="0.3">
      <c r="A283" s="196" t="s">
        <v>3515</v>
      </c>
      <c r="B283" s="1187">
        <f t="shared" si="66"/>
        <v>0</v>
      </c>
      <c r="C283" s="1114"/>
      <c r="D283" s="1278"/>
      <c r="E283" s="1278"/>
      <c r="F283" s="1278"/>
      <c r="G283" s="1278"/>
      <c r="H283" s="1278"/>
      <c r="I283" s="1278"/>
      <c r="J283" s="1278"/>
      <c r="K283" s="1278"/>
      <c r="L283" s="1278"/>
      <c r="M283" s="1278"/>
      <c r="N283" s="1278"/>
      <c r="O283" s="1278"/>
      <c r="P283" s="1278"/>
      <c r="Q283" s="1278"/>
      <c r="R283" s="1278"/>
      <c r="S283" s="1115"/>
    </row>
    <row r="284" spans="1:19" x14ac:dyDescent="0.3">
      <c r="A284" s="193" t="s">
        <v>3516</v>
      </c>
      <c r="B284" s="1187">
        <f t="shared" si="66"/>
        <v>0</v>
      </c>
      <c r="C284" s="1114"/>
      <c r="D284" s="1278"/>
      <c r="E284" s="1278"/>
      <c r="F284" s="1278"/>
      <c r="G284" s="1278"/>
      <c r="H284" s="1278"/>
      <c r="I284" s="1278"/>
      <c r="J284" s="1278"/>
      <c r="K284" s="1278"/>
      <c r="L284" s="1278"/>
      <c r="M284" s="1278"/>
      <c r="N284" s="1278"/>
      <c r="O284" s="1278"/>
      <c r="P284" s="1278"/>
      <c r="Q284" s="1278"/>
      <c r="R284" s="1278"/>
      <c r="S284" s="1115"/>
    </row>
    <row r="285" spans="1:19" x14ac:dyDescent="0.3">
      <c r="A285" s="193" t="s">
        <v>3517</v>
      </c>
      <c r="B285" s="1187">
        <f t="shared" si="66"/>
        <v>0</v>
      </c>
      <c r="C285" s="1114"/>
      <c r="D285" s="1278"/>
      <c r="E285" s="1278"/>
      <c r="F285" s="1278"/>
      <c r="G285" s="1278"/>
      <c r="H285" s="1278"/>
      <c r="I285" s="1278"/>
      <c r="J285" s="1278"/>
      <c r="K285" s="1278"/>
      <c r="L285" s="1278"/>
      <c r="M285" s="1278"/>
      <c r="N285" s="1278"/>
      <c r="O285" s="1278"/>
      <c r="P285" s="1278"/>
      <c r="Q285" s="1278"/>
      <c r="R285" s="1278"/>
      <c r="S285" s="1115"/>
    </row>
    <row r="286" spans="1:19" x14ac:dyDescent="0.3">
      <c r="A286" s="1819" t="s">
        <v>902</v>
      </c>
      <c r="B286" s="1188">
        <f t="shared" si="66"/>
        <v>0</v>
      </c>
      <c r="C286" s="1139"/>
      <c r="D286" s="1283"/>
      <c r="E286" s="1283"/>
      <c r="F286" s="1283"/>
      <c r="G286" s="1283"/>
      <c r="H286" s="1283"/>
      <c r="I286" s="1283"/>
      <c r="J286" s="1283"/>
      <c r="K286" s="1283"/>
      <c r="L286" s="1283"/>
      <c r="M286" s="1283"/>
      <c r="N286" s="1283"/>
      <c r="O286" s="1283"/>
      <c r="P286" s="1283"/>
      <c r="Q286" s="1283"/>
      <c r="R286" s="1283"/>
      <c r="S286" s="388"/>
    </row>
    <row r="287" spans="1:19" ht="18" customHeight="1" x14ac:dyDescent="0.3">
      <c r="A287" s="13" t="s">
        <v>3518</v>
      </c>
      <c r="B287" s="13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</row>
    <row r="288" spans="1:19" x14ac:dyDescent="0.3">
      <c r="A288" s="7401" t="s">
        <v>3519</v>
      </c>
      <c r="B288" s="7431" t="s">
        <v>77</v>
      </c>
      <c r="C288" s="7023" t="s">
        <v>3520</v>
      </c>
      <c r="D288" s="7030"/>
      <c r="E288" s="7030"/>
      <c r="F288" s="7030"/>
      <c r="G288" s="7030"/>
      <c r="H288" s="7030"/>
      <c r="I288" s="7030"/>
      <c r="J288" s="7030"/>
      <c r="K288" s="7030"/>
      <c r="L288" s="7030"/>
      <c r="M288" s="7030"/>
      <c r="N288" s="7030"/>
      <c r="O288" s="7030"/>
      <c r="P288" s="7030"/>
      <c r="Q288" s="7030"/>
      <c r="R288" s="7030"/>
      <c r="S288" s="6976"/>
    </row>
    <row r="289" spans="1:19" x14ac:dyDescent="0.3">
      <c r="A289" s="7402"/>
      <c r="B289" s="7432"/>
      <c r="C289" s="5029" t="s">
        <v>343</v>
      </c>
      <c r="D289" s="5030" t="s">
        <v>326</v>
      </c>
      <c r="E289" s="5030" t="s">
        <v>94</v>
      </c>
      <c r="F289" s="5030" t="s">
        <v>44</v>
      </c>
      <c r="G289" s="5030" t="s">
        <v>45</v>
      </c>
      <c r="H289" s="5030" t="s">
        <v>974</v>
      </c>
      <c r="I289" s="5030" t="s">
        <v>629</v>
      </c>
      <c r="J289" s="5030" t="s">
        <v>48</v>
      </c>
      <c r="K289" s="5030" t="s">
        <v>49</v>
      </c>
      <c r="L289" s="5030" t="s">
        <v>975</v>
      </c>
      <c r="M289" s="5030" t="s">
        <v>51</v>
      </c>
      <c r="N289" s="5030" t="s">
        <v>52</v>
      </c>
      <c r="O289" s="5030" t="s">
        <v>53</v>
      </c>
      <c r="P289" s="5030" t="s">
        <v>54</v>
      </c>
      <c r="Q289" s="5030" t="s">
        <v>55</v>
      </c>
      <c r="R289" s="5030" t="s">
        <v>56</v>
      </c>
      <c r="S289" s="4631" t="s">
        <v>57</v>
      </c>
    </row>
    <row r="290" spans="1:19" x14ac:dyDescent="0.3">
      <c r="A290" s="1459" t="s">
        <v>3335</v>
      </c>
      <c r="B290" s="1243">
        <f t="shared" ref="B290:B310" si="67">SUM(C290:S290)</f>
        <v>0</v>
      </c>
      <c r="C290" s="535"/>
      <c r="D290" s="535"/>
      <c r="E290" s="535"/>
      <c r="F290" s="535"/>
      <c r="G290" s="535"/>
      <c r="H290" s="535"/>
      <c r="I290" s="535"/>
      <c r="J290" s="535"/>
      <c r="K290" s="535"/>
      <c r="L290" s="535"/>
      <c r="M290" s="535"/>
      <c r="N290" s="535"/>
      <c r="O290" s="535"/>
      <c r="P290" s="535"/>
      <c r="Q290" s="535"/>
      <c r="R290" s="535"/>
      <c r="S290" s="107"/>
    </row>
    <row r="291" spans="1:19" x14ac:dyDescent="0.3">
      <c r="A291" s="5011" t="s">
        <v>3340</v>
      </c>
      <c r="B291" s="1243">
        <f t="shared" si="67"/>
        <v>0</v>
      </c>
      <c r="C291" s="1278"/>
      <c r="D291" s="1278"/>
      <c r="E291" s="1278"/>
      <c r="F291" s="1278"/>
      <c r="G291" s="1278"/>
      <c r="H291" s="1278"/>
      <c r="I291" s="1278"/>
      <c r="J291" s="1278"/>
      <c r="K291" s="1278"/>
      <c r="L291" s="1278"/>
      <c r="M291" s="1278"/>
      <c r="N291" s="1278"/>
      <c r="O291" s="1278"/>
      <c r="P291" s="1278"/>
      <c r="Q291" s="1278"/>
      <c r="R291" s="1278"/>
      <c r="S291" s="1115"/>
    </row>
    <row r="292" spans="1:19" x14ac:dyDescent="0.3">
      <c r="A292" s="1462" t="s">
        <v>3336</v>
      </c>
      <c r="B292" s="1243">
        <f t="shared" si="67"/>
        <v>0</v>
      </c>
      <c r="C292" s="1278"/>
      <c r="D292" s="1278"/>
      <c r="E292" s="1278"/>
      <c r="F292" s="1278"/>
      <c r="G292" s="1278"/>
      <c r="H292" s="1278"/>
      <c r="I292" s="1278"/>
      <c r="J292" s="1278"/>
      <c r="K292" s="1278"/>
      <c r="L292" s="1278"/>
      <c r="M292" s="1278"/>
      <c r="N292" s="1278"/>
      <c r="O292" s="1278"/>
      <c r="P292" s="1278"/>
      <c r="Q292" s="1278"/>
      <c r="R292" s="1278"/>
      <c r="S292" s="1115"/>
    </row>
    <row r="293" spans="1:19" x14ac:dyDescent="0.3">
      <c r="A293" s="1462" t="s">
        <v>3334</v>
      </c>
      <c r="B293" s="1243">
        <f t="shared" si="67"/>
        <v>0</v>
      </c>
      <c r="C293" s="1278"/>
      <c r="D293" s="1278"/>
      <c r="E293" s="1278"/>
      <c r="F293" s="1278"/>
      <c r="G293" s="1278"/>
      <c r="H293" s="1278"/>
      <c r="I293" s="1278"/>
      <c r="J293" s="1278"/>
      <c r="K293" s="1278"/>
      <c r="L293" s="1278"/>
      <c r="M293" s="1278"/>
      <c r="N293" s="1278"/>
      <c r="O293" s="1278"/>
      <c r="P293" s="1278"/>
      <c r="Q293" s="1278"/>
      <c r="R293" s="1278"/>
      <c r="S293" s="1115"/>
    </row>
    <row r="294" spans="1:19" x14ac:dyDescent="0.3">
      <c r="A294" s="5011" t="s">
        <v>3431</v>
      </c>
      <c r="B294" s="1243">
        <f t="shared" si="67"/>
        <v>0</v>
      </c>
      <c r="C294" s="1278"/>
      <c r="D294" s="1278"/>
      <c r="E294" s="1278"/>
      <c r="F294" s="1278"/>
      <c r="G294" s="1278"/>
      <c r="H294" s="1278"/>
      <c r="I294" s="1278"/>
      <c r="J294" s="1278"/>
      <c r="K294" s="1278"/>
      <c r="L294" s="1278"/>
      <c r="M294" s="1278"/>
      <c r="N294" s="1278"/>
      <c r="O294" s="1278"/>
      <c r="P294" s="1278"/>
      <c r="Q294" s="1278"/>
      <c r="R294" s="1278"/>
      <c r="S294" s="1115"/>
    </row>
    <row r="295" spans="1:19" x14ac:dyDescent="0.3">
      <c r="A295" s="4973" t="s">
        <v>3337</v>
      </c>
      <c r="B295" s="1243">
        <f t="shared" si="67"/>
        <v>0</v>
      </c>
      <c r="C295" s="1278"/>
      <c r="D295" s="1278"/>
      <c r="E295" s="1278"/>
      <c r="F295" s="1278"/>
      <c r="G295" s="1278"/>
      <c r="H295" s="1278"/>
      <c r="I295" s="1278"/>
      <c r="J295" s="1278"/>
      <c r="K295" s="1278"/>
      <c r="L295" s="1278"/>
      <c r="M295" s="1278"/>
      <c r="N295" s="1278"/>
      <c r="O295" s="1278"/>
      <c r="P295" s="1278"/>
      <c r="Q295" s="1278"/>
      <c r="R295" s="1278"/>
      <c r="S295" s="1115"/>
    </row>
    <row r="296" spans="1:19" x14ac:dyDescent="0.3">
      <c r="A296" s="4973" t="s">
        <v>3521</v>
      </c>
      <c r="B296" s="1243">
        <f t="shared" si="67"/>
        <v>0</v>
      </c>
      <c r="C296" s="1278"/>
      <c r="D296" s="1278"/>
      <c r="E296" s="1278"/>
      <c r="F296" s="1278"/>
      <c r="G296" s="1278"/>
      <c r="H296" s="1278"/>
      <c r="I296" s="1278"/>
      <c r="J296" s="1278"/>
      <c r="K296" s="1278"/>
      <c r="L296" s="1278"/>
      <c r="M296" s="1278"/>
      <c r="N296" s="1278"/>
      <c r="O296" s="1278"/>
      <c r="P296" s="1278"/>
      <c r="Q296" s="1278"/>
      <c r="R296" s="1278"/>
      <c r="S296" s="1115"/>
    </row>
    <row r="297" spans="1:19" x14ac:dyDescent="0.3">
      <c r="A297" s="4973" t="s">
        <v>3429</v>
      </c>
      <c r="B297" s="1243">
        <f t="shared" si="67"/>
        <v>0</v>
      </c>
      <c r="C297" s="1278"/>
      <c r="D297" s="1278"/>
      <c r="E297" s="1278"/>
      <c r="F297" s="1278"/>
      <c r="G297" s="1278"/>
      <c r="H297" s="1278"/>
      <c r="I297" s="1278"/>
      <c r="J297" s="1278"/>
      <c r="K297" s="1278"/>
      <c r="L297" s="1278"/>
      <c r="M297" s="1278"/>
      <c r="N297" s="1278"/>
      <c r="O297" s="1278"/>
      <c r="P297" s="1278"/>
      <c r="Q297" s="1278"/>
      <c r="R297" s="1278"/>
      <c r="S297" s="1115"/>
    </row>
    <row r="298" spans="1:19" x14ac:dyDescent="0.3">
      <c r="A298" s="5011" t="s">
        <v>3436</v>
      </c>
      <c r="B298" s="1243">
        <f t="shared" si="67"/>
        <v>0</v>
      </c>
      <c r="C298" s="1278"/>
      <c r="D298" s="1278"/>
      <c r="E298" s="1278"/>
      <c r="F298" s="1278"/>
      <c r="G298" s="1278"/>
      <c r="H298" s="1278"/>
      <c r="I298" s="1278"/>
      <c r="J298" s="1278"/>
      <c r="K298" s="1278"/>
      <c r="L298" s="1278"/>
      <c r="M298" s="1278"/>
      <c r="N298" s="1278"/>
      <c r="O298" s="1278"/>
      <c r="P298" s="1278"/>
      <c r="Q298" s="1278"/>
      <c r="R298" s="1278"/>
      <c r="S298" s="1115"/>
    </row>
    <row r="299" spans="1:19" x14ac:dyDescent="0.3">
      <c r="A299" s="4973" t="s">
        <v>3522</v>
      </c>
      <c r="B299" s="1243">
        <f t="shared" si="67"/>
        <v>0</v>
      </c>
      <c r="C299" s="1278"/>
      <c r="D299" s="1278"/>
      <c r="E299" s="1278"/>
      <c r="F299" s="1278"/>
      <c r="G299" s="1278"/>
      <c r="H299" s="1278"/>
      <c r="I299" s="1278"/>
      <c r="J299" s="1278"/>
      <c r="K299" s="1278"/>
      <c r="L299" s="1278"/>
      <c r="M299" s="1278"/>
      <c r="N299" s="1278"/>
      <c r="O299" s="1278"/>
      <c r="P299" s="1278"/>
      <c r="Q299" s="1278"/>
      <c r="R299" s="1278"/>
      <c r="S299" s="1115"/>
    </row>
    <row r="300" spans="1:19" x14ac:dyDescent="0.3">
      <c r="A300" s="5011" t="s">
        <v>3344</v>
      </c>
      <c r="B300" s="1243">
        <f t="shared" si="67"/>
        <v>0</v>
      </c>
      <c r="C300" s="1278"/>
      <c r="D300" s="1278"/>
      <c r="E300" s="1278"/>
      <c r="F300" s="1278"/>
      <c r="G300" s="1278"/>
      <c r="H300" s="1278"/>
      <c r="I300" s="1278"/>
      <c r="J300" s="1278"/>
      <c r="K300" s="1278"/>
      <c r="L300" s="1278"/>
      <c r="M300" s="1278"/>
      <c r="N300" s="1278"/>
      <c r="O300" s="1278"/>
      <c r="P300" s="1278"/>
      <c r="Q300" s="1278"/>
      <c r="R300" s="1278"/>
      <c r="S300" s="1115"/>
    </row>
    <row r="301" spans="1:19" x14ac:dyDescent="0.3">
      <c r="A301" s="4973" t="s">
        <v>3111</v>
      </c>
      <c r="B301" s="1243">
        <f t="shared" si="67"/>
        <v>0</v>
      </c>
      <c r="C301" s="1278"/>
      <c r="D301" s="1278"/>
      <c r="E301" s="1278"/>
      <c r="F301" s="1278"/>
      <c r="G301" s="1278"/>
      <c r="H301" s="1278"/>
      <c r="I301" s="1278"/>
      <c r="J301" s="1278"/>
      <c r="K301" s="1278"/>
      <c r="L301" s="1278"/>
      <c r="M301" s="1278"/>
      <c r="N301" s="1278"/>
      <c r="O301" s="1278"/>
      <c r="P301" s="1278"/>
      <c r="Q301" s="1278"/>
      <c r="R301" s="1278"/>
      <c r="S301" s="1115"/>
    </row>
    <row r="302" spans="1:19" x14ac:dyDescent="0.3">
      <c r="A302" s="5011" t="s">
        <v>3345</v>
      </c>
      <c r="B302" s="1243">
        <f t="shared" si="67"/>
        <v>0</v>
      </c>
      <c r="C302" s="535"/>
      <c r="D302" s="535"/>
      <c r="E302" s="535"/>
      <c r="F302" s="535"/>
      <c r="G302" s="535"/>
      <c r="H302" s="535"/>
      <c r="I302" s="535"/>
      <c r="J302" s="535"/>
      <c r="K302" s="535"/>
      <c r="L302" s="535"/>
      <c r="M302" s="535"/>
      <c r="N302" s="535"/>
      <c r="O302" s="535"/>
      <c r="P302" s="535"/>
      <c r="Q302" s="535"/>
      <c r="R302" s="535"/>
      <c r="S302" s="107"/>
    </row>
    <row r="303" spans="1:19" x14ac:dyDescent="0.3">
      <c r="A303" s="4973" t="s">
        <v>3523</v>
      </c>
      <c r="B303" s="1243">
        <f t="shared" si="67"/>
        <v>0</v>
      </c>
      <c r="C303" s="535"/>
      <c r="D303" s="535"/>
      <c r="E303" s="535"/>
      <c r="F303" s="535"/>
      <c r="G303" s="535"/>
      <c r="H303" s="535"/>
      <c r="I303" s="535"/>
      <c r="J303" s="535"/>
      <c r="K303" s="535"/>
      <c r="L303" s="535"/>
      <c r="M303" s="535"/>
      <c r="N303" s="535"/>
      <c r="O303" s="535"/>
      <c r="P303" s="535"/>
      <c r="Q303" s="535"/>
      <c r="R303" s="535"/>
      <c r="S303" s="107"/>
    </row>
    <row r="304" spans="1:19" x14ac:dyDescent="0.3">
      <c r="A304" s="4973" t="s">
        <v>3524</v>
      </c>
      <c r="B304" s="1243">
        <f t="shared" si="67"/>
        <v>0</v>
      </c>
      <c r="C304" s="535"/>
      <c r="D304" s="535"/>
      <c r="E304" s="535"/>
      <c r="F304" s="535"/>
      <c r="G304" s="535"/>
      <c r="H304" s="535"/>
      <c r="I304" s="535"/>
      <c r="J304" s="535"/>
      <c r="K304" s="535"/>
      <c r="L304" s="535"/>
      <c r="M304" s="535"/>
      <c r="N304" s="535"/>
      <c r="O304" s="535"/>
      <c r="P304" s="535"/>
      <c r="Q304" s="535"/>
      <c r="R304" s="535"/>
      <c r="S304" s="107"/>
    </row>
    <row r="305" spans="1:19" x14ac:dyDescent="0.3">
      <c r="A305" s="5011" t="s">
        <v>3346</v>
      </c>
      <c r="B305" s="1243">
        <f t="shared" si="67"/>
        <v>0</v>
      </c>
      <c r="C305" s="1278"/>
      <c r="D305" s="1278"/>
      <c r="E305" s="1278"/>
      <c r="F305" s="1278"/>
      <c r="G305" s="1278"/>
      <c r="H305" s="1278"/>
      <c r="I305" s="1278"/>
      <c r="J305" s="1278"/>
      <c r="K305" s="1278"/>
      <c r="L305" s="1278"/>
      <c r="M305" s="1278"/>
      <c r="N305" s="1278"/>
      <c r="O305" s="1278"/>
      <c r="P305" s="1278"/>
      <c r="Q305" s="1278"/>
      <c r="R305" s="1278"/>
      <c r="S305" s="1115"/>
    </row>
    <row r="306" spans="1:19" x14ac:dyDescent="0.3">
      <c r="A306" s="4857" t="s">
        <v>3433</v>
      </c>
      <c r="B306" s="1243">
        <f t="shared" si="67"/>
        <v>0</v>
      </c>
      <c r="C306" s="1278"/>
      <c r="D306" s="1278"/>
      <c r="E306" s="1278"/>
      <c r="F306" s="1278"/>
      <c r="G306" s="1278"/>
      <c r="H306" s="1278"/>
      <c r="I306" s="1278"/>
      <c r="J306" s="1278"/>
      <c r="K306" s="1278"/>
      <c r="L306" s="1278"/>
      <c r="M306" s="1278"/>
      <c r="N306" s="1278"/>
      <c r="O306" s="1278"/>
      <c r="P306" s="1278"/>
      <c r="Q306" s="1278"/>
      <c r="R306" s="1278"/>
      <c r="S306" s="1115"/>
    </row>
    <row r="307" spans="1:19" x14ac:dyDescent="0.3">
      <c r="A307" s="1223" t="s">
        <v>3525</v>
      </c>
      <c r="B307" s="1243">
        <f t="shared" si="67"/>
        <v>0</v>
      </c>
      <c r="C307" s="1278"/>
      <c r="D307" s="1278"/>
      <c r="E307" s="1278"/>
      <c r="F307" s="1278"/>
      <c r="G307" s="1278"/>
      <c r="H307" s="1278"/>
      <c r="I307" s="1278"/>
      <c r="J307" s="1278"/>
      <c r="K307" s="1278"/>
      <c r="L307" s="1278"/>
      <c r="M307" s="1278"/>
      <c r="N307" s="1278"/>
      <c r="O307" s="1278"/>
      <c r="P307" s="1278"/>
      <c r="Q307" s="1278"/>
      <c r="R307" s="1278"/>
      <c r="S307" s="1115"/>
    </row>
    <row r="308" spans="1:19" x14ac:dyDescent="0.3">
      <c r="A308" s="1223" t="s">
        <v>3332</v>
      </c>
      <c r="B308" s="1243">
        <f t="shared" si="67"/>
        <v>0</v>
      </c>
      <c r="C308" s="1278"/>
      <c r="D308" s="1278"/>
      <c r="E308" s="1278"/>
      <c r="F308" s="1278"/>
      <c r="G308" s="1278"/>
      <c r="H308" s="1278"/>
      <c r="I308" s="1278"/>
      <c r="J308" s="1278"/>
      <c r="K308" s="1278"/>
      <c r="L308" s="1278"/>
      <c r="M308" s="1278"/>
      <c r="N308" s="1278"/>
      <c r="O308" s="1278"/>
      <c r="P308" s="1278"/>
      <c r="Q308" s="1278"/>
      <c r="R308" s="1278"/>
      <c r="S308" s="1115"/>
    </row>
    <row r="309" spans="1:19" x14ac:dyDescent="0.3">
      <c r="A309" s="1223" t="s">
        <v>3437</v>
      </c>
      <c r="B309" s="3668">
        <f t="shared" si="67"/>
        <v>0</v>
      </c>
      <c r="C309" s="594"/>
      <c r="D309" s="594"/>
      <c r="E309" s="594"/>
      <c r="F309" s="594"/>
      <c r="G309" s="594"/>
      <c r="H309" s="594"/>
      <c r="I309" s="594"/>
      <c r="J309" s="594"/>
      <c r="K309" s="594"/>
      <c r="L309" s="594"/>
      <c r="M309" s="594"/>
      <c r="N309" s="594"/>
      <c r="O309" s="594"/>
      <c r="P309" s="594"/>
      <c r="Q309" s="594"/>
      <c r="R309" s="594"/>
      <c r="S309" s="2"/>
    </row>
    <row r="310" spans="1:19" x14ac:dyDescent="0.3">
      <c r="A310" s="5094" t="s">
        <v>3526</v>
      </c>
      <c r="B310" s="1250">
        <f t="shared" si="67"/>
        <v>0</v>
      </c>
      <c r="C310" s="1283"/>
      <c r="D310" s="1283"/>
      <c r="E310" s="1283"/>
      <c r="F310" s="1283"/>
      <c r="G310" s="1283"/>
      <c r="H310" s="1283"/>
      <c r="I310" s="1283"/>
      <c r="J310" s="1283"/>
      <c r="K310" s="1283"/>
      <c r="L310" s="1283"/>
      <c r="M310" s="1283"/>
      <c r="N310" s="1283"/>
      <c r="O310" s="1283"/>
      <c r="P310" s="1283"/>
      <c r="Q310" s="1283"/>
      <c r="R310" s="1283"/>
      <c r="S310" s="388"/>
    </row>
    <row r="351" spans="1:2" hidden="1" x14ac:dyDescent="0.3">
      <c r="A351" s="5095">
        <f>SUM(B13:B24,B29:B52,B56:B60,B65:B68,B73:B76,B97:E97,B105:E105,B113:E113,B117:B118,B122:B124,C128:L143,B149:B177,B179:B183,B188:B194,B200:B205,B211:B214,B218:B221,B249,B254:B256,B260:B286,B290:B310)</f>
        <v>0</v>
      </c>
      <c r="B351" s="5095">
        <f>SUM(CM13:CQ214)</f>
        <v>0</v>
      </c>
    </row>
  </sheetData>
  <sheetProtection algorithmName="SHA-512" hashValue="UufVxZX9l135BQg9gr0JHg4WpNJXhvkcjxHEIE4jWuPTHg63D+hobzhNQw06HZ33YSjedfWNzlxQxZIKhVYUbw==" saltValue="HVF/lVH94a4KaTy5T3vuOg==" spinCount="100000" sheet="1" objects="1" scenarios="1"/>
  <mergeCells count="138">
    <mergeCell ref="T197:X197"/>
    <mergeCell ref="T198:V198"/>
    <mergeCell ref="W198:X198"/>
    <mergeCell ref="A185:A187"/>
    <mergeCell ref="B185:B187"/>
    <mergeCell ref="C185:S186"/>
    <mergeCell ref="T185:X185"/>
    <mergeCell ref="T186:V186"/>
    <mergeCell ref="W186:X186"/>
    <mergeCell ref="A197:A199"/>
    <mergeCell ref="B197:B199"/>
    <mergeCell ref="C197:S198"/>
    <mergeCell ref="A288:A289"/>
    <mergeCell ref="B288:B289"/>
    <mergeCell ref="C288:S288"/>
    <mergeCell ref="A252:A253"/>
    <mergeCell ref="B252:B253"/>
    <mergeCell ref="A208:A210"/>
    <mergeCell ref="B208:B210"/>
    <mergeCell ref="C208:S209"/>
    <mergeCell ref="T208:X208"/>
    <mergeCell ref="T209:V209"/>
    <mergeCell ref="W209:X209"/>
    <mergeCell ref="C252:S252"/>
    <mergeCell ref="A258:A259"/>
    <mergeCell ref="B258:B259"/>
    <mergeCell ref="C258:S258"/>
    <mergeCell ref="AM146:AO146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AN147:AO147"/>
    <mergeCell ref="AI147:AJ147"/>
    <mergeCell ref="AK147:AL147"/>
    <mergeCell ref="AM147:AM148"/>
    <mergeCell ref="AC147:AD147"/>
    <mergeCell ref="AE147:AF147"/>
    <mergeCell ref="AG147:AH147"/>
    <mergeCell ref="A137:A142"/>
    <mergeCell ref="A146:A148"/>
    <mergeCell ref="B146:D147"/>
    <mergeCell ref="E146:AL146"/>
    <mergeCell ref="W147:X147"/>
    <mergeCell ref="Y147:Z147"/>
    <mergeCell ref="AA147:AB147"/>
    <mergeCell ref="A120:A121"/>
    <mergeCell ref="B120:B121"/>
    <mergeCell ref="C120:E120"/>
    <mergeCell ref="F120:F121"/>
    <mergeCell ref="G120:G121"/>
    <mergeCell ref="H120:K120"/>
    <mergeCell ref="A126:A127"/>
    <mergeCell ref="B126:B127"/>
    <mergeCell ref="C126:D126"/>
    <mergeCell ref="E126:F126"/>
    <mergeCell ref="G126:H126"/>
    <mergeCell ref="I126:J126"/>
    <mergeCell ref="K126:L126"/>
    <mergeCell ref="A128:A131"/>
    <mergeCell ref="A132:A136"/>
    <mergeCell ref="A115:A116"/>
    <mergeCell ref="B115:B116"/>
    <mergeCell ref="C115:F115"/>
    <mergeCell ref="G115:H115"/>
    <mergeCell ref="A63:A64"/>
    <mergeCell ref="B63:B64"/>
    <mergeCell ref="C63:S63"/>
    <mergeCell ref="A54:A55"/>
    <mergeCell ref="B54:B55"/>
    <mergeCell ref="C54:F54"/>
    <mergeCell ref="A71:A72"/>
    <mergeCell ref="B71:B72"/>
    <mergeCell ref="C71:S71"/>
    <mergeCell ref="T71:W71"/>
    <mergeCell ref="X71:Z71"/>
    <mergeCell ref="U27:V27"/>
    <mergeCell ref="W27:X27"/>
    <mergeCell ref="Y27:Z27"/>
    <mergeCell ref="G54:H54"/>
    <mergeCell ref="AI27:AJ27"/>
    <mergeCell ref="AK27:AL27"/>
    <mergeCell ref="AM27:AM28"/>
    <mergeCell ref="T63:W63"/>
    <mergeCell ref="X63:Z63"/>
    <mergeCell ref="A26:A28"/>
    <mergeCell ref="B26:D27"/>
    <mergeCell ref="E26:AL26"/>
    <mergeCell ref="AM26:AP26"/>
    <mergeCell ref="E27:F27"/>
    <mergeCell ref="G27:H27"/>
    <mergeCell ref="AP27:AP28"/>
    <mergeCell ref="M27:N27"/>
    <mergeCell ref="O27:P27"/>
    <mergeCell ref="Q27:R27"/>
    <mergeCell ref="S27:T27"/>
    <mergeCell ref="AA27:AB27"/>
    <mergeCell ref="AC27:AD27"/>
    <mergeCell ref="AE27:AF27"/>
    <mergeCell ref="AG27:AH27"/>
    <mergeCell ref="AN27:AN28"/>
    <mergeCell ref="AO27:AO28"/>
    <mergeCell ref="I27:J27"/>
    <mergeCell ref="K27:L27"/>
    <mergeCell ref="AR10:AR12"/>
    <mergeCell ref="AS10:AS12"/>
    <mergeCell ref="E11:F11"/>
    <mergeCell ref="G11:H11"/>
    <mergeCell ref="I11:J11"/>
    <mergeCell ref="K11:L11"/>
    <mergeCell ref="M11:N11"/>
    <mergeCell ref="O11:P11"/>
    <mergeCell ref="Q11:R11"/>
    <mergeCell ref="S11:T11"/>
    <mergeCell ref="AC11:AD11"/>
    <mergeCell ref="AE11:AF11"/>
    <mergeCell ref="AG11:AH11"/>
    <mergeCell ref="AI11:AJ11"/>
    <mergeCell ref="AK11:AL11"/>
    <mergeCell ref="AM11:AM12"/>
    <mergeCell ref="AN11:AN12"/>
    <mergeCell ref="AO11:AO12"/>
    <mergeCell ref="AP11:AP12"/>
    <mergeCell ref="A6:N6"/>
    <mergeCell ref="A10:A12"/>
    <mergeCell ref="B10:D11"/>
    <mergeCell ref="E10:AL10"/>
    <mergeCell ref="AM10:AP10"/>
    <mergeCell ref="AQ10:AQ12"/>
    <mergeCell ref="U11:V11"/>
    <mergeCell ref="W11:X11"/>
    <mergeCell ref="Y11:Z11"/>
    <mergeCell ref="AA11:AB11"/>
  </mergeCells>
  <dataValidations count="5">
    <dataValidation allowBlank="1" showInputMessage="1" showErrorMessage="1" error="Valor no Permitido" sqref="T64 T72" xr:uid="{00000000-0002-0000-1400-000000000000}"/>
    <dataValidation type="whole" operator="greaterThanOrEqual" allowBlank="1" showInputMessage="1" showErrorMessage="1" error="Valor no Permitido" sqref="C122:K124 C260:S286 C290:S310 C65:Z68 B108:E112 C117:H118 C73:Z76 C128:L143 C211:X214 B218:B221 B224:B248 C254:S256 C56:H60 B13:AS24 B80:E97 B100:E105 E149:AO183 C188:X195 C200:X206 E29:AP44 E46:AP52" xr:uid="{00000000-0002-0000-1400-000002000000}">
      <formula1>0</formula1>
    </dataValidation>
    <dataValidation allowBlank="1" sqref="CA6:CE6 CL53 CA53:CE53 CL6 CA29:CF52" xr:uid="{00000000-0002-0000-1400-000003000000}"/>
    <dataValidation type="whole" allowBlank="1" showInputMessage="1" showErrorMessage="1" error="Valor no Permitido" sqref="F62 C61 F70 C179:D183 C146:D177 B144:B177 E148:AL148 W63 T77:Z77 CM6:CT6 CM28 CQ29 CM53:CQ53 CM29:CP52" xr:uid="{00000000-0002-0000-1400-000004000000}">
      <formula1>0</formula1>
      <formula2>1E+30</formula2>
    </dataValidation>
    <dataValidation type="whole" operator="equal" allowBlank="1" showInputMessage="1" showErrorMessage="1" error="Valor no Permitido" sqref="E45:AP45" xr:uid="{A32120D0-91CB-42B2-9784-94D689F3ED11}">
      <formula1>0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CF202"/>
  <sheetViews>
    <sheetView showGridLines="0" zoomScaleNormal="100" workbookViewId="0"/>
  </sheetViews>
  <sheetFormatPr baseColWidth="10" defaultColWidth="11.44140625" defaultRowHeight="14.4" x14ac:dyDescent="0.3"/>
  <cols>
    <col min="1" max="1" width="71.33203125" customWidth="1"/>
    <col min="2" max="2" width="35.44140625" customWidth="1"/>
    <col min="3" max="3" width="19.109375" customWidth="1"/>
    <col min="4" max="4" width="18" customWidth="1"/>
    <col min="5" max="5" width="13.44140625" customWidth="1"/>
    <col min="6" max="6" width="12.5546875" customWidth="1"/>
    <col min="7" max="7" width="12.6640625" customWidth="1"/>
    <col min="12" max="12" width="13.6640625" customWidth="1"/>
    <col min="13" max="13" width="12.33203125" customWidth="1"/>
    <col min="14" max="14" width="15" customWidth="1"/>
    <col min="15" max="16" width="14.6640625" customWidth="1"/>
    <col min="73" max="77" width="13.33203125" customWidth="1"/>
    <col min="78" max="78" width="12" customWidth="1"/>
    <col min="79" max="84" width="11.44140625" hidden="1" customWidth="1"/>
    <col min="85" max="104" width="11.44140625" customWidth="1"/>
    <col min="105" max="105" width="12" customWidth="1"/>
  </cols>
  <sheetData>
    <row r="1" spans="1:84" x14ac:dyDescent="0.3">
      <c r="A1" s="50" t="s">
        <v>23</v>
      </c>
    </row>
    <row r="2" spans="1:84" x14ac:dyDescent="0.3">
      <c r="A2" s="50" t="str">
        <f>CONCATENATE("COMUNA: ",NOMBRE!B2, " (",NOMBRE!C2,NOMBRE!D2,NOMBRE!E2,NOMBRE!F2,NOMBRE!G2,")")</f>
        <v>COMUNA:  ()</v>
      </c>
    </row>
    <row r="3" spans="1:84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84" x14ac:dyDescent="0.3">
      <c r="A4" s="50" t="str">
        <f>CONCATENATE("MES: ",NOMBRE!B6, " (",NOMBRE!C6,NOMBRE!D6,")")</f>
        <v>MES:  ()</v>
      </c>
    </row>
    <row r="5" spans="1:84" x14ac:dyDescent="0.3">
      <c r="A5" s="50" t="str">
        <f>CONCATENATE("AÑO: ",NOMBRE!B7)</f>
        <v>AÑO: 2025</v>
      </c>
    </row>
    <row r="6" spans="1:84" s="9" customFormat="1" ht="18" customHeight="1" x14ac:dyDescent="0.25">
      <c r="A6" s="5819" t="s">
        <v>3527</v>
      </c>
      <c r="B6" s="5819"/>
      <c r="C6" s="5819"/>
      <c r="D6" s="5819"/>
      <c r="E6" s="5819"/>
      <c r="F6" s="5819"/>
      <c r="G6" s="5819"/>
      <c r="H6" s="5819"/>
      <c r="I6" s="5819"/>
      <c r="J6" s="5819"/>
      <c r="K6" s="5819"/>
      <c r="L6" s="5819"/>
      <c r="M6" s="5819"/>
      <c r="N6" s="5819"/>
      <c r="O6" s="5819"/>
      <c r="P6" s="5819"/>
      <c r="Q6" s="5819"/>
      <c r="R6" s="5819"/>
      <c r="S6" s="5819"/>
      <c r="T6" s="5819"/>
      <c r="CA6" s="89"/>
      <c r="CB6" s="89"/>
      <c r="CC6" s="89"/>
      <c r="CD6" s="89"/>
      <c r="CE6" s="89"/>
      <c r="CF6" s="89"/>
    </row>
    <row r="8" spans="1:84" ht="18" customHeight="1" x14ac:dyDescent="0.3">
      <c r="A8" s="922" t="s">
        <v>3528</v>
      </c>
      <c r="B8" s="8"/>
      <c r="C8" s="4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84" ht="50.25" customHeight="1" x14ac:dyDescent="0.3">
      <c r="A9" s="7412" t="s">
        <v>3529</v>
      </c>
      <c r="B9" s="7023" t="s">
        <v>77</v>
      </c>
      <c r="C9" s="7030"/>
      <c r="D9" s="6976"/>
      <c r="E9" s="7449" t="s">
        <v>3530</v>
      </c>
      <c r="F9" s="7449"/>
      <c r="G9" s="7449" t="s">
        <v>44</v>
      </c>
      <c r="H9" s="7449"/>
      <c r="I9" s="7449" t="s">
        <v>3087</v>
      </c>
      <c r="J9" s="7449"/>
      <c r="K9" s="7449" t="s">
        <v>664</v>
      </c>
      <c r="L9" s="7450"/>
      <c r="M9" s="7451" t="s">
        <v>3531</v>
      </c>
      <c r="N9" s="7452"/>
      <c r="O9" s="7452" t="s">
        <v>3532</v>
      </c>
      <c r="P9" s="7452"/>
      <c r="Q9" s="7452" t="s">
        <v>3533</v>
      </c>
      <c r="R9" s="7453"/>
      <c r="S9" s="7454" t="s">
        <v>36</v>
      </c>
      <c r="T9" s="7455" t="s">
        <v>37</v>
      </c>
    </row>
    <row r="10" spans="1:84" x14ac:dyDescent="0.3">
      <c r="A10" s="7391"/>
      <c r="B10" s="1313" t="s">
        <v>79</v>
      </c>
      <c r="C10" s="1007" t="s">
        <v>58</v>
      </c>
      <c r="D10" s="946" t="s">
        <v>59</v>
      </c>
      <c r="E10" s="1314" t="s">
        <v>58</v>
      </c>
      <c r="F10" s="946" t="s">
        <v>59</v>
      </c>
      <c r="G10" s="1314" t="s">
        <v>58</v>
      </c>
      <c r="H10" s="946" t="s">
        <v>59</v>
      </c>
      <c r="I10" s="1314" t="s">
        <v>58</v>
      </c>
      <c r="J10" s="946" t="s">
        <v>59</v>
      </c>
      <c r="K10" s="1314" t="s">
        <v>58</v>
      </c>
      <c r="L10" s="1009" t="s">
        <v>59</v>
      </c>
      <c r="M10" s="1315" t="s">
        <v>3534</v>
      </c>
      <c r="N10" s="1235" t="s">
        <v>2391</v>
      </c>
      <c r="O10" s="1316" t="s">
        <v>3534</v>
      </c>
      <c r="P10" s="1235" t="s">
        <v>2391</v>
      </c>
      <c r="Q10" s="1316" t="s">
        <v>3535</v>
      </c>
      <c r="R10" s="1317" t="s">
        <v>3536</v>
      </c>
      <c r="S10" s="5904"/>
      <c r="T10" s="6910"/>
    </row>
    <row r="11" spans="1:84" x14ac:dyDescent="0.3">
      <c r="A11" s="1318" t="s">
        <v>3537</v>
      </c>
      <c r="B11" s="7024"/>
      <c r="C11" s="7025"/>
      <c r="D11" s="7025"/>
      <c r="E11" s="7025"/>
      <c r="F11" s="7025"/>
      <c r="G11" s="7025"/>
      <c r="H11" s="7025"/>
      <c r="I11" s="7025"/>
      <c r="J11" s="7025"/>
      <c r="K11" s="7025"/>
      <c r="L11" s="7025"/>
      <c r="M11" s="7025"/>
      <c r="N11" s="7025"/>
      <c r="O11" s="7025"/>
      <c r="P11" s="7025"/>
      <c r="Q11" s="7025"/>
      <c r="R11" s="7025"/>
      <c r="S11" s="7025"/>
      <c r="T11" s="7026"/>
      <c r="U11" s="7"/>
    </row>
    <row r="12" spans="1:84" x14ac:dyDescent="0.3">
      <c r="A12" s="1142" t="s">
        <v>3538</v>
      </c>
      <c r="B12" s="1319">
        <f>SUM(C12+D12)</f>
        <v>0</v>
      </c>
      <c r="C12" s="655">
        <f t="shared" ref="C12:D15" si="0">SUM(E12+G12+I12+K12)</f>
        <v>0</v>
      </c>
      <c r="D12" s="1320">
        <f t="shared" si="0"/>
        <v>0</v>
      </c>
      <c r="E12" s="1106"/>
      <c r="F12" s="1107"/>
      <c r="G12" s="1106"/>
      <c r="H12" s="1107"/>
      <c r="I12" s="1106"/>
      <c r="J12" s="1107"/>
      <c r="K12" s="1106"/>
      <c r="L12" s="1284"/>
      <c r="M12" s="1321"/>
      <c r="N12" s="107"/>
      <c r="O12" s="1106"/>
      <c r="P12" s="107"/>
      <c r="Q12" s="1106"/>
      <c r="R12" s="1284"/>
      <c r="S12" s="1321"/>
      <c r="T12" s="107"/>
      <c r="U12" s="1898" t="str">
        <f>CA12&amp;CB12</f>
        <v/>
      </c>
      <c r="AZ12" s="1970"/>
      <c r="BA12" s="1970"/>
      <c r="BB12" s="1970"/>
      <c r="BC12" s="1970"/>
      <c r="BD12" s="1970"/>
      <c r="BE12" s="1970"/>
      <c r="BF12" s="1970"/>
      <c r="BG12" s="1970"/>
      <c r="BH12" s="1970"/>
      <c r="BI12" s="1970"/>
      <c r="BJ12" s="1970"/>
      <c r="BK12" s="1970"/>
      <c r="BL12" s="1970"/>
      <c r="BM12" s="1970"/>
      <c r="BN12" s="1970"/>
      <c r="BO12" s="1970"/>
      <c r="BP12" s="1970"/>
      <c r="BQ12" s="1970"/>
      <c r="BR12" s="1970"/>
      <c r="BS12" s="1970"/>
      <c r="BT12" s="1970"/>
      <c r="BU12" s="1970"/>
      <c r="BV12" s="1970"/>
      <c r="BW12" s="1970"/>
      <c r="BX12" s="1970"/>
      <c r="BY12" s="1970"/>
      <c r="BZ12" s="1970"/>
      <c r="CA12" s="1899" t="str">
        <f>IF(AND($B12&lt;&gt;0,S12=""),"* No olvide digitar la variable "&amp;S$9&amp;""&amp;". Digite CERO si no tiene. ",IF(S12&gt;$B12,"* La variable Pueblos Originarios no puede superar el Total Ambos Sexos. ",""))</f>
        <v/>
      </c>
      <c r="CB12" s="1899" t="str">
        <f>IF(AND($B12&lt;&gt;0,T12=""),"* No olvide digitar la variable "&amp;T$9&amp;""&amp;". Digite CERO si no tiene. ",IF(T12&gt;$B12,"* La variable Migrantes no puede superar el Total Ambos Sexos. ",""))</f>
        <v/>
      </c>
      <c r="CC12" s="1970"/>
      <c r="CD12" s="1970"/>
      <c r="CE12" s="1901">
        <f>IF(AND($B12&lt;&gt;0,S12=""),1,IF(S12&gt;$B12,1,0))</f>
        <v>0</v>
      </c>
      <c r="CF12" s="1901">
        <f>IF(AND($B12&lt;&gt;0,T12=""),1,IF(T12&gt;$B12,1,0))</f>
        <v>0</v>
      </c>
    </row>
    <row r="13" spans="1:84" x14ac:dyDescent="0.3">
      <c r="A13" s="961" t="s">
        <v>3539</v>
      </c>
      <c r="B13" s="200">
        <f>SUM(C13+D13)</f>
        <v>0</v>
      </c>
      <c r="C13" s="375">
        <f>SUM(E13+G13+I13+K13)</f>
        <v>0</v>
      </c>
      <c r="D13" s="52">
        <f t="shared" si="0"/>
        <v>0</v>
      </c>
      <c r="E13" s="192"/>
      <c r="F13" s="2"/>
      <c r="G13" s="192"/>
      <c r="H13" s="2"/>
      <c r="I13" s="192"/>
      <c r="J13" s="2"/>
      <c r="K13" s="192"/>
      <c r="L13" s="376"/>
      <c r="M13" s="377"/>
      <c r="N13" s="2"/>
      <c r="O13" s="192"/>
      <c r="P13" s="2"/>
      <c r="Q13" s="1114"/>
      <c r="R13" s="1322"/>
      <c r="S13" s="377"/>
      <c r="T13" s="2"/>
      <c r="U13" s="1898" t="str">
        <f t="shared" ref="U13:U15" si="1">CA13&amp;CB13</f>
        <v/>
      </c>
      <c r="AZ13" s="1970"/>
      <c r="BA13" s="1970"/>
      <c r="BB13" s="1970"/>
      <c r="BC13" s="1970"/>
      <c r="BD13" s="1970"/>
      <c r="BE13" s="1970"/>
      <c r="BF13" s="1970"/>
      <c r="BG13" s="1970"/>
      <c r="BH13" s="1970"/>
      <c r="BI13" s="1970"/>
      <c r="BJ13" s="1970"/>
      <c r="BK13" s="1970"/>
      <c r="BL13" s="1970"/>
      <c r="BM13" s="1970"/>
      <c r="BN13" s="1970"/>
      <c r="BO13" s="1970"/>
      <c r="BP13" s="1970"/>
      <c r="BQ13" s="1970"/>
      <c r="BR13" s="1970"/>
      <c r="BS13" s="1970"/>
      <c r="BT13" s="1970"/>
      <c r="BU13" s="1970"/>
      <c r="BV13" s="1970"/>
      <c r="BW13" s="1970"/>
      <c r="BX13" s="1970"/>
      <c r="BY13" s="1970"/>
      <c r="BZ13" s="1970"/>
      <c r="CA13" s="1899" t="str">
        <f t="shared" ref="CA13:CA15" si="2">IF(AND($B13&lt;&gt;0,S13=""),"* No olvide digitar la variable "&amp;S$9&amp;""&amp;". Digite CERO si no tiene. ",IF(S13&gt;$B13,"* La variable Pueblos Originarios no puede superar el Total Ambos Sexos. ",""))</f>
        <v/>
      </c>
      <c r="CB13" s="1899" t="str">
        <f t="shared" ref="CB13:CB15" si="3">IF(AND($B13&lt;&gt;0,T13=""),"* No olvide digitar la variable "&amp;T$9&amp;""&amp;". Digite CERO si no tiene. ",IF(T13&gt;$B13,"* La variable Migrantes no puede superar el Total Ambos Sexos. ",""))</f>
        <v/>
      </c>
      <c r="CC13" s="1970"/>
      <c r="CD13" s="1970"/>
      <c r="CE13" s="1901">
        <f t="shared" ref="CE13:CF15" si="4">IF(AND($B13&lt;&gt;0,S13=""),1,IF(S13&gt;$B13,1,0))</f>
        <v>0</v>
      </c>
      <c r="CF13" s="1901">
        <f t="shared" si="4"/>
        <v>0</v>
      </c>
    </row>
    <row r="14" spans="1:84" x14ac:dyDescent="0.3">
      <c r="A14" s="961" t="s">
        <v>3540</v>
      </c>
      <c r="B14" s="1323">
        <f>SUM(C14+D14)</f>
        <v>0</v>
      </c>
      <c r="C14" s="1324">
        <f t="shared" si="0"/>
        <v>0</v>
      </c>
      <c r="D14" s="1325">
        <f t="shared" si="0"/>
        <v>0</v>
      </c>
      <c r="E14" s="1114"/>
      <c r="F14" s="1115"/>
      <c r="G14" s="1114"/>
      <c r="H14" s="1115"/>
      <c r="I14" s="1114"/>
      <c r="J14" s="1115"/>
      <c r="K14" s="1114"/>
      <c r="L14" s="1322"/>
      <c r="M14" s="1326"/>
      <c r="N14" s="1115"/>
      <c r="O14" s="1114"/>
      <c r="P14" s="1115"/>
      <c r="Q14" s="1114"/>
      <c r="R14" s="1327"/>
      <c r="S14" s="1326"/>
      <c r="T14" s="1115"/>
      <c r="U14" s="1898" t="str">
        <f t="shared" si="1"/>
        <v/>
      </c>
      <c r="AZ14" s="1970"/>
      <c r="BA14" s="1970"/>
      <c r="BB14" s="1970"/>
      <c r="BC14" s="1970"/>
      <c r="BD14" s="1970"/>
      <c r="BE14" s="1970"/>
      <c r="BF14" s="1970"/>
      <c r="BG14" s="1970"/>
      <c r="BH14" s="1970"/>
      <c r="BI14" s="1970"/>
      <c r="BJ14" s="1970"/>
      <c r="BK14" s="1970"/>
      <c r="BL14" s="1970"/>
      <c r="BM14" s="1970"/>
      <c r="BN14" s="1970"/>
      <c r="BO14" s="1970"/>
      <c r="BP14" s="1970"/>
      <c r="BQ14" s="1970"/>
      <c r="BR14" s="1970"/>
      <c r="BS14" s="1970"/>
      <c r="BT14" s="1970"/>
      <c r="BU14" s="1970"/>
      <c r="BV14" s="1970"/>
      <c r="BW14" s="1970"/>
      <c r="BX14" s="1970"/>
      <c r="BY14" s="1970"/>
      <c r="BZ14" s="1970"/>
      <c r="CA14" s="1899" t="str">
        <f t="shared" si="2"/>
        <v/>
      </c>
      <c r="CB14" s="1899" t="str">
        <f t="shared" si="3"/>
        <v/>
      </c>
      <c r="CC14" s="1970"/>
      <c r="CD14" s="1970"/>
      <c r="CE14" s="1901">
        <f t="shared" si="4"/>
        <v>0</v>
      </c>
      <c r="CF14" s="1901">
        <f t="shared" si="4"/>
        <v>0</v>
      </c>
    </row>
    <row r="15" spans="1:84" x14ac:dyDescent="0.3">
      <c r="A15" s="961" t="s">
        <v>3541</v>
      </c>
      <c r="B15" s="1328">
        <f>SUM(C15+D15)</f>
        <v>0</v>
      </c>
      <c r="C15" s="1329">
        <f>SUM(E15+G15+I15+K15)</f>
        <v>0</v>
      </c>
      <c r="D15" s="52">
        <f t="shared" si="0"/>
        <v>0</v>
      </c>
      <c r="E15" s="192"/>
      <c r="F15" s="2"/>
      <c r="G15" s="192"/>
      <c r="H15" s="2"/>
      <c r="I15" s="192"/>
      <c r="J15" s="2"/>
      <c r="K15" s="192"/>
      <c r="L15" s="376"/>
      <c r="M15" s="1330"/>
      <c r="N15" s="2"/>
      <c r="O15" s="1139"/>
      <c r="P15" s="2"/>
      <c r="Q15" s="1139"/>
      <c r="R15" s="381"/>
      <c r="S15" s="1330"/>
      <c r="T15" s="2"/>
      <c r="U15" s="1898" t="str">
        <f t="shared" si="1"/>
        <v/>
      </c>
      <c r="AZ15" s="1970"/>
      <c r="BA15" s="1970"/>
      <c r="BB15" s="1970"/>
      <c r="BC15" s="1970"/>
      <c r="BD15" s="1970"/>
      <c r="BE15" s="1970"/>
      <c r="BF15" s="1970"/>
      <c r="BG15" s="1970"/>
      <c r="BH15" s="1970"/>
      <c r="BI15" s="1970"/>
      <c r="BJ15" s="1970"/>
      <c r="BK15" s="1970"/>
      <c r="BL15" s="1970"/>
      <c r="BM15" s="1970"/>
      <c r="BN15" s="1970"/>
      <c r="BO15" s="1970"/>
      <c r="BP15" s="1970"/>
      <c r="BQ15" s="1970"/>
      <c r="BR15" s="1970"/>
      <c r="BS15" s="1970"/>
      <c r="BT15" s="1970"/>
      <c r="BU15" s="1970"/>
      <c r="BV15" s="1970"/>
      <c r="BW15" s="1970"/>
      <c r="BX15" s="1970"/>
      <c r="BY15" s="1970"/>
      <c r="BZ15" s="1970"/>
      <c r="CA15" s="1899" t="str">
        <f t="shared" si="2"/>
        <v/>
      </c>
      <c r="CB15" s="1899" t="str">
        <f t="shared" si="3"/>
        <v/>
      </c>
      <c r="CC15" s="1970"/>
      <c r="CD15" s="1970"/>
      <c r="CE15" s="1901">
        <f t="shared" si="4"/>
        <v>0</v>
      </c>
      <c r="CF15" s="1901">
        <f t="shared" si="4"/>
        <v>0</v>
      </c>
    </row>
    <row r="16" spans="1:84" x14ac:dyDescent="0.3">
      <c r="A16" s="1318" t="s">
        <v>3542</v>
      </c>
      <c r="B16" s="7024"/>
      <c r="C16" s="7025"/>
      <c r="D16" s="7025"/>
      <c r="E16" s="7025"/>
      <c r="F16" s="7025"/>
      <c r="G16" s="7025"/>
      <c r="H16" s="7025"/>
      <c r="I16" s="7025"/>
      <c r="J16" s="7025"/>
      <c r="K16" s="7025"/>
      <c r="L16" s="7025"/>
      <c r="M16" s="7025"/>
      <c r="N16" s="7025"/>
      <c r="O16" s="7025"/>
      <c r="P16" s="7025"/>
      <c r="Q16" s="7025"/>
      <c r="R16" s="7025"/>
      <c r="S16" s="7025"/>
      <c r="T16" s="7026"/>
    </row>
    <row r="17" spans="1:84" x14ac:dyDescent="0.3">
      <c r="A17" s="1167" t="s">
        <v>3543</v>
      </c>
      <c r="B17" s="1319">
        <f t="shared" ref="B17:B22" si="5">SUM(C17+D17)</f>
        <v>0</v>
      </c>
      <c r="C17" s="655">
        <f t="shared" ref="C17:D22" si="6">SUM(E17+G17+I17+K17)</f>
        <v>0</v>
      </c>
      <c r="D17" s="108">
        <f t="shared" si="6"/>
        <v>0</v>
      </c>
      <c r="E17" s="290"/>
      <c r="F17" s="107"/>
      <c r="G17" s="290"/>
      <c r="H17" s="107"/>
      <c r="I17" s="290"/>
      <c r="J17" s="107"/>
      <c r="K17" s="290"/>
      <c r="L17" s="61"/>
      <c r="M17" s="1331"/>
      <c r="N17" s="130"/>
      <c r="O17" s="1332"/>
      <c r="P17" s="130"/>
      <c r="Q17" s="1106"/>
      <c r="R17" s="240"/>
      <c r="S17" s="1321"/>
      <c r="T17" s="107"/>
      <c r="U17" s="1898" t="str">
        <f t="shared" ref="U17:U22" si="7">CA17&amp;CB17</f>
        <v/>
      </c>
      <c r="AZ17" s="1970"/>
      <c r="BA17" s="1970"/>
      <c r="BB17" s="1970"/>
      <c r="BC17" s="1970"/>
      <c r="BD17" s="1970"/>
      <c r="BE17" s="1970"/>
      <c r="BF17" s="1970"/>
      <c r="BG17" s="1970"/>
      <c r="BH17" s="1970"/>
      <c r="BI17" s="1970"/>
      <c r="BJ17" s="1970"/>
      <c r="BK17" s="1970"/>
      <c r="BL17" s="1970"/>
      <c r="BM17" s="1970"/>
      <c r="BN17" s="1970"/>
      <c r="BO17" s="1970"/>
      <c r="BP17" s="1970"/>
      <c r="BQ17" s="1970"/>
      <c r="BR17" s="1970"/>
      <c r="BS17" s="1970"/>
      <c r="BT17" s="1970"/>
      <c r="BU17" s="1970"/>
      <c r="BV17" s="1970"/>
      <c r="BW17" s="1970"/>
      <c r="BX17" s="1970"/>
      <c r="BY17" s="1970"/>
      <c r="BZ17" s="1970"/>
      <c r="CA17" s="1899" t="str">
        <f t="shared" ref="CA17:CA22" si="8">IF(AND($B17&lt;&gt;0,S17=""),"* No olvide digitar la variable "&amp;S$9&amp;""&amp;". Digite CERO si no tiene. ",IF(S17&gt;$B17,"* La variable Pueblos Originarios no puede superar el Total Ambos Sexos. ",""))</f>
        <v/>
      </c>
      <c r="CB17" s="1899" t="str">
        <f t="shared" ref="CB17:CB22" si="9">IF(AND($B17&lt;&gt;0,T17=""),"* No olvide digitar la variable "&amp;T$9&amp;""&amp;". Digite CERO si no tiene. ",IF(T17&gt;$B17,"* La variable Migrantes no puede superar el Total Ambos Sexos. ",""))</f>
        <v/>
      </c>
      <c r="CC17" s="1970"/>
      <c r="CD17" s="1970"/>
      <c r="CE17" s="1901">
        <f t="shared" ref="CE17:CF22" si="10">IF(AND($B17&lt;&gt;0,S17=""),1,IF(S17&gt;$B17,1,0))</f>
        <v>0</v>
      </c>
      <c r="CF17" s="1901">
        <f t="shared" si="10"/>
        <v>0</v>
      </c>
    </row>
    <row r="18" spans="1:84" x14ac:dyDescent="0.3">
      <c r="A18" s="1333" t="s">
        <v>3544</v>
      </c>
      <c r="B18" s="1323">
        <f t="shared" si="5"/>
        <v>0</v>
      </c>
      <c r="C18" s="1324">
        <f>SUM(E18+G18+I18+K18)</f>
        <v>0</v>
      </c>
      <c r="D18" s="1325">
        <f t="shared" si="6"/>
        <v>0</v>
      </c>
      <c r="E18" s="1114"/>
      <c r="F18" s="1115"/>
      <c r="G18" s="1114"/>
      <c r="H18" s="1115"/>
      <c r="I18" s="1114"/>
      <c r="J18" s="1115"/>
      <c r="K18" s="1114"/>
      <c r="L18" s="1322"/>
      <c r="M18" s="1334"/>
      <c r="N18" s="1335"/>
      <c r="O18" s="1336"/>
      <c r="P18" s="1335"/>
      <c r="Q18" s="1114"/>
      <c r="R18" s="1327"/>
      <c r="S18" s="1326"/>
      <c r="T18" s="1115"/>
      <c r="U18" s="1898" t="str">
        <f t="shared" si="7"/>
        <v/>
      </c>
      <c r="AZ18" s="1970"/>
      <c r="BA18" s="1970"/>
      <c r="BB18" s="1970"/>
      <c r="BC18" s="1970"/>
      <c r="BD18" s="1970"/>
      <c r="BE18" s="1970"/>
      <c r="BF18" s="1970"/>
      <c r="BG18" s="1970"/>
      <c r="BH18" s="1970"/>
      <c r="BI18" s="1970"/>
      <c r="BJ18" s="1970"/>
      <c r="BK18" s="1970"/>
      <c r="BL18" s="1970"/>
      <c r="BM18" s="1970"/>
      <c r="BN18" s="1970"/>
      <c r="BO18" s="1970"/>
      <c r="BP18" s="1970"/>
      <c r="BQ18" s="1970"/>
      <c r="BR18" s="1970"/>
      <c r="BS18" s="1970"/>
      <c r="BT18" s="1970"/>
      <c r="BU18" s="1970"/>
      <c r="BV18" s="1970"/>
      <c r="BW18" s="1970"/>
      <c r="BX18" s="1970"/>
      <c r="BY18" s="1970"/>
      <c r="BZ18" s="1970"/>
      <c r="CA18" s="1899" t="str">
        <f t="shared" si="8"/>
        <v/>
      </c>
      <c r="CB18" s="1899" t="str">
        <f t="shared" si="9"/>
        <v/>
      </c>
      <c r="CC18" s="1970"/>
      <c r="CD18" s="1970"/>
      <c r="CE18" s="1901">
        <f t="shared" si="10"/>
        <v>0</v>
      </c>
      <c r="CF18" s="1901">
        <f t="shared" si="10"/>
        <v>0</v>
      </c>
    </row>
    <row r="19" spans="1:84" x14ac:dyDescent="0.3">
      <c r="A19" s="1333" t="s">
        <v>3545</v>
      </c>
      <c r="B19" s="1323">
        <f t="shared" si="5"/>
        <v>0</v>
      </c>
      <c r="C19" s="1324">
        <f t="shared" si="6"/>
        <v>0</v>
      </c>
      <c r="D19" s="1337">
        <f t="shared" si="6"/>
        <v>0</v>
      </c>
      <c r="E19" s="1114"/>
      <c r="F19" s="1338"/>
      <c r="G19" s="1114"/>
      <c r="H19" s="1338"/>
      <c r="I19" s="1114"/>
      <c r="J19" s="1338"/>
      <c r="K19" s="1114"/>
      <c r="L19" s="1322"/>
      <c r="M19" s="1334"/>
      <c r="N19" s="1335"/>
      <c r="O19" s="1336"/>
      <c r="P19" s="1335"/>
      <c r="Q19" s="1114"/>
      <c r="R19" s="1327"/>
      <c r="S19" s="1326"/>
      <c r="T19" s="1115"/>
      <c r="U19" s="1898" t="str">
        <f t="shared" si="7"/>
        <v/>
      </c>
      <c r="AZ19" s="1970"/>
      <c r="BA19" s="1970"/>
      <c r="BB19" s="1970"/>
      <c r="BC19" s="1970"/>
      <c r="BD19" s="1970"/>
      <c r="BE19" s="1970"/>
      <c r="BF19" s="1970"/>
      <c r="BG19" s="1970"/>
      <c r="BH19" s="1970"/>
      <c r="BI19" s="1970"/>
      <c r="BJ19" s="1970"/>
      <c r="BK19" s="1970"/>
      <c r="BL19" s="1970"/>
      <c r="BM19" s="1970"/>
      <c r="BN19" s="1970"/>
      <c r="BO19" s="1970"/>
      <c r="BP19" s="1970"/>
      <c r="BQ19" s="1970"/>
      <c r="BR19" s="1970"/>
      <c r="BS19" s="1970"/>
      <c r="BT19" s="1970"/>
      <c r="BU19" s="1970"/>
      <c r="BV19" s="1970"/>
      <c r="BW19" s="1970"/>
      <c r="BX19" s="1970"/>
      <c r="BY19" s="1970"/>
      <c r="BZ19" s="1970"/>
      <c r="CA19" s="1899" t="str">
        <f t="shared" si="8"/>
        <v/>
      </c>
      <c r="CB19" s="1899" t="str">
        <f t="shared" si="9"/>
        <v/>
      </c>
      <c r="CC19" s="1970"/>
      <c r="CD19" s="1970"/>
      <c r="CE19" s="1901">
        <f t="shared" si="10"/>
        <v>0</v>
      </c>
      <c r="CF19" s="1901">
        <f t="shared" si="10"/>
        <v>0</v>
      </c>
    </row>
    <row r="20" spans="1:84" x14ac:dyDescent="0.3">
      <c r="A20" s="1333" t="s">
        <v>3546</v>
      </c>
      <c r="B20" s="1323">
        <f t="shared" si="5"/>
        <v>0</v>
      </c>
      <c r="C20" s="1324">
        <f t="shared" si="6"/>
        <v>0</v>
      </c>
      <c r="D20" s="1325">
        <f t="shared" si="6"/>
        <v>0</v>
      </c>
      <c r="E20" s="1114"/>
      <c r="F20" s="1118"/>
      <c r="G20" s="1114"/>
      <c r="H20" s="1118"/>
      <c r="I20" s="1114"/>
      <c r="J20" s="1118"/>
      <c r="K20" s="1114"/>
      <c r="L20" s="1120"/>
      <c r="M20" s="1334"/>
      <c r="N20" s="1335"/>
      <c r="O20" s="1336"/>
      <c r="P20" s="1335"/>
      <c r="Q20" s="1114"/>
      <c r="R20" s="1327"/>
      <c r="S20" s="1326"/>
      <c r="T20" s="1115"/>
      <c r="U20" s="1898" t="str">
        <f t="shared" si="7"/>
        <v/>
      </c>
      <c r="AZ20" s="1970"/>
      <c r="BA20" s="1970"/>
      <c r="BB20" s="1970"/>
      <c r="BC20" s="1970"/>
      <c r="BD20" s="1970"/>
      <c r="BE20" s="1970"/>
      <c r="BF20" s="1970"/>
      <c r="BG20" s="1970"/>
      <c r="BH20" s="1970"/>
      <c r="BI20" s="1970"/>
      <c r="BJ20" s="1970"/>
      <c r="BK20" s="1970"/>
      <c r="BL20" s="1970"/>
      <c r="BM20" s="1970"/>
      <c r="BN20" s="1970"/>
      <c r="BO20" s="1970"/>
      <c r="BP20" s="1970"/>
      <c r="BQ20" s="1970"/>
      <c r="BR20" s="1970"/>
      <c r="BS20" s="1970"/>
      <c r="BT20" s="1970"/>
      <c r="BU20" s="1970"/>
      <c r="BV20" s="1970"/>
      <c r="BW20" s="1970"/>
      <c r="BX20" s="1970"/>
      <c r="BY20" s="1970"/>
      <c r="BZ20" s="1970"/>
      <c r="CA20" s="1899" t="str">
        <f t="shared" si="8"/>
        <v/>
      </c>
      <c r="CB20" s="1899" t="str">
        <f t="shared" si="9"/>
        <v/>
      </c>
      <c r="CC20" s="1970"/>
      <c r="CD20" s="1970"/>
      <c r="CE20" s="1901">
        <f t="shared" si="10"/>
        <v>0</v>
      </c>
      <c r="CF20" s="1901">
        <f t="shared" si="10"/>
        <v>0</v>
      </c>
    </row>
    <row r="21" spans="1:84" x14ac:dyDescent="0.3">
      <c r="A21" s="1339" t="s">
        <v>3547</v>
      </c>
      <c r="B21" s="1323">
        <f t="shared" si="5"/>
        <v>0</v>
      </c>
      <c r="C21" s="1324">
        <f t="shared" si="6"/>
        <v>0</v>
      </c>
      <c r="D21" s="1325">
        <f t="shared" si="6"/>
        <v>0</v>
      </c>
      <c r="E21" s="1114"/>
      <c r="F21" s="1118"/>
      <c r="G21" s="1114"/>
      <c r="H21" s="1118"/>
      <c r="I21" s="1114"/>
      <c r="J21" s="1118"/>
      <c r="K21" s="1114"/>
      <c r="L21" s="1120"/>
      <c r="M21" s="1334"/>
      <c r="N21" s="1335"/>
      <c r="O21" s="1336"/>
      <c r="P21" s="1335"/>
      <c r="Q21" s="1114"/>
      <c r="R21" s="1327"/>
      <c r="S21" s="1326"/>
      <c r="T21" s="1115"/>
      <c r="U21" s="1898" t="str">
        <f t="shared" si="7"/>
        <v/>
      </c>
      <c r="AZ21" s="1970"/>
      <c r="BA21" s="1970"/>
      <c r="BB21" s="1970"/>
      <c r="BC21" s="1970"/>
      <c r="BD21" s="1970"/>
      <c r="BE21" s="1970"/>
      <c r="BF21" s="1970"/>
      <c r="BG21" s="1970"/>
      <c r="BH21" s="1970"/>
      <c r="BI21" s="1970"/>
      <c r="BJ21" s="1970"/>
      <c r="BK21" s="1970"/>
      <c r="BL21" s="1970"/>
      <c r="BM21" s="1970"/>
      <c r="BN21" s="1970"/>
      <c r="BO21" s="1970"/>
      <c r="BP21" s="1970"/>
      <c r="BQ21" s="1970"/>
      <c r="BR21" s="1970"/>
      <c r="BS21" s="1970"/>
      <c r="BT21" s="1970"/>
      <c r="BU21" s="1970"/>
      <c r="BV21" s="1970"/>
      <c r="BW21" s="1970"/>
      <c r="BX21" s="1970"/>
      <c r="BY21" s="1970"/>
      <c r="BZ21" s="1970"/>
      <c r="CA21" s="1899" t="str">
        <f t="shared" si="8"/>
        <v/>
      </c>
      <c r="CB21" s="1899" t="str">
        <f t="shared" si="9"/>
        <v/>
      </c>
      <c r="CC21" s="1970"/>
      <c r="CD21" s="1970"/>
      <c r="CE21" s="1901">
        <f t="shared" si="10"/>
        <v>0</v>
      </c>
      <c r="CF21" s="1901">
        <f t="shared" si="10"/>
        <v>0</v>
      </c>
    </row>
    <row r="22" spans="1:84" x14ac:dyDescent="0.3">
      <c r="A22" s="382" t="s">
        <v>1037</v>
      </c>
      <c r="B22" s="1328">
        <f t="shared" si="5"/>
        <v>0</v>
      </c>
      <c r="C22" s="1329">
        <f t="shared" si="6"/>
        <v>0</v>
      </c>
      <c r="D22" s="52">
        <f t="shared" si="6"/>
        <v>0</v>
      </c>
      <c r="E22" s="192"/>
      <c r="F22" s="383"/>
      <c r="G22" s="192"/>
      <c r="H22" s="383"/>
      <c r="I22" s="192"/>
      <c r="J22" s="383"/>
      <c r="K22" s="192"/>
      <c r="L22" s="384"/>
      <c r="M22" s="1340"/>
      <c r="N22" s="131"/>
      <c r="O22" s="1341"/>
      <c r="P22" s="131"/>
      <c r="Q22" s="1341"/>
      <c r="R22" s="381"/>
      <c r="S22" s="1330"/>
      <c r="T22" s="2"/>
      <c r="U22" s="1898" t="str">
        <f t="shared" si="7"/>
        <v/>
      </c>
      <c r="AZ22" s="1970"/>
      <c r="BA22" s="1970"/>
      <c r="BB22" s="1970"/>
      <c r="BC22" s="1970"/>
      <c r="BD22" s="1970"/>
      <c r="BE22" s="1970"/>
      <c r="BF22" s="1970"/>
      <c r="BG22" s="1970"/>
      <c r="BH22" s="1970"/>
      <c r="BI22" s="1970"/>
      <c r="BJ22" s="1970"/>
      <c r="BK22" s="1970"/>
      <c r="BL22" s="1970"/>
      <c r="BM22" s="1970"/>
      <c r="BN22" s="1970"/>
      <c r="BO22" s="1970"/>
      <c r="BP22" s="1970"/>
      <c r="BQ22" s="1970"/>
      <c r="BR22" s="1970"/>
      <c r="BS22" s="1970"/>
      <c r="BT22" s="1970"/>
      <c r="BU22" s="1970"/>
      <c r="BV22" s="1970"/>
      <c r="BW22" s="1970"/>
      <c r="BX22" s="1970"/>
      <c r="BY22" s="1970"/>
      <c r="BZ22" s="1970"/>
      <c r="CA22" s="1899" t="str">
        <f t="shared" si="8"/>
        <v/>
      </c>
      <c r="CB22" s="1899" t="str">
        <f t="shared" si="9"/>
        <v/>
      </c>
      <c r="CC22" s="1970"/>
      <c r="CD22" s="1970"/>
      <c r="CE22" s="1901">
        <f t="shared" si="10"/>
        <v>0</v>
      </c>
      <c r="CF22" s="1901">
        <f t="shared" si="10"/>
        <v>0</v>
      </c>
    </row>
    <row r="23" spans="1:84" x14ac:dyDescent="0.3">
      <c r="A23" s="1342" t="s">
        <v>3548</v>
      </c>
      <c r="B23" s="7024"/>
      <c r="C23" s="7025"/>
      <c r="D23" s="7025"/>
      <c r="E23" s="7025"/>
      <c r="F23" s="7025"/>
      <c r="G23" s="7025"/>
      <c r="H23" s="7025"/>
      <c r="I23" s="7025"/>
      <c r="J23" s="7025"/>
      <c r="K23" s="7025"/>
      <c r="L23" s="7025"/>
      <c r="M23" s="7025"/>
      <c r="N23" s="7025"/>
      <c r="O23" s="7025"/>
      <c r="P23" s="7025"/>
      <c r="Q23" s="7025"/>
      <c r="R23" s="7025"/>
      <c r="S23" s="7025"/>
      <c r="T23" s="7026"/>
    </row>
    <row r="24" spans="1:84" x14ac:dyDescent="0.3">
      <c r="A24" s="1343" t="s">
        <v>3549</v>
      </c>
      <c r="B24" s="1344">
        <f>SUM(C24+D24)</f>
        <v>0</v>
      </c>
      <c r="C24" s="1345">
        <f>SUM(E24+G24+I24+K24)</f>
        <v>0</v>
      </c>
      <c r="D24" s="1346">
        <f>SUM(F24+H24+J24+L24)</f>
        <v>0</v>
      </c>
      <c r="E24" s="1347"/>
      <c r="F24" s="1348"/>
      <c r="G24" s="1347"/>
      <c r="H24" s="1348"/>
      <c r="I24" s="1347"/>
      <c r="J24" s="1348"/>
      <c r="K24" s="1347"/>
      <c r="L24" s="1349"/>
      <c r="M24" s="1331"/>
      <c r="N24" s="130"/>
      <c r="O24" s="1332"/>
      <c r="P24" s="130"/>
      <c r="Q24" s="1106"/>
      <c r="R24" s="240"/>
      <c r="S24" s="1321"/>
      <c r="T24" s="107"/>
      <c r="U24" s="1898" t="str">
        <f t="shared" ref="U24:U25" si="11">CA24&amp;CB24</f>
        <v/>
      </c>
      <c r="AZ24" s="1970"/>
      <c r="BA24" s="1970"/>
      <c r="BB24" s="1970"/>
      <c r="BC24" s="1970"/>
      <c r="BD24" s="1970"/>
      <c r="BE24" s="1970"/>
      <c r="BF24" s="1970"/>
      <c r="BG24" s="1970"/>
      <c r="BH24" s="1970"/>
      <c r="BI24" s="1970"/>
      <c r="BJ24" s="1970"/>
      <c r="BK24" s="1970"/>
      <c r="BL24" s="1970"/>
      <c r="BM24" s="1970"/>
      <c r="BN24" s="1970"/>
      <c r="BO24" s="1970"/>
      <c r="BP24" s="1970"/>
      <c r="BQ24" s="1970"/>
      <c r="BR24" s="1970"/>
      <c r="BS24" s="1970"/>
      <c r="BT24" s="1970"/>
      <c r="BU24" s="1970"/>
      <c r="BV24" s="1970"/>
      <c r="BW24" s="1970"/>
      <c r="BX24" s="1970"/>
      <c r="BY24" s="1970"/>
      <c r="BZ24" s="1970"/>
      <c r="CA24" s="1899" t="str">
        <f t="shared" ref="CA24:CA25" si="12">IF(AND($B24&lt;&gt;0,S24=""),"* No olvide digitar la variable "&amp;S$9&amp;""&amp;". Digite CERO si no tiene. ",IF(S24&gt;$B24,"* La variable Pueblos Originarios no puede superar el Total Ambos Sexos. ",""))</f>
        <v/>
      </c>
      <c r="CB24" s="1899" t="str">
        <f t="shared" ref="CB24:CB25" si="13">IF(AND($B24&lt;&gt;0,T24=""),"* No olvide digitar la variable "&amp;T$9&amp;""&amp;". Digite CERO si no tiene. ",IF(T24&gt;$B24,"* La variable Migrantes no puede superar el Total Ambos Sexos. ",""))</f>
        <v/>
      </c>
      <c r="CC24" s="1970"/>
      <c r="CD24" s="1970"/>
      <c r="CE24" s="1901">
        <f t="shared" ref="CE24:CF25" si="14">IF(AND($B24&lt;&gt;0,S24=""),1,IF(S24&gt;$B24,1,0))</f>
        <v>0</v>
      </c>
      <c r="CF24" s="1901">
        <f t="shared" si="14"/>
        <v>0</v>
      </c>
    </row>
    <row r="25" spans="1:84" x14ac:dyDescent="0.3">
      <c r="A25" s="7" t="s">
        <v>3550</v>
      </c>
      <c r="B25" s="1328">
        <f>SUM(C25+D25)</f>
        <v>0</v>
      </c>
      <c r="C25" s="1329">
        <f>SUM(E25+G25+I25+K25)</f>
        <v>0</v>
      </c>
      <c r="D25" s="52">
        <f>SUM(F25+H25+J25+L25)</f>
        <v>0</v>
      </c>
      <c r="E25" s="192"/>
      <c r="F25" s="2"/>
      <c r="G25" s="192"/>
      <c r="H25" s="2"/>
      <c r="I25" s="192"/>
      <c r="J25" s="2"/>
      <c r="K25" s="192"/>
      <c r="L25" s="376"/>
      <c r="M25" s="1340"/>
      <c r="N25" s="131"/>
      <c r="O25" s="1341"/>
      <c r="P25" s="131"/>
      <c r="Q25" s="1341"/>
      <c r="R25" s="381"/>
      <c r="S25" s="1330"/>
      <c r="T25" s="2"/>
      <c r="U25" s="1898" t="str">
        <f t="shared" si="11"/>
        <v/>
      </c>
      <c r="AZ25" s="1970"/>
      <c r="BA25" s="1970"/>
      <c r="BB25" s="1970"/>
      <c r="BC25" s="1970"/>
      <c r="BD25" s="1970"/>
      <c r="BE25" s="1970"/>
      <c r="BF25" s="1970"/>
      <c r="BG25" s="1970"/>
      <c r="BH25" s="1970"/>
      <c r="BI25" s="1970"/>
      <c r="BJ25" s="1970"/>
      <c r="BK25" s="1970"/>
      <c r="BL25" s="1970"/>
      <c r="BM25" s="1970"/>
      <c r="BN25" s="1970"/>
      <c r="BO25" s="1970"/>
      <c r="BP25" s="1970"/>
      <c r="BQ25" s="1970"/>
      <c r="BR25" s="1970"/>
      <c r="BS25" s="1970"/>
      <c r="BT25" s="1970"/>
      <c r="BU25" s="1970"/>
      <c r="BV25" s="1970"/>
      <c r="BW25" s="1970"/>
      <c r="BX25" s="1970"/>
      <c r="BY25" s="1970"/>
      <c r="BZ25" s="1970"/>
      <c r="CA25" s="1899" t="str">
        <f t="shared" si="12"/>
        <v/>
      </c>
      <c r="CB25" s="1899" t="str">
        <f t="shared" si="13"/>
        <v/>
      </c>
      <c r="CC25" s="1970"/>
      <c r="CD25" s="1970"/>
      <c r="CE25" s="1901">
        <f t="shared" si="14"/>
        <v>0</v>
      </c>
      <c r="CF25" s="1901">
        <f t="shared" si="14"/>
        <v>0</v>
      </c>
    </row>
    <row r="26" spans="1:84" x14ac:dyDescent="0.3">
      <c r="A26" s="1342" t="s">
        <v>3551</v>
      </c>
      <c r="B26" s="7024"/>
      <c r="C26" s="7025"/>
      <c r="D26" s="7025"/>
      <c r="E26" s="7025"/>
      <c r="F26" s="7025"/>
      <c r="G26" s="7025"/>
      <c r="H26" s="7025"/>
      <c r="I26" s="7025"/>
      <c r="J26" s="7025"/>
      <c r="K26" s="7025"/>
      <c r="L26" s="7025"/>
      <c r="M26" s="7025"/>
      <c r="N26" s="7025"/>
      <c r="O26" s="7025"/>
      <c r="P26" s="7025"/>
      <c r="Q26" s="7025"/>
      <c r="R26" s="7025"/>
      <c r="S26" s="7025"/>
      <c r="T26" s="7026"/>
    </row>
    <row r="27" spans="1:84" x14ac:dyDescent="0.3">
      <c r="A27" s="1343" t="s">
        <v>3552</v>
      </c>
      <c r="B27" s="1319">
        <f>SUM(C27+D27)</f>
        <v>0</v>
      </c>
      <c r="C27" s="1345">
        <f>SUM(E27+G27+I27+K27)</f>
        <v>0</v>
      </c>
      <c r="D27" s="67">
        <f>SUM(F27+H27+J27+L27)</f>
        <v>0</v>
      </c>
      <c r="E27" s="290"/>
      <c r="F27" s="107"/>
      <c r="G27" s="22"/>
      <c r="H27" s="107"/>
      <c r="I27" s="290"/>
      <c r="J27" s="107"/>
      <c r="K27" s="290"/>
      <c r="L27" s="61"/>
      <c r="M27" s="1331"/>
      <c r="N27" s="130"/>
      <c r="O27" s="1332"/>
      <c r="P27" s="130"/>
      <c r="Q27" s="1106"/>
      <c r="R27" s="61"/>
      <c r="S27" s="1321"/>
      <c r="T27" s="107"/>
      <c r="U27" s="1898" t="str">
        <f t="shared" ref="U27:U28" si="15">CA27&amp;CB27</f>
        <v/>
      </c>
      <c r="AZ27" s="1970"/>
      <c r="BA27" s="1970"/>
      <c r="BB27" s="1970"/>
      <c r="BC27" s="1970"/>
      <c r="BD27" s="1970"/>
      <c r="BE27" s="1970"/>
      <c r="BF27" s="1970"/>
      <c r="BG27" s="1970"/>
      <c r="BH27" s="1970"/>
      <c r="BI27" s="1970"/>
      <c r="BJ27" s="1970"/>
      <c r="BK27" s="1970"/>
      <c r="BL27" s="1970"/>
      <c r="BM27" s="1970"/>
      <c r="BN27" s="1970"/>
      <c r="BO27" s="1970"/>
      <c r="BP27" s="1970"/>
      <c r="BQ27" s="1970"/>
      <c r="BR27" s="1970"/>
      <c r="BS27" s="1970"/>
      <c r="BT27" s="1970"/>
      <c r="BU27" s="1970"/>
      <c r="BV27" s="1970"/>
      <c r="BW27" s="1970"/>
      <c r="BX27" s="1970"/>
      <c r="BY27" s="1970"/>
      <c r="BZ27" s="1970"/>
      <c r="CA27" s="1899" t="str">
        <f>IF(AND($B27&lt;&gt;0,S27=""),"* No olvide digitar la variable "&amp;S$9&amp;""&amp;". Digite CERO si no tiene. ",IF(S27&gt;$B27,"* La variable Pueblos Originarios no puede superar el Total Ambos Sexos. ",""))</f>
        <v/>
      </c>
      <c r="CB27" s="1899" t="str">
        <f t="shared" ref="CB27" si="16">IF(AND($B27&lt;&gt;0,T27=""),"* No olvide digitar la variable "&amp;T$9&amp;""&amp;". Digite CERO si no tiene. ",IF(T27&gt;$B27,"* La variable Migrantes no puede superar el Total Ambos Sexos. ",""))</f>
        <v/>
      </c>
      <c r="CC27" s="1970"/>
      <c r="CD27" s="1970"/>
      <c r="CE27" s="1901">
        <f t="shared" ref="CE27:CF28" si="17">IF(AND($B27&lt;&gt;0,S27=""),1,IF(S27&gt;$B27,1,0))</f>
        <v>0</v>
      </c>
      <c r="CF27" s="1901">
        <f t="shared" si="17"/>
        <v>0</v>
      </c>
    </row>
    <row r="28" spans="1:84" x14ac:dyDescent="0.3">
      <c r="A28" s="382" t="s">
        <v>3553</v>
      </c>
      <c r="B28" s="1350">
        <f>SUM(C28+D28)</f>
        <v>0</v>
      </c>
      <c r="C28" s="1329">
        <f>SUM(E28+G28+I28+K28)</f>
        <v>0</v>
      </c>
      <c r="D28" s="387">
        <f>SUM(F28+H28+J28+L28)</f>
        <v>0</v>
      </c>
      <c r="E28" s="1139"/>
      <c r="F28" s="388"/>
      <c r="G28" s="1139"/>
      <c r="H28" s="1140"/>
      <c r="I28" s="1139"/>
      <c r="J28" s="1140"/>
      <c r="K28" s="1139"/>
      <c r="L28" s="1351"/>
      <c r="M28" s="1340"/>
      <c r="N28" s="391"/>
      <c r="O28" s="1341"/>
      <c r="P28" s="391"/>
      <c r="Q28" s="1139"/>
      <c r="R28" s="392"/>
      <c r="S28" s="1330"/>
      <c r="T28" s="388"/>
      <c r="U28" s="1898" t="str">
        <f t="shared" si="15"/>
        <v/>
      </c>
      <c r="AZ28" s="1970"/>
      <c r="BA28" s="1970"/>
      <c r="BB28" s="1970"/>
      <c r="BC28" s="1970"/>
      <c r="BD28" s="1970"/>
      <c r="BE28" s="1970"/>
      <c r="BF28" s="1970"/>
      <c r="BG28" s="1970"/>
      <c r="BH28" s="1970"/>
      <c r="BI28" s="1970"/>
      <c r="BJ28" s="1970"/>
      <c r="BK28" s="1970"/>
      <c r="BL28" s="1970"/>
      <c r="BM28" s="1970"/>
      <c r="BN28" s="1970"/>
      <c r="BO28" s="1970"/>
      <c r="BP28" s="1970"/>
      <c r="BQ28" s="1970"/>
      <c r="BR28" s="1970"/>
      <c r="BS28" s="1970"/>
      <c r="BT28" s="1970"/>
      <c r="BU28" s="1970"/>
      <c r="BV28" s="1970"/>
      <c r="BW28" s="1970"/>
      <c r="BX28" s="1970"/>
      <c r="BY28" s="1970"/>
      <c r="BZ28" s="1970"/>
      <c r="CA28" s="1899" t="str">
        <f t="shared" ref="CA28" si="18">IF(AND($B28&lt;&gt;0,S28=""),"* No olvide digitar la variable "&amp;S$9&amp;""&amp;". Digite CERO si no tiene. ",IF(S28&gt;$B28,"* La variable Pueblos Originarios no puede superar el Total Ambos Sexos. ",""))</f>
        <v/>
      </c>
      <c r="CB28" s="1899" t="str">
        <f>IF(AND($B28&lt;&gt;0,T28=""),"* No olvide digitar la variable "&amp;T$9&amp;""&amp;". Digite CERO si no tiene. ",IF(T28&gt;$B28,"* La variable Migrantes no puede superar el Total Ambos Sexos. ",""))</f>
        <v/>
      </c>
      <c r="CC28" s="1970"/>
      <c r="CD28" s="1970"/>
      <c r="CE28" s="1901">
        <f t="shared" si="17"/>
        <v>0</v>
      </c>
      <c r="CF28" s="1901">
        <f t="shared" si="17"/>
        <v>0</v>
      </c>
    </row>
    <row r="29" spans="1:84" ht="18" customHeight="1" x14ac:dyDescent="0.3">
      <c r="A29" s="922" t="s">
        <v>3554</v>
      </c>
      <c r="B29" s="8"/>
      <c r="C29" s="4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84" x14ac:dyDescent="0.3">
      <c r="A30" s="7417" t="s">
        <v>3555</v>
      </c>
      <c r="B30" s="7406"/>
      <c r="C30" s="7417" t="s">
        <v>77</v>
      </c>
      <c r="D30" s="7023" t="s">
        <v>3278</v>
      </c>
      <c r="E30" s="7030"/>
      <c r="F30" s="7030"/>
      <c r="G30" s="7030"/>
      <c r="H30" s="7030"/>
      <c r="I30" s="7030"/>
      <c r="J30" s="7030"/>
      <c r="K30" s="7030"/>
      <c r="L30" s="7071"/>
      <c r="M30" s="6990" t="s">
        <v>3556</v>
      </c>
      <c r="N30" s="6990"/>
      <c r="O30" s="6991"/>
      <c r="P30" s="7454" t="s">
        <v>36</v>
      </c>
      <c r="Q30" s="7455" t="s">
        <v>37</v>
      </c>
    </row>
    <row r="31" spans="1:84" ht="20.399999999999999" x14ac:dyDescent="0.3">
      <c r="A31" s="6131"/>
      <c r="B31" s="6063"/>
      <c r="C31" s="7456"/>
      <c r="D31" s="1314" t="s">
        <v>3557</v>
      </c>
      <c r="E31" s="1007" t="s">
        <v>3558</v>
      </c>
      <c r="F31" s="1238" t="s">
        <v>51</v>
      </c>
      <c r="G31" s="1238" t="s">
        <v>52</v>
      </c>
      <c r="H31" s="1238" t="s">
        <v>53</v>
      </c>
      <c r="I31" s="1238" t="s">
        <v>54</v>
      </c>
      <c r="J31" s="1238" t="s">
        <v>55</v>
      </c>
      <c r="K31" s="1238" t="s">
        <v>56</v>
      </c>
      <c r="L31" s="1353" t="s">
        <v>57</v>
      </c>
      <c r="M31" s="942" t="s">
        <v>3559</v>
      </c>
      <c r="N31" s="943" t="s">
        <v>3560</v>
      </c>
      <c r="O31" s="1353" t="s">
        <v>3561</v>
      </c>
      <c r="P31" s="5904"/>
      <c r="Q31" s="6910"/>
    </row>
    <row r="32" spans="1:84" x14ac:dyDescent="0.3">
      <c r="A32" s="7448" t="s">
        <v>3562</v>
      </c>
      <c r="B32" s="1130" t="s">
        <v>2899</v>
      </c>
      <c r="C32" s="1354">
        <f t="shared" ref="C32:C57" si="19">SUM(D32:L32)</f>
        <v>0</v>
      </c>
      <c r="D32" s="1355"/>
      <c r="E32" s="1356"/>
      <c r="F32" s="1356"/>
      <c r="G32" s="1356"/>
      <c r="H32" s="1356"/>
      <c r="I32" s="1356"/>
      <c r="J32" s="1356"/>
      <c r="K32" s="1356"/>
      <c r="L32" s="1357"/>
      <c r="M32" s="1358"/>
      <c r="N32" s="1359"/>
      <c r="O32" s="1360"/>
      <c r="P32" s="1361"/>
      <c r="Q32" s="1362"/>
      <c r="R32" s="1898" t="str">
        <f>CA32&amp;CB32</f>
        <v/>
      </c>
      <c r="AW32" s="1970"/>
      <c r="AX32" s="1970"/>
      <c r="AY32" s="1970"/>
      <c r="AZ32" s="1970"/>
      <c r="BA32" s="1970"/>
      <c r="BB32" s="1970"/>
      <c r="BC32" s="1970"/>
      <c r="BD32" s="1970"/>
      <c r="BE32" s="1970"/>
      <c r="BF32" s="1970"/>
      <c r="BG32" s="1970"/>
      <c r="BH32" s="1970"/>
      <c r="BI32" s="1970"/>
      <c r="BJ32" s="1970"/>
      <c r="BK32" s="1970"/>
      <c r="BL32" s="1970"/>
      <c r="BM32" s="1970"/>
      <c r="BN32" s="1970"/>
      <c r="BO32" s="1970"/>
      <c r="BP32" s="1970"/>
      <c r="BQ32" s="1970"/>
      <c r="BR32" s="1970"/>
      <c r="BS32" s="1970"/>
      <c r="BT32" s="1970"/>
      <c r="BU32" s="1970"/>
      <c r="BV32" s="1970"/>
      <c r="BW32" s="1970"/>
      <c r="BX32" s="1970"/>
      <c r="BY32" s="1970"/>
      <c r="BZ32" s="1970"/>
      <c r="CA32" s="1899" t="str">
        <f>IF(AND($C32&lt;&gt;0,P32=""),"* No olvide digitar la variable "&amp;P$30&amp;""&amp;". Digite CERO si no tiene. ",IF(P32&gt;$C32,"* La variable Pueblos Originarios no puede superar el Total. ",""))</f>
        <v/>
      </c>
      <c r="CB32" s="1899" t="str">
        <f>IF(AND($C32&lt;&gt;0,Q32=""),"* No olvide digitar la variable "&amp;Q$30&amp;""&amp;". Digite CERO si no tiene. ",IF(Q32&gt;$C32,"* La variable  Migrantes no puede superar el Total. ",""))</f>
        <v/>
      </c>
      <c r="CC32" s="1970"/>
      <c r="CD32" s="1970"/>
      <c r="CE32" s="1901">
        <f>IF(AND($C32&lt;&gt;0,P32=""),1,IF(P32&gt;$C32,1,0))</f>
        <v>0</v>
      </c>
      <c r="CF32" s="1901">
        <f>IF(AND($C32&lt;&gt;0,Q32=""),1,IF(Q32&gt;$C32,1,0))</f>
        <v>0</v>
      </c>
    </row>
    <row r="33" spans="1:84" x14ac:dyDescent="0.3">
      <c r="A33" s="7163"/>
      <c r="B33" s="1363" t="s">
        <v>3563</v>
      </c>
      <c r="C33" s="1363">
        <f>SUM(D33:L33)</f>
        <v>0</v>
      </c>
      <c r="D33" s="1364">
        <f>SUM(D34:D38)</f>
        <v>0</v>
      </c>
      <c r="E33" s="1365">
        <f>SUM(E34:E38)</f>
        <v>0</v>
      </c>
      <c r="F33" s="1365">
        <f>SUM(F34:F38)</f>
        <v>0</v>
      </c>
      <c r="G33" s="1365">
        <f t="shared" ref="G33:L33" si="20">SUM(G34:G38)</f>
        <v>0</v>
      </c>
      <c r="H33" s="1365">
        <f t="shared" si="20"/>
        <v>0</v>
      </c>
      <c r="I33" s="1365">
        <f t="shared" si="20"/>
        <v>0</v>
      </c>
      <c r="J33" s="1365">
        <f t="shared" si="20"/>
        <v>0</v>
      </c>
      <c r="K33" s="1365">
        <f t="shared" si="20"/>
        <v>0</v>
      </c>
      <c r="L33" s="1366">
        <f t="shared" si="20"/>
        <v>0</v>
      </c>
      <c r="M33" s="1361"/>
      <c r="N33" s="1367"/>
      <c r="O33" s="1368"/>
      <c r="P33" s="1361"/>
      <c r="Q33" s="1362"/>
      <c r="R33" s="1898" t="str">
        <f t="shared" ref="R33:R64" si="21">CA33&amp;CB33</f>
        <v/>
      </c>
      <c r="AW33" s="1970"/>
      <c r="AX33" s="1970"/>
      <c r="AY33" s="1970"/>
      <c r="AZ33" s="1970"/>
      <c r="BA33" s="1970"/>
      <c r="BB33" s="1970"/>
      <c r="BC33" s="1970"/>
      <c r="BD33" s="1970"/>
      <c r="BE33" s="1970"/>
      <c r="BF33" s="1970"/>
      <c r="BG33" s="1970"/>
      <c r="BH33" s="1970"/>
      <c r="BI33" s="1970"/>
      <c r="BJ33" s="1970"/>
      <c r="BK33" s="1970"/>
      <c r="BL33" s="1970"/>
      <c r="BM33" s="1970"/>
      <c r="BN33" s="1970"/>
      <c r="BO33" s="1970"/>
      <c r="BP33" s="1970"/>
      <c r="BQ33" s="1970"/>
      <c r="BR33" s="1970"/>
      <c r="BS33" s="1970"/>
      <c r="BT33" s="1970"/>
      <c r="BU33" s="1970"/>
      <c r="BV33" s="1970"/>
      <c r="BW33" s="1970"/>
      <c r="BX33" s="1970"/>
      <c r="BY33" s="1970"/>
      <c r="BZ33" s="1970"/>
      <c r="CA33" s="1970"/>
      <c r="CB33" s="1970"/>
      <c r="CC33" s="1970"/>
      <c r="CD33" s="1970"/>
    </row>
    <row r="34" spans="1:84" x14ac:dyDescent="0.3">
      <c r="A34" s="7163"/>
      <c r="B34" s="295" t="s">
        <v>3564</v>
      </c>
      <c r="C34" s="393">
        <f t="shared" si="19"/>
        <v>0</v>
      </c>
      <c r="D34" s="394"/>
      <c r="E34" s="1369"/>
      <c r="F34" s="1369"/>
      <c r="G34" s="1369"/>
      <c r="H34" s="1369"/>
      <c r="I34" s="1369"/>
      <c r="J34" s="1369"/>
      <c r="K34" s="1369"/>
      <c r="L34" s="101"/>
      <c r="M34" s="395"/>
      <c r="N34" s="1370"/>
      <c r="O34" s="236"/>
      <c r="P34" s="1361"/>
      <c r="Q34" s="1362"/>
      <c r="R34" s="1898" t="str">
        <f t="shared" si="21"/>
        <v/>
      </c>
      <c r="AW34" s="1970"/>
      <c r="AX34" s="1970"/>
      <c r="AY34" s="1970"/>
      <c r="AZ34" s="1970"/>
      <c r="BA34" s="1970"/>
      <c r="BB34" s="1970"/>
      <c r="BC34" s="1970"/>
      <c r="BD34" s="1970"/>
      <c r="BE34" s="1970"/>
      <c r="BF34" s="1970"/>
      <c r="BG34" s="1970"/>
      <c r="BH34" s="1970"/>
      <c r="BI34" s="1970"/>
      <c r="BJ34" s="1970"/>
      <c r="BK34" s="1970"/>
      <c r="BL34" s="1970"/>
      <c r="BM34" s="1970"/>
      <c r="BN34" s="1970"/>
      <c r="BO34" s="1970"/>
      <c r="BP34" s="1970"/>
      <c r="BQ34" s="1970"/>
      <c r="BR34" s="1970"/>
      <c r="BS34" s="1970"/>
      <c r="BT34" s="1970"/>
      <c r="BU34" s="1970"/>
      <c r="BV34" s="1970"/>
      <c r="BW34" s="1970"/>
      <c r="BX34" s="1970"/>
      <c r="BY34" s="1970"/>
      <c r="BZ34" s="1970"/>
      <c r="CA34" s="1899" t="str">
        <f>IF(AND($C34&lt;&gt;0,P34=""),"* No olvide digitar la variable "&amp;P$30&amp;""&amp;". Digite CERO si no tiene. ",IF(P34&gt;$C34,"* La variable Pueblos Originarios no puede superar el Total. ",""))</f>
        <v/>
      </c>
      <c r="CB34" s="1899" t="str">
        <f>IF(AND($C34&lt;&gt;0,Q34=""),"* No olvide digitar la variable "&amp;Q$30&amp;""&amp;". Digite CERO si no tiene. ",IF(Q34&gt;$C34,"* La variable Migrantes no puede superar el Total. ",""))</f>
        <v/>
      </c>
      <c r="CC34" s="1970"/>
      <c r="CD34" s="1970"/>
      <c r="CE34" s="1901">
        <f t="shared" ref="CE34:CF63" si="22">IF(AND($C34&lt;&gt;0,P34=""),1,IF(P34&gt;$C34,1,0))</f>
        <v>0</v>
      </c>
      <c r="CF34" s="1901">
        <f t="shared" si="22"/>
        <v>0</v>
      </c>
    </row>
    <row r="35" spans="1:84" x14ac:dyDescent="0.3">
      <c r="A35" s="7163"/>
      <c r="B35" s="1187" t="s">
        <v>3565</v>
      </c>
      <c r="C35" s="1186">
        <f t="shared" si="19"/>
        <v>0</v>
      </c>
      <c r="D35" s="1371"/>
      <c r="E35" s="1367"/>
      <c r="F35" s="1367"/>
      <c r="G35" s="1367"/>
      <c r="H35" s="1367"/>
      <c r="I35" s="1367"/>
      <c r="J35" s="1367"/>
      <c r="K35" s="1367"/>
      <c r="L35" s="1368"/>
      <c r="M35" s="1372"/>
      <c r="N35" s="1373"/>
      <c r="O35" s="1374"/>
      <c r="P35" s="1361"/>
      <c r="Q35" s="1362"/>
      <c r="R35" s="1898" t="str">
        <f t="shared" si="21"/>
        <v/>
      </c>
      <c r="AW35" s="1970"/>
      <c r="AX35" s="1970"/>
      <c r="AY35" s="1970"/>
      <c r="AZ35" s="1970"/>
      <c r="BA35" s="1970"/>
      <c r="BB35" s="1970"/>
      <c r="BC35" s="1970"/>
      <c r="BD35" s="1970"/>
      <c r="BE35" s="1970"/>
      <c r="BF35" s="1970"/>
      <c r="BG35" s="1970"/>
      <c r="BH35" s="1970"/>
      <c r="BI35" s="1970"/>
      <c r="BJ35" s="1970"/>
      <c r="BK35" s="1970"/>
      <c r="BL35" s="1970"/>
      <c r="BM35" s="1970"/>
      <c r="BN35" s="1970"/>
      <c r="BO35" s="1970"/>
      <c r="BP35" s="1970"/>
      <c r="BQ35" s="1970"/>
      <c r="BR35" s="1970"/>
      <c r="BS35" s="1970"/>
      <c r="BT35" s="1970"/>
      <c r="BU35" s="1970"/>
      <c r="BV35" s="1970"/>
      <c r="BW35" s="1970"/>
      <c r="BX35" s="1970"/>
      <c r="BY35" s="1970"/>
      <c r="BZ35" s="1970"/>
      <c r="CA35" s="1899" t="str">
        <f t="shared" ref="CA35:CA58" si="23">IF(AND($C35&lt;&gt;0,P35=""),"* No olvide digitar la variable "&amp;P$30&amp;""&amp;". Digite CERO si no tiene. ",IF(P35&gt;$C35,"* La variable Pueblos Originarios no puede superar el Total. ",""))</f>
        <v/>
      </c>
      <c r="CB35" s="1899" t="str">
        <f t="shared" ref="CB35:CB59" si="24">IF(AND($C35&lt;&gt;0,Q35=""),"* No olvide digitar la variable "&amp;Q$30&amp;""&amp;". Digite CERO si no tiene. ",IF(Q35&gt;$C35,"* La variable Migrantes no puede superar el Total. ",""))</f>
        <v/>
      </c>
      <c r="CC35" s="1970"/>
      <c r="CD35" s="1970"/>
      <c r="CE35" s="1901">
        <f t="shared" si="22"/>
        <v>0</v>
      </c>
      <c r="CF35" s="1901">
        <f t="shared" si="22"/>
        <v>0</v>
      </c>
    </row>
    <row r="36" spans="1:84" x14ac:dyDescent="0.3">
      <c r="A36" s="7163"/>
      <c r="B36" s="1187" t="s">
        <v>3566</v>
      </c>
      <c r="C36" s="1186">
        <f t="shared" si="19"/>
        <v>0</v>
      </c>
      <c r="D36" s="1375"/>
      <c r="E36" s="1376"/>
      <c r="F36" s="1376"/>
      <c r="G36" s="1376"/>
      <c r="H36" s="1376"/>
      <c r="I36" s="1376"/>
      <c r="J36" s="1376"/>
      <c r="K36" s="1376"/>
      <c r="L36" s="1377"/>
      <c r="M36" s="1378"/>
      <c r="N36" s="1379"/>
      <c r="O36" s="1380"/>
      <c r="P36" s="1361"/>
      <c r="Q36" s="1362"/>
      <c r="R36" s="1898" t="str">
        <f t="shared" si="21"/>
        <v/>
      </c>
      <c r="AW36" s="1970"/>
      <c r="AX36" s="1970"/>
      <c r="AY36" s="1970"/>
      <c r="AZ36" s="1970"/>
      <c r="BA36" s="1970"/>
      <c r="BB36" s="1970"/>
      <c r="BC36" s="1970"/>
      <c r="BD36" s="1970"/>
      <c r="BE36" s="1970"/>
      <c r="BF36" s="1970"/>
      <c r="BG36" s="1970"/>
      <c r="BH36" s="1970"/>
      <c r="BI36" s="1970"/>
      <c r="BJ36" s="1970"/>
      <c r="BK36" s="1970"/>
      <c r="BL36" s="1970"/>
      <c r="BM36" s="1970"/>
      <c r="BN36" s="1970"/>
      <c r="BO36" s="1970"/>
      <c r="BP36" s="1970"/>
      <c r="BQ36" s="1970"/>
      <c r="BR36" s="1970"/>
      <c r="BS36" s="1970"/>
      <c r="BT36" s="1970"/>
      <c r="BU36" s="1970"/>
      <c r="BV36" s="1970"/>
      <c r="BW36" s="1970"/>
      <c r="BX36" s="1970"/>
      <c r="BY36" s="1970"/>
      <c r="BZ36" s="1970"/>
      <c r="CA36" s="1899" t="str">
        <f t="shared" si="23"/>
        <v/>
      </c>
      <c r="CB36" s="1899" t="str">
        <f t="shared" si="24"/>
        <v/>
      </c>
      <c r="CC36" s="1970"/>
      <c r="CD36" s="1970"/>
      <c r="CE36" s="1901">
        <f t="shared" si="22"/>
        <v>0</v>
      </c>
      <c r="CF36" s="1901">
        <f t="shared" si="22"/>
        <v>0</v>
      </c>
    </row>
    <row r="37" spans="1:84" x14ac:dyDescent="0.3">
      <c r="A37" s="7163"/>
      <c r="B37" s="1187" t="s">
        <v>3567</v>
      </c>
      <c r="C37" s="1186">
        <f t="shared" si="19"/>
        <v>0</v>
      </c>
      <c r="D37" s="1381"/>
      <c r="E37" s="1382"/>
      <c r="F37" s="1382"/>
      <c r="G37" s="1382"/>
      <c r="H37" s="1382"/>
      <c r="I37" s="1382"/>
      <c r="J37" s="1382"/>
      <c r="K37" s="1382"/>
      <c r="L37" s="1383"/>
      <c r="M37" s="1384"/>
      <c r="N37" s="1385"/>
      <c r="O37" s="1386"/>
      <c r="P37" s="1361"/>
      <c r="Q37" s="1362"/>
      <c r="R37" s="1898" t="str">
        <f t="shared" si="21"/>
        <v/>
      </c>
      <c r="AW37" s="1970"/>
      <c r="AX37" s="1970"/>
      <c r="AY37" s="1970"/>
      <c r="AZ37" s="1970"/>
      <c r="BA37" s="1970"/>
      <c r="BB37" s="1970"/>
      <c r="BC37" s="1970"/>
      <c r="BD37" s="1970"/>
      <c r="BE37" s="1970"/>
      <c r="BF37" s="1970"/>
      <c r="BG37" s="1970"/>
      <c r="BH37" s="1970"/>
      <c r="BI37" s="1970"/>
      <c r="BJ37" s="1970"/>
      <c r="BK37" s="1970"/>
      <c r="BL37" s="1970"/>
      <c r="BM37" s="1970"/>
      <c r="BN37" s="1970"/>
      <c r="BO37" s="1970"/>
      <c r="BP37" s="1970"/>
      <c r="BQ37" s="1970"/>
      <c r="BR37" s="1970"/>
      <c r="BS37" s="1970"/>
      <c r="BT37" s="1970"/>
      <c r="BU37" s="1970"/>
      <c r="BV37" s="1970"/>
      <c r="BW37" s="1970"/>
      <c r="BX37" s="1970"/>
      <c r="BY37" s="1970"/>
      <c r="BZ37" s="1970"/>
      <c r="CA37" s="1899" t="str">
        <f t="shared" si="23"/>
        <v/>
      </c>
      <c r="CB37" s="1899" t="str">
        <f t="shared" si="24"/>
        <v/>
      </c>
      <c r="CC37" s="1970"/>
      <c r="CD37" s="1970"/>
      <c r="CE37" s="1901">
        <f t="shared" si="22"/>
        <v>0</v>
      </c>
      <c r="CF37" s="1901">
        <f t="shared" si="22"/>
        <v>0</v>
      </c>
    </row>
    <row r="38" spans="1:84" x14ac:dyDescent="0.3">
      <c r="A38" s="7163"/>
      <c r="B38" s="1187" t="s">
        <v>3568</v>
      </c>
      <c r="C38" s="1186">
        <f t="shared" si="19"/>
        <v>0</v>
      </c>
      <c r="D38" s="1371"/>
      <c r="E38" s="1367"/>
      <c r="F38" s="1367"/>
      <c r="G38" s="1367"/>
      <c r="H38" s="1367"/>
      <c r="I38" s="1367"/>
      <c r="J38" s="1367"/>
      <c r="K38" s="1367"/>
      <c r="L38" s="1368"/>
      <c r="M38" s="1372"/>
      <c r="N38" s="1373"/>
      <c r="O38" s="1374"/>
      <c r="P38" s="1361"/>
      <c r="Q38" s="1362"/>
      <c r="R38" s="1898" t="str">
        <f t="shared" si="21"/>
        <v/>
      </c>
      <c r="AW38" s="1970"/>
      <c r="AX38" s="1970"/>
      <c r="AY38" s="1970"/>
      <c r="AZ38" s="1970"/>
      <c r="BA38" s="1970"/>
      <c r="BB38" s="1970"/>
      <c r="BC38" s="1970"/>
      <c r="BD38" s="1970"/>
      <c r="BE38" s="1970"/>
      <c r="BF38" s="1970"/>
      <c r="BG38" s="1970"/>
      <c r="BH38" s="1970"/>
      <c r="BI38" s="1970"/>
      <c r="BJ38" s="1970"/>
      <c r="BK38" s="1970"/>
      <c r="BL38" s="1970"/>
      <c r="BM38" s="1970"/>
      <c r="BN38" s="1970"/>
      <c r="BO38" s="1970"/>
      <c r="BP38" s="1970"/>
      <c r="BQ38" s="1970"/>
      <c r="BR38" s="1970"/>
      <c r="BS38" s="1970"/>
      <c r="BT38" s="1970"/>
      <c r="BU38" s="1970"/>
      <c r="BV38" s="1970"/>
      <c r="BW38" s="1970"/>
      <c r="BX38" s="1970"/>
      <c r="BY38" s="1970"/>
      <c r="BZ38" s="1970"/>
      <c r="CA38" s="1899" t="str">
        <f t="shared" si="23"/>
        <v/>
      </c>
      <c r="CB38" s="1899" t="str">
        <f t="shared" si="24"/>
        <v/>
      </c>
      <c r="CC38" s="1970"/>
      <c r="CD38" s="1970"/>
      <c r="CE38" s="1901">
        <f t="shared" si="22"/>
        <v>0</v>
      </c>
      <c r="CF38" s="1901">
        <f t="shared" si="22"/>
        <v>0</v>
      </c>
    </row>
    <row r="39" spans="1:84" x14ac:dyDescent="0.3">
      <c r="A39" s="7091"/>
      <c r="B39" s="1187" t="s">
        <v>3569</v>
      </c>
      <c r="C39" s="1186">
        <f t="shared" si="19"/>
        <v>0</v>
      </c>
      <c r="D39" s="1387"/>
      <c r="E39" s="102"/>
      <c r="F39" s="102"/>
      <c r="G39" s="102"/>
      <c r="H39" s="102"/>
      <c r="I39" s="102"/>
      <c r="J39" s="102"/>
      <c r="K39" s="102"/>
      <c r="L39" s="103"/>
      <c r="M39" s="238"/>
      <c r="N39" s="239"/>
      <c r="O39" s="237"/>
      <c r="P39" s="1388"/>
      <c r="Q39" s="396"/>
      <c r="R39" s="1898" t="str">
        <f t="shared" si="21"/>
        <v/>
      </c>
      <c r="AW39" s="1970"/>
      <c r="AX39" s="1970"/>
      <c r="AY39" s="1970"/>
      <c r="AZ39" s="1970"/>
      <c r="BA39" s="1970"/>
      <c r="BB39" s="1970"/>
      <c r="BC39" s="1970"/>
      <c r="BD39" s="1970"/>
      <c r="BE39" s="1970"/>
      <c r="BF39" s="1970"/>
      <c r="BG39" s="1970"/>
      <c r="BH39" s="1970"/>
      <c r="BI39" s="1970"/>
      <c r="BJ39" s="1970"/>
      <c r="BK39" s="1970"/>
      <c r="BL39" s="1970"/>
      <c r="BM39" s="1970"/>
      <c r="BN39" s="1970"/>
      <c r="BO39" s="1970"/>
      <c r="BP39" s="1970"/>
      <c r="BQ39" s="1970"/>
      <c r="BR39" s="1970"/>
      <c r="BS39" s="1970"/>
      <c r="BT39" s="1970"/>
      <c r="BU39" s="1970"/>
      <c r="BV39" s="1970"/>
      <c r="BW39" s="1970"/>
      <c r="BX39" s="1970"/>
      <c r="BY39" s="1970"/>
      <c r="BZ39" s="1970"/>
      <c r="CA39" s="1899" t="str">
        <f t="shared" si="23"/>
        <v/>
      </c>
      <c r="CB39" s="1899" t="str">
        <f t="shared" si="24"/>
        <v/>
      </c>
      <c r="CC39" s="1970"/>
      <c r="CD39" s="1970"/>
      <c r="CE39" s="1901">
        <f t="shared" si="22"/>
        <v>0</v>
      </c>
      <c r="CF39" s="1901">
        <f t="shared" si="22"/>
        <v>0</v>
      </c>
    </row>
    <row r="40" spans="1:84" x14ac:dyDescent="0.3">
      <c r="A40" s="7415" t="s">
        <v>3570</v>
      </c>
      <c r="B40" s="1184" t="s">
        <v>2899</v>
      </c>
      <c r="C40" s="1389">
        <f t="shared" si="19"/>
        <v>0</v>
      </c>
      <c r="D40" s="394"/>
      <c r="E40" s="1390"/>
      <c r="F40" s="1390"/>
      <c r="G40" s="1390"/>
      <c r="H40" s="1390"/>
      <c r="I40" s="1390"/>
      <c r="J40" s="1390"/>
      <c r="K40" s="1390"/>
      <c r="L40" s="1391"/>
      <c r="M40" s="1392"/>
      <c r="N40" s="1393"/>
      <c r="O40" s="1394"/>
      <c r="P40" s="397"/>
      <c r="Q40" s="218"/>
      <c r="R40" s="1898" t="str">
        <f t="shared" si="21"/>
        <v/>
      </c>
      <c r="AW40" s="1970"/>
      <c r="AX40" s="1970"/>
      <c r="AY40" s="1970"/>
      <c r="AZ40" s="1970"/>
      <c r="BA40" s="1970"/>
      <c r="BB40" s="1970"/>
      <c r="BC40" s="1970"/>
      <c r="BD40" s="1970"/>
      <c r="BE40" s="1970"/>
      <c r="BF40" s="1970"/>
      <c r="BG40" s="1970"/>
      <c r="BH40" s="1970"/>
      <c r="BI40" s="1970"/>
      <c r="BJ40" s="1970"/>
      <c r="BK40" s="1970"/>
      <c r="BL40" s="1970"/>
      <c r="BM40" s="1970"/>
      <c r="BN40" s="1970"/>
      <c r="BO40" s="1970"/>
      <c r="BP40" s="1970"/>
      <c r="BQ40" s="1970"/>
      <c r="BR40" s="1970"/>
      <c r="BS40" s="1970"/>
      <c r="BT40" s="1970"/>
      <c r="BU40" s="1970"/>
      <c r="BV40" s="1970"/>
      <c r="BW40" s="1970"/>
      <c r="BX40" s="1970"/>
      <c r="BY40" s="1970"/>
      <c r="BZ40" s="1970"/>
      <c r="CA40" s="1899" t="str">
        <f t="shared" si="23"/>
        <v/>
      </c>
      <c r="CB40" s="1899" t="str">
        <f t="shared" si="24"/>
        <v/>
      </c>
      <c r="CC40" s="1970"/>
      <c r="CD40" s="1970"/>
      <c r="CE40" s="1901">
        <f t="shared" si="22"/>
        <v>0</v>
      </c>
      <c r="CF40" s="1901">
        <f t="shared" si="22"/>
        <v>0</v>
      </c>
    </row>
    <row r="41" spans="1:84" x14ac:dyDescent="0.3">
      <c r="A41" s="5844"/>
      <c r="B41" s="295" t="s">
        <v>3563</v>
      </c>
      <c r="C41" s="393">
        <f t="shared" si="19"/>
        <v>0</v>
      </c>
      <c r="D41" s="1371"/>
      <c r="E41" s="1367"/>
      <c r="F41" s="1367"/>
      <c r="G41" s="1367"/>
      <c r="H41" s="1367"/>
      <c r="I41" s="1367"/>
      <c r="J41" s="1367"/>
      <c r="K41" s="1367"/>
      <c r="L41" s="1368"/>
      <c r="M41" s="1361"/>
      <c r="N41" s="1367"/>
      <c r="O41" s="1368"/>
      <c r="P41" s="1361"/>
      <c r="Q41" s="1362"/>
      <c r="R41" s="1898" t="str">
        <f t="shared" si="21"/>
        <v/>
      </c>
      <c r="AW41" s="1970"/>
      <c r="AX41" s="1970"/>
      <c r="AY41" s="1970"/>
      <c r="AZ41" s="1970"/>
      <c r="BA41" s="1970"/>
      <c r="BB41" s="1970"/>
      <c r="BC41" s="1970"/>
      <c r="BD41" s="1970"/>
      <c r="BE41" s="1970"/>
      <c r="BF41" s="1970"/>
      <c r="BG41" s="1970"/>
      <c r="BH41" s="1970"/>
      <c r="BI41" s="1970"/>
      <c r="BJ41" s="1970"/>
      <c r="BK41" s="1970"/>
      <c r="BL41" s="1970"/>
      <c r="BM41" s="1970"/>
      <c r="BN41" s="1970"/>
      <c r="BO41" s="1970"/>
      <c r="BP41" s="1970"/>
      <c r="BQ41" s="1970"/>
      <c r="BR41" s="1970"/>
      <c r="BS41" s="1970"/>
      <c r="BT41" s="1970"/>
      <c r="BU41" s="1970"/>
      <c r="BV41" s="1970"/>
      <c r="BW41" s="1970"/>
      <c r="BX41" s="1970"/>
      <c r="BY41" s="1970"/>
      <c r="BZ41" s="1970"/>
      <c r="CA41" s="1899" t="str">
        <f t="shared" si="23"/>
        <v/>
      </c>
      <c r="CB41" s="1899" t="str">
        <f t="shared" si="24"/>
        <v/>
      </c>
      <c r="CC41" s="1970"/>
      <c r="CD41" s="1970"/>
      <c r="CE41" s="1901">
        <f t="shared" si="22"/>
        <v>0</v>
      </c>
      <c r="CF41" s="1901">
        <f t="shared" si="22"/>
        <v>0</v>
      </c>
    </row>
    <row r="42" spans="1:84" x14ac:dyDescent="0.3">
      <c r="A42" s="6574"/>
      <c r="B42" s="1395" t="s">
        <v>3571</v>
      </c>
      <c r="C42" s="1396">
        <f t="shared" si="19"/>
        <v>0</v>
      </c>
      <c r="D42" s="1397"/>
      <c r="E42" s="263"/>
      <c r="F42" s="263"/>
      <c r="G42" s="263"/>
      <c r="H42" s="263"/>
      <c r="I42" s="263"/>
      <c r="J42" s="263"/>
      <c r="K42" s="263"/>
      <c r="L42" s="1398"/>
      <c r="M42" s="264"/>
      <c r="N42" s="265"/>
      <c r="O42" s="1399"/>
      <c r="P42" s="1388"/>
      <c r="Q42" s="396"/>
      <c r="R42" s="1898" t="str">
        <f t="shared" si="21"/>
        <v/>
      </c>
      <c r="AW42" s="1970"/>
      <c r="AX42" s="1970"/>
      <c r="AY42" s="1970"/>
      <c r="AZ42" s="1970"/>
      <c r="BA42" s="1970"/>
      <c r="BB42" s="1970"/>
      <c r="BC42" s="1970"/>
      <c r="BD42" s="1970"/>
      <c r="BE42" s="1970"/>
      <c r="BF42" s="1970"/>
      <c r="BG42" s="1970"/>
      <c r="BH42" s="1970"/>
      <c r="BI42" s="1970"/>
      <c r="BJ42" s="1970"/>
      <c r="BK42" s="1970"/>
      <c r="BL42" s="1970"/>
      <c r="BM42" s="1970"/>
      <c r="BN42" s="1970"/>
      <c r="BO42" s="1970"/>
      <c r="BP42" s="1970"/>
      <c r="BQ42" s="1970"/>
      <c r="BR42" s="1970"/>
      <c r="BS42" s="1970"/>
      <c r="BT42" s="1970"/>
      <c r="BU42" s="1970"/>
      <c r="BV42" s="1970"/>
      <c r="BW42" s="1970"/>
      <c r="BX42" s="1970"/>
      <c r="BY42" s="1970"/>
      <c r="BZ42" s="1970"/>
      <c r="CA42" s="1899" t="str">
        <f t="shared" si="23"/>
        <v/>
      </c>
      <c r="CB42" s="1899" t="str">
        <f t="shared" si="24"/>
        <v/>
      </c>
      <c r="CC42" s="1970"/>
      <c r="CD42" s="1970"/>
      <c r="CE42" s="1901">
        <f t="shared" si="22"/>
        <v>0</v>
      </c>
      <c r="CF42" s="1901">
        <f t="shared" si="22"/>
        <v>0</v>
      </c>
    </row>
    <row r="43" spans="1:84" x14ac:dyDescent="0.3">
      <c r="A43" s="7415" t="s">
        <v>3572</v>
      </c>
      <c r="B43" s="1400" t="s">
        <v>2899</v>
      </c>
      <c r="C43" s="393">
        <f t="shared" si="19"/>
        <v>0</v>
      </c>
      <c r="D43" s="1401"/>
      <c r="E43" s="1390"/>
      <c r="F43" s="1390"/>
      <c r="G43" s="1390"/>
      <c r="H43" s="1390"/>
      <c r="I43" s="1390"/>
      <c r="J43" s="1390"/>
      <c r="K43" s="1390"/>
      <c r="L43" s="1391"/>
      <c r="M43" s="1392"/>
      <c r="N43" s="1393"/>
      <c r="O43" s="1394"/>
      <c r="P43" s="397"/>
      <c r="Q43" s="218"/>
      <c r="R43" s="1898" t="str">
        <f t="shared" si="21"/>
        <v/>
      </c>
      <c r="AW43" s="1970"/>
      <c r="AX43" s="1970"/>
      <c r="AY43" s="1970"/>
      <c r="AZ43" s="1970"/>
      <c r="BA43" s="1970"/>
      <c r="BB43" s="1970"/>
      <c r="BC43" s="1970"/>
      <c r="BD43" s="1970"/>
      <c r="BE43" s="1970"/>
      <c r="BF43" s="1970"/>
      <c r="BG43" s="1970"/>
      <c r="BH43" s="1970"/>
      <c r="BI43" s="1970"/>
      <c r="BJ43" s="1970"/>
      <c r="BK43" s="1970"/>
      <c r="BL43" s="1970"/>
      <c r="BM43" s="1970"/>
      <c r="BN43" s="1970"/>
      <c r="BO43" s="1970"/>
      <c r="BP43" s="1970"/>
      <c r="BQ43" s="1970"/>
      <c r="BR43" s="1970"/>
      <c r="BS43" s="1970"/>
      <c r="BT43" s="1970"/>
      <c r="BU43" s="1970"/>
      <c r="BV43" s="1970"/>
      <c r="BW43" s="1970"/>
      <c r="BX43" s="1970"/>
      <c r="BY43" s="1970"/>
      <c r="BZ43" s="1970"/>
      <c r="CA43" s="1899" t="str">
        <f t="shared" si="23"/>
        <v/>
      </c>
      <c r="CB43" s="1899" t="str">
        <f t="shared" si="24"/>
        <v/>
      </c>
      <c r="CC43" s="1970"/>
      <c r="CD43" s="1970"/>
      <c r="CE43" s="1901">
        <f t="shared" si="22"/>
        <v>0</v>
      </c>
      <c r="CF43" s="1901">
        <f t="shared" si="22"/>
        <v>0</v>
      </c>
    </row>
    <row r="44" spans="1:84" x14ac:dyDescent="0.3">
      <c r="A44" s="5844"/>
      <c r="B44" s="193" t="s">
        <v>3563</v>
      </c>
      <c r="C44" s="1186">
        <f t="shared" si="19"/>
        <v>0</v>
      </c>
      <c r="D44" s="1371"/>
      <c r="E44" s="1367"/>
      <c r="F44" s="1367"/>
      <c r="G44" s="1367"/>
      <c r="H44" s="1367"/>
      <c r="I44" s="1367"/>
      <c r="J44" s="1367"/>
      <c r="K44" s="1367"/>
      <c r="L44" s="1368"/>
      <c r="M44" s="1361"/>
      <c r="N44" s="1367"/>
      <c r="O44" s="1368"/>
      <c r="P44" s="1361"/>
      <c r="Q44" s="1362"/>
      <c r="R44" s="1898" t="str">
        <f t="shared" si="21"/>
        <v/>
      </c>
      <c r="AW44" s="1970"/>
      <c r="AX44" s="1970"/>
      <c r="AY44" s="1970"/>
      <c r="AZ44" s="1970"/>
      <c r="BA44" s="1970"/>
      <c r="BB44" s="1970"/>
      <c r="BC44" s="1970"/>
      <c r="BD44" s="1970"/>
      <c r="BE44" s="1970"/>
      <c r="BF44" s="1970"/>
      <c r="BG44" s="1970"/>
      <c r="BH44" s="1970"/>
      <c r="BI44" s="1970"/>
      <c r="BJ44" s="1970"/>
      <c r="BK44" s="1970"/>
      <c r="BL44" s="1970"/>
      <c r="BM44" s="1970"/>
      <c r="BN44" s="1970"/>
      <c r="BO44" s="1970"/>
      <c r="BP44" s="1970"/>
      <c r="BQ44" s="1970"/>
      <c r="BR44" s="1970"/>
      <c r="BS44" s="1970"/>
      <c r="BT44" s="1970"/>
      <c r="BU44" s="1970"/>
      <c r="BV44" s="1970"/>
      <c r="BW44" s="1970"/>
      <c r="BX44" s="1970"/>
      <c r="BY44" s="1970"/>
      <c r="BZ44" s="1970"/>
      <c r="CA44" s="1899" t="str">
        <f t="shared" si="23"/>
        <v/>
      </c>
      <c r="CB44" s="1899" t="str">
        <f t="shared" si="24"/>
        <v/>
      </c>
      <c r="CC44" s="1970"/>
      <c r="CD44" s="1970"/>
      <c r="CE44" s="1901">
        <f t="shared" si="22"/>
        <v>0</v>
      </c>
      <c r="CF44" s="1901">
        <f t="shared" si="22"/>
        <v>0</v>
      </c>
    </row>
    <row r="45" spans="1:84" x14ac:dyDescent="0.3">
      <c r="A45" s="6574"/>
      <c r="B45" s="1188" t="s">
        <v>3573</v>
      </c>
      <c r="C45" s="1402">
        <f t="shared" si="19"/>
        <v>0</v>
      </c>
      <c r="D45" s="1397"/>
      <c r="E45" s="263"/>
      <c r="F45" s="263"/>
      <c r="G45" s="263"/>
      <c r="H45" s="263"/>
      <c r="I45" s="263"/>
      <c r="J45" s="263"/>
      <c r="K45" s="263"/>
      <c r="L45" s="1398"/>
      <c r="M45" s="264"/>
      <c r="N45" s="265"/>
      <c r="O45" s="1399"/>
      <c r="P45" s="1388"/>
      <c r="Q45" s="396"/>
      <c r="R45" s="1898" t="str">
        <f t="shared" si="21"/>
        <v/>
      </c>
      <c r="AW45" s="1970"/>
      <c r="AX45" s="1970"/>
      <c r="AY45" s="1970"/>
      <c r="AZ45" s="1970"/>
      <c r="BA45" s="1970"/>
      <c r="BB45" s="1970"/>
      <c r="BC45" s="1970"/>
      <c r="BD45" s="1970"/>
      <c r="BE45" s="1970"/>
      <c r="BF45" s="1970"/>
      <c r="BG45" s="1970"/>
      <c r="BH45" s="1970"/>
      <c r="BI45" s="1970"/>
      <c r="BJ45" s="1970"/>
      <c r="BK45" s="1970"/>
      <c r="BL45" s="1970"/>
      <c r="BM45" s="1970"/>
      <c r="BN45" s="1970"/>
      <c r="BO45" s="1970"/>
      <c r="BP45" s="1970"/>
      <c r="BQ45" s="1970"/>
      <c r="BR45" s="1970"/>
      <c r="BS45" s="1970"/>
      <c r="BT45" s="1970"/>
      <c r="BU45" s="1970"/>
      <c r="BV45" s="1970"/>
      <c r="BW45" s="1970"/>
      <c r="BX45" s="1970"/>
      <c r="BY45" s="1970"/>
      <c r="BZ45" s="1970"/>
      <c r="CA45" s="1899" t="str">
        <f t="shared" si="23"/>
        <v/>
      </c>
      <c r="CB45" s="1899" t="str">
        <f t="shared" si="24"/>
        <v/>
      </c>
      <c r="CC45" s="1970"/>
      <c r="CD45" s="1970"/>
      <c r="CE45" s="1901">
        <f t="shared" si="22"/>
        <v>0</v>
      </c>
      <c r="CF45" s="1901">
        <f t="shared" si="22"/>
        <v>0</v>
      </c>
    </row>
    <row r="46" spans="1:84" x14ac:dyDescent="0.3">
      <c r="A46" s="7415" t="s">
        <v>3574</v>
      </c>
      <c r="B46" s="1400" t="s">
        <v>2899</v>
      </c>
      <c r="C46" s="1389">
        <f>SUM(D46:L46)</f>
        <v>0</v>
      </c>
      <c r="D46" s="1401"/>
      <c r="E46" s="1390"/>
      <c r="F46" s="1390"/>
      <c r="G46" s="1390"/>
      <c r="H46" s="1390"/>
      <c r="I46" s="1390"/>
      <c r="J46" s="1390"/>
      <c r="K46" s="1390"/>
      <c r="L46" s="1391"/>
      <c r="M46" s="1392"/>
      <c r="N46" s="1393"/>
      <c r="O46" s="1394"/>
      <c r="P46" s="397"/>
      <c r="Q46" s="218"/>
      <c r="R46" s="1898" t="str">
        <f t="shared" si="21"/>
        <v/>
      </c>
      <c r="AW46" s="1970"/>
      <c r="AX46" s="1970"/>
      <c r="AY46" s="1970"/>
      <c r="AZ46" s="1970"/>
      <c r="BA46" s="1970"/>
      <c r="BB46" s="1970"/>
      <c r="BC46" s="1970"/>
      <c r="BD46" s="1970"/>
      <c r="BE46" s="1970"/>
      <c r="BF46" s="1970"/>
      <c r="BG46" s="1970"/>
      <c r="BH46" s="1970"/>
      <c r="BI46" s="1970"/>
      <c r="BJ46" s="1970"/>
      <c r="BK46" s="1970"/>
      <c r="BL46" s="1970"/>
      <c r="BM46" s="1970"/>
      <c r="BN46" s="1970"/>
      <c r="BO46" s="1970"/>
      <c r="BP46" s="1970"/>
      <c r="BQ46" s="1970"/>
      <c r="BR46" s="1970"/>
      <c r="BS46" s="1970"/>
      <c r="BT46" s="1970"/>
      <c r="BU46" s="1970"/>
      <c r="BV46" s="1970"/>
      <c r="BW46" s="1970"/>
      <c r="BX46" s="1970"/>
      <c r="BY46" s="1970"/>
      <c r="BZ46" s="1970"/>
      <c r="CA46" s="1899" t="str">
        <f t="shared" si="23"/>
        <v/>
      </c>
      <c r="CB46" s="1899" t="str">
        <f t="shared" si="24"/>
        <v/>
      </c>
      <c r="CC46" s="1970"/>
      <c r="CD46" s="1970"/>
      <c r="CE46" s="1901">
        <f t="shared" si="22"/>
        <v>0</v>
      </c>
      <c r="CF46" s="1901">
        <f t="shared" si="22"/>
        <v>0</v>
      </c>
    </row>
    <row r="47" spans="1:84" x14ac:dyDescent="0.3">
      <c r="A47" s="5844"/>
      <c r="B47" s="1187" t="s">
        <v>3563</v>
      </c>
      <c r="C47" s="1186">
        <f>SUM(D47:L47)</f>
        <v>0</v>
      </c>
      <c r="D47" s="1371"/>
      <c r="E47" s="1367"/>
      <c r="F47" s="1367"/>
      <c r="G47" s="1367"/>
      <c r="H47" s="1367"/>
      <c r="I47" s="1367"/>
      <c r="J47" s="1367"/>
      <c r="K47" s="1367"/>
      <c r="L47" s="1368"/>
      <c r="M47" s="1361"/>
      <c r="N47" s="1367"/>
      <c r="O47" s="1368"/>
      <c r="P47" s="1361"/>
      <c r="Q47" s="1362"/>
      <c r="R47" s="1898" t="str">
        <f t="shared" si="21"/>
        <v/>
      </c>
      <c r="AW47" s="1970"/>
      <c r="AX47" s="1970"/>
      <c r="AY47" s="1970"/>
      <c r="AZ47" s="1970"/>
      <c r="BA47" s="1970"/>
      <c r="BB47" s="1970"/>
      <c r="BC47" s="1970"/>
      <c r="BD47" s="1970"/>
      <c r="BE47" s="1970"/>
      <c r="BF47" s="1970"/>
      <c r="BG47" s="1970"/>
      <c r="BH47" s="1970"/>
      <c r="BI47" s="1970"/>
      <c r="BJ47" s="1970"/>
      <c r="BK47" s="1970"/>
      <c r="BL47" s="1970"/>
      <c r="BM47" s="1970"/>
      <c r="BN47" s="1970"/>
      <c r="BO47" s="1970"/>
      <c r="BP47" s="1970"/>
      <c r="BQ47" s="1970"/>
      <c r="BR47" s="1970"/>
      <c r="BS47" s="1970"/>
      <c r="BT47" s="1970"/>
      <c r="BU47" s="1970"/>
      <c r="BV47" s="1970"/>
      <c r="BW47" s="1970"/>
      <c r="BX47" s="1970"/>
      <c r="BY47" s="1970"/>
      <c r="BZ47" s="1970"/>
      <c r="CA47" s="1899" t="str">
        <f t="shared" si="23"/>
        <v/>
      </c>
      <c r="CB47" s="1899" t="str">
        <f t="shared" si="24"/>
        <v/>
      </c>
      <c r="CC47" s="1970"/>
      <c r="CD47" s="1970"/>
      <c r="CE47" s="1901">
        <f t="shared" si="22"/>
        <v>0</v>
      </c>
      <c r="CF47" s="1901">
        <f t="shared" si="22"/>
        <v>0</v>
      </c>
    </row>
    <row r="48" spans="1:84" ht="21" customHeight="1" x14ac:dyDescent="0.3">
      <c r="A48" s="6574"/>
      <c r="B48" s="1395" t="s">
        <v>3575</v>
      </c>
      <c r="C48" s="217">
        <f>SUM(D48:L48)</f>
        <v>0</v>
      </c>
      <c r="D48" s="104"/>
      <c r="E48" s="102"/>
      <c r="F48" s="102"/>
      <c r="G48" s="102"/>
      <c r="H48" s="102"/>
      <c r="I48" s="102"/>
      <c r="J48" s="102"/>
      <c r="K48" s="102"/>
      <c r="L48" s="103"/>
      <c r="M48" s="238"/>
      <c r="N48" s="239"/>
      <c r="O48" s="237"/>
      <c r="P48" s="1388"/>
      <c r="Q48" s="396"/>
      <c r="R48" s="1898" t="str">
        <f t="shared" si="21"/>
        <v/>
      </c>
      <c r="AW48" s="1970"/>
      <c r="AX48" s="1970"/>
      <c r="AY48" s="1970"/>
      <c r="AZ48" s="1970"/>
      <c r="BA48" s="1970"/>
      <c r="BB48" s="1970"/>
      <c r="BC48" s="1970"/>
      <c r="BD48" s="1970"/>
      <c r="BE48" s="1970"/>
      <c r="BF48" s="1970"/>
      <c r="BG48" s="1970"/>
      <c r="BH48" s="1970"/>
      <c r="BI48" s="1970"/>
      <c r="BJ48" s="1970"/>
      <c r="BK48" s="1970"/>
      <c r="BL48" s="1970"/>
      <c r="BM48" s="1970"/>
      <c r="BN48" s="1970"/>
      <c r="BO48" s="1970"/>
      <c r="BP48" s="1970"/>
      <c r="BQ48" s="1970"/>
      <c r="BR48" s="1970"/>
      <c r="BS48" s="1970"/>
      <c r="BT48" s="1970"/>
      <c r="BU48" s="1970"/>
      <c r="BV48" s="1970"/>
      <c r="BW48" s="1970"/>
      <c r="BX48" s="1970"/>
      <c r="BY48" s="1970"/>
      <c r="BZ48" s="1970"/>
      <c r="CA48" s="1899" t="str">
        <f t="shared" si="23"/>
        <v/>
      </c>
      <c r="CB48" s="1899" t="str">
        <f t="shared" si="24"/>
        <v/>
      </c>
      <c r="CC48" s="1970"/>
      <c r="CD48" s="1970"/>
      <c r="CE48" s="1901">
        <f t="shared" si="22"/>
        <v>0</v>
      </c>
      <c r="CF48" s="1901">
        <f t="shared" si="22"/>
        <v>0</v>
      </c>
    </row>
    <row r="49" spans="1:84" x14ac:dyDescent="0.3">
      <c r="A49" s="7415" t="s">
        <v>3576</v>
      </c>
      <c r="B49" s="1400" t="s">
        <v>2899</v>
      </c>
      <c r="C49" s="1389">
        <f t="shared" si="19"/>
        <v>0</v>
      </c>
      <c r="D49" s="1403"/>
      <c r="E49" s="1404"/>
      <c r="F49" s="1404"/>
      <c r="G49" s="1404"/>
      <c r="H49" s="1404"/>
      <c r="I49" s="1404"/>
      <c r="J49" s="1404"/>
      <c r="K49" s="1404"/>
      <c r="L49" s="1405"/>
      <c r="M49" s="1406"/>
      <c r="N49" s="1407"/>
      <c r="O49" s="1408"/>
      <c r="P49" s="397"/>
      <c r="Q49" s="218"/>
      <c r="R49" s="1898" t="str">
        <f t="shared" si="21"/>
        <v/>
      </c>
      <c r="AW49" s="1970"/>
      <c r="AX49" s="1970"/>
      <c r="AY49" s="1970"/>
      <c r="AZ49" s="1970"/>
      <c r="BA49" s="1970"/>
      <c r="BB49" s="1970"/>
      <c r="BC49" s="1970"/>
      <c r="BD49" s="1970"/>
      <c r="BE49" s="1970"/>
      <c r="BF49" s="1970"/>
      <c r="BG49" s="1970"/>
      <c r="BH49" s="1970"/>
      <c r="BI49" s="1970"/>
      <c r="BJ49" s="1970"/>
      <c r="BK49" s="1970"/>
      <c r="BL49" s="1970"/>
      <c r="BM49" s="1970"/>
      <c r="BN49" s="1970"/>
      <c r="BO49" s="1970"/>
      <c r="BP49" s="1970"/>
      <c r="BQ49" s="1970"/>
      <c r="BR49" s="1970"/>
      <c r="BS49" s="1970"/>
      <c r="BT49" s="1970"/>
      <c r="BU49" s="1970"/>
      <c r="BV49" s="1970"/>
      <c r="BW49" s="1970"/>
      <c r="BX49" s="1970"/>
      <c r="BY49" s="1970"/>
      <c r="BZ49" s="1970"/>
      <c r="CA49" s="1899" t="str">
        <f t="shared" si="23"/>
        <v/>
      </c>
      <c r="CB49" s="1899" t="str">
        <f t="shared" si="24"/>
        <v/>
      </c>
      <c r="CC49" s="1970"/>
      <c r="CD49" s="1970"/>
      <c r="CE49" s="1901">
        <f t="shared" si="22"/>
        <v>0</v>
      </c>
      <c r="CF49" s="1901">
        <f t="shared" si="22"/>
        <v>0</v>
      </c>
    </row>
    <row r="50" spans="1:84" x14ac:dyDescent="0.3">
      <c r="A50" s="5844"/>
      <c r="B50" s="193" t="s">
        <v>3563</v>
      </c>
      <c r="C50" s="393">
        <f t="shared" si="19"/>
        <v>0</v>
      </c>
      <c r="D50" s="1381"/>
      <c r="E50" s="1382"/>
      <c r="F50" s="1382"/>
      <c r="G50" s="1382"/>
      <c r="H50" s="1382"/>
      <c r="I50" s="1382"/>
      <c r="J50" s="1382"/>
      <c r="K50" s="1382"/>
      <c r="L50" s="1383"/>
      <c r="M50" s="1409"/>
      <c r="N50" s="1382"/>
      <c r="O50" s="1383"/>
      <c r="P50" s="1361"/>
      <c r="Q50" s="1362"/>
      <c r="R50" s="1898" t="str">
        <f t="shared" si="21"/>
        <v/>
      </c>
      <c r="AW50" s="1970"/>
      <c r="AX50" s="1970"/>
      <c r="AY50" s="1970"/>
      <c r="AZ50" s="1970"/>
      <c r="BA50" s="1970"/>
      <c r="BB50" s="1970"/>
      <c r="BC50" s="1970"/>
      <c r="BD50" s="1970"/>
      <c r="BE50" s="1970"/>
      <c r="BF50" s="1970"/>
      <c r="BG50" s="1970"/>
      <c r="BH50" s="1970"/>
      <c r="BI50" s="1970"/>
      <c r="BJ50" s="1970"/>
      <c r="BK50" s="1970"/>
      <c r="BL50" s="1970"/>
      <c r="BM50" s="1970"/>
      <c r="BN50" s="1970"/>
      <c r="BO50" s="1970"/>
      <c r="BP50" s="1970"/>
      <c r="BQ50" s="1970"/>
      <c r="BR50" s="1970"/>
      <c r="BS50" s="1970"/>
      <c r="BT50" s="1970"/>
      <c r="BU50" s="1970"/>
      <c r="BV50" s="1970"/>
      <c r="BW50" s="1970"/>
      <c r="BX50" s="1970"/>
      <c r="BY50" s="1970"/>
      <c r="BZ50" s="1970"/>
      <c r="CA50" s="1899" t="str">
        <f t="shared" si="23"/>
        <v/>
      </c>
      <c r="CB50" s="1899" t="str">
        <f t="shared" si="24"/>
        <v/>
      </c>
      <c r="CC50" s="1970"/>
      <c r="CD50" s="1970"/>
      <c r="CE50" s="1901">
        <f t="shared" si="22"/>
        <v>0</v>
      </c>
      <c r="CF50" s="1901">
        <f t="shared" si="22"/>
        <v>0</v>
      </c>
    </row>
    <row r="51" spans="1:84" x14ac:dyDescent="0.3">
      <c r="A51" s="5844"/>
      <c r="B51" s="1187" t="s">
        <v>3577</v>
      </c>
      <c r="C51" s="1186">
        <f t="shared" si="19"/>
        <v>0</v>
      </c>
      <c r="D51" s="1371"/>
      <c r="E51" s="1367"/>
      <c r="F51" s="1367"/>
      <c r="G51" s="1367"/>
      <c r="H51" s="1367"/>
      <c r="I51" s="1367"/>
      <c r="J51" s="1367"/>
      <c r="K51" s="1367"/>
      <c r="L51" s="1368"/>
      <c r="M51" s="1372"/>
      <c r="N51" s="1373"/>
      <c r="O51" s="1374"/>
      <c r="P51" s="1361"/>
      <c r="Q51" s="1362"/>
      <c r="R51" s="1898" t="str">
        <f t="shared" si="21"/>
        <v/>
      </c>
      <c r="AW51" s="1970"/>
      <c r="AX51" s="1970"/>
      <c r="AY51" s="1970"/>
      <c r="AZ51" s="1970"/>
      <c r="BA51" s="1970"/>
      <c r="BB51" s="1970"/>
      <c r="BC51" s="1970"/>
      <c r="BD51" s="1970"/>
      <c r="BE51" s="1970"/>
      <c r="BF51" s="1970"/>
      <c r="BG51" s="1970"/>
      <c r="BH51" s="1970"/>
      <c r="BI51" s="1970"/>
      <c r="BJ51" s="1970"/>
      <c r="BK51" s="1970"/>
      <c r="BL51" s="1970"/>
      <c r="BM51" s="1970"/>
      <c r="BN51" s="1970"/>
      <c r="BO51" s="1970"/>
      <c r="BP51" s="1970"/>
      <c r="BQ51" s="1970"/>
      <c r="BR51" s="1970"/>
      <c r="BS51" s="1970"/>
      <c r="BT51" s="1970"/>
      <c r="BU51" s="1970"/>
      <c r="BV51" s="1970"/>
      <c r="BW51" s="1970"/>
      <c r="BX51" s="1970"/>
      <c r="BY51" s="1970"/>
      <c r="BZ51" s="1970"/>
      <c r="CA51" s="1899" t="str">
        <f t="shared" si="23"/>
        <v/>
      </c>
      <c r="CB51" s="1899" t="str">
        <f t="shared" si="24"/>
        <v/>
      </c>
      <c r="CC51" s="1970"/>
      <c r="CD51" s="1970"/>
      <c r="CE51" s="1901">
        <f t="shared" si="22"/>
        <v>0</v>
      </c>
      <c r="CF51" s="1901">
        <f t="shared" si="22"/>
        <v>0</v>
      </c>
    </row>
    <row r="52" spans="1:84" x14ac:dyDescent="0.3">
      <c r="A52" s="5844"/>
      <c r="B52" s="1015" t="s">
        <v>3571</v>
      </c>
      <c r="C52" s="1186">
        <f t="shared" si="19"/>
        <v>0</v>
      </c>
      <c r="D52" s="1371"/>
      <c r="E52" s="1367"/>
      <c r="F52" s="1367"/>
      <c r="G52" s="1367"/>
      <c r="H52" s="1367"/>
      <c r="I52" s="1367"/>
      <c r="J52" s="1367"/>
      <c r="K52" s="1367"/>
      <c r="L52" s="1368"/>
      <c r="M52" s="1372"/>
      <c r="N52" s="1373"/>
      <c r="O52" s="1374"/>
      <c r="P52" s="1361"/>
      <c r="Q52" s="1362"/>
      <c r="R52" s="1898" t="str">
        <f t="shared" si="21"/>
        <v/>
      </c>
      <c r="AW52" s="1970"/>
      <c r="AX52" s="1970"/>
      <c r="AY52" s="1970"/>
      <c r="AZ52" s="1970"/>
      <c r="BA52" s="1970"/>
      <c r="BB52" s="1970"/>
      <c r="BC52" s="1970"/>
      <c r="BD52" s="1970"/>
      <c r="BE52" s="1970"/>
      <c r="BF52" s="1970"/>
      <c r="BG52" s="1970"/>
      <c r="BH52" s="1970"/>
      <c r="BI52" s="1970"/>
      <c r="BJ52" s="1970"/>
      <c r="BK52" s="1970"/>
      <c r="BL52" s="1970"/>
      <c r="BM52" s="1970"/>
      <c r="BN52" s="1970"/>
      <c r="BO52" s="1970"/>
      <c r="BP52" s="1970"/>
      <c r="BQ52" s="1970"/>
      <c r="BR52" s="1970"/>
      <c r="BS52" s="1970"/>
      <c r="BT52" s="1970"/>
      <c r="BU52" s="1970"/>
      <c r="BV52" s="1970"/>
      <c r="BW52" s="1970"/>
      <c r="BX52" s="1970"/>
      <c r="BY52" s="1970"/>
      <c r="BZ52" s="1970"/>
      <c r="CA52" s="1899" t="str">
        <f t="shared" si="23"/>
        <v/>
      </c>
      <c r="CB52" s="1899" t="str">
        <f t="shared" si="24"/>
        <v/>
      </c>
      <c r="CC52" s="1970"/>
      <c r="CD52" s="1970"/>
      <c r="CE52" s="1901">
        <f t="shared" si="22"/>
        <v>0</v>
      </c>
      <c r="CF52" s="1901">
        <f t="shared" si="22"/>
        <v>0</v>
      </c>
    </row>
    <row r="53" spans="1:84" x14ac:dyDescent="0.3">
      <c r="A53" s="5844"/>
      <c r="B53" s="1187" t="s">
        <v>3578</v>
      </c>
      <c r="C53" s="393">
        <f t="shared" si="19"/>
        <v>0</v>
      </c>
      <c r="D53" s="394"/>
      <c r="E53" s="1369"/>
      <c r="F53" s="1369"/>
      <c r="G53" s="1369"/>
      <c r="H53" s="1369"/>
      <c r="I53" s="1369"/>
      <c r="J53" s="1369"/>
      <c r="K53" s="1369"/>
      <c r="L53" s="101"/>
      <c r="M53" s="395"/>
      <c r="N53" s="1370"/>
      <c r="O53" s="236"/>
      <c r="P53" s="1361"/>
      <c r="Q53" s="1362"/>
      <c r="R53" s="1898" t="str">
        <f t="shared" si="21"/>
        <v/>
      </c>
      <c r="AW53" s="1970"/>
      <c r="AX53" s="1970"/>
      <c r="AY53" s="1970"/>
      <c r="AZ53" s="1970"/>
      <c r="BA53" s="1970"/>
      <c r="BB53" s="1970"/>
      <c r="BC53" s="1970"/>
      <c r="BD53" s="1970"/>
      <c r="BE53" s="1970"/>
      <c r="BF53" s="1970"/>
      <c r="BG53" s="1970"/>
      <c r="BH53" s="1970"/>
      <c r="BI53" s="1970"/>
      <c r="BJ53" s="1970"/>
      <c r="BK53" s="1970"/>
      <c r="BL53" s="1970"/>
      <c r="BM53" s="1970"/>
      <c r="BN53" s="1970"/>
      <c r="BO53" s="1970"/>
      <c r="BP53" s="1970"/>
      <c r="BQ53" s="1970"/>
      <c r="BR53" s="1970"/>
      <c r="BS53" s="1970"/>
      <c r="BT53" s="1970"/>
      <c r="BU53" s="1970"/>
      <c r="BV53" s="1970"/>
      <c r="BW53" s="1970"/>
      <c r="BX53" s="1970"/>
      <c r="BY53" s="1970"/>
      <c r="BZ53" s="1970"/>
      <c r="CA53" s="1899" t="str">
        <f t="shared" si="23"/>
        <v/>
      </c>
      <c r="CB53" s="1899" t="str">
        <f t="shared" si="24"/>
        <v/>
      </c>
      <c r="CC53" s="1970"/>
      <c r="CD53" s="1970"/>
      <c r="CE53" s="1901">
        <f t="shared" si="22"/>
        <v>0</v>
      </c>
      <c r="CF53" s="1901">
        <f t="shared" si="22"/>
        <v>0</v>
      </c>
    </row>
    <row r="54" spans="1:84" x14ac:dyDescent="0.3">
      <c r="A54" s="6574"/>
      <c r="B54" s="1402" t="s">
        <v>3579</v>
      </c>
      <c r="C54" s="1396">
        <f t="shared" si="19"/>
        <v>0</v>
      </c>
      <c r="D54" s="1397"/>
      <c r="E54" s="263"/>
      <c r="F54" s="263"/>
      <c r="G54" s="263"/>
      <c r="H54" s="263"/>
      <c r="I54" s="263"/>
      <c r="J54" s="263"/>
      <c r="K54" s="263"/>
      <c r="L54" s="1398"/>
      <c r="M54" s="264"/>
      <c r="N54" s="265"/>
      <c r="O54" s="1399"/>
      <c r="P54" s="1388"/>
      <c r="Q54" s="396"/>
      <c r="R54" s="1898" t="str">
        <f t="shared" si="21"/>
        <v/>
      </c>
      <c r="AW54" s="1970"/>
      <c r="AX54" s="1970"/>
      <c r="AY54" s="1970"/>
      <c r="AZ54" s="1970"/>
      <c r="BA54" s="1970"/>
      <c r="BB54" s="1970"/>
      <c r="BC54" s="1970"/>
      <c r="BD54" s="1970"/>
      <c r="BE54" s="1970"/>
      <c r="BF54" s="1970"/>
      <c r="BG54" s="1970"/>
      <c r="BH54" s="1970"/>
      <c r="BI54" s="1970"/>
      <c r="BJ54" s="1970"/>
      <c r="BK54" s="1970"/>
      <c r="BL54" s="1970"/>
      <c r="BM54" s="1970"/>
      <c r="BN54" s="1970"/>
      <c r="BO54" s="1970"/>
      <c r="BP54" s="1970"/>
      <c r="BQ54" s="1970"/>
      <c r="BR54" s="1970"/>
      <c r="BS54" s="1970"/>
      <c r="BT54" s="1970"/>
      <c r="BU54" s="1970"/>
      <c r="BV54" s="1970"/>
      <c r="BW54" s="1970"/>
      <c r="BX54" s="1970"/>
      <c r="BY54" s="1970"/>
      <c r="BZ54" s="1970"/>
      <c r="CA54" s="1899" t="str">
        <f t="shared" si="23"/>
        <v/>
      </c>
      <c r="CB54" s="1899" t="str">
        <f t="shared" si="24"/>
        <v/>
      </c>
      <c r="CC54" s="1970"/>
      <c r="CD54" s="1970"/>
      <c r="CE54" s="1901">
        <f t="shared" si="22"/>
        <v>0</v>
      </c>
      <c r="CF54" s="1901">
        <f t="shared" si="22"/>
        <v>0</v>
      </c>
    </row>
    <row r="55" spans="1:84" x14ac:dyDescent="0.3">
      <c r="A55" s="7458" t="s">
        <v>3580</v>
      </c>
      <c r="B55" s="1410" t="s">
        <v>2899</v>
      </c>
      <c r="C55" s="1389">
        <f t="shared" si="19"/>
        <v>0</v>
      </c>
      <c r="D55" s="1401"/>
      <c r="E55" s="1390"/>
      <c r="F55" s="1390"/>
      <c r="G55" s="1390"/>
      <c r="H55" s="1390"/>
      <c r="I55" s="1390"/>
      <c r="J55" s="1390"/>
      <c r="K55" s="1390"/>
      <c r="L55" s="1391"/>
      <c r="M55" s="1392"/>
      <c r="N55" s="1393"/>
      <c r="O55" s="1394"/>
      <c r="P55" s="397"/>
      <c r="Q55" s="218"/>
      <c r="R55" s="1898" t="str">
        <f t="shared" si="21"/>
        <v/>
      </c>
      <c r="AW55" s="1970"/>
      <c r="AX55" s="1970"/>
      <c r="AY55" s="1970"/>
      <c r="AZ55" s="1970"/>
      <c r="BA55" s="1970"/>
      <c r="BB55" s="1970"/>
      <c r="BC55" s="1970"/>
      <c r="BD55" s="1970"/>
      <c r="BE55" s="1970"/>
      <c r="BF55" s="1970"/>
      <c r="BG55" s="1970"/>
      <c r="BH55" s="1970"/>
      <c r="BI55" s="1970"/>
      <c r="BJ55" s="1970"/>
      <c r="BK55" s="1970"/>
      <c r="BL55" s="1970"/>
      <c r="BM55" s="1970"/>
      <c r="BN55" s="1970"/>
      <c r="BO55" s="1970"/>
      <c r="BP55" s="1970"/>
      <c r="BQ55" s="1970"/>
      <c r="BR55" s="1970"/>
      <c r="BS55" s="1970"/>
      <c r="BT55" s="1970"/>
      <c r="BU55" s="1970"/>
      <c r="BV55" s="1970"/>
      <c r="BW55" s="1970"/>
      <c r="BX55" s="1970"/>
      <c r="BY55" s="1970"/>
      <c r="BZ55" s="1970"/>
      <c r="CA55" s="1899" t="str">
        <f t="shared" si="23"/>
        <v/>
      </c>
      <c r="CB55" s="1899" t="str">
        <f t="shared" si="24"/>
        <v/>
      </c>
      <c r="CC55" s="1970"/>
      <c r="CD55" s="1970"/>
      <c r="CE55" s="1901">
        <f t="shared" si="22"/>
        <v>0</v>
      </c>
      <c r="CF55" s="1901">
        <f t="shared" si="22"/>
        <v>0</v>
      </c>
    </row>
    <row r="56" spans="1:84" x14ac:dyDescent="0.3">
      <c r="A56" s="5844"/>
      <c r="B56" s="193" t="s">
        <v>3581</v>
      </c>
      <c r="C56" s="1186">
        <f t="shared" si="19"/>
        <v>0</v>
      </c>
      <c r="D56" s="1371"/>
      <c r="E56" s="1367"/>
      <c r="F56" s="1367"/>
      <c r="G56" s="1367"/>
      <c r="H56" s="1367"/>
      <c r="I56" s="1367"/>
      <c r="J56" s="1367"/>
      <c r="K56" s="1367"/>
      <c r="L56" s="1368"/>
      <c r="M56" s="1361"/>
      <c r="N56" s="1367"/>
      <c r="O56" s="1368"/>
      <c r="P56" s="1361"/>
      <c r="Q56" s="1362"/>
      <c r="R56" s="1898" t="str">
        <f t="shared" si="21"/>
        <v/>
      </c>
      <c r="AW56" s="1970"/>
      <c r="AX56" s="1970"/>
      <c r="AY56" s="1970"/>
      <c r="AZ56" s="1970"/>
      <c r="BA56" s="1970"/>
      <c r="BB56" s="1970"/>
      <c r="BC56" s="1970"/>
      <c r="BD56" s="1970"/>
      <c r="BE56" s="1970"/>
      <c r="BF56" s="1970"/>
      <c r="BG56" s="1970"/>
      <c r="BH56" s="1970"/>
      <c r="BI56" s="1970"/>
      <c r="BJ56" s="1970"/>
      <c r="BK56" s="1970"/>
      <c r="BL56" s="1970"/>
      <c r="BM56" s="1970"/>
      <c r="BN56" s="1970"/>
      <c r="BO56" s="1970"/>
      <c r="BP56" s="1970"/>
      <c r="BQ56" s="1970"/>
      <c r="BR56" s="1970"/>
      <c r="BS56" s="1970"/>
      <c r="BT56" s="1970"/>
      <c r="BU56" s="1970"/>
      <c r="BV56" s="1970"/>
      <c r="BW56" s="1970"/>
      <c r="BX56" s="1970"/>
      <c r="BY56" s="1970"/>
      <c r="BZ56" s="1970"/>
      <c r="CA56" s="1899" t="str">
        <f t="shared" si="23"/>
        <v/>
      </c>
      <c r="CB56" s="1899" t="str">
        <f t="shared" si="24"/>
        <v/>
      </c>
      <c r="CC56" s="1970"/>
      <c r="CD56" s="1970"/>
      <c r="CE56" s="1901">
        <f t="shared" si="22"/>
        <v>0</v>
      </c>
      <c r="CF56" s="1901">
        <f t="shared" si="22"/>
        <v>0</v>
      </c>
    </row>
    <row r="57" spans="1:84" ht="24" customHeight="1" x14ac:dyDescent="0.3">
      <c r="A57" s="5844"/>
      <c r="B57" s="1015" t="s">
        <v>3582</v>
      </c>
      <c r="C57" s="1186">
        <f t="shared" si="19"/>
        <v>0</v>
      </c>
      <c r="D57" s="394"/>
      <c r="E57" s="1369"/>
      <c r="F57" s="1369"/>
      <c r="G57" s="1369"/>
      <c r="H57" s="1369"/>
      <c r="I57" s="1369"/>
      <c r="J57" s="1369"/>
      <c r="K57" s="1369"/>
      <c r="L57" s="101"/>
      <c r="M57" s="395"/>
      <c r="N57" s="1370"/>
      <c r="O57" s="236"/>
      <c r="P57" s="1361"/>
      <c r="Q57" s="1362"/>
      <c r="R57" s="1898" t="str">
        <f t="shared" si="21"/>
        <v/>
      </c>
      <c r="AW57" s="1970"/>
      <c r="AX57" s="1970"/>
      <c r="AY57" s="1970"/>
      <c r="AZ57" s="1970"/>
      <c r="BA57" s="1970"/>
      <c r="BB57" s="1970"/>
      <c r="BC57" s="1970"/>
      <c r="BD57" s="1970"/>
      <c r="BE57" s="1970"/>
      <c r="BF57" s="1970"/>
      <c r="BG57" s="1970"/>
      <c r="BH57" s="1970"/>
      <c r="BI57" s="1970"/>
      <c r="BJ57" s="1970"/>
      <c r="BK57" s="1970"/>
      <c r="BL57" s="1970"/>
      <c r="BM57" s="1970"/>
      <c r="BN57" s="1970"/>
      <c r="BO57" s="1970"/>
      <c r="BP57" s="1970"/>
      <c r="BQ57" s="1970"/>
      <c r="BR57" s="1970"/>
      <c r="BS57" s="1970"/>
      <c r="BT57" s="1970"/>
      <c r="BU57" s="1970"/>
      <c r="BV57" s="1970"/>
      <c r="BW57" s="1970"/>
      <c r="BX57" s="1970"/>
      <c r="BY57" s="1970"/>
      <c r="BZ57" s="1970"/>
      <c r="CA57" s="1899" t="str">
        <f t="shared" si="23"/>
        <v/>
      </c>
      <c r="CB57" s="1899" t="str">
        <f t="shared" si="24"/>
        <v/>
      </c>
      <c r="CC57" s="1970"/>
      <c r="CD57" s="1970"/>
      <c r="CE57" s="1901">
        <f t="shared" si="22"/>
        <v>0</v>
      </c>
      <c r="CF57" s="1901">
        <f t="shared" si="22"/>
        <v>0</v>
      </c>
    </row>
    <row r="58" spans="1:84" ht="21.75" customHeight="1" x14ac:dyDescent="0.3">
      <c r="A58" s="6574"/>
      <c r="B58" s="1411" t="s">
        <v>3583</v>
      </c>
      <c r="C58" s="1402">
        <f>SUM(D58:L58)</f>
        <v>0</v>
      </c>
      <c r="D58" s="104"/>
      <c r="E58" s="102"/>
      <c r="F58" s="102"/>
      <c r="G58" s="102"/>
      <c r="H58" s="102"/>
      <c r="I58" s="102"/>
      <c r="J58" s="102"/>
      <c r="K58" s="102"/>
      <c r="L58" s="103"/>
      <c r="M58" s="238"/>
      <c r="N58" s="239"/>
      <c r="O58" s="237"/>
      <c r="P58" s="1388"/>
      <c r="Q58" s="396"/>
      <c r="R58" s="1898" t="str">
        <f t="shared" si="21"/>
        <v/>
      </c>
      <c r="AW58" s="1970"/>
      <c r="AX58" s="1970"/>
      <c r="AY58" s="1970"/>
      <c r="AZ58" s="1970"/>
      <c r="BA58" s="1970"/>
      <c r="BB58" s="1970"/>
      <c r="BC58" s="1970"/>
      <c r="BD58" s="1970"/>
      <c r="BE58" s="1970"/>
      <c r="BF58" s="1970"/>
      <c r="BG58" s="1970"/>
      <c r="BH58" s="1970"/>
      <c r="BI58" s="1970"/>
      <c r="BJ58" s="1970"/>
      <c r="BK58" s="1970"/>
      <c r="BL58" s="1970"/>
      <c r="BM58" s="1970"/>
      <c r="BN58" s="1970"/>
      <c r="BO58" s="1970"/>
      <c r="BP58" s="1970"/>
      <c r="BQ58" s="1970"/>
      <c r="BR58" s="1970"/>
      <c r="BS58" s="1970"/>
      <c r="BT58" s="1970"/>
      <c r="BU58" s="1970"/>
      <c r="BV58" s="1970"/>
      <c r="BW58" s="1970"/>
      <c r="BX58" s="1970"/>
      <c r="BY58" s="1970"/>
      <c r="BZ58" s="1970"/>
      <c r="CA58" s="1899" t="str">
        <f t="shared" si="23"/>
        <v/>
      </c>
      <c r="CB58" s="1899" t="str">
        <f t="shared" si="24"/>
        <v/>
      </c>
      <c r="CC58" s="1970"/>
      <c r="CD58" s="1970"/>
      <c r="CE58" s="1901">
        <f t="shared" si="22"/>
        <v>0</v>
      </c>
      <c r="CF58" s="1901">
        <f t="shared" si="22"/>
        <v>0</v>
      </c>
    </row>
    <row r="59" spans="1:84" x14ac:dyDescent="0.3">
      <c r="A59" s="7458" t="s">
        <v>3584</v>
      </c>
      <c r="B59" s="1363" t="s">
        <v>2899</v>
      </c>
      <c r="C59" s="1412"/>
      <c r="D59" s="1413"/>
      <c r="E59" s="1414"/>
      <c r="F59" s="1414"/>
      <c r="G59" s="1414"/>
      <c r="H59" s="1414"/>
      <c r="I59" s="1414"/>
      <c r="J59" s="1414"/>
      <c r="K59" s="1414"/>
      <c r="L59" s="1415"/>
      <c r="M59" s="1416"/>
      <c r="N59" s="1414"/>
      <c r="O59" s="1415"/>
      <c r="P59" s="397"/>
      <c r="Q59" s="218"/>
      <c r="R59" s="1898" t="str">
        <f t="shared" si="21"/>
        <v/>
      </c>
      <c r="AW59" s="1970"/>
      <c r="AX59" s="1970"/>
      <c r="AY59" s="1970"/>
      <c r="AZ59" s="1970"/>
      <c r="BA59" s="1970"/>
      <c r="BB59" s="1970"/>
      <c r="BC59" s="1970"/>
      <c r="BD59" s="1970"/>
      <c r="BE59" s="1970"/>
      <c r="BF59" s="1970"/>
      <c r="BG59" s="1970"/>
      <c r="BH59" s="1970"/>
      <c r="BI59" s="1970"/>
      <c r="BJ59" s="1970"/>
      <c r="BK59" s="1970"/>
      <c r="BL59" s="1970"/>
      <c r="BM59" s="1970"/>
      <c r="BN59" s="1970"/>
      <c r="BO59" s="1970"/>
      <c r="BP59" s="1970"/>
      <c r="BQ59" s="1970"/>
      <c r="BR59" s="1970"/>
      <c r="BS59" s="1970"/>
      <c r="BT59" s="1970"/>
      <c r="BU59" s="1970"/>
      <c r="BV59" s="1970"/>
      <c r="BW59" s="1970"/>
      <c r="BX59" s="1970"/>
      <c r="BY59" s="1970"/>
      <c r="BZ59" s="1970"/>
      <c r="CA59" s="1899" t="str">
        <f>IF(AND($C59&lt;&gt;0,P59=""),"* No olvide digitar la variable "&amp;P$30&amp;""&amp;". Digite CERO si no tiene. ",IF(P59&gt;$C59,"* La variable Pueblos Originarios no puede superar el Total. ",""))</f>
        <v/>
      </c>
      <c r="CB59" s="1899" t="str">
        <f t="shared" si="24"/>
        <v/>
      </c>
      <c r="CC59" s="1970"/>
      <c r="CD59" s="1970"/>
      <c r="CE59" s="1901">
        <f t="shared" si="22"/>
        <v>0</v>
      </c>
      <c r="CF59" s="1901">
        <f t="shared" si="22"/>
        <v>0</v>
      </c>
    </row>
    <row r="60" spans="1:84" x14ac:dyDescent="0.3">
      <c r="A60" s="5844"/>
      <c r="B60" s="1363" t="s">
        <v>3581</v>
      </c>
      <c r="C60" s="1363">
        <f>SUM(D60:L60)</f>
        <v>0</v>
      </c>
      <c r="D60" s="1364">
        <f>SUM(D61:D62)</f>
        <v>0</v>
      </c>
      <c r="E60" s="1365">
        <f t="shared" ref="E60:L60" si="25">SUM(E61:E62)</f>
        <v>0</v>
      </c>
      <c r="F60" s="1365">
        <f t="shared" si="25"/>
        <v>0</v>
      </c>
      <c r="G60" s="1365">
        <f t="shared" si="25"/>
        <v>0</v>
      </c>
      <c r="H60" s="1365">
        <f t="shared" si="25"/>
        <v>0</v>
      </c>
      <c r="I60" s="1365">
        <f t="shared" si="25"/>
        <v>0</v>
      </c>
      <c r="J60" s="1365">
        <f t="shared" si="25"/>
        <v>0</v>
      </c>
      <c r="K60" s="1365">
        <f t="shared" si="25"/>
        <v>0</v>
      </c>
      <c r="L60" s="1366">
        <f t="shared" si="25"/>
        <v>0</v>
      </c>
      <c r="M60" s="1417"/>
      <c r="N60" s="1356"/>
      <c r="O60" s="1357"/>
      <c r="P60" s="1361"/>
      <c r="Q60" s="1362"/>
      <c r="R60" s="1898" t="str">
        <f t="shared" si="21"/>
        <v/>
      </c>
      <c r="AW60" s="1970"/>
      <c r="AX60" s="1970"/>
      <c r="AY60" s="1970"/>
      <c r="AZ60" s="1970"/>
      <c r="BA60" s="1970"/>
      <c r="BB60" s="1970"/>
      <c r="BC60" s="1970"/>
      <c r="BD60" s="1970"/>
      <c r="BE60" s="1970"/>
      <c r="BF60" s="1970"/>
      <c r="BG60" s="1970"/>
      <c r="BH60" s="1970"/>
      <c r="BI60" s="1970"/>
      <c r="BJ60" s="1970"/>
      <c r="BK60" s="1970"/>
      <c r="BL60" s="1970"/>
      <c r="BM60" s="1970"/>
      <c r="BN60" s="1970"/>
      <c r="BO60" s="1970"/>
      <c r="BP60" s="1970"/>
      <c r="BQ60" s="1970"/>
      <c r="BR60" s="1970"/>
      <c r="BS60" s="1970"/>
      <c r="BT60" s="1970"/>
      <c r="BU60" s="1970"/>
      <c r="BV60" s="1970"/>
      <c r="BW60" s="1970"/>
      <c r="BX60" s="1970"/>
      <c r="BY60" s="1970"/>
      <c r="BZ60" s="1970"/>
      <c r="CA60" s="1970"/>
      <c r="CB60" s="1970"/>
      <c r="CC60" s="1970"/>
      <c r="CD60" s="1970"/>
    </row>
    <row r="61" spans="1:84" x14ac:dyDescent="0.3">
      <c r="A61" s="5844"/>
      <c r="B61" s="400" t="s">
        <v>3585</v>
      </c>
      <c r="C61" s="146">
        <f>SUM(D61:L61)</f>
        <v>0</v>
      </c>
      <c r="D61" s="394"/>
      <c r="E61" s="1369"/>
      <c r="F61" s="1369"/>
      <c r="G61" s="1369"/>
      <c r="H61" s="1369"/>
      <c r="I61" s="1369"/>
      <c r="J61" s="1369"/>
      <c r="K61" s="1369"/>
      <c r="L61" s="101"/>
      <c r="M61" s="395"/>
      <c r="N61" s="1370"/>
      <c r="O61" s="236"/>
      <c r="P61" s="1361"/>
      <c r="Q61" s="1362"/>
      <c r="R61" s="1898" t="str">
        <f t="shared" si="21"/>
        <v/>
      </c>
      <c r="AW61" s="1970"/>
      <c r="AX61" s="1970"/>
      <c r="AY61" s="1970"/>
      <c r="AZ61" s="1970"/>
      <c r="BA61" s="1970"/>
      <c r="BB61" s="1970"/>
      <c r="BC61" s="1970"/>
      <c r="BD61" s="1970"/>
      <c r="BE61" s="1970"/>
      <c r="BF61" s="1970"/>
      <c r="BG61" s="1970"/>
      <c r="BH61" s="1970"/>
      <c r="BI61" s="1970"/>
      <c r="BJ61" s="1970"/>
      <c r="BK61" s="1970"/>
      <c r="BL61" s="1970"/>
      <c r="BM61" s="1970"/>
      <c r="BN61" s="1970"/>
      <c r="BO61" s="1970"/>
      <c r="BP61" s="1970"/>
      <c r="BQ61" s="1970"/>
      <c r="BR61" s="1970"/>
      <c r="BS61" s="1970"/>
      <c r="BT61" s="1970"/>
      <c r="BU61" s="1970"/>
      <c r="BV61" s="1970"/>
      <c r="BW61" s="1970"/>
      <c r="BX61" s="1970"/>
      <c r="BY61" s="1970"/>
      <c r="BZ61" s="1970"/>
      <c r="CA61" s="1899" t="str">
        <f t="shared" ref="CA61:CA68" si="26">IF(AND($C61&lt;&gt;0,P61=""),"* No olvide digitar la variable "&amp;P$30&amp;""&amp;". Digite CERO si no tiene. ",IF(P61&gt;$C61,"* La variable Pueblos Originarios no puede superar el Total. ",""))</f>
        <v/>
      </c>
      <c r="CB61" s="1899" t="str">
        <f t="shared" ref="CB61:CB68" si="27">IF(AND($C61&lt;&gt;0,Q61=""),"* No olvide digitar la variable "&amp;Q$30&amp;""&amp;". Digite CERO si no tiene. ",IF(Q61&gt;$C61,"* La variable Migrantes no puede superar el Total. ",""))</f>
        <v/>
      </c>
      <c r="CC61" s="1970"/>
      <c r="CD61" s="1970"/>
      <c r="CE61" s="1901">
        <f t="shared" si="22"/>
        <v>0</v>
      </c>
      <c r="CF61" s="1901">
        <f t="shared" si="22"/>
        <v>0</v>
      </c>
    </row>
    <row r="62" spans="1:84" x14ac:dyDescent="0.3">
      <c r="A62" s="6574"/>
      <c r="B62" s="195" t="s">
        <v>3586</v>
      </c>
      <c r="C62" s="1288">
        <f>SUM(D62:L62)</f>
        <v>0</v>
      </c>
      <c r="D62" s="1397"/>
      <c r="E62" s="263"/>
      <c r="F62" s="263"/>
      <c r="G62" s="263"/>
      <c r="H62" s="263"/>
      <c r="I62" s="263"/>
      <c r="J62" s="263"/>
      <c r="K62" s="263"/>
      <c r="L62" s="1398"/>
      <c r="M62" s="264"/>
      <c r="N62" s="265"/>
      <c r="O62" s="1399"/>
      <c r="P62" s="1388"/>
      <c r="Q62" s="396"/>
      <c r="R62" s="1898" t="str">
        <f t="shared" si="21"/>
        <v/>
      </c>
      <c r="AW62" s="1970"/>
      <c r="AX62" s="1970"/>
      <c r="AY62" s="1970"/>
      <c r="AZ62" s="1970"/>
      <c r="BA62" s="1970"/>
      <c r="BB62" s="1970"/>
      <c r="BC62" s="1970"/>
      <c r="BD62" s="1970"/>
      <c r="BE62" s="1970"/>
      <c r="BF62" s="1970"/>
      <c r="BG62" s="1970"/>
      <c r="BH62" s="1970"/>
      <c r="BI62" s="1970"/>
      <c r="BJ62" s="1970"/>
      <c r="BK62" s="1970"/>
      <c r="BL62" s="1970"/>
      <c r="BM62" s="1970"/>
      <c r="BN62" s="1970"/>
      <c r="BO62" s="1970"/>
      <c r="BP62" s="1970"/>
      <c r="BQ62" s="1970"/>
      <c r="BR62" s="1970"/>
      <c r="BS62" s="1970"/>
      <c r="BT62" s="1970"/>
      <c r="BU62" s="1970"/>
      <c r="BV62" s="1970"/>
      <c r="BW62" s="1970"/>
      <c r="BX62" s="1970"/>
      <c r="BY62" s="1970"/>
      <c r="BZ62" s="1970"/>
      <c r="CA62" s="1899" t="str">
        <f t="shared" si="26"/>
        <v/>
      </c>
      <c r="CB62" s="1899" t="str">
        <f t="shared" si="27"/>
        <v/>
      </c>
      <c r="CC62" s="1970"/>
      <c r="CD62" s="1970"/>
      <c r="CE62" s="1901">
        <f t="shared" si="22"/>
        <v>0</v>
      </c>
      <c r="CF62" s="1901">
        <f t="shared" si="22"/>
        <v>0</v>
      </c>
    </row>
    <row r="63" spans="1:84" x14ac:dyDescent="0.3">
      <c r="A63" s="7458" t="s">
        <v>3587</v>
      </c>
      <c r="B63" s="1410" t="s">
        <v>2899</v>
      </c>
      <c r="C63" s="1371"/>
      <c r="D63" s="1418"/>
      <c r="E63" s="1393"/>
      <c r="F63" s="1393"/>
      <c r="G63" s="1393"/>
      <c r="H63" s="1393"/>
      <c r="I63" s="1393"/>
      <c r="J63" s="1393"/>
      <c r="K63" s="1393"/>
      <c r="L63" s="1394"/>
      <c r="M63" s="1392"/>
      <c r="N63" s="1393"/>
      <c r="O63" s="1394"/>
      <c r="P63" s="397"/>
      <c r="Q63" s="218"/>
      <c r="R63" s="1898" t="str">
        <f t="shared" si="21"/>
        <v/>
      </c>
      <c r="AW63" s="1970"/>
      <c r="AX63" s="1970"/>
      <c r="AY63" s="1970"/>
      <c r="AZ63" s="1970"/>
      <c r="BA63" s="1970"/>
      <c r="BB63" s="1970"/>
      <c r="BC63" s="1970"/>
      <c r="BD63" s="1970"/>
      <c r="BE63" s="1970"/>
      <c r="BF63" s="1970"/>
      <c r="BG63" s="1970"/>
      <c r="BH63" s="1970"/>
      <c r="BI63" s="1970"/>
      <c r="BJ63" s="1970"/>
      <c r="BK63" s="1970"/>
      <c r="BL63" s="1970"/>
      <c r="BM63" s="1970"/>
      <c r="BN63" s="1970"/>
      <c r="BO63" s="1970"/>
      <c r="BP63" s="1970"/>
      <c r="BQ63" s="1970"/>
      <c r="BR63" s="1970"/>
      <c r="BS63" s="1970"/>
      <c r="BT63" s="1970"/>
      <c r="BU63" s="1970"/>
      <c r="BV63" s="1970"/>
      <c r="BW63" s="1970"/>
      <c r="BX63" s="1970"/>
      <c r="BY63" s="1970"/>
      <c r="BZ63" s="1970"/>
      <c r="CA63" s="1899" t="str">
        <f t="shared" si="26"/>
        <v/>
      </c>
      <c r="CB63" s="1899" t="str">
        <f t="shared" si="27"/>
        <v/>
      </c>
      <c r="CC63" s="1970"/>
      <c r="CD63" s="1970"/>
      <c r="CE63" s="1901">
        <f t="shared" si="22"/>
        <v>0</v>
      </c>
      <c r="CF63" s="1901">
        <f t="shared" si="22"/>
        <v>0</v>
      </c>
    </row>
    <row r="64" spans="1:84" x14ac:dyDescent="0.3">
      <c r="A64" s="6574"/>
      <c r="B64" s="1188" t="s">
        <v>3563</v>
      </c>
      <c r="C64" s="1397"/>
      <c r="D64" s="1419"/>
      <c r="E64" s="1420"/>
      <c r="F64" s="1420"/>
      <c r="G64" s="1420"/>
      <c r="H64" s="1420"/>
      <c r="I64" s="1420"/>
      <c r="J64" s="1420"/>
      <c r="K64" s="1420"/>
      <c r="L64" s="1421"/>
      <c r="M64" s="1388"/>
      <c r="N64" s="1422"/>
      <c r="O64" s="401"/>
      <c r="P64" s="1388"/>
      <c r="Q64" s="396"/>
      <c r="R64" s="1898" t="str">
        <f t="shared" si="21"/>
        <v/>
      </c>
      <c r="AW64" s="1970"/>
      <c r="AX64" s="1970"/>
      <c r="AY64" s="1970"/>
      <c r="AZ64" s="1970"/>
      <c r="BA64" s="1970"/>
      <c r="BB64" s="1970"/>
      <c r="BC64" s="1970"/>
      <c r="BD64" s="1970"/>
      <c r="BE64" s="1970"/>
      <c r="BF64" s="1970"/>
      <c r="BG64" s="1970"/>
      <c r="BH64" s="1970"/>
      <c r="BI64" s="1970"/>
      <c r="BJ64" s="1970"/>
      <c r="BK64" s="1970"/>
      <c r="BL64" s="1970"/>
      <c r="BM64" s="1970"/>
      <c r="BN64" s="1970"/>
      <c r="BO64" s="1970"/>
      <c r="BP64" s="1970"/>
      <c r="BQ64" s="1970"/>
      <c r="BR64" s="1970"/>
      <c r="BS64" s="1970"/>
      <c r="BT64" s="1970"/>
      <c r="BU64" s="1970"/>
      <c r="BV64" s="1970"/>
      <c r="BW64" s="1970"/>
      <c r="BX64" s="1970"/>
      <c r="BY64" s="1970"/>
      <c r="BZ64" s="1970"/>
      <c r="CA64" s="1899" t="str">
        <f t="shared" si="26"/>
        <v/>
      </c>
      <c r="CB64" s="1899" t="str">
        <f t="shared" si="27"/>
        <v/>
      </c>
      <c r="CC64" s="1970"/>
      <c r="CD64" s="1970"/>
      <c r="CE64" s="1901">
        <f>IF(AND($C64&lt;&gt;0,P64=""),1,IF(P64&gt;$C64,1,0))</f>
        <v>0</v>
      </c>
      <c r="CF64" s="1901">
        <f>IF(AND($C64&lt;&gt;0,Q64=""),1,IF(Q64&gt;$C64,1,0))</f>
        <v>0</v>
      </c>
    </row>
    <row r="65" spans="1:84" x14ac:dyDescent="0.3">
      <c r="A65" s="7460" t="s">
        <v>3588</v>
      </c>
      <c r="B65" s="5097" t="s">
        <v>2899</v>
      </c>
      <c r="C65" s="1423">
        <f>SUM(D65:L65)</f>
        <v>0</v>
      </c>
      <c r="D65" s="5098"/>
      <c r="E65" s="5099"/>
      <c r="F65" s="5099"/>
      <c r="G65" s="5099"/>
      <c r="H65" s="5099"/>
      <c r="I65" s="5099"/>
      <c r="J65" s="5099"/>
      <c r="K65" s="5099"/>
      <c r="L65" s="5100"/>
      <c r="M65" s="5101"/>
      <c r="N65" s="5099"/>
      <c r="O65" s="5102"/>
      <c r="P65" s="5101"/>
      <c r="Q65" s="5103"/>
      <c r="R65" s="1898"/>
      <c r="AW65" s="1970"/>
      <c r="AX65" s="1970"/>
      <c r="AY65" s="1970"/>
      <c r="AZ65" s="1970"/>
      <c r="BA65" s="1970"/>
      <c r="BB65" s="1970"/>
      <c r="BC65" s="1970"/>
      <c r="BD65" s="1970"/>
      <c r="BE65" s="1970"/>
      <c r="BF65" s="1970"/>
      <c r="BG65" s="1970"/>
      <c r="BH65" s="1970"/>
      <c r="BI65" s="1970"/>
      <c r="BJ65" s="1970"/>
      <c r="BK65" s="1970"/>
      <c r="BL65" s="1970"/>
      <c r="BM65" s="1970"/>
      <c r="BN65" s="1970"/>
      <c r="BO65" s="1970"/>
      <c r="BP65" s="1970"/>
      <c r="BQ65" s="1970"/>
      <c r="BR65" s="1970"/>
      <c r="BS65" s="1970"/>
      <c r="BT65" s="1970"/>
      <c r="BU65" s="1970"/>
      <c r="BV65" s="1970"/>
      <c r="BW65" s="1970"/>
      <c r="BX65" s="1970"/>
      <c r="BY65" s="1970"/>
      <c r="BZ65" s="1970"/>
      <c r="CA65" s="1899" t="str">
        <f>IF(AND($C65&lt;&gt;0,P65=""),"* No olvide digitar la variable "&amp;P$30&amp;""&amp;". Digite CERO si no tiene. ",IF(P65&gt;$C65,"* La variable Pueblos Originarios no puede superar el Total. ",""))</f>
        <v/>
      </c>
      <c r="CB65" s="1899" t="str">
        <f t="shared" si="27"/>
        <v/>
      </c>
      <c r="CC65" s="1970"/>
      <c r="CD65" s="1970"/>
      <c r="CE65" s="1901">
        <f t="shared" ref="CE65:CE68" si="28">IF(AND($C65&lt;&gt;0,P65=""),1,IF(P65&gt;$C65,1,0))</f>
        <v>0</v>
      </c>
      <c r="CF65" s="1901">
        <f t="shared" ref="CF65:CF68" si="29">IF(AND($C65&lt;&gt;0,Q65=""),1,IF(Q65&gt;$C65,1,0))</f>
        <v>0</v>
      </c>
    </row>
    <row r="66" spans="1:84" x14ac:dyDescent="0.3">
      <c r="A66" s="7461"/>
      <c r="B66" s="5104" t="s">
        <v>3563</v>
      </c>
      <c r="C66" s="402">
        <f>SUM(D66:L66)</f>
        <v>0</v>
      </c>
      <c r="D66" s="5105"/>
      <c r="E66" s="5106"/>
      <c r="F66" s="5106"/>
      <c r="G66" s="5106"/>
      <c r="H66" s="5106"/>
      <c r="I66" s="5106"/>
      <c r="J66" s="5106"/>
      <c r="K66" s="5106"/>
      <c r="L66" s="5107"/>
      <c r="M66" s="5108"/>
      <c r="N66" s="5106"/>
      <c r="O66" s="5109"/>
      <c r="P66" s="5108"/>
      <c r="Q66" s="5110"/>
      <c r="R66" s="1898"/>
      <c r="AW66" s="1970"/>
      <c r="AX66" s="1970"/>
      <c r="AY66" s="1970"/>
      <c r="AZ66" s="1970"/>
      <c r="BA66" s="1970"/>
      <c r="BB66" s="1970"/>
      <c r="BC66" s="1970"/>
      <c r="BD66" s="1970"/>
      <c r="BE66" s="1970"/>
      <c r="BF66" s="1970"/>
      <c r="BG66" s="1970"/>
      <c r="BH66" s="1970"/>
      <c r="BI66" s="1970"/>
      <c r="BJ66" s="1970"/>
      <c r="BK66" s="1970"/>
      <c r="BL66" s="1970"/>
      <c r="BM66" s="1970"/>
      <c r="BN66" s="1970"/>
      <c r="BO66" s="1970"/>
      <c r="BP66" s="1970"/>
      <c r="BQ66" s="1970"/>
      <c r="BR66" s="1970"/>
      <c r="BS66" s="1970"/>
      <c r="BT66" s="1970"/>
      <c r="BU66" s="1970"/>
      <c r="BV66" s="1970"/>
      <c r="BW66" s="1970"/>
      <c r="BX66" s="1970"/>
      <c r="BY66" s="1970"/>
      <c r="BZ66" s="1970"/>
      <c r="CA66" s="1899" t="str">
        <f t="shared" si="26"/>
        <v/>
      </c>
      <c r="CB66" s="1899" t="str">
        <f t="shared" si="27"/>
        <v/>
      </c>
      <c r="CC66" s="1970"/>
      <c r="CD66" s="1970"/>
      <c r="CE66" s="1901">
        <f t="shared" si="28"/>
        <v>0</v>
      </c>
      <c r="CF66" s="1901">
        <f t="shared" si="29"/>
        <v>0</v>
      </c>
    </row>
    <row r="67" spans="1:84" x14ac:dyDescent="0.3">
      <c r="A67" s="7460" t="s">
        <v>3589</v>
      </c>
      <c r="B67" s="5097" t="s">
        <v>2899</v>
      </c>
      <c r="C67" s="1423">
        <f>SUM(D67:L67)</f>
        <v>0</v>
      </c>
      <c r="D67" s="5111"/>
      <c r="E67" s="5099"/>
      <c r="F67" s="5099"/>
      <c r="G67" s="5099"/>
      <c r="H67" s="5099"/>
      <c r="I67" s="5099"/>
      <c r="J67" s="5099"/>
      <c r="K67" s="5099"/>
      <c r="L67" s="5100"/>
      <c r="M67" s="5101"/>
      <c r="N67" s="5099"/>
      <c r="O67" s="5102"/>
      <c r="P67" s="5101"/>
      <c r="Q67" s="5103"/>
      <c r="R67" s="1898"/>
      <c r="AW67" s="1970"/>
      <c r="AX67" s="1970"/>
      <c r="AY67" s="1970"/>
      <c r="AZ67" s="1970"/>
      <c r="BA67" s="1970"/>
      <c r="BB67" s="1970"/>
      <c r="BC67" s="1970"/>
      <c r="BD67" s="1970"/>
      <c r="BE67" s="1970"/>
      <c r="BF67" s="1970"/>
      <c r="BG67" s="1970"/>
      <c r="BH67" s="1970"/>
      <c r="BI67" s="1970"/>
      <c r="BJ67" s="1970"/>
      <c r="BK67" s="1970"/>
      <c r="BL67" s="1970"/>
      <c r="BM67" s="1970"/>
      <c r="BN67" s="1970"/>
      <c r="BO67" s="1970"/>
      <c r="BP67" s="1970"/>
      <c r="BQ67" s="1970"/>
      <c r="BR67" s="1970"/>
      <c r="BS67" s="1970"/>
      <c r="BT67" s="1970"/>
      <c r="BU67" s="1970"/>
      <c r="BV67" s="1970"/>
      <c r="BW67" s="1970"/>
      <c r="BX67" s="1970"/>
      <c r="BY67" s="1970"/>
      <c r="BZ67" s="1970"/>
      <c r="CA67" s="1899" t="str">
        <f t="shared" si="26"/>
        <v/>
      </c>
      <c r="CB67" s="1899" t="str">
        <f t="shared" si="27"/>
        <v/>
      </c>
      <c r="CC67" s="1970"/>
      <c r="CD67" s="1970"/>
      <c r="CE67" s="1901">
        <f t="shared" si="28"/>
        <v>0</v>
      </c>
      <c r="CF67" s="1901">
        <f t="shared" si="29"/>
        <v>0</v>
      </c>
    </row>
    <row r="68" spans="1:84" x14ac:dyDescent="0.3">
      <c r="A68" s="7461"/>
      <c r="B68" s="5104" t="s">
        <v>3563</v>
      </c>
      <c r="C68" s="402">
        <f>SUM(D68:L68)</f>
        <v>0</v>
      </c>
      <c r="D68" s="5112"/>
      <c r="E68" s="5106"/>
      <c r="F68" s="5106"/>
      <c r="G68" s="5106"/>
      <c r="H68" s="5106"/>
      <c r="I68" s="5106"/>
      <c r="J68" s="5106"/>
      <c r="K68" s="5106"/>
      <c r="L68" s="5107"/>
      <c r="M68" s="5108"/>
      <c r="N68" s="5106"/>
      <c r="O68" s="5109"/>
      <c r="P68" s="5108"/>
      <c r="Q68" s="5110"/>
      <c r="R68" s="1898"/>
      <c r="AW68" s="1970"/>
      <c r="AX68" s="1970"/>
      <c r="AY68" s="1970"/>
      <c r="AZ68" s="1970"/>
      <c r="BA68" s="1970"/>
      <c r="BB68" s="1970"/>
      <c r="BC68" s="1970"/>
      <c r="BD68" s="1970"/>
      <c r="BE68" s="1970"/>
      <c r="BF68" s="1970"/>
      <c r="BG68" s="1970"/>
      <c r="BH68" s="1970"/>
      <c r="BI68" s="1970"/>
      <c r="BJ68" s="1970"/>
      <c r="BK68" s="1970"/>
      <c r="BL68" s="1970"/>
      <c r="BM68" s="1970"/>
      <c r="BN68" s="1970"/>
      <c r="BO68" s="1970"/>
      <c r="BP68" s="1970"/>
      <c r="BQ68" s="1970"/>
      <c r="BR68" s="1970"/>
      <c r="BS68" s="1970"/>
      <c r="BT68" s="1970"/>
      <c r="BU68" s="1970"/>
      <c r="BV68" s="1970"/>
      <c r="BW68" s="1970"/>
      <c r="BX68" s="1970"/>
      <c r="BY68" s="1970"/>
      <c r="BZ68" s="1970"/>
      <c r="CA68" s="1899" t="str">
        <f t="shared" si="26"/>
        <v/>
      </c>
      <c r="CB68" s="1899" t="str">
        <f t="shared" si="27"/>
        <v/>
      </c>
      <c r="CC68" s="1970"/>
      <c r="CD68" s="1970"/>
      <c r="CE68" s="1901">
        <f t="shared" si="28"/>
        <v>0</v>
      </c>
      <c r="CF68" s="1901">
        <f t="shared" si="29"/>
        <v>0</v>
      </c>
    </row>
    <row r="69" spans="1:84" ht="18" customHeight="1" x14ac:dyDescent="0.3">
      <c r="A69" s="922" t="s">
        <v>3590</v>
      </c>
      <c r="B69" s="8"/>
      <c r="C69" s="4"/>
      <c r="D69" s="8"/>
    </row>
    <row r="70" spans="1:84" ht="30.6" x14ac:dyDescent="0.3">
      <c r="A70" s="1312" t="s">
        <v>3591</v>
      </c>
      <c r="B70" s="1424" t="s">
        <v>2485</v>
      </c>
      <c r="C70" s="1425" t="s">
        <v>3592</v>
      </c>
      <c r="D70" s="1425" t="s">
        <v>3593</v>
      </c>
    </row>
    <row r="71" spans="1:84" ht="21.6" x14ac:dyDescent="0.3">
      <c r="A71" s="7466" t="s">
        <v>1237</v>
      </c>
      <c r="B71" s="1426" t="s">
        <v>3594</v>
      </c>
      <c r="C71" s="1427"/>
      <c r="D71" s="1427"/>
    </row>
    <row r="72" spans="1:84" ht="21.6" x14ac:dyDescent="0.3">
      <c r="A72" s="7163"/>
      <c r="B72" s="1428" t="s">
        <v>3595</v>
      </c>
      <c r="C72" s="1429"/>
      <c r="D72" s="1429"/>
    </row>
    <row r="73" spans="1:84" x14ac:dyDescent="0.3">
      <c r="A73" s="7163"/>
      <c r="B73" s="1428" t="s">
        <v>3596</v>
      </c>
      <c r="C73" s="1429"/>
      <c r="D73" s="1429"/>
    </row>
    <row r="74" spans="1:84" ht="21.6" x14ac:dyDescent="0.3">
      <c r="A74" s="7163"/>
      <c r="B74" s="1428" t="s">
        <v>3597</v>
      </c>
      <c r="C74" s="1429"/>
      <c r="D74" s="1429"/>
    </row>
    <row r="75" spans="1:84" ht="21.6" x14ac:dyDescent="0.3">
      <c r="A75" s="7163"/>
      <c r="B75" s="1428" t="s">
        <v>3598</v>
      </c>
      <c r="C75" s="1429"/>
      <c r="D75" s="1429"/>
    </row>
    <row r="76" spans="1:84" x14ac:dyDescent="0.3">
      <c r="A76" s="7163"/>
      <c r="B76" s="1291" t="s">
        <v>3599</v>
      </c>
      <c r="C76" s="1429"/>
      <c r="D76" s="1429"/>
    </row>
    <row r="77" spans="1:84" ht="21.6" x14ac:dyDescent="0.3">
      <c r="A77" s="7163"/>
      <c r="B77" s="1428" t="s">
        <v>3600</v>
      </c>
      <c r="C77" s="1429"/>
      <c r="D77" s="1429"/>
    </row>
    <row r="78" spans="1:84" ht="21.6" x14ac:dyDescent="0.3">
      <c r="A78" s="7163"/>
      <c r="B78" s="1428" t="s">
        <v>3601</v>
      </c>
      <c r="C78" s="1429"/>
      <c r="D78" s="1429"/>
    </row>
    <row r="79" spans="1:84" x14ac:dyDescent="0.3">
      <c r="A79" s="7163"/>
      <c r="B79" s="1291" t="s">
        <v>3602</v>
      </c>
      <c r="C79" s="1429"/>
      <c r="D79" s="1429"/>
    </row>
    <row r="80" spans="1:84" x14ac:dyDescent="0.3">
      <c r="A80" s="7163"/>
      <c r="B80" s="1428" t="s">
        <v>3603</v>
      </c>
      <c r="C80" s="1429"/>
      <c r="D80" s="1429"/>
    </row>
    <row r="81" spans="1:4" x14ac:dyDescent="0.3">
      <c r="A81" s="7163"/>
      <c r="B81" s="1291" t="s">
        <v>3604</v>
      </c>
      <c r="C81" s="1430"/>
      <c r="D81" s="1430"/>
    </row>
    <row r="82" spans="1:4" x14ac:dyDescent="0.3">
      <c r="A82" s="7163"/>
      <c r="B82" s="1291" t="s">
        <v>3605</v>
      </c>
      <c r="C82" s="1430"/>
      <c r="D82" s="1430"/>
    </row>
    <row r="83" spans="1:4" x14ac:dyDescent="0.3">
      <c r="A83" s="7163"/>
      <c r="B83" s="1291" t="s">
        <v>3606</v>
      </c>
      <c r="C83" s="1430"/>
      <c r="D83" s="1430"/>
    </row>
    <row r="84" spans="1:4" x14ac:dyDescent="0.3">
      <c r="A84" s="7163"/>
      <c r="B84" s="1291" t="s">
        <v>3607</v>
      </c>
      <c r="C84" s="1430"/>
      <c r="D84" s="1430"/>
    </row>
    <row r="85" spans="1:4" x14ac:dyDescent="0.3">
      <c r="A85" s="7163"/>
      <c r="B85" s="1291" t="s">
        <v>3608</v>
      </c>
      <c r="C85" s="1430"/>
      <c r="D85" s="1430"/>
    </row>
    <row r="86" spans="1:4" ht="21.6" x14ac:dyDescent="0.3">
      <c r="A86" s="7163"/>
      <c r="B86" s="1428" t="s">
        <v>3609</v>
      </c>
      <c r="C86" s="1430"/>
      <c r="D86" s="1430"/>
    </row>
    <row r="87" spans="1:4" ht="21.6" x14ac:dyDescent="0.3">
      <c r="A87" s="7163"/>
      <c r="B87" s="1428" t="s">
        <v>3610</v>
      </c>
      <c r="C87" s="1430"/>
      <c r="D87" s="1430"/>
    </row>
    <row r="88" spans="1:4" x14ac:dyDescent="0.3">
      <c r="A88" s="7163"/>
      <c r="B88" s="1291" t="s">
        <v>3611</v>
      </c>
      <c r="C88" s="1430"/>
      <c r="D88" s="1430"/>
    </row>
    <row r="89" spans="1:4" x14ac:dyDescent="0.3">
      <c r="A89" s="7163"/>
      <c r="B89" s="1291" t="s">
        <v>3612</v>
      </c>
      <c r="C89" s="1430"/>
      <c r="D89" s="1430"/>
    </row>
    <row r="90" spans="1:4" ht="21.6" x14ac:dyDescent="0.3">
      <c r="A90" s="7091"/>
      <c r="B90" s="1431" t="s">
        <v>3613</v>
      </c>
      <c r="C90" s="1432"/>
      <c r="D90" s="1432"/>
    </row>
    <row r="91" spans="1:4" x14ac:dyDescent="0.3">
      <c r="A91" s="7465" t="s">
        <v>1238</v>
      </c>
      <c r="B91" s="1426" t="s">
        <v>3614</v>
      </c>
      <c r="C91" s="1433"/>
      <c r="D91" s="1433"/>
    </row>
    <row r="92" spans="1:4" x14ac:dyDescent="0.3">
      <c r="A92" s="5962"/>
      <c r="B92" s="1428" t="s">
        <v>3615</v>
      </c>
      <c r="C92" s="1429"/>
      <c r="D92" s="1429"/>
    </row>
    <row r="93" spans="1:4" x14ac:dyDescent="0.3">
      <c r="A93" s="5962"/>
      <c r="B93" s="1428" t="s">
        <v>3616</v>
      </c>
      <c r="C93" s="1430"/>
      <c r="D93" s="1430"/>
    </row>
    <row r="94" spans="1:4" x14ac:dyDescent="0.3">
      <c r="A94" s="5962"/>
      <c r="B94" s="1428" t="s">
        <v>3617</v>
      </c>
      <c r="C94" s="1430"/>
      <c r="D94" s="1430"/>
    </row>
    <row r="95" spans="1:4" ht="21.6" x14ac:dyDescent="0.3">
      <c r="A95" s="5962"/>
      <c r="B95" s="1428" t="s">
        <v>3618</v>
      </c>
      <c r="C95" s="1434"/>
      <c r="D95" s="1434"/>
    </row>
    <row r="96" spans="1:4" x14ac:dyDescent="0.3">
      <c r="A96" s="5962"/>
      <c r="B96" s="1428" t="s">
        <v>3619</v>
      </c>
      <c r="C96" s="1435"/>
      <c r="D96" s="1436"/>
    </row>
    <row r="97" spans="1:4" x14ac:dyDescent="0.3">
      <c r="A97" s="5962"/>
      <c r="B97" s="1428" t="s">
        <v>3620</v>
      </c>
      <c r="C97" s="1435"/>
      <c r="D97" s="1436"/>
    </row>
    <row r="98" spans="1:4" x14ac:dyDescent="0.3">
      <c r="A98" s="5962"/>
      <c r="B98" s="1428" t="s">
        <v>3621</v>
      </c>
      <c r="C98" s="1435"/>
      <c r="D98" s="1436"/>
    </row>
    <row r="99" spans="1:4" x14ac:dyDescent="0.3">
      <c r="A99" s="5962"/>
      <c r="B99" s="1428" t="s">
        <v>3622</v>
      </c>
      <c r="C99" s="1435"/>
      <c r="D99" s="1436"/>
    </row>
    <row r="100" spans="1:4" x14ac:dyDescent="0.3">
      <c r="A100" s="5962"/>
      <c r="B100" s="1428" t="s">
        <v>3623</v>
      </c>
      <c r="C100" s="1435"/>
      <c r="D100" s="1436"/>
    </row>
    <row r="101" spans="1:4" x14ac:dyDescent="0.3">
      <c r="A101" s="5962"/>
      <c r="B101" s="1428" t="s">
        <v>3624</v>
      </c>
      <c r="C101" s="1435"/>
      <c r="D101" s="1436"/>
    </row>
    <row r="102" spans="1:4" ht="21.6" x14ac:dyDescent="0.3">
      <c r="A102" s="5962"/>
      <c r="B102" s="1428" t="s">
        <v>3625</v>
      </c>
      <c r="C102" s="1435"/>
      <c r="D102" s="1436"/>
    </row>
    <row r="103" spans="1:4" x14ac:dyDescent="0.3">
      <c r="A103" s="5962"/>
      <c r="B103" s="1043" t="s">
        <v>3626</v>
      </c>
      <c r="C103" s="1435"/>
      <c r="D103" s="1436"/>
    </row>
    <row r="104" spans="1:4" x14ac:dyDescent="0.3">
      <c r="A104" s="6654"/>
      <c r="B104" s="1431" t="s">
        <v>3627</v>
      </c>
      <c r="C104" s="1437"/>
      <c r="D104" s="1438"/>
    </row>
    <row r="105" spans="1:4" ht="18" customHeight="1" x14ac:dyDescent="0.3">
      <c r="A105" s="922" t="s">
        <v>3628</v>
      </c>
      <c r="B105" s="8"/>
      <c r="C105" s="4"/>
      <c r="D105" s="8"/>
    </row>
    <row r="106" spans="1:4" x14ac:dyDescent="0.3">
      <c r="A106" s="7459" t="s">
        <v>285</v>
      </c>
      <c r="B106" s="7459" t="s">
        <v>77</v>
      </c>
      <c r="C106" s="7023" t="s">
        <v>3629</v>
      </c>
      <c r="D106" s="7457"/>
    </row>
    <row r="107" spans="1:4" x14ac:dyDescent="0.3">
      <c r="A107" s="6465"/>
      <c r="B107" s="6465"/>
      <c r="C107" s="1314" t="s">
        <v>58</v>
      </c>
      <c r="D107" s="946" t="s">
        <v>59</v>
      </c>
    </row>
    <row r="108" spans="1:4" ht="15" customHeight="1" x14ac:dyDescent="0.3">
      <c r="A108" s="1142" t="s">
        <v>3630</v>
      </c>
      <c r="B108" s="1389">
        <f>SUM(C108:D108)</f>
        <v>0</v>
      </c>
      <c r="C108" s="1440"/>
      <c r="D108" s="1441"/>
    </row>
    <row r="109" spans="1:4" ht="15" customHeight="1" x14ac:dyDescent="0.3">
      <c r="A109" s="1442" t="s">
        <v>3631</v>
      </c>
      <c r="B109" s="1396">
        <f>SUM(C109:D109)</f>
        <v>0</v>
      </c>
      <c r="C109" s="1397"/>
      <c r="D109" s="1443"/>
    </row>
    <row r="110" spans="1:4" ht="18" customHeight="1" x14ac:dyDescent="0.3">
      <c r="A110" s="922" t="s">
        <v>3632</v>
      </c>
      <c r="B110" s="8"/>
    </row>
    <row r="111" spans="1:4" ht="17.25" customHeight="1" x14ac:dyDescent="0.3">
      <c r="A111" s="1444" t="s">
        <v>3633</v>
      </c>
      <c r="B111" s="1444" t="s">
        <v>919</v>
      </c>
    </row>
    <row r="112" spans="1:4" x14ac:dyDescent="0.3">
      <c r="A112" s="1445" t="s">
        <v>3634</v>
      </c>
      <c r="B112" s="1446"/>
    </row>
    <row r="113" spans="1:2" x14ac:dyDescent="0.3">
      <c r="A113" s="1447" t="s">
        <v>3635</v>
      </c>
      <c r="B113" s="403"/>
    </row>
    <row r="114" spans="1:2" x14ac:dyDescent="0.3">
      <c r="A114" s="1447" t="s">
        <v>3636</v>
      </c>
      <c r="B114" s="1448"/>
    </row>
    <row r="115" spans="1:2" x14ac:dyDescent="0.3">
      <c r="A115" s="1447" t="s">
        <v>3637</v>
      </c>
      <c r="B115" s="1448"/>
    </row>
    <row r="116" spans="1:2" x14ac:dyDescent="0.3">
      <c r="A116" s="1447" t="s">
        <v>3638</v>
      </c>
      <c r="B116" s="1448"/>
    </row>
    <row r="117" spans="1:2" x14ac:dyDescent="0.3">
      <c r="A117" s="1447" t="s">
        <v>3639</v>
      </c>
      <c r="B117" s="1448"/>
    </row>
    <row r="118" spans="1:2" x14ac:dyDescent="0.3">
      <c r="A118" s="1447" t="s">
        <v>3640</v>
      </c>
      <c r="B118" s="1448"/>
    </row>
    <row r="119" spans="1:2" x14ac:dyDescent="0.3">
      <c r="A119" s="1447" t="s">
        <v>3641</v>
      </c>
      <c r="B119" s="1448"/>
    </row>
    <row r="120" spans="1:2" x14ac:dyDescent="0.3">
      <c r="A120" s="1447" t="s">
        <v>3642</v>
      </c>
      <c r="B120" s="1448"/>
    </row>
    <row r="121" spans="1:2" x14ac:dyDescent="0.3">
      <c r="A121" s="1447" t="s">
        <v>3643</v>
      </c>
      <c r="B121" s="1448"/>
    </row>
    <row r="122" spans="1:2" x14ac:dyDescent="0.3">
      <c r="A122" s="1447" t="s">
        <v>3644</v>
      </c>
      <c r="B122" s="1448"/>
    </row>
    <row r="123" spans="1:2" x14ac:dyDescent="0.3">
      <c r="A123" s="1447" t="s">
        <v>3645</v>
      </c>
      <c r="B123" s="1448"/>
    </row>
    <row r="124" spans="1:2" x14ac:dyDescent="0.3">
      <c r="A124" s="1447" t="s">
        <v>3646</v>
      </c>
      <c r="B124" s="1448"/>
    </row>
    <row r="125" spans="1:2" x14ac:dyDescent="0.3">
      <c r="A125" s="1447" t="s">
        <v>3647</v>
      </c>
      <c r="B125" s="1448"/>
    </row>
    <row r="126" spans="1:2" x14ac:dyDescent="0.3">
      <c r="A126" s="1447" t="s">
        <v>4325</v>
      </c>
      <c r="B126" s="1448"/>
    </row>
    <row r="127" spans="1:2" x14ac:dyDescent="0.3">
      <c r="A127" s="1447" t="s">
        <v>3648</v>
      </c>
      <c r="B127" s="1448"/>
    </row>
    <row r="128" spans="1:2" x14ac:dyDescent="0.3">
      <c r="A128" s="1449" t="s">
        <v>3649</v>
      </c>
      <c r="B128" s="1450"/>
    </row>
    <row r="129" spans="1:5" x14ac:dyDescent="0.3">
      <c r="A129" s="1451" t="s">
        <v>77</v>
      </c>
      <c r="B129" s="1452">
        <f>SUM(B112:B128)</f>
        <v>0</v>
      </c>
    </row>
    <row r="130" spans="1:5" ht="18" customHeight="1" x14ac:dyDescent="0.3">
      <c r="A130" s="922" t="s">
        <v>3650</v>
      </c>
      <c r="B130" s="8"/>
      <c r="C130" s="4"/>
      <c r="D130" s="8"/>
      <c r="E130" s="8"/>
    </row>
    <row r="131" spans="1:5" ht="27.75" customHeight="1" x14ac:dyDescent="0.3">
      <c r="A131" s="1444" t="s">
        <v>3651</v>
      </c>
      <c r="B131" s="1444" t="s">
        <v>1592</v>
      </c>
      <c r="C131" s="1444" t="s">
        <v>77</v>
      </c>
      <c r="D131" s="1313" t="s">
        <v>3652</v>
      </c>
      <c r="E131" s="1460" t="s">
        <v>3653</v>
      </c>
    </row>
    <row r="132" spans="1:5" x14ac:dyDescent="0.3">
      <c r="A132" s="7462" t="s">
        <v>3654</v>
      </c>
      <c r="B132" s="1227" t="s">
        <v>3655</v>
      </c>
      <c r="C132" s="1446"/>
      <c r="D132" s="1453"/>
      <c r="E132" s="1454"/>
    </row>
    <row r="133" spans="1:5" x14ac:dyDescent="0.3">
      <c r="A133" s="7463"/>
      <c r="B133" s="1224" t="s">
        <v>3656</v>
      </c>
      <c r="C133" s="1450"/>
      <c r="D133" s="1455"/>
      <c r="E133" s="404"/>
    </row>
    <row r="134" spans="1:5" x14ac:dyDescent="0.3">
      <c r="A134" s="5058" t="s">
        <v>3657</v>
      </c>
      <c r="B134" s="1456" t="s">
        <v>3658</v>
      </c>
      <c r="C134" s="403"/>
      <c r="D134" s="405"/>
      <c r="E134" s="234"/>
    </row>
    <row r="135" spans="1:5" x14ac:dyDescent="0.3">
      <c r="A135" s="7464" t="s">
        <v>3659</v>
      </c>
      <c r="B135" s="319" t="s">
        <v>3660</v>
      </c>
      <c r="C135" s="1448"/>
      <c r="D135" s="1457"/>
      <c r="E135" s="1458"/>
    </row>
    <row r="136" spans="1:5" x14ac:dyDescent="0.3">
      <c r="A136" s="7463"/>
      <c r="B136" s="1224" t="s">
        <v>3661</v>
      </c>
      <c r="C136" s="1450"/>
      <c r="D136" s="1387"/>
      <c r="E136" s="396"/>
    </row>
    <row r="137" spans="1:5" x14ac:dyDescent="0.3">
      <c r="A137" s="7462" t="s">
        <v>3662</v>
      </c>
      <c r="B137" s="319" t="s">
        <v>3660</v>
      </c>
      <c r="C137" s="1446"/>
      <c r="D137" s="1401"/>
      <c r="E137" s="1454"/>
    </row>
    <row r="138" spans="1:5" x14ac:dyDescent="0.3">
      <c r="A138" s="7463"/>
      <c r="B138" s="1224" t="s">
        <v>3661</v>
      </c>
      <c r="C138" s="1450"/>
      <c r="D138" s="1387"/>
      <c r="E138" s="404"/>
    </row>
    <row r="139" spans="1:5" x14ac:dyDescent="0.3">
      <c r="A139" s="7462" t="s">
        <v>3663</v>
      </c>
      <c r="B139" s="1227" t="s">
        <v>3535</v>
      </c>
      <c r="C139" s="1446"/>
      <c r="D139" s="1453"/>
      <c r="E139" s="1454"/>
    </row>
    <row r="140" spans="1:5" x14ac:dyDescent="0.3">
      <c r="A140" s="7463"/>
      <c r="B140" s="1224" t="s">
        <v>3536</v>
      </c>
      <c r="C140" s="1450"/>
      <c r="D140" s="1455"/>
      <c r="E140" s="404"/>
    </row>
    <row r="141" spans="1:5" ht="18" customHeight="1" x14ac:dyDescent="0.3">
      <c r="A141" s="922" t="s">
        <v>3664</v>
      </c>
      <c r="B141" s="8"/>
      <c r="C141" s="4"/>
      <c r="D141" s="8"/>
    </row>
    <row r="142" spans="1:5" ht="20.399999999999999" x14ac:dyDescent="0.3">
      <c r="A142" s="1444" t="s">
        <v>1093</v>
      </c>
      <c r="B142" s="1444" t="s">
        <v>3665</v>
      </c>
      <c r="C142" s="1313" t="s">
        <v>3666</v>
      </c>
      <c r="D142" s="1460" t="s">
        <v>3667</v>
      </c>
    </row>
    <row r="143" spans="1:5" x14ac:dyDescent="0.3">
      <c r="A143" s="1459" t="s">
        <v>3668</v>
      </c>
      <c r="B143" s="1446"/>
      <c r="C143" s="1401"/>
      <c r="D143" s="1461"/>
    </row>
    <row r="144" spans="1:5" x14ac:dyDescent="0.3">
      <c r="A144" s="1462" t="s">
        <v>3669</v>
      </c>
      <c r="B144" s="1448"/>
      <c r="C144" s="1371"/>
      <c r="D144" s="1362"/>
    </row>
    <row r="145" spans="1:13" x14ac:dyDescent="0.3">
      <c r="A145" s="1462" t="s">
        <v>3670</v>
      </c>
      <c r="B145" s="1448"/>
      <c r="C145" s="1457"/>
      <c r="D145" s="1458"/>
    </row>
    <row r="146" spans="1:13" x14ac:dyDescent="0.3">
      <c r="A146" s="1462" t="s">
        <v>3671</v>
      </c>
      <c r="B146" s="1448"/>
      <c r="C146" s="1457"/>
      <c r="D146" s="1458"/>
    </row>
    <row r="147" spans="1:13" x14ac:dyDescent="0.3">
      <c r="A147" s="1462" t="s">
        <v>3672</v>
      </c>
      <c r="B147" s="1448"/>
      <c r="C147" s="1371"/>
      <c r="D147" s="1362"/>
    </row>
    <row r="148" spans="1:13" x14ac:dyDescent="0.3">
      <c r="A148" s="1027" t="s">
        <v>3673</v>
      </c>
      <c r="B148" s="1463"/>
      <c r="C148" s="1397"/>
      <c r="D148" s="1443"/>
    </row>
    <row r="149" spans="1:13" ht="18" customHeight="1" x14ac:dyDescent="0.3">
      <c r="A149" s="922" t="s">
        <v>3674</v>
      </c>
      <c r="B149" s="8"/>
      <c r="C149" s="4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x14ac:dyDescent="0.3">
      <c r="A150" s="7459" t="s">
        <v>3675</v>
      </c>
      <c r="B150" s="7459" t="s">
        <v>77</v>
      </c>
      <c r="C150" s="7449" t="s">
        <v>3530</v>
      </c>
      <c r="D150" s="7449"/>
      <c r="E150" s="7023" t="s">
        <v>44</v>
      </c>
      <c r="F150" s="7457"/>
      <c r="G150" s="7449" t="s">
        <v>3087</v>
      </c>
      <c r="H150" s="7449"/>
      <c r="I150" s="7449" t="s">
        <v>664</v>
      </c>
      <c r="J150" s="7450"/>
      <c r="K150" s="7467" t="s">
        <v>4324</v>
      </c>
      <c r="L150" s="7468"/>
      <c r="M150" s="7468"/>
    </row>
    <row r="151" spans="1:13" x14ac:dyDescent="0.3">
      <c r="A151" s="7391"/>
      <c r="B151" s="7391"/>
      <c r="C151" s="1314" t="s">
        <v>58</v>
      </c>
      <c r="D151" s="1439" t="s">
        <v>59</v>
      </c>
      <c r="E151" s="1314" t="s">
        <v>58</v>
      </c>
      <c r="F151" s="1439" t="s">
        <v>59</v>
      </c>
      <c r="G151" s="1314" t="s">
        <v>58</v>
      </c>
      <c r="H151" s="1439" t="s">
        <v>59</v>
      </c>
      <c r="I151" s="1314" t="s">
        <v>58</v>
      </c>
      <c r="J151" s="1009" t="s">
        <v>59</v>
      </c>
      <c r="K151" s="1464" t="s">
        <v>3559</v>
      </c>
      <c r="L151" s="1465" t="s">
        <v>3676</v>
      </c>
      <c r="M151" s="1466" t="s">
        <v>3677</v>
      </c>
    </row>
    <row r="152" spans="1:13" x14ac:dyDescent="0.3">
      <c r="A152" s="1037" t="s">
        <v>3678</v>
      </c>
      <c r="B152" s="1467"/>
      <c r="C152" s="1468"/>
      <c r="D152" s="1469"/>
      <c r="E152" s="1468"/>
      <c r="F152" s="1469"/>
      <c r="G152" s="1468"/>
      <c r="H152" s="1469"/>
      <c r="I152" s="1468"/>
      <c r="J152" s="1470"/>
      <c r="K152" s="1321"/>
      <c r="L152" s="773"/>
      <c r="M152" s="1107"/>
    </row>
    <row r="153" spans="1:13" x14ac:dyDescent="0.3">
      <c r="A153" s="1040" t="s">
        <v>3679</v>
      </c>
      <c r="B153" s="1471">
        <f>SUM(C153:J153)</f>
        <v>0</v>
      </c>
      <c r="C153" s="1114"/>
      <c r="D153" s="1115"/>
      <c r="E153" s="1114"/>
      <c r="F153" s="1115"/>
      <c r="G153" s="1114"/>
      <c r="H153" s="1115"/>
      <c r="I153" s="1114"/>
      <c r="J153" s="1322"/>
      <c r="K153" s="1326"/>
      <c r="L153" s="1278"/>
      <c r="M153" s="1115"/>
    </row>
    <row r="154" spans="1:13" x14ac:dyDescent="0.3">
      <c r="A154" s="1472" t="s">
        <v>3680</v>
      </c>
      <c r="B154" s="1473">
        <f>SUM(C154:J154)</f>
        <v>0</v>
      </c>
      <c r="C154" s="1289"/>
      <c r="D154" s="1474"/>
      <c r="E154" s="1289"/>
      <c r="F154" s="1474"/>
      <c r="G154" s="1289"/>
      <c r="H154" s="1474"/>
      <c r="I154" s="1289"/>
      <c r="J154" s="1475"/>
      <c r="K154" s="266"/>
      <c r="L154" s="262"/>
      <c r="M154" s="1474"/>
    </row>
    <row r="155" spans="1:13" ht="18" customHeight="1" x14ac:dyDescent="0.3">
      <c r="A155" s="922" t="s">
        <v>3681</v>
      </c>
      <c r="B155" s="8"/>
      <c r="C155" s="4"/>
      <c r="D155" s="8"/>
      <c r="E155" s="8"/>
      <c r="F155" s="8"/>
      <c r="G155" s="8"/>
      <c r="H155" s="8"/>
    </row>
    <row r="156" spans="1:13" x14ac:dyDescent="0.3">
      <c r="A156" s="7459" t="s">
        <v>3675</v>
      </c>
      <c r="B156" s="7459" t="s">
        <v>77</v>
      </c>
      <c r="C156" s="7469" t="s">
        <v>29</v>
      </c>
      <c r="D156" s="7470"/>
      <c r="E156" s="7471"/>
      <c r="F156" s="7473" t="s">
        <v>3556</v>
      </c>
      <c r="G156" s="7473"/>
      <c r="H156" s="7473"/>
      <c r="I156" s="7474"/>
    </row>
    <row r="157" spans="1:13" ht="15" customHeight="1" x14ac:dyDescent="0.3">
      <c r="A157" s="6082"/>
      <c r="B157" s="6082"/>
      <c r="C157" s="6585"/>
      <c r="D157" s="6901"/>
      <c r="E157" s="7472"/>
      <c r="F157" s="7418" t="s">
        <v>3559</v>
      </c>
      <c r="G157" s="7418"/>
      <c r="H157" s="7418" t="s">
        <v>3682</v>
      </c>
      <c r="I157" s="7418"/>
    </row>
    <row r="158" spans="1:13" x14ac:dyDescent="0.3">
      <c r="A158" s="7391"/>
      <c r="B158" s="7391"/>
      <c r="C158" s="1314" t="s">
        <v>630</v>
      </c>
      <c r="D158" s="1007" t="s">
        <v>367</v>
      </c>
      <c r="E158" s="1009" t="s">
        <v>664</v>
      </c>
      <c r="F158" s="1476" t="s">
        <v>3535</v>
      </c>
      <c r="G158" s="1352" t="s">
        <v>1324</v>
      </c>
      <c r="H158" s="1314" t="s">
        <v>3535</v>
      </c>
      <c r="I158" s="1439" t="s">
        <v>1324</v>
      </c>
    </row>
    <row r="159" spans="1:13" ht="15" customHeight="1" x14ac:dyDescent="0.3">
      <c r="A159" s="1037" t="s">
        <v>3683</v>
      </c>
      <c r="B159" s="1477">
        <f>SUM(C159:E159)</f>
        <v>0</v>
      </c>
      <c r="C159" s="1106"/>
      <c r="D159" s="773"/>
      <c r="E159" s="1284"/>
      <c r="F159" s="1321"/>
      <c r="G159" s="771"/>
      <c r="H159" s="1106"/>
      <c r="I159" s="771"/>
    </row>
    <row r="160" spans="1:13" ht="15" customHeight="1" x14ac:dyDescent="0.3">
      <c r="A160" s="961" t="s">
        <v>3684</v>
      </c>
      <c r="B160" s="1478">
        <f>SUM(C160:E160)</f>
        <v>0</v>
      </c>
      <c r="C160" s="1114"/>
      <c r="D160" s="1278"/>
      <c r="E160" s="1322"/>
      <c r="F160" s="1326"/>
      <c r="G160" s="1479"/>
      <c r="H160" s="1114"/>
      <c r="I160" s="1479"/>
    </row>
    <row r="161" spans="1:9" ht="15" customHeight="1" x14ac:dyDescent="0.3">
      <c r="A161" s="1480" t="s">
        <v>3685</v>
      </c>
      <c r="B161" s="1481">
        <f>SUM(C161:E161)</f>
        <v>0</v>
      </c>
      <c r="C161" s="1289"/>
      <c r="D161" s="262"/>
      <c r="E161" s="1475"/>
      <c r="F161" s="266"/>
      <c r="G161" s="1482"/>
      <c r="H161" s="1289"/>
      <c r="I161" s="1482"/>
    </row>
    <row r="202" spans="1:2" hidden="1" x14ac:dyDescent="0.3">
      <c r="A202" s="105">
        <f>SUM(B12:B28,C32:C68,C71:D104,B108:B109,B129,C132:E140,B143:D148,B153:B154,B159:B161)</f>
        <v>0</v>
      </c>
      <c r="B202" s="105">
        <f>SUM(CE12:CF68)</f>
        <v>0</v>
      </c>
    </row>
  </sheetData>
  <sheetProtection algorithmName="SHA-512" hashValue="TJIzoRkHE9x95NLj2eLIyW12aZeQHbsooJvSsIuvB/oPTFjrwkxJDTBYyncgzS/baQAECklcC4se088+lf32Eg==" saltValue="cTcLP1NCDwQocZkA2WwmXw==" spinCount="100000" sheet="1" objects="1" scenarios="1"/>
  <mergeCells count="54">
    <mergeCell ref="F157:G157"/>
    <mergeCell ref="H157:I157"/>
    <mergeCell ref="A150:A151"/>
    <mergeCell ref="I150:J150"/>
    <mergeCell ref="K150:M150"/>
    <mergeCell ref="A156:A158"/>
    <mergeCell ref="B156:B158"/>
    <mergeCell ref="B150:B151"/>
    <mergeCell ref="C150:D150"/>
    <mergeCell ref="E150:F150"/>
    <mergeCell ref="G150:H150"/>
    <mergeCell ref="C156:E157"/>
    <mergeCell ref="F156:I156"/>
    <mergeCell ref="A40:A42"/>
    <mergeCell ref="A132:A133"/>
    <mergeCell ref="A135:A136"/>
    <mergeCell ref="A137:A138"/>
    <mergeCell ref="A139:A140"/>
    <mergeCell ref="A49:A54"/>
    <mergeCell ref="A91:A104"/>
    <mergeCell ref="A43:A45"/>
    <mergeCell ref="A46:A48"/>
    <mergeCell ref="A71:A90"/>
    <mergeCell ref="C106:D106"/>
    <mergeCell ref="A55:A58"/>
    <mergeCell ref="A59:A62"/>
    <mergeCell ref="A63:A64"/>
    <mergeCell ref="A106:A107"/>
    <mergeCell ref="B106:B107"/>
    <mergeCell ref="A65:A66"/>
    <mergeCell ref="A67:A68"/>
    <mergeCell ref="M30:O30"/>
    <mergeCell ref="P30:P31"/>
    <mergeCell ref="B11:T11"/>
    <mergeCell ref="B16:T16"/>
    <mergeCell ref="B23:T23"/>
    <mergeCell ref="B26:T26"/>
    <mergeCell ref="Q30:Q31"/>
    <mergeCell ref="A32:A39"/>
    <mergeCell ref="A6:T6"/>
    <mergeCell ref="A9:A10"/>
    <mergeCell ref="B9:D9"/>
    <mergeCell ref="E9:F9"/>
    <mergeCell ref="G9:H9"/>
    <mergeCell ref="I9:J9"/>
    <mergeCell ref="K9:L9"/>
    <mergeCell ref="M9:N9"/>
    <mergeCell ref="O9:P9"/>
    <mergeCell ref="Q9:R9"/>
    <mergeCell ref="S9:S10"/>
    <mergeCell ref="T9:T10"/>
    <mergeCell ref="A30:B31"/>
    <mergeCell ref="C30:C31"/>
    <mergeCell ref="D30:L30"/>
  </mergeCells>
  <dataValidations count="6">
    <dataValidation allowBlank="1" showInputMessage="1" showErrorMessage="1" error="Valor no Permitido" sqref="A6:XFD6 A11:A13 S9:T9 A15:A46 Q10:R10 C12:D15 F156 C9:P10 C105:D107 C27:D28 C17:D22 B108:B109 A202:B202 C8:T8 A8:A9 U11 P29:Q30 A49:A64 B69:B96 D69 A91 B129:B142 A105:A106 B98:B106 B149:B150 D33:L33 F150 F149:H149 C149:D151 G150:H151 I149:M151 E149:E150 C155:H155 D60:L60 C65:C70 B8:B64 C24:D25 A69:A71 C130:E131 C60:C62 C141:D142 A108:A150 C70:D70 C156 H157:I158 D29:O31 B153:B161 C29:C58 A152:A161 C158:G158" xr:uid="{00000000-0002-0000-1500-000000000000}"/>
    <dataValidation type="whole" operator="greaterThanOrEqual" allowBlank="1" showInputMessage="1" showErrorMessage="1" error="Valor no Permitido" sqref="C59 C63:C64 C108:D109 B112:B128 C71:D104" xr:uid="{00000000-0002-0000-1500-000001000000}">
      <formula1>0</formula1>
    </dataValidation>
    <dataValidation type="whole" allowBlank="1" showInputMessage="1" showErrorMessage="1" sqref="E12:T15 E17:T22 E24:T25 E27:T28 M32:Q68 C132:E140" xr:uid="{CFDECB1D-CA3E-4B8A-BBC7-3EA8D6E47BF7}">
      <formula1>0</formula1>
      <formula2>9.99999999999999E+34</formula2>
    </dataValidation>
    <dataValidation type="whole" allowBlank="1" showInputMessage="1" showErrorMessage="1" sqref="D32:L32 D34:L59 D61:L68" xr:uid="{59B7CA33-D1AD-46E6-946B-051BD34BD7DD}">
      <formula1>0</formula1>
      <formula2>9.99999999999999E+36</formula2>
    </dataValidation>
    <dataValidation type="whole" allowBlank="1" showInputMessage="1" showErrorMessage="1" sqref="B143:D148 C152:M154 B152" xr:uid="{95B22149-6657-4FD8-9483-84090C39CC49}">
      <formula1>0</formula1>
      <formula2>9.99999999999999E+38</formula2>
    </dataValidation>
    <dataValidation type="whole" allowBlank="1" showInputMessage="1" showErrorMessage="1" error="Valor no Permitido" sqref="C159:I161" xr:uid="{DC756726-A9AF-4C44-B4AC-838700D7BAC5}">
      <formula1>0</formula1>
      <formula2>9.99999999999999E+36</formula2>
    </dataValidation>
  </dataValidation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U174"/>
  <sheetViews>
    <sheetView showGridLines="0" zoomScaleNormal="100" workbookViewId="0"/>
  </sheetViews>
  <sheetFormatPr baseColWidth="10" defaultColWidth="11.44140625" defaultRowHeight="14.4" x14ac:dyDescent="0.3"/>
  <cols>
    <col min="1" max="1" width="66.44140625" style="106" customWidth="1"/>
    <col min="2" max="2" width="13.5546875" style="106" customWidth="1"/>
    <col min="3" max="5" width="11.44140625" style="106"/>
    <col min="6" max="6" width="13.33203125" style="106" customWidth="1"/>
    <col min="7" max="7" width="12.109375" style="106" customWidth="1"/>
    <col min="8" max="8" width="13.6640625" style="106" customWidth="1"/>
    <col min="9" max="9" width="13.44140625" style="106" customWidth="1"/>
    <col min="10" max="10" width="13.33203125" style="106" bestFit="1" customWidth="1"/>
    <col min="11" max="17" width="11.44140625" style="106"/>
    <col min="18" max="19" width="13.6640625" style="106" customWidth="1"/>
    <col min="20" max="20" width="14.44140625" style="106" customWidth="1"/>
    <col min="21" max="23" width="11.44140625" style="106"/>
    <col min="24" max="24" width="11.33203125" style="106" customWidth="1"/>
    <col min="25" max="25" width="12" style="106" customWidth="1"/>
    <col min="26" max="40" width="11.44140625" style="106"/>
  </cols>
  <sheetData>
    <row r="1" spans="1:47" x14ac:dyDescent="0.3">
      <c r="A1" s="50" t="s">
        <v>23</v>
      </c>
    </row>
    <row r="2" spans="1:47" x14ac:dyDescent="0.3">
      <c r="A2" s="50" t="str">
        <f>CONCATENATE("COMUNA: ",NOMBRE!B2, " (",NOMBRE!C2,NOMBRE!D2,NOMBRE!E2,NOMBRE!F2,NOMBRE!G2,")")</f>
        <v>COMUNA:  ()</v>
      </c>
    </row>
    <row r="3" spans="1:47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47" x14ac:dyDescent="0.3">
      <c r="A4" s="50" t="str">
        <f>CONCATENATE("MES: ",NOMBRE!B6, " (",NOMBRE!C6,NOMBRE!D6,")")</f>
        <v>MES:  ()</v>
      </c>
    </row>
    <row r="5" spans="1:47" x14ac:dyDescent="0.3">
      <c r="A5" s="50" t="str">
        <f>CONCATENATE("AÑO: ",NOMBRE!B7)</f>
        <v>AÑO: 2025</v>
      </c>
    </row>
    <row r="6" spans="1:47" s="9" customFormat="1" ht="18" customHeight="1" x14ac:dyDescent="0.3">
      <c r="A6" s="6998" t="s">
        <v>4326</v>
      </c>
      <c r="B6" s="6998"/>
      <c r="C6" s="6998"/>
      <c r="D6" s="6998"/>
      <c r="E6" s="6998"/>
      <c r="F6" s="6998"/>
      <c r="G6" s="6998"/>
      <c r="H6" s="6998"/>
      <c r="I6" s="6998"/>
      <c r="J6" s="6998"/>
      <c r="K6" s="6998"/>
      <c r="L6" s="6998"/>
      <c r="M6" s="6998"/>
      <c r="N6" s="6998"/>
      <c r="O6" s="6998"/>
      <c r="P6" s="6998"/>
      <c r="Q6" s="6998"/>
      <c r="R6" s="6998"/>
      <c r="S6" s="6998"/>
      <c r="T6" s="6998"/>
      <c r="U6" s="6998"/>
      <c r="V6" s="6998"/>
      <c r="W6" s="6998"/>
      <c r="X6" s="6998"/>
      <c r="Y6" s="6998"/>
      <c r="Z6" s="3962"/>
      <c r="AA6" s="3962"/>
      <c r="AB6" s="3962"/>
      <c r="AC6" s="3962"/>
      <c r="AD6" s="3962"/>
      <c r="AE6" s="3962"/>
      <c r="AF6" s="7"/>
      <c r="AG6" s="7"/>
    </row>
    <row r="7" spans="1:47" s="9" customFormat="1" ht="16.2" x14ac:dyDescent="0.3">
      <c r="A7" s="5113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47" s="8" customFormat="1" ht="18" customHeight="1" x14ac:dyDescent="0.2">
      <c r="A8" s="15" t="s">
        <v>3686</v>
      </c>
      <c r="B8" s="15"/>
      <c r="C8" s="15"/>
      <c r="D8" s="15"/>
      <c r="E8" s="15"/>
      <c r="F8" s="15"/>
      <c r="G8" s="15"/>
    </row>
    <row r="9" spans="1:47" s="7" customFormat="1" ht="24.9" customHeight="1" x14ac:dyDescent="0.2">
      <c r="A9" s="7401" t="s">
        <v>3687</v>
      </c>
      <c r="B9" s="6989" t="s">
        <v>3688</v>
      </c>
      <c r="C9" s="7476"/>
      <c r="D9" s="7476"/>
      <c r="E9" s="7476"/>
      <c r="F9" s="7476"/>
      <c r="G9" s="7476"/>
      <c r="H9" s="7476"/>
      <c r="I9" s="7489"/>
      <c r="J9" s="6989" t="s">
        <v>3689</v>
      </c>
      <c r="K9" s="7476"/>
      <c r="L9" s="7476"/>
      <c r="M9" s="7476"/>
      <c r="N9" s="7476"/>
      <c r="O9" s="7476"/>
      <c r="P9" s="7476"/>
      <c r="Q9" s="7489"/>
      <c r="R9" s="6989" t="s">
        <v>3690</v>
      </c>
      <c r="S9" s="7476"/>
      <c r="T9" s="7476"/>
      <c r="U9" s="7476"/>
      <c r="V9" s="7476"/>
      <c r="W9" s="7476"/>
      <c r="X9" s="7476"/>
      <c r="Y9" s="6991"/>
      <c r="Z9" s="7475" t="s">
        <v>3533</v>
      </c>
      <c r="AA9" s="7475"/>
      <c r="AB9" s="7071"/>
      <c r="AC9" s="7486" t="s">
        <v>3691</v>
      </c>
      <c r="AD9" s="7476"/>
      <c r="AE9" s="7476"/>
      <c r="AF9" s="7476"/>
      <c r="AG9" s="7476"/>
      <c r="AH9" s="7476"/>
      <c r="AI9" s="7476"/>
      <c r="AJ9" s="6991"/>
      <c r="AK9" s="6975" t="s">
        <v>3533</v>
      </c>
      <c r="AL9" s="7475"/>
      <c r="AM9" s="7071"/>
      <c r="AN9" s="7486" t="s">
        <v>3692</v>
      </c>
      <c r="AO9" s="7476"/>
      <c r="AP9" s="7476"/>
      <c r="AQ9" s="7476"/>
      <c r="AR9" s="7476"/>
      <c r="AS9" s="7476"/>
      <c r="AT9" s="7476"/>
      <c r="AU9" s="7489"/>
    </row>
    <row r="10" spans="1:47" s="7" customFormat="1" ht="15" customHeight="1" x14ac:dyDescent="0.2">
      <c r="A10" s="5851"/>
      <c r="B10" s="7475" t="s">
        <v>3140</v>
      </c>
      <c r="C10" s="7457"/>
      <c r="D10" s="7023" t="s">
        <v>1203</v>
      </c>
      <c r="E10" s="7457"/>
      <c r="F10" s="7023" t="s">
        <v>3693</v>
      </c>
      <c r="G10" s="7457"/>
      <c r="H10" s="7023" t="s">
        <v>706</v>
      </c>
      <c r="I10" s="7457"/>
      <c r="J10" s="7475" t="s">
        <v>3140</v>
      </c>
      <c r="K10" s="7457"/>
      <c r="L10" s="7023" t="s">
        <v>1203</v>
      </c>
      <c r="M10" s="7457"/>
      <c r="N10" s="7023" t="s">
        <v>1204</v>
      </c>
      <c r="O10" s="7457"/>
      <c r="P10" s="7023" t="s">
        <v>706</v>
      </c>
      <c r="Q10" s="7457"/>
      <c r="R10" s="7023" t="s">
        <v>3140</v>
      </c>
      <c r="S10" s="7457"/>
      <c r="T10" s="7023" t="s">
        <v>1203</v>
      </c>
      <c r="U10" s="7457"/>
      <c r="V10" s="7023" t="s">
        <v>1276</v>
      </c>
      <c r="W10" s="7457"/>
      <c r="X10" s="7475" t="s">
        <v>706</v>
      </c>
      <c r="Y10" s="7071"/>
      <c r="Z10" s="7492" t="s">
        <v>3559</v>
      </c>
      <c r="AA10" s="7493" t="s">
        <v>1594</v>
      </c>
      <c r="AB10" s="6991"/>
      <c r="AC10" s="7475" t="s">
        <v>3140</v>
      </c>
      <c r="AD10" s="7457"/>
      <c r="AE10" s="7023" t="s">
        <v>1203</v>
      </c>
      <c r="AF10" s="7457"/>
      <c r="AG10" s="7023" t="s">
        <v>3694</v>
      </c>
      <c r="AH10" s="7457"/>
      <c r="AI10" s="7475" t="s">
        <v>3695</v>
      </c>
      <c r="AJ10" s="7457"/>
      <c r="AK10" s="7033" t="s">
        <v>3559</v>
      </c>
      <c r="AL10" s="7476" t="s">
        <v>1594</v>
      </c>
      <c r="AM10" s="6991"/>
      <c r="AN10" s="7475" t="s">
        <v>3140</v>
      </c>
      <c r="AO10" s="7457"/>
      <c r="AP10" s="7023" t="s">
        <v>1203</v>
      </c>
      <c r="AQ10" s="7457"/>
      <c r="AR10" s="7023" t="s">
        <v>1204</v>
      </c>
      <c r="AS10" s="7457"/>
      <c r="AT10" s="7023" t="s">
        <v>706</v>
      </c>
      <c r="AU10" s="7457"/>
    </row>
    <row r="11" spans="1:47" s="7" customFormat="1" ht="15" customHeight="1" x14ac:dyDescent="0.2">
      <c r="A11" s="6471"/>
      <c r="B11" s="1093" t="s">
        <v>58</v>
      </c>
      <c r="C11" s="1203" t="s">
        <v>59</v>
      </c>
      <c r="D11" s="1314" t="s">
        <v>58</v>
      </c>
      <c r="E11" s="1203" t="s">
        <v>59</v>
      </c>
      <c r="F11" s="1314" t="s">
        <v>58</v>
      </c>
      <c r="G11" s="1203" t="s">
        <v>59</v>
      </c>
      <c r="H11" s="1314" t="s">
        <v>58</v>
      </c>
      <c r="I11" s="1203" t="s">
        <v>59</v>
      </c>
      <c r="J11" s="1314" t="s">
        <v>58</v>
      </c>
      <c r="K11" s="1203" t="s">
        <v>59</v>
      </c>
      <c r="L11" s="1314" t="s">
        <v>58</v>
      </c>
      <c r="M11" s="1203" t="s">
        <v>59</v>
      </c>
      <c r="N11" s="1314" t="s">
        <v>58</v>
      </c>
      <c r="O11" s="1203" t="s">
        <v>59</v>
      </c>
      <c r="P11" s="1314" t="s">
        <v>58</v>
      </c>
      <c r="Q11" s="1203" t="s">
        <v>59</v>
      </c>
      <c r="R11" s="1314" t="s">
        <v>58</v>
      </c>
      <c r="S11" s="1203" t="s">
        <v>59</v>
      </c>
      <c r="T11" s="1314" t="s">
        <v>58</v>
      </c>
      <c r="U11" s="1203" t="s">
        <v>59</v>
      </c>
      <c r="V11" s="1314" t="s">
        <v>58</v>
      </c>
      <c r="W11" s="1203" t="s">
        <v>59</v>
      </c>
      <c r="X11" s="1093" t="s">
        <v>58</v>
      </c>
      <c r="Y11" s="4901" t="s">
        <v>59</v>
      </c>
      <c r="Z11" s="7405"/>
      <c r="AA11" s="1238" t="s">
        <v>3696</v>
      </c>
      <c r="AB11" s="5114" t="s">
        <v>2503</v>
      </c>
      <c r="AC11" s="4521" t="s">
        <v>58</v>
      </c>
      <c r="AD11" s="1203" t="s">
        <v>59</v>
      </c>
      <c r="AE11" s="1093" t="s">
        <v>58</v>
      </c>
      <c r="AF11" s="1203" t="s">
        <v>59</v>
      </c>
      <c r="AG11" s="1314" t="s">
        <v>58</v>
      </c>
      <c r="AH11" s="1203" t="s">
        <v>59</v>
      </c>
      <c r="AI11" s="1093" t="s">
        <v>58</v>
      </c>
      <c r="AJ11" s="4901" t="s">
        <v>59</v>
      </c>
      <c r="AK11" s="6669"/>
      <c r="AL11" s="1135" t="s">
        <v>3696</v>
      </c>
      <c r="AM11" s="5114" t="s">
        <v>2503</v>
      </c>
      <c r="AN11" s="4521" t="s">
        <v>58</v>
      </c>
      <c r="AO11" s="1203" t="s">
        <v>59</v>
      </c>
      <c r="AP11" s="1093" t="s">
        <v>58</v>
      </c>
      <c r="AQ11" s="1203" t="s">
        <v>59</v>
      </c>
      <c r="AR11" s="1314" t="s">
        <v>58</v>
      </c>
      <c r="AS11" s="1203" t="s">
        <v>59</v>
      </c>
      <c r="AT11" s="1314" t="s">
        <v>58</v>
      </c>
      <c r="AU11" s="1203" t="s">
        <v>59</v>
      </c>
    </row>
    <row r="12" spans="1:47" s="7" customFormat="1" ht="15" customHeight="1" x14ac:dyDescent="0.2">
      <c r="A12" s="1312" t="s">
        <v>77</v>
      </c>
      <c r="B12" s="3157">
        <f t="shared" ref="B12:AU12" si="0">SUM(B13:B67)</f>
        <v>0</v>
      </c>
      <c r="C12" s="5084">
        <f t="shared" si="0"/>
        <v>0</v>
      </c>
      <c r="D12" s="5085">
        <f t="shared" si="0"/>
        <v>0</v>
      </c>
      <c r="E12" s="5084">
        <f t="shared" si="0"/>
        <v>0</v>
      </c>
      <c r="F12" s="5085">
        <f t="shared" si="0"/>
        <v>0</v>
      </c>
      <c r="G12" s="5084">
        <f t="shared" si="0"/>
        <v>0</v>
      </c>
      <c r="H12" s="5085">
        <f t="shared" si="0"/>
        <v>0</v>
      </c>
      <c r="I12" s="5084">
        <f t="shared" si="0"/>
        <v>0</v>
      </c>
      <c r="J12" s="5085">
        <f t="shared" si="0"/>
        <v>0</v>
      </c>
      <c r="K12" s="5084">
        <f t="shared" si="0"/>
        <v>0</v>
      </c>
      <c r="L12" s="5085">
        <f t="shared" si="0"/>
        <v>0</v>
      </c>
      <c r="M12" s="5084">
        <f t="shared" si="0"/>
        <v>0</v>
      </c>
      <c r="N12" s="5085">
        <f t="shared" si="0"/>
        <v>0</v>
      </c>
      <c r="O12" s="5084">
        <f t="shared" si="0"/>
        <v>0</v>
      </c>
      <c r="P12" s="5085">
        <f t="shared" si="0"/>
        <v>0</v>
      </c>
      <c r="Q12" s="5084">
        <f t="shared" si="0"/>
        <v>0</v>
      </c>
      <c r="R12" s="5085">
        <f t="shared" si="0"/>
        <v>0</v>
      </c>
      <c r="S12" s="5084">
        <f t="shared" si="0"/>
        <v>0</v>
      </c>
      <c r="T12" s="3157">
        <f t="shared" si="0"/>
        <v>0</v>
      </c>
      <c r="U12" s="5084">
        <f t="shared" si="0"/>
        <v>0</v>
      </c>
      <c r="V12" s="5085">
        <f t="shared" si="0"/>
        <v>0</v>
      </c>
      <c r="W12" s="5084">
        <f t="shared" si="0"/>
        <v>0</v>
      </c>
      <c r="X12" s="3157">
        <f t="shared" si="0"/>
        <v>0</v>
      </c>
      <c r="Y12" s="5115">
        <f t="shared" si="0"/>
        <v>0</v>
      </c>
      <c r="Z12" s="1127">
        <f t="shared" si="0"/>
        <v>0</v>
      </c>
      <c r="AA12" s="3157">
        <f t="shared" si="0"/>
        <v>0</v>
      </c>
      <c r="AB12" s="3195">
        <f t="shared" si="0"/>
        <v>0</v>
      </c>
      <c r="AC12" s="5082">
        <f t="shared" si="0"/>
        <v>0</v>
      </c>
      <c r="AD12" s="5084">
        <f t="shared" si="0"/>
        <v>0</v>
      </c>
      <c r="AE12" s="3157">
        <f t="shared" si="0"/>
        <v>0</v>
      </c>
      <c r="AF12" s="5084">
        <f t="shared" si="0"/>
        <v>0</v>
      </c>
      <c r="AG12" s="5085">
        <f t="shared" si="0"/>
        <v>0</v>
      </c>
      <c r="AH12" s="5084">
        <f t="shared" si="0"/>
        <v>0</v>
      </c>
      <c r="AI12" s="3157">
        <f t="shared" si="0"/>
        <v>0</v>
      </c>
      <c r="AJ12" s="5115">
        <f t="shared" si="0"/>
        <v>0</v>
      </c>
      <c r="AK12" s="4967">
        <f t="shared" si="0"/>
        <v>0</v>
      </c>
      <c r="AL12" s="3157">
        <f t="shared" si="0"/>
        <v>0</v>
      </c>
      <c r="AM12" s="3195">
        <f t="shared" si="0"/>
        <v>0</v>
      </c>
      <c r="AN12" s="5082">
        <f t="shared" si="0"/>
        <v>0</v>
      </c>
      <c r="AO12" s="5084">
        <f t="shared" si="0"/>
        <v>0</v>
      </c>
      <c r="AP12" s="3157">
        <f t="shared" si="0"/>
        <v>0</v>
      </c>
      <c r="AQ12" s="5084">
        <f t="shared" si="0"/>
        <v>0</v>
      </c>
      <c r="AR12" s="5085">
        <f t="shared" si="0"/>
        <v>0</v>
      </c>
      <c r="AS12" s="5084">
        <f t="shared" si="0"/>
        <v>0</v>
      </c>
      <c r="AT12" s="5085">
        <f t="shared" si="0"/>
        <v>0</v>
      </c>
      <c r="AU12" s="5084">
        <f t="shared" si="0"/>
        <v>0</v>
      </c>
    </row>
    <row r="13" spans="1:47" s="7" customFormat="1" ht="15" customHeight="1" x14ac:dyDescent="0.2">
      <c r="A13" s="250" t="s">
        <v>1208</v>
      </c>
      <c r="B13" s="1106"/>
      <c r="C13" s="771"/>
      <c r="D13" s="1106"/>
      <c r="E13" s="771"/>
      <c r="F13" s="1106"/>
      <c r="G13" s="771"/>
      <c r="H13" s="1106"/>
      <c r="I13" s="771"/>
      <c r="J13" s="1106"/>
      <c r="K13" s="771"/>
      <c r="L13" s="1106"/>
      <c r="M13" s="771"/>
      <c r="N13" s="1106"/>
      <c r="O13" s="771"/>
      <c r="P13" s="1106"/>
      <c r="Q13" s="771"/>
      <c r="R13" s="5116">
        <f t="shared" ref="R13:Y13" si="1">SUM(B13+J13)</f>
        <v>0</v>
      </c>
      <c r="S13" s="3044">
        <f t="shared" si="1"/>
        <v>0</v>
      </c>
      <c r="T13" s="5116">
        <f t="shared" si="1"/>
        <v>0</v>
      </c>
      <c r="U13" s="3044">
        <f t="shared" si="1"/>
        <v>0</v>
      </c>
      <c r="V13" s="1185">
        <f t="shared" si="1"/>
        <v>0</v>
      </c>
      <c r="W13" s="3044">
        <f t="shared" si="1"/>
        <v>0</v>
      </c>
      <c r="X13" s="5116">
        <f t="shared" si="1"/>
        <v>0</v>
      </c>
      <c r="Y13" s="5117">
        <f t="shared" si="1"/>
        <v>0</v>
      </c>
      <c r="Z13" s="1321"/>
      <c r="AA13" s="4431"/>
      <c r="AB13" s="771"/>
      <c r="AC13" s="1321"/>
      <c r="AD13" s="771"/>
      <c r="AE13" s="1108"/>
      <c r="AF13" s="771"/>
      <c r="AG13" s="1106"/>
      <c r="AH13" s="771"/>
      <c r="AI13" s="1108"/>
      <c r="AJ13" s="759"/>
      <c r="AK13" s="1285"/>
      <c r="AL13" s="4431"/>
      <c r="AM13" s="771"/>
      <c r="AN13" s="5118"/>
      <c r="AO13" s="5119"/>
      <c r="AP13" s="5120"/>
      <c r="AQ13" s="5119"/>
      <c r="AR13" s="5121"/>
      <c r="AS13" s="5119"/>
      <c r="AT13" s="5121"/>
      <c r="AU13" s="5119"/>
    </row>
    <row r="14" spans="1:47" s="7" customFormat="1" ht="15" customHeight="1" x14ac:dyDescent="0.2">
      <c r="A14" s="1112" t="s">
        <v>3697</v>
      </c>
      <c r="B14" s="192"/>
      <c r="C14" s="383"/>
      <c r="D14" s="192"/>
      <c r="E14" s="383"/>
      <c r="F14" s="192"/>
      <c r="G14" s="383"/>
      <c r="H14" s="192"/>
      <c r="I14" s="383"/>
      <c r="J14" s="192"/>
      <c r="K14" s="383"/>
      <c r="L14" s="192"/>
      <c r="M14" s="383"/>
      <c r="N14" s="192"/>
      <c r="O14" s="383"/>
      <c r="P14" s="192"/>
      <c r="Q14" s="383"/>
      <c r="R14" s="486">
        <f t="shared" ref="R14:R43" si="2">SUM(B14+J14)</f>
        <v>0</v>
      </c>
      <c r="S14" s="591">
        <f t="shared" ref="S14:S43" si="3">SUM(C14+K14)</f>
        <v>0</v>
      </c>
      <c r="T14" s="486">
        <f t="shared" ref="T14:T43" si="4">SUM(D14+L14)</f>
        <v>0</v>
      </c>
      <c r="U14" s="591">
        <f t="shared" ref="U14:U43" si="5">SUM(E14+M14)</f>
        <v>0</v>
      </c>
      <c r="V14" s="197">
        <f t="shared" ref="V14:V67" si="6">SUM(F14+N14)</f>
        <v>0</v>
      </c>
      <c r="W14" s="591">
        <f t="shared" ref="W14:W67" si="7">SUM(G14+O14)</f>
        <v>0</v>
      </c>
      <c r="X14" s="486">
        <f t="shared" ref="X14:X43" si="8">SUM(H14+P14)</f>
        <v>0</v>
      </c>
      <c r="Y14" s="5122">
        <f t="shared" ref="Y14:Y43" si="9">SUM(I14+Q14)</f>
        <v>0</v>
      </c>
      <c r="Z14" s="377"/>
      <c r="AA14" s="64"/>
      <c r="AB14" s="383"/>
      <c r="AC14" s="377"/>
      <c r="AD14" s="383"/>
      <c r="AE14" s="482"/>
      <c r="AF14" s="383"/>
      <c r="AG14" s="192"/>
      <c r="AH14" s="383"/>
      <c r="AI14" s="482"/>
      <c r="AJ14" s="384"/>
      <c r="AK14" s="4866"/>
      <c r="AL14" s="64"/>
      <c r="AM14" s="383"/>
      <c r="AN14" s="5123"/>
      <c r="AO14" s="5124"/>
      <c r="AP14" s="5125"/>
      <c r="AQ14" s="5124"/>
      <c r="AR14" s="5126"/>
      <c r="AS14" s="5124"/>
      <c r="AT14" s="5126"/>
      <c r="AU14" s="5124"/>
    </row>
    <row r="15" spans="1:47" s="7" customFormat="1" ht="15" customHeight="1" x14ac:dyDescent="0.2">
      <c r="A15" s="1112" t="s">
        <v>1210</v>
      </c>
      <c r="B15" s="192"/>
      <c r="C15" s="383"/>
      <c r="D15" s="192"/>
      <c r="E15" s="383"/>
      <c r="F15" s="192"/>
      <c r="G15" s="383"/>
      <c r="H15" s="192"/>
      <c r="I15" s="383"/>
      <c r="J15" s="192"/>
      <c r="K15" s="383"/>
      <c r="L15" s="192"/>
      <c r="M15" s="383"/>
      <c r="N15" s="192"/>
      <c r="O15" s="383"/>
      <c r="P15" s="192"/>
      <c r="Q15" s="383"/>
      <c r="R15" s="486">
        <f t="shared" si="2"/>
        <v>0</v>
      </c>
      <c r="S15" s="591">
        <f t="shared" si="3"/>
        <v>0</v>
      </c>
      <c r="T15" s="486">
        <f t="shared" si="4"/>
        <v>0</v>
      </c>
      <c r="U15" s="591">
        <f t="shared" si="5"/>
        <v>0</v>
      </c>
      <c r="V15" s="197">
        <f t="shared" si="6"/>
        <v>0</v>
      </c>
      <c r="W15" s="591">
        <f t="shared" si="7"/>
        <v>0</v>
      </c>
      <c r="X15" s="486">
        <f t="shared" si="8"/>
        <v>0</v>
      </c>
      <c r="Y15" s="5122">
        <f t="shared" si="9"/>
        <v>0</v>
      </c>
      <c r="Z15" s="377"/>
      <c r="AA15" s="64"/>
      <c r="AB15" s="383"/>
      <c r="AC15" s="377"/>
      <c r="AD15" s="383"/>
      <c r="AE15" s="482"/>
      <c r="AF15" s="383"/>
      <c r="AG15" s="192"/>
      <c r="AH15" s="383"/>
      <c r="AI15" s="482"/>
      <c r="AJ15" s="384"/>
      <c r="AK15" s="4866"/>
      <c r="AL15" s="64"/>
      <c r="AM15" s="383"/>
      <c r="AN15" s="5123"/>
      <c r="AO15" s="5124"/>
      <c r="AP15" s="5125"/>
      <c r="AQ15" s="5124"/>
      <c r="AR15" s="5126"/>
      <c r="AS15" s="5124"/>
      <c r="AT15" s="5126"/>
      <c r="AU15" s="5124"/>
    </row>
    <row r="16" spans="1:47" s="7" customFormat="1" ht="15" customHeight="1" x14ac:dyDescent="0.2">
      <c r="A16" s="1112" t="s">
        <v>3698</v>
      </c>
      <c r="B16" s="192"/>
      <c r="C16" s="383"/>
      <c r="D16" s="192"/>
      <c r="E16" s="383"/>
      <c r="F16" s="192"/>
      <c r="G16" s="383"/>
      <c r="H16" s="192"/>
      <c r="I16" s="383"/>
      <c r="J16" s="192"/>
      <c r="K16" s="383"/>
      <c r="L16" s="192"/>
      <c r="M16" s="383"/>
      <c r="N16" s="192"/>
      <c r="O16" s="383"/>
      <c r="P16" s="192"/>
      <c r="Q16" s="383"/>
      <c r="R16" s="486">
        <f t="shared" si="2"/>
        <v>0</v>
      </c>
      <c r="S16" s="591">
        <f t="shared" si="3"/>
        <v>0</v>
      </c>
      <c r="T16" s="486">
        <f t="shared" si="4"/>
        <v>0</v>
      </c>
      <c r="U16" s="591">
        <f t="shared" si="5"/>
        <v>0</v>
      </c>
      <c r="V16" s="197">
        <f t="shared" si="6"/>
        <v>0</v>
      </c>
      <c r="W16" s="591">
        <f t="shared" si="7"/>
        <v>0</v>
      </c>
      <c r="X16" s="486">
        <f t="shared" si="8"/>
        <v>0</v>
      </c>
      <c r="Y16" s="5122">
        <f t="shared" si="9"/>
        <v>0</v>
      </c>
      <c r="Z16" s="377"/>
      <c r="AA16" s="64"/>
      <c r="AB16" s="383"/>
      <c r="AC16" s="377"/>
      <c r="AD16" s="383"/>
      <c r="AE16" s="482"/>
      <c r="AF16" s="383"/>
      <c r="AG16" s="192"/>
      <c r="AH16" s="383"/>
      <c r="AI16" s="482"/>
      <c r="AJ16" s="384"/>
      <c r="AK16" s="4866"/>
      <c r="AL16" s="64"/>
      <c r="AM16" s="383"/>
      <c r="AN16" s="5123"/>
      <c r="AO16" s="5124"/>
      <c r="AP16" s="5125"/>
      <c r="AQ16" s="5124"/>
      <c r="AR16" s="5126"/>
      <c r="AS16" s="5124"/>
      <c r="AT16" s="5126"/>
      <c r="AU16" s="5124"/>
    </row>
    <row r="17" spans="1:47" s="7" customFormat="1" ht="15" customHeight="1" x14ac:dyDescent="0.2">
      <c r="A17" s="1112" t="s">
        <v>3131</v>
      </c>
      <c r="B17" s="192"/>
      <c r="C17" s="383"/>
      <c r="D17" s="192"/>
      <c r="E17" s="383"/>
      <c r="F17" s="192"/>
      <c r="G17" s="383"/>
      <c r="H17" s="192"/>
      <c r="I17" s="383"/>
      <c r="J17" s="192"/>
      <c r="K17" s="383"/>
      <c r="L17" s="192"/>
      <c r="M17" s="383"/>
      <c r="N17" s="192"/>
      <c r="O17" s="383"/>
      <c r="P17" s="192"/>
      <c r="Q17" s="383"/>
      <c r="R17" s="486">
        <f t="shared" si="2"/>
        <v>0</v>
      </c>
      <c r="S17" s="591">
        <f t="shared" si="3"/>
        <v>0</v>
      </c>
      <c r="T17" s="486">
        <f t="shared" si="4"/>
        <v>0</v>
      </c>
      <c r="U17" s="591">
        <f t="shared" si="5"/>
        <v>0</v>
      </c>
      <c r="V17" s="197">
        <f t="shared" si="6"/>
        <v>0</v>
      </c>
      <c r="W17" s="591">
        <f t="shared" si="7"/>
        <v>0</v>
      </c>
      <c r="X17" s="486">
        <f t="shared" si="8"/>
        <v>0</v>
      </c>
      <c r="Y17" s="5122">
        <f t="shared" si="9"/>
        <v>0</v>
      </c>
      <c r="Z17" s="377"/>
      <c r="AA17" s="64"/>
      <c r="AB17" s="383"/>
      <c r="AC17" s="377"/>
      <c r="AD17" s="383"/>
      <c r="AE17" s="482"/>
      <c r="AF17" s="383"/>
      <c r="AG17" s="192"/>
      <c r="AH17" s="383"/>
      <c r="AI17" s="482"/>
      <c r="AJ17" s="384"/>
      <c r="AK17" s="4866"/>
      <c r="AL17" s="64"/>
      <c r="AM17" s="383"/>
      <c r="AN17" s="5123"/>
      <c r="AO17" s="5124"/>
      <c r="AP17" s="5125"/>
      <c r="AQ17" s="5124"/>
      <c r="AR17" s="5126"/>
      <c r="AS17" s="5124"/>
      <c r="AT17" s="5126"/>
      <c r="AU17" s="5124"/>
    </row>
    <row r="18" spans="1:47" s="7" customFormat="1" ht="15" customHeight="1" x14ac:dyDescent="0.2">
      <c r="A18" s="1112" t="s">
        <v>1434</v>
      </c>
      <c r="B18" s="192"/>
      <c r="C18" s="383"/>
      <c r="D18" s="192"/>
      <c r="E18" s="383"/>
      <c r="F18" s="192"/>
      <c r="G18" s="383"/>
      <c r="H18" s="192"/>
      <c r="I18" s="383"/>
      <c r="J18" s="192"/>
      <c r="K18" s="383"/>
      <c r="L18" s="192"/>
      <c r="M18" s="383"/>
      <c r="N18" s="192"/>
      <c r="O18" s="383"/>
      <c r="P18" s="192"/>
      <c r="Q18" s="383"/>
      <c r="R18" s="486">
        <f t="shared" si="2"/>
        <v>0</v>
      </c>
      <c r="S18" s="591">
        <f t="shared" si="3"/>
        <v>0</v>
      </c>
      <c r="T18" s="486">
        <f t="shared" si="4"/>
        <v>0</v>
      </c>
      <c r="U18" s="591">
        <f t="shared" si="5"/>
        <v>0</v>
      </c>
      <c r="V18" s="197">
        <f t="shared" si="6"/>
        <v>0</v>
      </c>
      <c r="W18" s="591">
        <f t="shared" si="7"/>
        <v>0</v>
      </c>
      <c r="X18" s="486">
        <f t="shared" si="8"/>
        <v>0</v>
      </c>
      <c r="Y18" s="5122">
        <f t="shared" si="9"/>
        <v>0</v>
      </c>
      <c r="Z18" s="377"/>
      <c r="AA18" s="64"/>
      <c r="AB18" s="383"/>
      <c r="AC18" s="377"/>
      <c r="AD18" s="383"/>
      <c r="AE18" s="482"/>
      <c r="AF18" s="383"/>
      <c r="AG18" s="192"/>
      <c r="AH18" s="383"/>
      <c r="AI18" s="482"/>
      <c r="AJ18" s="384"/>
      <c r="AK18" s="4866"/>
      <c r="AL18" s="64"/>
      <c r="AM18" s="383"/>
      <c r="AN18" s="5123"/>
      <c r="AO18" s="5124"/>
      <c r="AP18" s="5125"/>
      <c r="AQ18" s="5124"/>
      <c r="AR18" s="5126"/>
      <c r="AS18" s="5124"/>
      <c r="AT18" s="5126"/>
      <c r="AU18" s="5124"/>
    </row>
    <row r="19" spans="1:47" s="7" customFormat="1" ht="15" customHeight="1" x14ac:dyDescent="0.2">
      <c r="A19" s="1112" t="s">
        <v>4308</v>
      </c>
      <c r="B19" s="192"/>
      <c r="C19" s="383"/>
      <c r="D19" s="192"/>
      <c r="E19" s="383"/>
      <c r="F19" s="192"/>
      <c r="G19" s="383"/>
      <c r="H19" s="192"/>
      <c r="I19" s="383"/>
      <c r="J19" s="192"/>
      <c r="K19" s="383"/>
      <c r="L19" s="192"/>
      <c r="M19" s="383"/>
      <c r="N19" s="192"/>
      <c r="O19" s="383"/>
      <c r="P19" s="192"/>
      <c r="Q19" s="383"/>
      <c r="R19" s="486">
        <f t="shared" si="2"/>
        <v>0</v>
      </c>
      <c r="S19" s="591">
        <f t="shared" si="3"/>
        <v>0</v>
      </c>
      <c r="T19" s="486">
        <f t="shared" si="4"/>
        <v>0</v>
      </c>
      <c r="U19" s="591">
        <f t="shared" si="5"/>
        <v>0</v>
      </c>
      <c r="V19" s="197">
        <f t="shared" si="6"/>
        <v>0</v>
      </c>
      <c r="W19" s="591">
        <f t="shared" si="7"/>
        <v>0</v>
      </c>
      <c r="X19" s="486">
        <f t="shared" si="8"/>
        <v>0</v>
      </c>
      <c r="Y19" s="5122">
        <f t="shared" si="9"/>
        <v>0</v>
      </c>
      <c r="Z19" s="377"/>
      <c r="AA19" s="64"/>
      <c r="AB19" s="383"/>
      <c r="AC19" s="377"/>
      <c r="AD19" s="383"/>
      <c r="AE19" s="482"/>
      <c r="AF19" s="383"/>
      <c r="AG19" s="192"/>
      <c r="AH19" s="383"/>
      <c r="AI19" s="482"/>
      <c r="AJ19" s="384"/>
      <c r="AK19" s="4866"/>
      <c r="AL19" s="64"/>
      <c r="AM19" s="383"/>
      <c r="AN19" s="5123"/>
      <c r="AO19" s="5124"/>
      <c r="AP19" s="5125"/>
      <c r="AQ19" s="5124"/>
      <c r="AR19" s="5126"/>
      <c r="AS19" s="5124"/>
      <c r="AT19" s="5126"/>
      <c r="AU19" s="5124"/>
    </row>
    <row r="20" spans="1:47" s="7" customFormat="1" ht="15" customHeight="1" x14ac:dyDescent="0.2">
      <c r="A20" s="1112" t="s">
        <v>3699</v>
      </c>
      <c r="B20" s="192"/>
      <c r="C20" s="383"/>
      <c r="D20" s="192"/>
      <c r="E20" s="383"/>
      <c r="F20" s="192"/>
      <c r="G20" s="383"/>
      <c r="H20" s="192"/>
      <c r="I20" s="383"/>
      <c r="J20" s="192"/>
      <c r="K20" s="383"/>
      <c r="L20" s="192"/>
      <c r="M20" s="383"/>
      <c r="N20" s="192"/>
      <c r="O20" s="383"/>
      <c r="P20" s="192"/>
      <c r="Q20" s="383"/>
      <c r="R20" s="486">
        <f t="shared" si="2"/>
        <v>0</v>
      </c>
      <c r="S20" s="591">
        <f t="shared" si="3"/>
        <v>0</v>
      </c>
      <c r="T20" s="486">
        <f t="shared" si="4"/>
        <v>0</v>
      </c>
      <c r="U20" s="591">
        <f t="shared" si="5"/>
        <v>0</v>
      </c>
      <c r="V20" s="197">
        <f t="shared" si="6"/>
        <v>0</v>
      </c>
      <c r="W20" s="591">
        <f t="shared" si="7"/>
        <v>0</v>
      </c>
      <c r="X20" s="486">
        <f t="shared" si="8"/>
        <v>0</v>
      </c>
      <c r="Y20" s="5122">
        <f t="shared" si="9"/>
        <v>0</v>
      </c>
      <c r="Z20" s="377"/>
      <c r="AA20" s="64"/>
      <c r="AB20" s="383"/>
      <c r="AC20" s="377"/>
      <c r="AD20" s="383"/>
      <c r="AE20" s="482"/>
      <c r="AF20" s="383"/>
      <c r="AG20" s="192"/>
      <c r="AH20" s="383"/>
      <c r="AI20" s="482"/>
      <c r="AJ20" s="384"/>
      <c r="AK20" s="4866"/>
      <c r="AL20" s="64"/>
      <c r="AM20" s="383"/>
      <c r="AN20" s="5123"/>
      <c r="AO20" s="5124"/>
      <c r="AP20" s="5125"/>
      <c r="AQ20" s="5124"/>
      <c r="AR20" s="5126"/>
      <c r="AS20" s="5124"/>
      <c r="AT20" s="5126"/>
      <c r="AU20" s="5124"/>
    </row>
    <row r="21" spans="1:47" s="7" customFormat="1" ht="15" customHeight="1" x14ac:dyDescent="0.2">
      <c r="A21" s="1112" t="s">
        <v>3133</v>
      </c>
      <c r="B21" s="192"/>
      <c r="C21" s="383"/>
      <c r="D21" s="192"/>
      <c r="E21" s="383"/>
      <c r="F21" s="192"/>
      <c r="G21" s="383"/>
      <c r="H21" s="192"/>
      <c r="I21" s="383"/>
      <c r="J21" s="192"/>
      <c r="K21" s="383"/>
      <c r="L21" s="192"/>
      <c r="M21" s="383"/>
      <c r="N21" s="192"/>
      <c r="O21" s="383"/>
      <c r="P21" s="192"/>
      <c r="Q21" s="383"/>
      <c r="R21" s="486">
        <f t="shared" si="2"/>
        <v>0</v>
      </c>
      <c r="S21" s="591">
        <f t="shared" si="3"/>
        <v>0</v>
      </c>
      <c r="T21" s="486">
        <f t="shared" si="4"/>
        <v>0</v>
      </c>
      <c r="U21" s="591">
        <f t="shared" si="5"/>
        <v>0</v>
      </c>
      <c r="V21" s="197">
        <f t="shared" si="6"/>
        <v>0</v>
      </c>
      <c r="W21" s="591">
        <f t="shared" si="7"/>
        <v>0</v>
      </c>
      <c r="X21" s="486">
        <f t="shared" si="8"/>
        <v>0</v>
      </c>
      <c r="Y21" s="5122">
        <f t="shared" si="9"/>
        <v>0</v>
      </c>
      <c r="Z21" s="377"/>
      <c r="AA21" s="64"/>
      <c r="AB21" s="383"/>
      <c r="AC21" s="377"/>
      <c r="AD21" s="383"/>
      <c r="AE21" s="482"/>
      <c r="AF21" s="383"/>
      <c r="AG21" s="192"/>
      <c r="AH21" s="383"/>
      <c r="AI21" s="482"/>
      <c r="AJ21" s="384"/>
      <c r="AK21" s="4866"/>
      <c r="AL21" s="64"/>
      <c r="AM21" s="383"/>
      <c r="AN21" s="5123"/>
      <c r="AO21" s="5124"/>
      <c r="AP21" s="5125"/>
      <c r="AQ21" s="5124"/>
      <c r="AR21" s="5126"/>
      <c r="AS21" s="5124"/>
      <c r="AT21" s="5126"/>
      <c r="AU21" s="5124"/>
    </row>
    <row r="22" spans="1:47" s="7" customFormat="1" ht="15" customHeight="1" x14ac:dyDescent="0.2">
      <c r="A22" s="1112" t="s">
        <v>3700</v>
      </c>
      <c r="B22" s="192"/>
      <c r="C22" s="383"/>
      <c r="D22" s="192"/>
      <c r="E22" s="383"/>
      <c r="F22" s="192"/>
      <c r="G22" s="383"/>
      <c r="H22" s="192"/>
      <c r="I22" s="383"/>
      <c r="J22" s="192"/>
      <c r="K22" s="383"/>
      <c r="L22" s="192"/>
      <c r="M22" s="383"/>
      <c r="N22" s="192"/>
      <c r="O22" s="383"/>
      <c r="P22" s="192"/>
      <c r="Q22" s="383"/>
      <c r="R22" s="486">
        <f t="shared" si="2"/>
        <v>0</v>
      </c>
      <c r="S22" s="591">
        <f t="shared" si="3"/>
        <v>0</v>
      </c>
      <c r="T22" s="486">
        <f t="shared" si="4"/>
        <v>0</v>
      </c>
      <c r="U22" s="591">
        <f t="shared" si="5"/>
        <v>0</v>
      </c>
      <c r="V22" s="197">
        <f t="shared" si="6"/>
        <v>0</v>
      </c>
      <c r="W22" s="591">
        <f t="shared" si="7"/>
        <v>0</v>
      </c>
      <c r="X22" s="486">
        <f t="shared" si="8"/>
        <v>0</v>
      </c>
      <c r="Y22" s="5122">
        <f t="shared" si="9"/>
        <v>0</v>
      </c>
      <c r="Z22" s="377"/>
      <c r="AA22" s="64"/>
      <c r="AB22" s="383"/>
      <c r="AC22" s="377"/>
      <c r="AD22" s="383"/>
      <c r="AE22" s="482"/>
      <c r="AF22" s="383"/>
      <c r="AG22" s="192"/>
      <c r="AH22" s="383"/>
      <c r="AI22" s="482"/>
      <c r="AJ22" s="384"/>
      <c r="AK22" s="4866"/>
      <c r="AL22" s="64"/>
      <c r="AM22" s="383"/>
      <c r="AN22" s="5123"/>
      <c r="AO22" s="5124"/>
      <c r="AP22" s="5125"/>
      <c r="AQ22" s="5124"/>
      <c r="AR22" s="5126"/>
      <c r="AS22" s="5124"/>
      <c r="AT22" s="5126"/>
      <c r="AU22" s="5124"/>
    </row>
    <row r="23" spans="1:47" s="7" customFormat="1" ht="15" customHeight="1" x14ac:dyDescent="0.2">
      <c r="A23" s="1112" t="s">
        <v>3701</v>
      </c>
      <c r="B23" s="192"/>
      <c r="C23" s="383"/>
      <c r="D23" s="192"/>
      <c r="E23" s="383"/>
      <c r="F23" s="192"/>
      <c r="G23" s="383"/>
      <c r="H23" s="192"/>
      <c r="I23" s="383"/>
      <c r="J23" s="192"/>
      <c r="K23" s="383"/>
      <c r="L23" s="192"/>
      <c r="M23" s="383"/>
      <c r="N23" s="192"/>
      <c r="O23" s="383"/>
      <c r="P23" s="192"/>
      <c r="Q23" s="383"/>
      <c r="R23" s="486">
        <f t="shared" si="2"/>
        <v>0</v>
      </c>
      <c r="S23" s="591">
        <f t="shared" si="3"/>
        <v>0</v>
      </c>
      <c r="T23" s="486">
        <f t="shared" si="4"/>
        <v>0</v>
      </c>
      <c r="U23" s="591">
        <f t="shared" si="5"/>
        <v>0</v>
      </c>
      <c r="V23" s="197">
        <f t="shared" si="6"/>
        <v>0</v>
      </c>
      <c r="W23" s="591">
        <f t="shared" si="7"/>
        <v>0</v>
      </c>
      <c r="X23" s="486">
        <f t="shared" si="8"/>
        <v>0</v>
      </c>
      <c r="Y23" s="5122">
        <f t="shared" si="9"/>
        <v>0</v>
      </c>
      <c r="Z23" s="377"/>
      <c r="AA23" s="64"/>
      <c r="AB23" s="383"/>
      <c r="AC23" s="377"/>
      <c r="AD23" s="383"/>
      <c r="AE23" s="482"/>
      <c r="AF23" s="383"/>
      <c r="AG23" s="192"/>
      <c r="AH23" s="383"/>
      <c r="AI23" s="482"/>
      <c r="AJ23" s="384"/>
      <c r="AK23" s="4866"/>
      <c r="AL23" s="64"/>
      <c r="AM23" s="383"/>
      <c r="AN23" s="5123"/>
      <c r="AO23" s="5124"/>
      <c r="AP23" s="5125"/>
      <c r="AQ23" s="5124"/>
      <c r="AR23" s="5126"/>
      <c r="AS23" s="5124"/>
      <c r="AT23" s="5126"/>
      <c r="AU23" s="5124"/>
    </row>
    <row r="24" spans="1:47" s="7" customFormat="1" ht="15" customHeight="1" x14ac:dyDescent="0.2">
      <c r="A24" s="1112" t="s">
        <v>3702</v>
      </c>
      <c r="B24" s="192"/>
      <c r="C24" s="383"/>
      <c r="D24" s="192"/>
      <c r="E24" s="383"/>
      <c r="F24" s="192"/>
      <c r="G24" s="383"/>
      <c r="H24" s="192"/>
      <c r="I24" s="383"/>
      <c r="J24" s="192"/>
      <c r="K24" s="383"/>
      <c r="L24" s="192"/>
      <c r="M24" s="383"/>
      <c r="N24" s="192"/>
      <c r="O24" s="383"/>
      <c r="P24" s="192"/>
      <c r="Q24" s="383"/>
      <c r="R24" s="486">
        <f t="shared" si="2"/>
        <v>0</v>
      </c>
      <c r="S24" s="591">
        <f t="shared" si="3"/>
        <v>0</v>
      </c>
      <c r="T24" s="486">
        <f t="shared" si="4"/>
        <v>0</v>
      </c>
      <c r="U24" s="591">
        <f t="shared" si="5"/>
        <v>0</v>
      </c>
      <c r="V24" s="197">
        <f t="shared" si="6"/>
        <v>0</v>
      </c>
      <c r="W24" s="591">
        <f t="shared" si="7"/>
        <v>0</v>
      </c>
      <c r="X24" s="486">
        <f t="shared" si="8"/>
        <v>0</v>
      </c>
      <c r="Y24" s="5122">
        <f t="shared" si="9"/>
        <v>0</v>
      </c>
      <c r="Z24" s="377"/>
      <c r="AA24" s="64"/>
      <c r="AB24" s="383"/>
      <c r="AC24" s="377"/>
      <c r="AD24" s="383"/>
      <c r="AE24" s="482"/>
      <c r="AF24" s="383"/>
      <c r="AG24" s="192"/>
      <c r="AH24" s="383"/>
      <c r="AI24" s="482"/>
      <c r="AJ24" s="384"/>
      <c r="AK24" s="4866"/>
      <c r="AL24" s="64"/>
      <c r="AM24" s="383"/>
      <c r="AN24" s="5123"/>
      <c r="AO24" s="5124"/>
      <c r="AP24" s="5125"/>
      <c r="AQ24" s="5124"/>
      <c r="AR24" s="5126"/>
      <c r="AS24" s="5124"/>
      <c r="AT24" s="5126"/>
      <c r="AU24" s="5124"/>
    </row>
    <row r="25" spans="1:47" s="7" customFormat="1" ht="15" customHeight="1" x14ac:dyDescent="0.2">
      <c r="A25" s="1112" t="s">
        <v>4409</v>
      </c>
      <c r="B25" s="192"/>
      <c r="C25" s="383"/>
      <c r="D25" s="192"/>
      <c r="E25" s="383"/>
      <c r="F25" s="192"/>
      <c r="G25" s="383"/>
      <c r="H25" s="192"/>
      <c r="I25" s="383"/>
      <c r="J25" s="192"/>
      <c r="K25" s="383"/>
      <c r="L25" s="192"/>
      <c r="M25" s="383"/>
      <c r="N25" s="192"/>
      <c r="O25" s="383"/>
      <c r="P25" s="192"/>
      <c r="Q25" s="383"/>
      <c r="R25" s="486">
        <f t="shared" si="2"/>
        <v>0</v>
      </c>
      <c r="S25" s="591">
        <f t="shared" si="3"/>
        <v>0</v>
      </c>
      <c r="T25" s="486">
        <f t="shared" si="4"/>
        <v>0</v>
      </c>
      <c r="U25" s="591">
        <f t="shared" si="5"/>
        <v>0</v>
      </c>
      <c r="V25" s="197">
        <f t="shared" si="6"/>
        <v>0</v>
      </c>
      <c r="W25" s="591">
        <f t="shared" si="7"/>
        <v>0</v>
      </c>
      <c r="X25" s="486">
        <f t="shared" si="8"/>
        <v>0</v>
      </c>
      <c r="Y25" s="5122">
        <f t="shared" si="9"/>
        <v>0</v>
      </c>
      <c r="Z25" s="377"/>
      <c r="AA25" s="64"/>
      <c r="AB25" s="383"/>
      <c r="AC25" s="377"/>
      <c r="AD25" s="383"/>
      <c r="AE25" s="482"/>
      <c r="AF25" s="383"/>
      <c r="AG25" s="192"/>
      <c r="AH25" s="383"/>
      <c r="AI25" s="482"/>
      <c r="AJ25" s="384"/>
      <c r="AK25" s="4866"/>
      <c r="AL25" s="64"/>
      <c r="AM25" s="383"/>
      <c r="AN25" s="5123"/>
      <c r="AO25" s="5124"/>
      <c r="AP25" s="5125"/>
      <c r="AQ25" s="5124"/>
      <c r="AR25" s="5126"/>
      <c r="AS25" s="5124"/>
      <c r="AT25" s="5126"/>
      <c r="AU25" s="5124"/>
    </row>
    <row r="26" spans="1:47" s="7" customFormat="1" ht="15" customHeight="1" x14ac:dyDescent="0.2">
      <c r="A26" s="3149" t="s">
        <v>4314</v>
      </c>
      <c r="B26" s="192"/>
      <c r="C26" s="383"/>
      <c r="D26" s="192"/>
      <c r="E26" s="383"/>
      <c r="F26" s="192"/>
      <c r="G26" s="383"/>
      <c r="H26" s="192"/>
      <c r="I26" s="383"/>
      <c r="J26" s="192"/>
      <c r="K26" s="383"/>
      <c r="L26" s="192"/>
      <c r="M26" s="383"/>
      <c r="N26" s="192"/>
      <c r="O26" s="383"/>
      <c r="P26" s="192"/>
      <c r="Q26" s="383"/>
      <c r="R26" s="486">
        <f t="shared" si="2"/>
        <v>0</v>
      </c>
      <c r="S26" s="591">
        <f t="shared" si="3"/>
        <v>0</v>
      </c>
      <c r="T26" s="486">
        <f t="shared" si="4"/>
        <v>0</v>
      </c>
      <c r="U26" s="591">
        <f t="shared" si="5"/>
        <v>0</v>
      </c>
      <c r="V26" s="197">
        <f t="shared" si="6"/>
        <v>0</v>
      </c>
      <c r="W26" s="591">
        <f t="shared" si="7"/>
        <v>0</v>
      </c>
      <c r="X26" s="486">
        <f t="shared" si="8"/>
        <v>0</v>
      </c>
      <c r="Y26" s="5122">
        <f t="shared" si="9"/>
        <v>0</v>
      </c>
      <c r="Z26" s="377"/>
      <c r="AA26" s="64"/>
      <c r="AB26" s="383"/>
      <c r="AC26" s="377"/>
      <c r="AD26" s="383"/>
      <c r="AE26" s="482"/>
      <c r="AF26" s="383"/>
      <c r="AG26" s="192"/>
      <c r="AH26" s="383"/>
      <c r="AI26" s="482"/>
      <c r="AJ26" s="384"/>
      <c r="AK26" s="4866"/>
      <c r="AL26" s="64"/>
      <c r="AM26" s="383"/>
      <c r="AN26" s="5123"/>
      <c r="AO26" s="5124"/>
      <c r="AP26" s="5125"/>
      <c r="AQ26" s="5124"/>
      <c r="AR26" s="5126"/>
      <c r="AS26" s="5124"/>
      <c r="AT26" s="5126"/>
      <c r="AU26" s="5124"/>
    </row>
    <row r="27" spans="1:47" s="7" customFormat="1" ht="15" customHeight="1" x14ac:dyDescent="0.2">
      <c r="A27" s="1112" t="s">
        <v>3703</v>
      </c>
      <c r="B27" s="192"/>
      <c r="C27" s="383"/>
      <c r="D27" s="192"/>
      <c r="E27" s="383"/>
      <c r="F27" s="192"/>
      <c r="G27" s="383"/>
      <c r="H27" s="192"/>
      <c r="I27" s="383"/>
      <c r="J27" s="192"/>
      <c r="K27" s="383"/>
      <c r="L27" s="192"/>
      <c r="M27" s="383"/>
      <c r="N27" s="192"/>
      <c r="O27" s="383"/>
      <c r="P27" s="192"/>
      <c r="Q27" s="383"/>
      <c r="R27" s="486">
        <f t="shared" si="2"/>
        <v>0</v>
      </c>
      <c r="S27" s="591">
        <f t="shared" si="3"/>
        <v>0</v>
      </c>
      <c r="T27" s="486">
        <f t="shared" si="4"/>
        <v>0</v>
      </c>
      <c r="U27" s="591">
        <f t="shared" si="5"/>
        <v>0</v>
      </c>
      <c r="V27" s="197">
        <f t="shared" si="6"/>
        <v>0</v>
      </c>
      <c r="W27" s="591">
        <f t="shared" si="7"/>
        <v>0</v>
      </c>
      <c r="X27" s="486">
        <f t="shared" si="8"/>
        <v>0</v>
      </c>
      <c r="Y27" s="5122">
        <f t="shared" si="9"/>
        <v>0</v>
      </c>
      <c r="Z27" s="377"/>
      <c r="AA27" s="64"/>
      <c r="AB27" s="383"/>
      <c r="AC27" s="377"/>
      <c r="AD27" s="383"/>
      <c r="AE27" s="482"/>
      <c r="AF27" s="383"/>
      <c r="AG27" s="192"/>
      <c r="AH27" s="383"/>
      <c r="AI27" s="482"/>
      <c r="AJ27" s="384"/>
      <c r="AK27" s="4866"/>
      <c r="AL27" s="64"/>
      <c r="AM27" s="383"/>
      <c r="AN27" s="5123"/>
      <c r="AO27" s="5124"/>
      <c r="AP27" s="5125"/>
      <c r="AQ27" s="5124"/>
      <c r="AR27" s="5126"/>
      <c r="AS27" s="5124"/>
      <c r="AT27" s="5126"/>
      <c r="AU27" s="5124"/>
    </row>
    <row r="28" spans="1:47" s="7" customFormat="1" ht="15" customHeight="1" x14ac:dyDescent="0.2">
      <c r="A28" s="1112" t="s">
        <v>3704</v>
      </c>
      <c r="B28" s="192"/>
      <c r="C28" s="383"/>
      <c r="D28" s="192"/>
      <c r="E28" s="383"/>
      <c r="F28" s="192"/>
      <c r="G28" s="383"/>
      <c r="H28" s="192"/>
      <c r="I28" s="383"/>
      <c r="J28" s="192"/>
      <c r="K28" s="383"/>
      <c r="L28" s="192"/>
      <c r="M28" s="383"/>
      <c r="N28" s="192"/>
      <c r="O28" s="383"/>
      <c r="P28" s="192"/>
      <c r="Q28" s="383"/>
      <c r="R28" s="486">
        <f t="shared" si="2"/>
        <v>0</v>
      </c>
      <c r="S28" s="591">
        <f t="shared" si="3"/>
        <v>0</v>
      </c>
      <c r="T28" s="486">
        <f t="shared" si="4"/>
        <v>0</v>
      </c>
      <c r="U28" s="591">
        <f t="shared" si="5"/>
        <v>0</v>
      </c>
      <c r="V28" s="197">
        <f t="shared" si="6"/>
        <v>0</v>
      </c>
      <c r="W28" s="591">
        <f t="shared" si="7"/>
        <v>0</v>
      </c>
      <c r="X28" s="486">
        <f t="shared" si="8"/>
        <v>0</v>
      </c>
      <c r="Y28" s="5122">
        <f t="shared" si="9"/>
        <v>0</v>
      </c>
      <c r="Z28" s="377"/>
      <c r="AA28" s="64"/>
      <c r="AB28" s="383"/>
      <c r="AC28" s="377"/>
      <c r="AD28" s="383"/>
      <c r="AE28" s="482"/>
      <c r="AF28" s="383"/>
      <c r="AG28" s="192"/>
      <c r="AH28" s="383"/>
      <c r="AI28" s="482"/>
      <c r="AJ28" s="384"/>
      <c r="AK28" s="4866"/>
      <c r="AL28" s="64"/>
      <c r="AM28" s="383"/>
      <c r="AN28" s="5123"/>
      <c r="AO28" s="5124"/>
      <c r="AP28" s="5125"/>
      <c r="AQ28" s="5124"/>
      <c r="AR28" s="5126"/>
      <c r="AS28" s="5124"/>
      <c r="AT28" s="5126"/>
      <c r="AU28" s="5124"/>
    </row>
    <row r="29" spans="1:47" s="7" customFormat="1" ht="15" customHeight="1" x14ac:dyDescent="0.2">
      <c r="A29" s="1112" t="s">
        <v>4307</v>
      </c>
      <c r="B29" s="192"/>
      <c r="C29" s="383"/>
      <c r="D29" s="192"/>
      <c r="E29" s="383"/>
      <c r="F29" s="192"/>
      <c r="G29" s="383"/>
      <c r="H29" s="192"/>
      <c r="I29" s="383"/>
      <c r="J29" s="192"/>
      <c r="K29" s="383"/>
      <c r="L29" s="192"/>
      <c r="M29" s="383"/>
      <c r="N29" s="192"/>
      <c r="O29" s="383"/>
      <c r="P29" s="192"/>
      <c r="Q29" s="383"/>
      <c r="R29" s="486">
        <f t="shared" si="2"/>
        <v>0</v>
      </c>
      <c r="S29" s="591">
        <f t="shared" si="3"/>
        <v>0</v>
      </c>
      <c r="T29" s="486">
        <f t="shared" si="4"/>
        <v>0</v>
      </c>
      <c r="U29" s="591">
        <f t="shared" si="5"/>
        <v>0</v>
      </c>
      <c r="V29" s="197">
        <f t="shared" si="6"/>
        <v>0</v>
      </c>
      <c r="W29" s="591">
        <f t="shared" si="7"/>
        <v>0</v>
      </c>
      <c r="X29" s="486">
        <f t="shared" si="8"/>
        <v>0</v>
      </c>
      <c r="Y29" s="5122">
        <f t="shared" si="9"/>
        <v>0</v>
      </c>
      <c r="Z29" s="377"/>
      <c r="AA29" s="64"/>
      <c r="AB29" s="383"/>
      <c r="AC29" s="377"/>
      <c r="AD29" s="383"/>
      <c r="AE29" s="482"/>
      <c r="AF29" s="383"/>
      <c r="AG29" s="192"/>
      <c r="AH29" s="383"/>
      <c r="AI29" s="482"/>
      <c r="AJ29" s="384"/>
      <c r="AK29" s="4866"/>
      <c r="AL29" s="64"/>
      <c r="AM29" s="383"/>
      <c r="AN29" s="5123"/>
      <c r="AO29" s="5124"/>
      <c r="AP29" s="5125"/>
      <c r="AQ29" s="5124"/>
      <c r="AR29" s="5126"/>
      <c r="AS29" s="5124"/>
      <c r="AT29" s="5126"/>
      <c r="AU29" s="5124"/>
    </row>
    <row r="30" spans="1:47" s="7" customFormat="1" ht="15" customHeight="1" x14ac:dyDescent="0.2">
      <c r="A30" s="1112" t="s">
        <v>4309</v>
      </c>
      <c r="B30" s="192"/>
      <c r="C30" s="383"/>
      <c r="D30" s="192"/>
      <c r="E30" s="383"/>
      <c r="F30" s="192"/>
      <c r="G30" s="383"/>
      <c r="H30" s="192"/>
      <c r="I30" s="383"/>
      <c r="J30" s="192"/>
      <c r="K30" s="383"/>
      <c r="L30" s="192"/>
      <c r="M30" s="383"/>
      <c r="N30" s="192"/>
      <c r="O30" s="383"/>
      <c r="P30" s="192"/>
      <c r="Q30" s="383"/>
      <c r="R30" s="486">
        <f t="shared" si="2"/>
        <v>0</v>
      </c>
      <c r="S30" s="591">
        <f t="shared" si="3"/>
        <v>0</v>
      </c>
      <c r="T30" s="486">
        <f t="shared" si="4"/>
        <v>0</v>
      </c>
      <c r="U30" s="591">
        <f t="shared" si="5"/>
        <v>0</v>
      </c>
      <c r="V30" s="197">
        <f t="shared" si="6"/>
        <v>0</v>
      </c>
      <c r="W30" s="591">
        <f t="shared" si="7"/>
        <v>0</v>
      </c>
      <c r="X30" s="486">
        <f t="shared" si="8"/>
        <v>0</v>
      </c>
      <c r="Y30" s="5122">
        <f t="shared" si="9"/>
        <v>0</v>
      </c>
      <c r="Z30" s="377"/>
      <c r="AA30" s="64"/>
      <c r="AB30" s="383"/>
      <c r="AC30" s="377"/>
      <c r="AD30" s="383"/>
      <c r="AE30" s="482"/>
      <c r="AF30" s="383"/>
      <c r="AG30" s="192"/>
      <c r="AH30" s="383"/>
      <c r="AI30" s="482"/>
      <c r="AJ30" s="384"/>
      <c r="AK30" s="4866"/>
      <c r="AL30" s="64"/>
      <c r="AM30" s="383"/>
      <c r="AN30" s="5123"/>
      <c r="AO30" s="5124"/>
      <c r="AP30" s="5125"/>
      <c r="AQ30" s="5124"/>
      <c r="AR30" s="5126"/>
      <c r="AS30" s="5124"/>
      <c r="AT30" s="5126"/>
      <c r="AU30" s="5124"/>
    </row>
    <row r="31" spans="1:47" s="7" customFormat="1" ht="15" customHeight="1" x14ac:dyDescent="0.2">
      <c r="A31" s="1112" t="s">
        <v>3790</v>
      </c>
      <c r="B31" s="192"/>
      <c r="C31" s="383"/>
      <c r="D31" s="192"/>
      <c r="E31" s="383"/>
      <c r="F31" s="192"/>
      <c r="G31" s="383"/>
      <c r="H31" s="192"/>
      <c r="I31" s="383"/>
      <c r="J31" s="192"/>
      <c r="K31" s="383"/>
      <c r="L31" s="192"/>
      <c r="M31" s="383"/>
      <c r="N31" s="192"/>
      <c r="O31" s="383"/>
      <c r="P31" s="192"/>
      <c r="Q31" s="383"/>
      <c r="R31" s="486">
        <f t="shared" si="2"/>
        <v>0</v>
      </c>
      <c r="S31" s="591">
        <f t="shared" si="3"/>
        <v>0</v>
      </c>
      <c r="T31" s="486">
        <f t="shared" si="4"/>
        <v>0</v>
      </c>
      <c r="U31" s="591">
        <f t="shared" si="5"/>
        <v>0</v>
      </c>
      <c r="V31" s="197">
        <f t="shared" si="6"/>
        <v>0</v>
      </c>
      <c r="W31" s="591">
        <f t="shared" si="7"/>
        <v>0</v>
      </c>
      <c r="X31" s="486">
        <f t="shared" si="8"/>
        <v>0</v>
      </c>
      <c r="Y31" s="5122">
        <f t="shared" si="9"/>
        <v>0</v>
      </c>
      <c r="Z31" s="377"/>
      <c r="AA31" s="64"/>
      <c r="AB31" s="383"/>
      <c r="AC31" s="377"/>
      <c r="AD31" s="383"/>
      <c r="AE31" s="482"/>
      <c r="AF31" s="383"/>
      <c r="AG31" s="192"/>
      <c r="AH31" s="383"/>
      <c r="AI31" s="482"/>
      <c r="AJ31" s="384"/>
      <c r="AK31" s="4866"/>
      <c r="AL31" s="64"/>
      <c r="AM31" s="383"/>
      <c r="AN31" s="5123"/>
      <c r="AO31" s="5124"/>
      <c r="AP31" s="5125"/>
      <c r="AQ31" s="5124"/>
      <c r="AR31" s="5126"/>
      <c r="AS31" s="5124"/>
      <c r="AT31" s="5126"/>
      <c r="AU31" s="5124"/>
    </row>
    <row r="32" spans="1:47" s="7" customFormat="1" ht="15" customHeight="1" x14ac:dyDescent="0.3">
      <c r="A32" s="3150" t="s">
        <v>4412</v>
      </c>
      <c r="B32" s="192"/>
      <c r="C32" s="383"/>
      <c r="D32" s="192"/>
      <c r="E32" s="383"/>
      <c r="F32" s="192"/>
      <c r="G32" s="383"/>
      <c r="H32" s="192"/>
      <c r="I32" s="383"/>
      <c r="J32" s="192"/>
      <c r="K32" s="383"/>
      <c r="L32" s="192"/>
      <c r="M32" s="383"/>
      <c r="N32" s="192"/>
      <c r="O32" s="383"/>
      <c r="P32" s="192"/>
      <c r="Q32" s="383"/>
      <c r="R32" s="486">
        <f t="shared" si="2"/>
        <v>0</v>
      </c>
      <c r="S32" s="591">
        <f t="shared" si="3"/>
        <v>0</v>
      </c>
      <c r="T32" s="486">
        <f t="shared" si="4"/>
        <v>0</v>
      </c>
      <c r="U32" s="591">
        <f t="shared" si="5"/>
        <v>0</v>
      </c>
      <c r="V32" s="197">
        <f t="shared" si="6"/>
        <v>0</v>
      </c>
      <c r="W32" s="591">
        <f t="shared" si="7"/>
        <v>0</v>
      </c>
      <c r="X32" s="486">
        <f t="shared" si="8"/>
        <v>0</v>
      </c>
      <c r="Y32" s="5122">
        <f t="shared" si="9"/>
        <v>0</v>
      </c>
      <c r="Z32" s="377"/>
      <c r="AA32" s="64"/>
      <c r="AB32" s="383"/>
      <c r="AC32" s="377"/>
      <c r="AD32" s="383"/>
      <c r="AE32" s="482"/>
      <c r="AF32" s="383"/>
      <c r="AG32" s="192"/>
      <c r="AH32" s="383"/>
      <c r="AI32" s="482"/>
      <c r="AJ32" s="384"/>
      <c r="AK32" s="4866"/>
      <c r="AL32" s="64"/>
      <c r="AM32" s="383"/>
      <c r="AN32" s="5123"/>
      <c r="AO32" s="5124"/>
      <c r="AP32" s="5125"/>
      <c r="AQ32" s="5124"/>
      <c r="AR32" s="5126"/>
      <c r="AS32" s="5124"/>
      <c r="AT32" s="5126"/>
      <c r="AU32" s="5124"/>
    </row>
    <row r="33" spans="1:47" s="7" customFormat="1" ht="15" customHeight="1" x14ac:dyDescent="0.2">
      <c r="A33" s="1112" t="s">
        <v>1220</v>
      </c>
      <c r="B33" s="192"/>
      <c r="C33" s="383"/>
      <c r="D33" s="192"/>
      <c r="E33" s="383"/>
      <c r="F33" s="192"/>
      <c r="G33" s="383"/>
      <c r="H33" s="192"/>
      <c r="I33" s="383"/>
      <c r="J33" s="192"/>
      <c r="K33" s="383"/>
      <c r="L33" s="192"/>
      <c r="M33" s="383"/>
      <c r="N33" s="192"/>
      <c r="O33" s="383"/>
      <c r="P33" s="192"/>
      <c r="Q33" s="383"/>
      <c r="R33" s="486">
        <f t="shared" si="2"/>
        <v>0</v>
      </c>
      <c r="S33" s="591">
        <f t="shared" si="3"/>
        <v>0</v>
      </c>
      <c r="T33" s="486">
        <f t="shared" si="4"/>
        <v>0</v>
      </c>
      <c r="U33" s="591">
        <f t="shared" si="5"/>
        <v>0</v>
      </c>
      <c r="V33" s="197">
        <f t="shared" si="6"/>
        <v>0</v>
      </c>
      <c r="W33" s="591">
        <f t="shared" si="7"/>
        <v>0</v>
      </c>
      <c r="X33" s="486">
        <f t="shared" si="8"/>
        <v>0</v>
      </c>
      <c r="Y33" s="5122">
        <f t="shared" si="9"/>
        <v>0</v>
      </c>
      <c r="Z33" s="377"/>
      <c r="AA33" s="64"/>
      <c r="AB33" s="383"/>
      <c r="AC33" s="377"/>
      <c r="AD33" s="383"/>
      <c r="AE33" s="482"/>
      <c r="AF33" s="383"/>
      <c r="AG33" s="192"/>
      <c r="AH33" s="383"/>
      <c r="AI33" s="482"/>
      <c r="AJ33" s="384"/>
      <c r="AK33" s="4866"/>
      <c r="AL33" s="64"/>
      <c r="AM33" s="383"/>
      <c r="AN33" s="5123"/>
      <c r="AO33" s="5124"/>
      <c r="AP33" s="5125"/>
      <c r="AQ33" s="5124"/>
      <c r="AR33" s="5126"/>
      <c r="AS33" s="5124"/>
      <c r="AT33" s="5126"/>
      <c r="AU33" s="5124"/>
    </row>
    <row r="34" spans="1:47" s="7" customFormat="1" ht="15" customHeight="1" x14ac:dyDescent="0.2">
      <c r="A34" s="1112" t="s">
        <v>4418</v>
      </c>
      <c r="B34" s="192"/>
      <c r="C34" s="383"/>
      <c r="D34" s="192"/>
      <c r="E34" s="383"/>
      <c r="F34" s="192"/>
      <c r="G34" s="383"/>
      <c r="H34" s="192"/>
      <c r="I34" s="383"/>
      <c r="J34" s="192"/>
      <c r="K34" s="383"/>
      <c r="L34" s="192"/>
      <c r="M34" s="383"/>
      <c r="N34" s="192"/>
      <c r="O34" s="383"/>
      <c r="P34" s="192"/>
      <c r="Q34" s="383"/>
      <c r="R34" s="486">
        <f t="shared" si="2"/>
        <v>0</v>
      </c>
      <c r="S34" s="591">
        <f t="shared" si="3"/>
        <v>0</v>
      </c>
      <c r="T34" s="486">
        <f t="shared" si="4"/>
        <v>0</v>
      </c>
      <c r="U34" s="591">
        <f t="shared" si="5"/>
        <v>0</v>
      </c>
      <c r="V34" s="197">
        <f t="shared" si="6"/>
        <v>0</v>
      </c>
      <c r="W34" s="591">
        <f t="shared" si="7"/>
        <v>0</v>
      </c>
      <c r="X34" s="486">
        <f t="shared" si="8"/>
        <v>0</v>
      </c>
      <c r="Y34" s="5122">
        <f t="shared" si="9"/>
        <v>0</v>
      </c>
      <c r="Z34" s="377"/>
      <c r="AA34" s="64"/>
      <c r="AB34" s="383"/>
      <c r="AC34" s="377"/>
      <c r="AD34" s="383"/>
      <c r="AE34" s="482"/>
      <c r="AF34" s="383"/>
      <c r="AG34" s="192"/>
      <c r="AH34" s="383"/>
      <c r="AI34" s="482"/>
      <c r="AJ34" s="384"/>
      <c r="AK34" s="4866"/>
      <c r="AL34" s="64"/>
      <c r="AM34" s="383"/>
      <c r="AN34" s="5123"/>
      <c r="AO34" s="5124"/>
      <c r="AP34" s="5125"/>
      <c r="AQ34" s="5124"/>
      <c r="AR34" s="5126"/>
      <c r="AS34" s="5124"/>
      <c r="AT34" s="5126"/>
      <c r="AU34" s="5124"/>
    </row>
    <row r="35" spans="1:47" s="7" customFormat="1" ht="15" customHeight="1" x14ac:dyDescent="0.2">
      <c r="A35" s="1112" t="s">
        <v>1221</v>
      </c>
      <c r="B35" s="192"/>
      <c r="C35" s="383"/>
      <c r="D35" s="192"/>
      <c r="E35" s="383"/>
      <c r="F35" s="192"/>
      <c r="G35" s="383"/>
      <c r="H35" s="192"/>
      <c r="I35" s="383"/>
      <c r="J35" s="192"/>
      <c r="K35" s="383"/>
      <c r="L35" s="192"/>
      <c r="M35" s="383"/>
      <c r="N35" s="192"/>
      <c r="O35" s="383"/>
      <c r="P35" s="192"/>
      <c r="Q35" s="383"/>
      <c r="R35" s="486">
        <f t="shared" si="2"/>
        <v>0</v>
      </c>
      <c r="S35" s="591">
        <f t="shared" si="3"/>
        <v>0</v>
      </c>
      <c r="T35" s="486">
        <f t="shared" si="4"/>
        <v>0</v>
      </c>
      <c r="U35" s="591">
        <f t="shared" si="5"/>
        <v>0</v>
      </c>
      <c r="V35" s="197">
        <f t="shared" si="6"/>
        <v>0</v>
      </c>
      <c r="W35" s="591">
        <f t="shared" si="7"/>
        <v>0</v>
      </c>
      <c r="X35" s="486">
        <f t="shared" si="8"/>
        <v>0</v>
      </c>
      <c r="Y35" s="5122">
        <f t="shared" si="9"/>
        <v>0</v>
      </c>
      <c r="Z35" s="377"/>
      <c r="AA35" s="64"/>
      <c r="AB35" s="383"/>
      <c r="AC35" s="377"/>
      <c r="AD35" s="383"/>
      <c r="AE35" s="482"/>
      <c r="AF35" s="383"/>
      <c r="AG35" s="192"/>
      <c r="AH35" s="383"/>
      <c r="AI35" s="482"/>
      <c r="AJ35" s="384"/>
      <c r="AK35" s="4866"/>
      <c r="AL35" s="64"/>
      <c r="AM35" s="383"/>
      <c r="AN35" s="5123"/>
      <c r="AO35" s="5124"/>
      <c r="AP35" s="5125"/>
      <c r="AQ35" s="5124"/>
      <c r="AR35" s="5126"/>
      <c r="AS35" s="5124"/>
      <c r="AT35" s="5126"/>
      <c r="AU35" s="5124"/>
    </row>
    <row r="36" spans="1:47" s="7" customFormat="1" ht="15" customHeight="1" x14ac:dyDescent="0.2">
      <c r="A36" s="1112" t="s">
        <v>1222</v>
      </c>
      <c r="B36" s="192"/>
      <c r="C36" s="383"/>
      <c r="D36" s="192"/>
      <c r="E36" s="383"/>
      <c r="F36" s="192"/>
      <c r="G36" s="383"/>
      <c r="H36" s="192"/>
      <c r="I36" s="383"/>
      <c r="J36" s="192"/>
      <c r="K36" s="383"/>
      <c r="L36" s="192"/>
      <c r="M36" s="383"/>
      <c r="N36" s="192"/>
      <c r="O36" s="383"/>
      <c r="P36" s="192"/>
      <c r="Q36" s="383"/>
      <c r="R36" s="486">
        <f t="shared" si="2"/>
        <v>0</v>
      </c>
      <c r="S36" s="591">
        <f t="shared" si="3"/>
        <v>0</v>
      </c>
      <c r="T36" s="486">
        <f t="shared" si="4"/>
        <v>0</v>
      </c>
      <c r="U36" s="591">
        <f t="shared" si="5"/>
        <v>0</v>
      </c>
      <c r="V36" s="197">
        <f t="shared" si="6"/>
        <v>0</v>
      </c>
      <c r="W36" s="591">
        <f t="shared" si="7"/>
        <v>0</v>
      </c>
      <c r="X36" s="486">
        <f t="shared" si="8"/>
        <v>0</v>
      </c>
      <c r="Y36" s="5122">
        <f t="shared" si="9"/>
        <v>0</v>
      </c>
      <c r="Z36" s="377"/>
      <c r="AA36" s="64"/>
      <c r="AB36" s="383"/>
      <c r="AC36" s="377"/>
      <c r="AD36" s="383"/>
      <c r="AE36" s="482"/>
      <c r="AF36" s="383"/>
      <c r="AG36" s="192"/>
      <c r="AH36" s="383"/>
      <c r="AI36" s="482"/>
      <c r="AJ36" s="384"/>
      <c r="AK36" s="4866"/>
      <c r="AL36" s="64"/>
      <c r="AM36" s="383"/>
      <c r="AN36" s="5123"/>
      <c r="AO36" s="5124"/>
      <c r="AP36" s="5125"/>
      <c r="AQ36" s="5124"/>
      <c r="AR36" s="5126"/>
      <c r="AS36" s="5124"/>
      <c r="AT36" s="5126"/>
      <c r="AU36" s="5124"/>
    </row>
    <row r="37" spans="1:47" s="7" customFormat="1" ht="15" customHeight="1" x14ac:dyDescent="0.2">
      <c r="A37" s="1112" t="s">
        <v>4311</v>
      </c>
      <c r="B37" s="192"/>
      <c r="C37" s="383"/>
      <c r="D37" s="192"/>
      <c r="E37" s="383"/>
      <c r="F37" s="192"/>
      <c r="G37" s="383"/>
      <c r="H37" s="192"/>
      <c r="I37" s="383"/>
      <c r="J37" s="192"/>
      <c r="K37" s="383"/>
      <c r="L37" s="192"/>
      <c r="M37" s="383"/>
      <c r="N37" s="192"/>
      <c r="O37" s="383"/>
      <c r="P37" s="192"/>
      <c r="Q37" s="383"/>
      <c r="R37" s="486">
        <f t="shared" si="2"/>
        <v>0</v>
      </c>
      <c r="S37" s="591">
        <f t="shared" si="3"/>
        <v>0</v>
      </c>
      <c r="T37" s="486">
        <f t="shared" si="4"/>
        <v>0</v>
      </c>
      <c r="U37" s="591">
        <f t="shared" si="5"/>
        <v>0</v>
      </c>
      <c r="V37" s="197">
        <f t="shared" si="6"/>
        <v>0</v>
      </c>
      <c r="W37" s="591">
        <f t="shared" si="7"/>
        <v>0</v>
      </c>
      <c r="X37" s="486">
        <f t="shared" si="8"/>
        <v>0</v>
      </c>
      <c r="Y37" s="5122">
        <f t="shared" si="9"/>
        <v>0</v>
      </c>
      <c r="Z37" s="377"/>
      <c r="AA37" s="64"/>
      <c r="AB37" s="383"/>
      <c r="AC37" s="377"/>
      <c r="AD37" s="383"/>
      <c r="AE37" s="482"/>
      <c r="AF37" s="383"/>
      <c r="AG37" s="192"/>
      <c r="AH37" s="383"/>
      <c r="AI37" s="482"/>
      <c r="AJ37" s="384"/>
      <c r="AK37" s="4866"/>
      <c r="AL37" s="64"/>
      <c r="AM37" s="383"/>
      <c r="AN37" s="5123"/>
      <c r="AO37" s="5124"/>
      <c r="AP37" s="5125"/>
      <c r="AQ37" s="5124"/>
      <c r="AR37" s="5126"/>
      <c r="AS37" s="5124"/>
      <c r="AT37" s="5126"/>
      <c r="AU37" s="5124"/>
    </row>
    <row r="38" spans="1:47" s="7" customFormat="1" ht="15" customHeight="1" x14ac:dyDescent="0.3">
      <c r="A38" s="3150" t="s">
        <v>4411</v>
      </c>
      <c r="B38" s="192"/>
      <c r="C38" s="383"/>
      <c r="D38" s="192"/>
      <c r="E38" s="383"/>
      <c r="F38" s="192"/>
      <c r="G38" s="383"/>
      <c r="H38" s="192"/>
      <c r="I38" s="383"/>
      <c r="J38" s="192"/>
      <c r="K38" s="383"/>
      <c r="L38" s="192"/>
      <c r="M38" s="383"/>
      <c r="N38" s="192"/>
      <c r="O38" s="383"/>
      <c r="P38" s="192"/>
      <c r="Q38" s="383"/>
      <c r="R38" s="486">
        <f t="shared" si="2"/>
        <v>0</v>
      </c>
      <c r="S38" s="591">
        <f t="shared" si="3"/>
        <v>0</v>
      </c>
      <c r="T38" s="486">
        <f t="shared" si="4"/>
        <v>0</v>
      </c>
      <c r="U38" s="591">
        <f t="shared" si="5"/>
        <v>0</v>
      </c>
      <c r="V38" s="197">
        <f t="shared" si="6"/>
        <v>0</v>
      </c>
      <c r="W38" s="591">
        <f t="shared" si="7"/>
        <v>0</v>
      </c>
      <c r="X38" s="486">
        <f t="shared" si="8"/>
        <v>0</v>
      </c>
      <c r="Y38" s="5122">
        <f t="shared" si="9"/>
        <v>0</v>
      </c>
      <c r="Z38" s="377"/>
      <c r="AA38" s="64"/>
      <c r="AB38" s="383"/>
      <c r="AC38" s="377"/>
      <c r="AD38" s="383"/>
      <c r="AE38" s="482"/>
      <c r="AF38" s="383"/>
      <c r="AG38" s="192"/>
      <c r="AH38" s="383"/>
      <c r="AI38" s="482"/>
      <c r="AJ38" s="384"/>
      <c r="AK38" s="4866"/>
      <c r="AL38" s="64"/>
      <c r="AM38" s="383"/>
      <c r="AN38" s="5123"/>
      <c r="AO38" s="5124"/>
      <c r="AP38" s="5125"/>
      <c r="AQ38" s="5124"/>
      <c r="AR38" s="5126"/>
      <c r="AS38" s="5124"/>
      <c r="AT38" s="5126"/>
      <c r="AU38" s="5124"/>
    </row>
    <row r="39" spans="1:47" s="7" customFormat="1" ht="15" customHeight="1" x14ac:dyDescent="0.2">
      <c r="A39" s="1112" t="s">
        <v>3705</v>
      </c>
      <c r="B39" s="192"/>
      <c r="C39" s="383"/>
      <c r="D39" s="192"/>
      <c r="E39" s="383"/>
      <c r="F39" s="192"/>
      <c r="G39" s="383"/>
      <c r="H39" s="192"/>
      <c r="I39" s="383"/>
      <c r="J39" s="192"/>
      <c r="K39" s="383"/>
      <c r="L39" s="192"/>
      <c r="M39" s="383"/>
      <c r="N39" s="192"/>
      <c r="O39" s="383"/>
      <c r="P39" s="192"/>
      <c r="Q39" s="383"/>
      <c r="R39" s="486">
        <f t="shared" si="2"/>
        <v>0</v>
      </c>
      <c r="S39" s="591">
        <f t="shared" si="3"/>
        <v>0</v>
      </c>
      <c r="T39" s="486">
        <f t="shared" si="4"/>
        <v>0</v>
      </c>
      <c r="U39" s="591">
        <f t="shared" si="5"/>
        <v>0</v>
      </c>
      <c r="V39" s="197">
        <f t="shared" si="6"/>
        <v>0</v>
      </c>
      <c r="W39" s="591">
        <f t="shared" si="7"/>
        <v>0</v>
      </c>
      <c r="X39" s="486">
        <f t="shared" si="8"/>
        <v>0</v>
      </c>
      <c r="Y39" s="5122">
        <f t="shared" si="9"/>
        <v>0</v>
      </c>
      <c r="Z39" s="377"/>
      <c r="AA39" s="64"/>
      <c r="AB39" s="383"/>
      <c r="AC39" s="377"/>
      <c r="AD39" s="383"/>
      <c r="AE39" s="482"/>
      <c r="AF39" s="383"/>
      <c r="AG39" s="192"/>
      <c r="AH39" s="383"/>
      <c r="AI39" s="482"/>
      <c r="AJ39" s="384"/>
      <c r="AK39" s="4866"/>
      <c r="AL39" s="64"/>
      <c r="AM39" s="383"/>
      <c r="AN39" s="5123"/>
      <c r="AO39" s="5124"/>
      <c r="AP39" s="5125"/>
      <c r="AQ39" s="5124"/>
      <c r="AR39" s="5126"/>
      <c r="AS39" s="5124"/>
      <c r="AT39" s="5126"/>
      <c r="AU39" s="5124"/>
    </row>
    <row r="40" spans="1:47" s="7" customFormat="1" ht="15" customHeight="1" x14ac:dyDescent="0.2">
      <c r="A40" s="1112" t="s">
        <v>3706</v>
      </c>
      <c r="B40" s="192"/>
      <c r="C40" s="383"/>
      <c r="D40" s="192"/>
      <c r="E40" s="383"/>
      <c r="F40" s="192"/>
      <c r="G40" s="383"/>
      <c r="H40" s="192"/>
      <c r="I40" s="383"/>
      <c r="J40" s="192"/>
      <c r="K40" s="383"/>
      <c r="L40" s="192"/>
      <c r="M40" s="383"/>
      <c r="N40" s="192"/>
      <c r="O40" s="383"/>
      <c r="P40" s="192"/>
      <c r="Q40" s="383"/>
      <c r="R40" s="486">
        <f t="shared" si="2"/>
        <v>0</v>
      </c>
      <c r="S40" s="591">
        <f t="shared" si="3"/>
        <v>0</v>
      </c>
      <c r="T40" s="486">
        <f t="shared" si="4"/>
        <v>0</v>
      </c>
      <c r="U40" s="591">
        <f t="shared" si="5"/>
        <v>0</v>
      </c>
      <c r="V40" s="197">
        <f t="shared" si="6"/>
        <v>0</v>
      </c>
      <c r="W40" s="591">
        <f t="shared" si="7"/>
        <v>0</v>
      </c>
      <c r="X40" s="486">
        <f t="shared" si="8"/>
        <v>0</v>
      </c>
      <c r="Y40" s="5122">
        <f t="shared" si="9"/>
        <v>0</v>
      </c>
      <c r="Z40" s="377"/>
      <c r="AA40" s="64"/>
      <c r="AB40" s="383"/>
      <c r="AC40" s="377"/>
      <c r="AD40" s="383"/>
      <c r="AE40" s="482"/>
      <c r="AF40" s="383"/>
      <c r="AG40" s="192"/>
      <c r="AH40" s="383"/>
      <c r="AI40" s="482"/>
      <c r="AJ40" s="384"/>
      <c r="AK40" s="4866"/>
      <c r="AL40" s="64"/>
      <c r="AM40" s="383"/>
      <c r="AN40" s="5123"/>
      <c r="AO40" s="5124"/>
      <c r="AP40" s="5125"/>
      <c r="AQ40" s="5124"/>
      <c r="AR40" s="5126"/>
      <c r="AS40" s="5124"/>
      <c r="AT40" s="5126"/>
      <c r="AU40" s="5124"/>
    </row>
    <row r="41" spans="1:47" s="7" customFormat="1" ht="15" customHeight="1" x14ac:dyDescent="0.2">
      <c r="A41" s="1112" t="s">
        <v>3707</v>
      </c>
      <c r="B41" s="192"/>
      <c r="C41" s="383"/>
      <c r="D41" s="192"/>
      <c r="E41" s="383"/>
      <c r="F41" s="192"/>
      <c r="G41" s="383"/>
      <c r="H41" s="192"/>
      <c r="I41" s="383"/>
      <c r="J41" s="192"/>
      <c r="K41" s="383"/>
      <c r="L41" s="192"/>
      <c r="M41" s="383"/>
      <c r="N41" s="192"/>
      <c r="O41" s="383"/>
      <c r="P41" s="192"/>
      <c r="Q41" s="383"/>
      <c r="R41" s="486">
        <f t="shared" si="2"/>
        <v>0</v>
      </c>
      <c r="S41" s="591">
        <f t="shared" si="3"/>
        <v>0</v>
      </c>
      <c r="T41" s="486">
        <f t="shared" si="4"/>
        <v>0</v>
      </c>
      <c r="U41" s="591">
        <f t="shared" si="5"/>
        <v>0</v>
      </c>
      <c r="V41" s="197">
        <f t="shared" si="6"/>
        <v>0</v>
      </c>
      <c r="W41" s="591">
        <f t="shared" si="7"/>
        <v>0</v>
      </c>
      <c r="X41" s="486">
        <f t="shared" si="8"/>
        <v>0</v>
      </c>
      <c r="Y41" s="5122">
        <f t="shared" si="9"/>
        <v>0</v>
      </c>
      <c r="Z41" s="377"/>
      <c r="AA41" s="64"/>
      <c r="AB41" s="383"/>
      <c r="AC41" s="377"/>
      <c r="AD41" s="383"/>
      <c r="AE41" s="482"/>
      <c r="AF41" s="383"/>
      <c r="AG41" s="192"/>
      <c r="AH41" s="383"/>
      <c r="AI41" s="482"/>
      <c r="AJ41" s="384"/>
      <c r="AK41" s="4866"/>
      <c r="AL41" s="64"/>
      <c r="AM41" s="383"/>
      <c r="AN41" s="5123"/>
      <c r="AO41" s="5124"/>
      <c r="AP41" s="5125"/>
      <c r="AQ41" s="5124"/>
      <c r="AR41" s="5126"/>
      <c r="AS41" s="5124"/>
      <c r="AT41" s="5126"/>
      <c r="AU41" s="5124"/>
    </row>
    <row r="42" spans="1:47" s="7" customFormat="1" ht="15" customHeight="1" x14ac:dyDescent="0.2">
      <c r="A42" s="1112" t="s">
        <v>3708</v>
      </c>
      <c r="B42" s="192"/>
      <c r="C42" s="383"/>
      <c r="D42" s="192"/>
      <c r="E42" s="383"/>
      <c r="F42" s="192"/>
      <c r="G42" s="383"/>
      <c r="H42" s="192"/>
      <c r="I42" s="383"/>
      <c r="J42" s="192"/>
      <c r="K42" s="383"/>
      <c r="L42" s="192"/>
      <c r="M42" s="383"/>
      <c r="N42" s="192"/>
      <c r="O42" s="383"/>
      <c r="P42" s="192"/>
      <c r="Q42" s="383"/>
      <c r="R42" s="486">
        <f t="shared" si="2"/>
        <v>0</v>
      </c>
      <c r="S42" s="591">
        <f t="shared" si="3"/>
        <v>0</v>
      </c>
      <c r="T42" s="486">
        <f t="shared" si="4"/>
        <v>0</v>
      </c>
      <c r="U42" s="591">
        <f t="shared" si="5"/>
        <v>0</v>
      </c>
      <c r="V42" s="197">
        <f t="shared" si="6"/>
        <v>0</v>
      </c>
      <c r="W42" s="591">
        <f t="shared" si="7"/>
        <v>0</v>
      </c>
      <c r="X42" s="486">
        <f t="shared" si="8"/>
        <v>0</v>
      </c>
      <c r="Y42" s="5122">
        <f t="shared" si="9"/>
        <v>0</v>
      </c>
      <c r="Z42" s="377"/>
      <c r="AA42" s="64"/>
      <c r="AB42" s="383"/>
      <c r="AC42" s="377"/>
      <c r="AD42" s="383"/>
      <c r="AE42" s="482"/>
      <c r="AF42" s="383"/>
      <c r="AG42" s="192"/>
      <c r="AH42" s="383"/>
      <c r="AI42" s="482"/>
      <c r="AJ42" s="384"/>
      <c r="AK42" s="4866"/>
      <c r="AL42" s="64"/>
      <c r="AM42" s="383"/>
      <c r="AN42" s="5123"/>
      <c r="AO42" s="5124"/>
      <c r="AP42" s="5125"/>
      <c r="AQ42" s="5124"/>
      <c r="AR42" s="5126"/>
      <c r="AS42" s="5124"/>
      <c r="AT42" s="5126"/>
      <c r="AU42" s="5124"/>
    </row>
    <row r="43" spans="1:47" s="7" customFormat="1" ht="15" customHeight="1" x14ac:dyDescent="0.2">
      <c r="A43" s="1112" t="s">
        <v>3709</v>
      </c>
      <c r="B43" s="192"/>
      <c r="C43" s="383"/>
      <c r="D43" s="192"/>
      <c r="E43" s="383"/>
      <c r="F43" s="192"/>
      <c r="G43" s="383"/>
      <c r="H43" s="192"/>
      <c r="I43" s="383"/>
      <c r="J43" s="192"/>
      <c r="K43" s="383"/>
      <c r="L43" s="192"/>
      <c r="M43" s="383"/>
      <c r="N43" s="192"/>
      <c r="O43" s="383"/>
      <c r="P43" s="192"/>
      <c r="Q43" s="383"/>
      <c r="R43" s="486">
        <f t="shared" si="2"/>
        <v>0</v>
      </c>
      <c r="S43" s="591">
        <f t="shared" si="3"/>
        <v>0</v>
      </c>
      <c r="T43" s="486">
        <f t="shared" si="4"/>
        <v>0</v>
      </c>
      <c r="U43" s="591">
        <f t="shared" si="5"/>
        <v>0</v>
      </c>
      <c r="V43" s="197">
        <f>SUM(F43+N43)</f>
        <v>0</v>
      </c>
      <c r="W43" s="591">
        <f t="shared" si="7"/>
        <v>0</v>
      </c>
      <c r="X43" s="486">
        <f t="shared" si="8"/>
        <v>0</v>
      </c>
      <c r="Y43" s="5122">
        <f t="shared" si="9"/>
        <v>0</v>
      </c>
      <c r="Z43" s="377"/>
      <c r="AA43" s="64"/>
      <c r="AB43" s="383"/>
      <c r="AC43" s="377"/>
      <c r="AD43" s="383"/>
      <c r="AE43" s="482"/>
      <c r="AF43" s="383"/>
      <c r="AG43" s="192"/>
      <c r="AH43" s="383"/>
      <c r="AI43" s="482"/>
      <c r="AJ43" s="384"/>
      <c r="AK43" s="4866"/>
      <c r="AL43" s="64"/>
      <c r="AM43" s="383"/>
      <c r="AN43" s="5123"/>
      <c r="AO43" s="5124"/>
      <c r="AP43" s="5125"/>
      <c r="AQ43" s="5124"/>
      <c r="AR43" s="5126"/>
      <c r="AS43" s="5124"/>
      <c r="AT43" s="5126"/>
      <c r="AU43" s="5124"/>
    </row>
    <row r="44" spans="1:47" s="7" customFormat="1" ht="15" customHeight="1" x14ac:dyDescent="0.2">
      <c r="A44" s="1112" t="s">
        <v>3710</v>
      </c>
      <c r="B44" s="192"/>
      <c r="C44" s="383"/>
      <c r="D44" s="192"/>
      <c r="E44" s="383"/>
      <c r="F44" s="192"/>
      <c r="G44" s="383"/>
      <c r="H44" s="192"/>
      <c r="I44" s="383"/>
      <c r="J44" s="192"/>
      <c r="K44" s="383"/>
      <c r="L44" s="192"/>
      <c r="M44" s="383"/>
      <c r="N44" s="192"/>
      <c r="O44" s="383"/>
      <c r="P44" s="192"/>
      <c r="Q44" s="383"/>
      <c r="R44" s="486">
        <f t="shared" ref="R44:R67" si="10">SUM(B44+J44)</f>
        <v>0</v>
      </c>
      <c r="S44" s="591">
        <f t="shared" ref="S44:S67" si="11">SUM(C44+K44)</f>
        <v>0</v>
      </c>
      <c r="T44" s="486">
        <f t="shared" ref="T44:T67" si="12">SUM(D44+L44)</f>
        <v>0</v>
      </c>
      <c r="U44" s="591">
        <f t="shared" ref="U44:U67" si="13">SUM(E44+M44)</f>
        <v>0</v>
      </c>
      <c r="V44" s="197">
        <f t="shared" si="6"/>
        <v>0</v>
      </c>
      <c r="W44" s="591">
        <f t="shared" si="7"/>
        <v>0</v>
      </c>
      <c r="X44" s="486">
        <f t="shared" ref="X44:X67" si="14">SUM(H44+P44)</f>
        <v>0</v>
      </c>
      <c r="Y44" s="5122">
        <f t="shared" ref="Y44:Y67" si="15">SUM(I44+Q44)</f>
        <v>0</v>
      </c>
      <c r="Z44" s="377"/>
      <c r="AA44" s="64"/>
      <c r="AB44" s="383"/>
      <c r="AC44" s="377"/>
      <c r="AD44" s="383"/>
      <c r="AE44" s="482"/>
      <c r="AF44" s="383"/>
      <c r="AG44" s="192"/>
      <c r="AH44" s="383"/>
      <c r="AI44" s="482"/>
      <c r="AJ44" s="384"/>
      <c r="AK44" s="4866"/>
      <c r="AL44" s="64"/>
      <c r="AM44" s="383"/>
      <c r="AN44" s="5123"/>
      <c r="AO44" s="5124"/>
      <c r="AP44" s="5125"/>
      <c r="AQ44" s="5124"/>
      <c r="AR44" s="5126"/>
      <c r="AS44" s="5124"/>
      <c r="AT44" s="5126"/>
      <c r="AU44" s="5124"/>
    </row>
    <row r="45" spans="1:47" s="7" customFormat="1" ht="15" customHeight="1" x14ac:dyDescent="0.2">
      <c r="A45" s="1112" t="s">
        <v>4312</v>
      </c>
      <c r="B45" s="192"/>
      <c r="C45" s="383"/>
      <c r="D45" s="192"/>
      <c r="E45" s="383"/>
      <c r="F45" s="192"/>
      <c r="G45" s="383"/>
      <c r="H45" s="192"/>
      <c r="I45" s="383"/>
      <c r="J45" s="192"/>
      <c r="K45" s="383"/>
      <c r="L45" s="192"/>
      <c r="M45" s="383"/>
      <c r="N45" s="192"/>
      <c r="O45" s="383"/>
      <c r="P45" s="192"/>
      <c r="Q45" s="383"/>
      <c r="R45" s="486">
        <f t="shared" si="10"/>
        <v>0</v>
      </c>
      <c r="S45" s="591">
        <f t="shared" si="11"/>
        <v>0</v>
      </c>
      <c r="T45" s="486">
        <f t="shared" si="12"/>
        <v>0</v>
      </c>
      <c r="U45" s="591">
        <f t="shared" si="13"/>
        <v>0</v>
      </c>
      <c r="V45" s="197">
        <f t="shared" si="6"/>
        <v>0</v>
      </c>
      <c r="W45" s="591">
        <f t="shared" si="7"/>
        <v>0</v>
      </c>
      <c r="X45" s="486">
        <f t="shared" si="14"/>
        <v>0</v>
      </c>
      <c r="Y45" s="5122">
        <f t="shared" si="15"/>
        <v>0</v>
      </c>
      <c r="Z45" s="377"/>
      <c r="AA45" s="64"/>
      <c r="AB45" s="383"/>
      <c r="AC45" s="377"/>
      <c r="AD45" s="383"/>
      <c r="AE45" s="482"/>
      <c r="AF45" s="383"/>
      <c r="AG45" s="192"/>
      <c r="AH45" s="383"/>
      <c r="AI45" s="482"/>
      <c r="AJ45" s="384"/>
      <c r="AK45" s="4866"/>
      <c r="AL45" s="64"/>
      <c r="AM45" s="383"/>
      <c r="AN45" s="5123"/>
      <c r="AO45" s="5124"/>
      <c r="AP45" s="5125"/>
      <c r="AQ45" s="5124"/>
      <c r="AR45" s="5126"/>
      <c r="AS45" s="5124"/>
      <c r="AT45" s="5126"/>
      <c r="AU45" s="5124"/>
    </row>
    <row r="46" spans="1:47" s="7" customFormat="1" ht="15" customHeight="1" x14ac:dyDescent="0.2">
      <c r="A46" s="24" t="s">
        <v>3711</v>
      </c>
      <c r="B46" s="192"/>
      <c r="C46" s="383"/>
      <c r="D46" s="192"/>
      <c r="E46" s="383"/>
      <c r="F46" s="192"/>
      <c r="G46" s="383"/>
      <c r="H46" s="192"/>
      <c r="I46" s="383"/>
      <c r="J46" s="192"/>
      <c r="K46" s="383"/>
      <c r="L46" s="192"/>
      <c r="M46" s="383"/>
      <c r="N46" s="192"/>
      <c r="O46" s="383"/>
      <c r="P46" s="192"/>
      <c r="Q46" s="383"/>
      <c r="R46" s="486">
        <f t="shared" si="10"/>
        <v>0</v>
      </c>
      <c r="S46" s="591">
        <f t="shared" si="11"/>
        <v>0</v>
      </c>
      <c r="T46" s="486">
        <f t="shared" si="12"/>
        <v>0</v>
      </c>
      <c r="U46" s="591">
        <f t="shared" si="13"/>
        <v>0</v>
      </c>
      <c r="V46" s="197">
        <f t="shared" si="6"/>
        <v>0</v>
      </c>
      <c r="W46" s="591">
        <f t="shared" si="7"/>
        <v>0</v>
      </c>
      <c r="X46" s="486">
        <f t="shared" si="14"/>
        <v>0</v>
      </c>
      <c r="Y46" s="5122">
        <f t="shared" si="15"/>
        <v>0</v>
      </c>
      <c r="Z46" s="377"/>
      <c r="AA46" s="64"/>
      <c r="AB46" s="383"/>
      <c r="AC46" s="377"/>
      <c r="AD46" s="383"/>
      <c r="AE46" s="482"/>
      <c r="AF46" s="383"/>
      <c r="AG46" s="192"/>
      <c r="AH46" s="383"/>
      <c r="AI46" s="482"/>
      <c r="AJ46" s="384"/>
      <c r="AK46" s="4866"/>
      <c r="AL46" s="64"/>
      <c r="AM46" s="383"/>
      <c r="AN46" s="5123"/>
      <c r="AO46" s="5124"/>
      <c r="AP46" s="5125"/>
      <c r="AQ46" s="5124"/>
      <c r="AR46" s="5126"/>
      <c r="AS46" s="5124"/>
      <c r="AT46" s="5126"/>
      <c r="AU46" s="5124"/>
    </row>
    <row r="47" spans="1:47" s="7" customFormat="1" ht="15" customHeight="1" x14ac:dyDescent="0.2">
      <c r="A47" s="5127" t="s">
        <v>3712</v>
      </c>
      <c r="B47" s="192"/>
      <c r="C47" s="383"/>
      <c r="D47" s="192"/>
      <c r="E47" s="383"/>
      <c r="F47" s="192"/>
      <c r="G47" s="383"/>
      <c r="H47" s="192"/>
      <c r="I47" s="383"/>
      <c r="J47" s="192"/>
      <c r="K47" s="383"/>
      <c r="L47" s="192"/>
      <c r="M47" s="383"/>
      <c r="N47" s="192"/>
      <c r="O47" s="383"/>
      <c r="P47" s="192"/>
      <c r="Q47" s="383"/>
      <c r="R47" s="486">
        <f t="shared" si="10"/>
        <v>0</v>
      </c>
      <c r="S47" s="591">
        <f t="shared" si="11"/>
        <v>0</v>
      </c>
      <c r="T47" s="486">
        <f t="shared" si="12"/>
        <v>0</v>
      </c>
      <c r="U47" s="591">
        <f t="shared" si="13"/>
        <v>0</v>
      </c>
      <c r="V47" s="197">
        <f t="shared" si="6"/>
        <v>0</v>
      </c>
      <c r="W47" s="591">
        <f t="shared" si="7"/>
        <v>0</v>
      </c>
      <c r="X47" s="486">
        <f t="shared" si="14"/>
        <v>0</v>
      </c>
      <c r="Y47" s="5122">
        <f t="shared" si="15"/>
        <v>0</v>
      </c>
      <c r="Z47" s="377"/>
      <c r="AA47" s="64"/>
      <c r="AB47" s="383"/>
      <c r="AC47" s="377"/>
      <c r="AD47" s="383"/>
      <c r="AE47" s="482"/>
      <c r="AF47" s="383"/>
      <c r="AG47" s="192"/>
      <c r="AH47" s="383"/>
      <c r="AI47" s="482"/>
      <c r="AJ47" s="384"/>
      <c r="AK47" s="4866"/>
      <c r="AL47" s="64"/>
      <c r="AM47" s="383"/>
      <c r="AN47" s="5123"/>
      <c r="AO47" s="5124"/>
      <c r="AP47" s="5125"/>
      <c r="AQ47" s="5124"/>
      <c r="AR47" s="5126"/>
      <c r="AS47" s="5124"/>
      <c r="AT47" s="5126"/>
      <c r="AU47" s="5124"/>
    </row>
    <row r="48" spans="1:47" s="7" customFormat="1" ht="15" customHeight="1" x14ac:dyDescent="0.2">
      <c r="A48" s="1112" t="s">
        <v>4313</v>
      </c>
      <c r="B48" s="192"/>
      <c r="C48" s="383"/>
      <c r="D48" s="192"/>
      <c r="E48" s="383"/>
      <c r="F48" s="192"/>
      <c r="G48" s="383"/>
      <c r="H48" s="192"/>
      <c r="I48" s="383"/>
      <c r="J48" s="192"/>
      <c r="K48" s="383"/>
      <c r="L48" s="192"/>
      <c r="M48" s="383"/>
      <c r="N48" s="192"/>
      <c r="O48" s="383"/>
      <c r="P48" s="192"/>
      <c r="Q48" s="383"/>
      <c r="R48" s="486">
        <f t="shared" si="10"/>
        <v>0</v>
      </c>
      <c r="S48" s="591">
        <f t="shared" si="11"/>
        <v>0</v>
      </c>
      <c r="T48" s="486">
        <f t="shared" si="12"/>
        <v>0</v>
      </c>
      <c r="U48" s="591">
        <f t="shared" si="13"/>
        <v>0</v>
      </c>
      <c r="V48" s="197">
        <f t="shared" si="6"/>
        <v>0</v>
      </c>
      <c r="W48" s="591">
        <f t="shared" si="7"/>
        <v>0</v>
      </c>
      <c r="X48" s="486">
        <f t="shared" si="14"/>
        <v>0</v>
      </c>
      <c r="Y48" s="5122">
        <f t="shared" si="15"/>
        <v>0</v>
      </c>
      <c r="Z48" s="377"/>
      <c r="AA48" s="64"/>
      <c r="AB48" s="383"/>
      <c r="AC48" s="377"/>
      <c r="AD48" s="383"/>
      <c r="AE48" s="482"/>
      <c r="AF48" s="383"/>
      <c r="AG48" s="192"/>
      <c r="AH48" s="383"/>
      <c r="AI48" s="482"/>
      <c r="AJ48" s="384"/>
      <c r="AK48" s="4866"/>
      <c r="AL48" s="64"/>
      <c r="AM48" s="383"/>
      <c r="AN48" s="5123"/>
      <c r="AO48" s="5124"/>
      <c r="AP48" s="5125"/>
      <c r="AQ48" s="5124"/>
      <c r="AR48" s="5126"/>
      <c r="AS48" s="5124"/>
      <c r="AT48" s="5126"/>
      <c r="AU48" s="5124"/>
    </row>
    <row r="49" spans="1:47" s="7" customFormat="1" ht="15" customHeight="1" x14ac:dyDescent="0.2">
      <c r="A49" s="1112" t="s">
        <v>4315</v>
      </c>
      <c r="B49" s="192"/>
      <c r="C49" s="383"/>
      <c r="D49" s="192"/>
      <c r="E49" s="383"/>
      <c r="F49" s="192"/>
      <c r="G49" s="383"/>
      <c r="H49" s="192"/>
      <c r="I49" s="383"/>
      <c r="J49" s="192"/>
      <c r="K49" s="383"/>
      <c r="L49" s="192"/>
      <c r="M49" s="383"/>
      <c r="N49" s="192"/>
      <c r="O49" s="383"/>
      <c r="P49" s="192"/>
      <c r="Q49" s="383"/>
      <c r="R49" s="486">
        <f t="shared" si="10"/>
        <v>0</v>
      </c>
      <c r="S49" s="591">
        <f t="shared" si="11"/>
        <v>0</v>
      </c>
      <c r="T49" s="486">
        <f t="shared" si="12"/>
        <v>0</v>
      </c>
      <c r="U49" s="591">
        <f t="shared" si="13"/>
        <v>0</v>
      </c>
      <c r="V49" s="197">
        <f t="shared" si="6"/>
        <v>0</v>
      </c>
      <c r="W49" s="591">
        <f t="shared" si="7"/>
        <v>0</v>
      </c>
      <c r="X49" s="486">
        <f t="shared" si="14"/>
        <v>0</v>
      </c>
      <c r="Y49" s="5122">
        <f t="shared" si="15"/>
        <v>0</v>
      </c>
      <c r="Z49" s="377"/>
      <c r="AA49" s="64"/>
      <c r="AB49" s="383"/>
      <c r="AC49" s="377"/>
      <c r="AD49" s="383"/>
      <c r="AE49" s="482"/>
      <c r="AF49" s="383"/>
      <c r="AG49" s="192"/>
      <c r="AH49" s="383"/>
      <c r="AI49" s="482"/>
      <c r="AJ49" s="384"/>
      <c r="AK49" s="4866"/>
      <c r="AL49" s="64"/>
      <c r="AM49" s="383"/>
      <c r="AN49" s="5123"/>
      <c r="AO49" s="5124"/>
      <c r="AP49" s="5125"/>
      <c r="AQ49" s="5124"/>
      <c r="AR49" s="5126"/>
      <c r="AS49" s="5124"/>
      <c r="AT49" s="5126"/>
      <c r="AU49" s="5124"/>
    </row>
    <row r="50" spans="1:47" s="7" customFormat="1" ht="15" customHeight="1" x14ac:dyDescent="0.2">
      <c r="A50" s="1112" t="s">
        <v>3713</v>
      </c>
      <c r="B50" s="192"/>
      <c r="C50" s="383"/>
      <c r="D50" s="192"/>
      <c r="E50" s="383"/>
      <c r="F50" s="192"/>
      <c r="G50" s="383"/>
      <c r="H50" s="192"/>
      <c r="I50" s="383"/>
      <c r="J50" s="192"/>
      <c r="K50" s="383"/>
      <c r="L50" s="192"/>
      <c r="M50" s="383"/>
      <c r="N50" s="192"/>
      <c r="O50" s="383"/>
      <c r="P50" s="192"/>
      <c r="Q50" s="383"/>
      <c r="R50" s="486">
        <f t="shared" si="10"/>
        <v>0</v>
      </c>
      <c r="S50" s="591">
        <f t="shared" si="11"/>
        <v>0</v>
      </c>
      <c r="T50" s="486">
        <f t="shared" si="12"/>
        <v>0</v>
      </c>
      <c r="U50" s="591">
        <f t="shared" si="13"/>
        <v>0</v>
      </c>
      <c r="V50" s="197">
        <f t="shared" si="6"/>
        <v>0</v>
      </c>
      <c r="W50" s="591">
        <f t="shared" si="7"/>
        <v>0</v>
      </c>
      <c r="X50" s="486">
        <f t="shared" si="14"/>
        <v>0</v>
      </c>
      <c r="Y50" s="5122">
        <f t="shared" si="15"/>
        <v>0</v>
      </c>
      <c r="Z50" s="377"/>
      <c r="AA50" s="64"/>
      <c r="AB50" s="383"/>
      <c r="AC50" s="377"/>
      <c r="AD50" s="383"/>
      <c r="AE50" s="482"/>
      <c r="AF50" s="383"/>
      <c r="AG50" s="192"/>
      <c r="AH50" s="383"/>
      <c r="AI50" s="482"/>
      <c r="AJ50" s="384"/>
      <c r="AK50" s="4866"/>
      <c r="AL50" s="64"/>
      <c r="AM50" s="383"/>
      <c r="AN50" s="5123"/>
      <c r="AO50" s="5124"/>
      <c r="AP50" s="5125"/>
      <c r="AQ50" s="5124"/>
      <c r="AR50" s="5126"/>
      <c r="AS50" s="5124"/>
      <c r="AT50" s="5126"/>
      <c r="AU50" s="5124"/>
    </row>
    <row r="51" spans="1:47" s="7" customFormat="1" ht="15" customHeight="1" x14ac:dyDescent="0.2">
      <c r="A51" s="1112" t="s">
        <v>3714</v>
      </c>
      <c r="B51" s="192"/>
      <c r="C51" s="383"/>
      <c r="D51" s="192"/>
      <c r="E51" s="383"/>
      <c r="F51" s="192"/>
      <c r="G51" s="383"/>
      <c r="H51" s="192"/>
      <c r="I51" s="383"/>
      <c r="J51" s="192"/>
      <c r="K51" s="383"/>
      <c r="L51" s="192"/>
      <c r="M51" s="383"/>
      <c r="N51" s="192"/>
      <c r="O51" s="383"/>
      <c r="P51" s="192"/>
      <c r="Q51" s="383"/>
      <c r="R51" s="486">
        <f t="shared" si="10"/>
        <v>0</v>
      </c>
      <c r="S51" s="591">
        <f t="shared" si="11"/>
        <v>0</v>
      </c>
      <c r="T51" s="486">
        <f t="shared" si="12"/>
        <v>0</v>
      </c>
      <c r="U51" s="591">
        <f t="shared" si="13"/>
        <v>0</v>
      </c>
      <c r="V51" s="197">
        <f t="shared" si="6"/>
        <v>0</v>
      </c>
      <c r="W51" s="591">
        <f t="shared" si="7"/>
        <v>0</v>
      </c>
      <c r="X51" s="486">
        <f t="shared" si="14"/>
        <v>0</v>
      </c>
      <c r="Y51" s="5122">
        <f t="shared" si="15"/>
        <v>0</v>
      </c>
      <c r="Z51" s="377"/>
      <c r="AA51" s="64"/>
      <c r="AB51" s="383"/>
      <c r="AC51" s="377"/>
      <c r="AD51" s="383"/>
      <c r="AE51" s="482"/>
      <c r="AF51" s="383"/>
      <c r="AG51" s="192"/>
      <c r="AH51" s="383"/>
      <c r="AI51" s="482"/>
      <c r="AJ51" s="384"/>
      <c r="AK51" s="4866"/>
      <c r="AL51" s="64"/>
      <c r="AM51" s="383"/>
      <c r="AN51" s="5123"/>
      <c r="AO51" s="5124"/>
      <c r="AP51" s="5125"/>
      <c r="AQ51" s="5124"/>
      <c r="AR51" s="5126"/>
      <c r="AS51" s="5124"/>
      <c r="AT51" s="5126"/>
      <c r="AU51" s="5124"/>
    </row>
    <row r="52" spans="1:47" s="7" customFormat="1" ht="15" customHeight="1" x14ac:dyDescent="0.2">
      <c r="A52" s="1112" t="s">
        <v>3715</v>
      </c>
      <c r="B52" s="192"/>
      <c r="C52" s="383"/>
      <c r="D52" s="192"/>
      <c r="E52" s="383"/>
      <c r="F52" s="192"/>
      <c r="G52" s="383"/>
      <c r="H52" s="192"/>
      <c r="I52" s="383"/>
      <c r="J52" s="192"/>
      <c r="K52" s="383"/>
      <c r="L52" s="192"/>
      <c r="M52" s="383"/>
      <c r="N52" s="192"/>
      <c r="O52" s="383"/>
      <c r="P52" s="192"/>
      <c r="Q52" s="383"/>
      <c r="R52" s="486">
        <f t="shared" si="10"/>
        <v>0</v>
      </c>
      <c r="S52" s="591">
        <f t="shared" si="11"/>
        <v>0</v>
      </c>
      <c r="T52" s="486">
        <f t="shared" si="12"/>
        <v>0</v>
      </c>
      <c r="U52" s="591">
        <f t="shared" si="13"/>
        <v>0</v>
      </c>
      <c r="V52" s="197">
        <f t="shared" si="6"/>
        <v>0</v>
      </c>
      <c r="W52" s="591">
        <f t="shared" si="7"/>
        <v>0</v>
      </c>
      <c r="X52" s="486">
        <f t="shared" si="14"/>
        <v>0</v>
      </c>
      <c r="Y52" s="5122">
        <f t="shared" si="15"/>
        <v>0</v>
      </c>
      <c r="Z52" s="377"/>
      <c r="AA52" s="64"/>
      <c r="AB52" s="383"/>
      <c r="AC52" s="377"/>
      <c r="AD52" s="383"/>
      <c r="AE52" s="482"/>
      <c r="AF52" s="383"/>
      <c r="AG52" s="192"/>
      <c r="AH52" s="383"/>
      <c r="AI52" s="482"/>
      <c r="AJ52" s="384"/>
      <c r="AK52" s="4866"/>
      <c r="AL52" s="64"/>
      <c r="AM52" s="383"/>
      <c r="AN52" s="5123"/>
      <c r="AO52" s="5124"/>
      <c r="AP52" s="5125"/>
      <c r="AQ52" s="5124"/>
      <c r="AR52" s="5126"/>
      <c r="AS52" s="5124"/>
      <c r="AT52" s="5126"/>
      <c r="AU52" s="5124"/>
    </row>
    <row r="53" spans="1:47" s="7" customFormat="1" ht="15" customHeight="1" x14ac:dyDescent="0.2">
      <c r="A53" s="1112" t="s">
        <v>1234</v>
      </c>
      <c r="B53" s="192"/>
      <c r="C53" s="383"/>
      <c r="D53" s="192"/>
      <c r="E53" s="383"/>
      <c r="F53" s="192"/>
      <c r="G53" s="383"/>
      <c r="H53" s="192"/>
      <c r="I53" s="383"/>
      <c r="J53" s="192"/>
      <c r="K53" s="383"/>
      <c r="L53" s="192"/>
      <c r="M53" s="383"/>
      <c r="N53" s="192"/>
      <c r="O53" s="383"/>
      <c r="P53" s="192"/>
      <c r="Q53" s="383"/>
      <c r="R53" s="486">
        <f t="shared" si="10"/>
        <v>0</v>
      </c>
      <c r="S53" s="591">
        <f t="shared" si="11"/>
        <v>0</v>
      </c>
      <c r="T53" s="486">
        <f t="shared" si="12"/>
        <v>0</v>
      </c>
      <c r="U53" s="591">
        <f t="shared" si="13"/>
        <v>0</v>
      </c>
      <c r="V53" s="197">
        <f t="shared" si="6"/>
        <v>0</v>
      </c>
      <c r="W53" s="591">
        <f t="shared" si="7"/>
        <v>0</v>
      </c>
      <c r="X53" s="486">
        <f t="shared" si="14"/>
        <v>0</v>
      </c>
      <c r="Y53" s="5122">
        <f t="shared" si="15"/>
        <v>0</v>
      </c>
      <c r="Z53" s="377"/>
      <c r="AA53" s="64"/>
      <c r="AB53" s="383"/>
      <c r="AC53" s="377"/>
      <c r="AD53" s="383"/>
      <c r="AE53" s="482"/>
      <c r="AF53" s="383"/>
      <c r="AG53" s="192"/>
      <c r="AH53" s="383"/>
      <c r="AI53" s="482"/>
      <c r="AJ53" s="384"/>
      <c r="AK53" s="4866"/>
      <c r="AL53" s="64"/>
      <c r="AM53" s="383"/>
      <c r="AN53" s="5123"/>
      <c r="AO53" s="5124"/>
      <c r="AP53" s="5125"/>
      <c r="AQ53" s="5124"/>
      <c r="AR53" s="5126"/>
      <c r="AS53" s="5124"/>
      <c r="AT53" s="5126"/>
      <c r="AU53" s="5124"/>
    </row>
    <row r="54" spans="1:47" s="7" customFormat="1" ht="15" customHeight="1" x14ac:dyDescent="0.2">
      <c r="A54" s="1112" t="s">
        <v>3716</v>
      </c>
      <c r="B54" s="192"/>
      <c r="C54" s="383"/>
      <c r="D54" s="192"/>
      <c r="E54" s="383"/>
      <c r="F54" s="192"/>
      <c r="G54" s="383"/>
      <c r="H54" s="192"/>
      <c r="I54" s="383"/>
      <c r="J54" s="192"/>
      <c r="K54" s="383"/>
      <c r="L54" s="192"/>
      <c r="M54" s="383"/>
      <c r="N54" s="192"/>
      <c r="O54" s="383"/>
      <c r="P54" s="192"/>
      <c r="Q54" s="383"/>
      <c r="R54" s="486">
        <f t="shared" si="10"/>
        <v>0</v>
      </c>
      <c r="S54" s="591">
        <f t="shared" si="11"/>
        <v>0</v>
      </c>
      <c r="T54" s="486">
        <f t="shared" si="12"/>
        <v>0</v>
      </c>
      <c r="U54" s="591">
        <f t="shared" si="13"/>
        <v>0</v>
      </c>
      <c r="V54" s="197">
        <f t="shared" si="6"/>
        <v>0</v>
      </c>
      <c r="W54" s="591">
        <f t="shared" si="7"/>
        <v>0</v>
      </c>
      <c r="X54" s="486">
        <f t="shared" si="14"/>
        <v>0</v>
      </c>
      <c r="Y54" s="5122">
        <f t="shared" si="15"/>
        <v>0</v>
      </c>
      <c r="Z54" s="377"/>
      <c r="AA54" s="64"/>
      <c r="AB54" s="383"/>
      <c r="AC54" s="377"/>
      <c r="AD54" s="383"/>
      <c r="AE54" s="482"/>
      <c r="AF54" s="383"/>
      <c r="AG54" s="192"/>
      <c r="AH54" s="383"/>
      <c r="AI54" s="482"/>
      <c r="AJ54" s="384"/>
      <c r="AK54" s="4866"/>
      <c r="AL54" s="64"/>
      <c r="AM54" s="383"/>
      <c r="AN54" s="5123"/>
      <c r="AO54" s="5124"/>
      <c r="AP54" s="5125"/>
      <c r="AQ54" s="5124"/>
      <c r="AR54" s="5126"/>
      <c r="AS54" s="5124"/>
      <c r="AT54" s="5126"/>
      <c r="AU54" s="5124"/>
    </row>
    <row r="55" spans="1:47" s="7" customFormat="1" ht="15" customHeight="1" x14ac:dyDescent="0.2">
      <c r="A55" s="250" t="s">
        <v>1236</v>
      </c>
      <c r="B55" s="192"/>
      <c r="C55" s="383"/>
      <c r="D55" s="192"/>
      <c r="E55" s="383"/>
      <c r="F55" s="192"/>
      <c r="G55" s="383"/>
      <c r="H55" s="192"/>
      <c r="I55" s="383"/>
      <c r="J55" s="192"/>
      <c r="K55" s="383"/>
      <c r="L55" s="192"/>
      <c r="M55" s="383"/>
      <c r="N55" s="192"/>
      <c r="O55" s="383"/>
      <c r="P55" s="192"/>
      <c r="Q55" s="383"/>
      <c r="R55" s="486">
        <f t="shared" si="10"/>
        <v>0</v>
      </c>
      <c r="S55" s="591">
        <f t="shared" si="11"/>
        <v>0</v>
      </c>
      <c r="T55" s="486">
        <f t="shared" si="12"/>
        <v>0</v>
      </c>
      <c r="U55" s="591">
        <f t="shared" si="13"/>
        <v>0</v>
      </c>
      <c r="V55" s="197">
        <f t="shared" si="6"/>
        <v>0</v>
      </c>
      <c r="W55" s="591">
        <f t="shared" si="7"/>
        <v>0</v>
      </c>
      <c r="X55" s="486">
        <f t="shared" si="14"/>
        <v>0</v>
      </c>
      <c r="Y55" s="5122">
        <f t="shared" si="15"/>
        <v>0</v>
      </c>
      <c r="Z55" s="377"/>
      <c r="AA55" s="64"/>
      <c r="AB55" s="383"/>
      <c r="AC55" s="377"/>
      <c r="AD55" s="383"/>
      <c r="AE55" s="482"/>
      <c r="AF55" s="383"/>
      <c r="AG55" s="192"/>
      <c r="AH55" s="383"/>
      <c r="AI55" s="482"/>
      <c r="AJ55" s="384"/>
      <c r="AK55" s="4866"/>
      <c r="AL55" s="64"/>
      <c r="AM55" s="383"/>
      <c r="AN55" s="5123"/>
      <c r="AO55" s="5124"/>
      <c r="AP55" s="5125"/>
      <c r="AQ55" s="5124"/>
      <c r="AR55" s="5126"/>
      <c r="AS55" s="5124"/>
      <c r="AT55" s="5126"/>
      <c r="AU55" s="5124"/>
    </row>
    <row r="56" spans="1:47" s="7" customFormat="1" ht="15" customHeight="1" x14ac:dyDescent="0.2">
      <c r="A56" s="5127" t="s">
        <v>1427</v>
      </c>
      <c r="B56" s="192"/>
      <c r="C56" s="383"/>
      <c r="D56" s="192"/>
      <c r="E56" s="383"/>
      <c r="F56" s="192"/>
      <c r="G56" s="383"/>
      <c r="H56" s="192"/>
      <c r="I56" s="383"/>
      <c r="J56" s="192"/>
      <c r="K56" s="383"/>
      <c r="L56" s="192"/>
      <c r="M56" s="383"/>
      <c r="N56" s="192"/>
      <c r="O56" s="383"/>
      <c r="P56" s="192"/>
      <c r="Q56" s="383"/>
      <c r="R56" s="486">
        <f t="shared" si="10"/>
        <v>0</v>
      </c>
      <c r="S56" s="591">
        <f t="shared" si="11"/>
        <v>0</v>
      </c>
      <c r="T56" s="486">
        <f t="shared" si="12"/>
        <v>0</v>
      </c>
      <c r="U56" s="591">
        <f t="shared" si="13"/>
        <v>0</v>
      </c>
      <c r="V56" s="197">
        <f t="shared" si="6"/>
        <v>0</v>
      </c>
      <c r="W56" s="591">
        <f t="shared" si="7"/>
        <v>0</v>
      </c>
      <c r="X56" s="486">
        <f t="shared" si="14"/>
        <v>0</v>
      </c>
      <c r="Y56" s="5122">
        <f t="shared" si="15"/>
        <v>0</v>
      </c>
      <c r="Z56" s="377"/>
      <c r="AA56" s="64"/>
      <c r="AB56" s="383"/>
      <c r="AC56" s="377"/>
      <c r="AD56" s="383"/>
      <c r="AE56" s="482"/>
      <c r="AF56" s="383"/>
      <c r="AG56" s="192"/>
      <c r="AH56" s="383"/>
      <c r="AI56" s="482"/>
      <c r="AJ56" s="384"/>
      <c r="AK56" s="4866"/>
      <c r="AL56" s="64"/>
      <c r="AM56" s="383"/>
      <c r="AN56" s="5123"/>
      <c r="AO56" s="5124"/>
      <c r="AP56" s="5125"/>
      <c r="AQ56" s="5124"/>
      <c r="AR56" s="5126"/>
      <c r="AS56" s="5124"/>
      <c r="AT56" s="5126"/>
      <c r="AU56" s="5124"/>
    </row>
    <row r="57" spans="1:47" s="7" customFormat="1" ht="15" customHeight="1" x14ac:dyDescent="0.2">
      <c r="A57" s="5127" t="s">
        <v>4306</v>
      </c>
      <c r="B57" s="192"/>
      <c r="C57" s="383"/>
      <c r="D57" s="192"/>
      <c r="E57" s="383"/>
      <c r="F57" s="192"/>
      <c r="G57" s="383"/>
      <c r="H57" s="192"/>
      <c r="I57" s="383"/>
      <c r="J57" s="192"/>
      <c r="K57" s="383"/>
      <c r="L57" s="192"/>
      <c r="M57" s="383"/>
      <c r="N57" s="192"/>
      <c r="O57" s="383"/>
      <c r="P57" s="192"/>
      <c r="Q57" s="383"/>
      <c r="R57" s="486">
        <f t="shared" si="10"/>
        <v>0</v>
      </c>
      <c r="S57" s="591">
        <f t="shared" si="11"/>
        <v>0</v>
      </c>
      <c r="T57" s="486">
        <f t="shared" si="12"/>
        <v>0</v>
      </c>
      <c r="U57" s="591">
        <f t="shared" si="13"/>
        <v>0</v>
      </c>
      <c r="V57" s="197">
        <f t="shared" si="6"/>
        <v>0</v>
      </c>
      <c r="W57" s="591">
        <f t="shared" si="7"/>
        <v>0</v>
      </c>
      <c r="X57" s="486">
        <f t="shared" si="14"/>
        <v>0</v>
      </c>
      <c r="Y57" s="5122">
        <f t="shared" si="15"/>
        <v>0</v>
      </c>
      <c r="Z57" s="377"/>
      <c r="AA57" s="64"/>
      <c r="AB57" s="383"/>
      <c r="AC57" s="377"/>
      <c r="AD57" s="383"/>
      <c r="AE57" s="482"/>
      <c r="AF57" s="383"/>
      <c r="AG57" s="192"/>
      <c r="AH57" s="383"/>
      <c r="AI57" s="482"/>
      <c r="AJ57" s="384"/>
      <c r="AK57" s="4866"/>
      <c r="AL57" s="64"/>
      <c r="AM57" s="383"/>
      <c r="AN57" s="5123"/>
      <c r="AO57" s="5124"/>
      <c r="AP57" s="5125"/>
      <c r="AQ57" s="5124"/>
      <c r="AR57" s="5126"/>
      <c r="AS57" s="5124"/>
      <c r="AT57" s="5126"/>
      <c r="AU57" s="5124"/>
    </row>
    <row r="58" spans="1:47" s="7" customFormat="1" ht="15" customHeight="1" x14ac:dyDescent="0.3">
      <c r="A58" s="3150" t="s">
        <v>4319</v>
      </c>
      <c r="B58" s="192"/>
      <c r="C58" s="383"/>
      <c r="D58" s="192"/>
      <c r="E58" s="383"/>
      <c r="F58" s="192"/>
      <c r="G58" s="383"/>
      <c r="H58" s="192"/>
      <c r="I58" s="383"/>
      <c r="J58" s="192"/>
      <c r="K58" s="383"/>
      <c r="L58" s="192"/>
      <c r="M58" s="383"/>
      <c r="N58" s="192"/>
      <c r="O58" s="383"/>
      <c r="P58" s="192"/>
      <c r="Q58" s="383"/>
      <c r="R58" s="486">
        <f t="shared" si="10"/>
        <v>0</v>
      </c>
      <c r="S58" s="591">
        <f t="shared" si="11"/>
        <v>0</v>
      </c>
      <c r="T58" s="486">
        <f t="shared" si="12"/>
        <v>0</v>
      </c>
      <c r="U58" s="591">
        <f t="shared" si="13"/>
        <v>0</v>
      </c>
      <c r="V58" s="197">
        <f t="shared" si="6"/>
        <v>0</v>
      </c>
      <c r="W58" s="591">
        <f t="shared" si="7"/>
        <v>0</v>
      </c>
      <c r="X58" s="486">
        <f t="shared" si="14"/>
        <v>0</v>
      </c>
      <c r="Y58" s="5122">
        <f t="shared" si="15"/>
        <v>0</v>
      </c>
      <c r="Z58" s="377"/>
      <c r="AA58" s="64"/>
      <c r="AB58" s="383"/>
      <c r="AC58" s="377"/>
      <c r="AD58" s="383"/>
      <c r="AE58" s="482"/>
      <c r="AF58" s="383"/>
      <c r="AG58" s="192"/>
      <c r="AH58" s="383"/>
      <c r="AI58" s="482"/>
      <c r="AJ58" s="384"/>
      <c r="AK58" s="4866"/>
      <c r="AL58" s="64"/>
      <c r="AM58" s="383"/>
      <c r="AN58" s="5123"/>
      <c r="AO58" s="5124"/>
      <c r="AP58" s="5125"/>
      <c r="AQ58" s="5124"/>
      <c r="AR58" s="5126"/>
      <c r="AS58" s="5124"/>
      <c r="AT58" s="5126"/>
      <c r="AU58" s="5124"/>
    </row>
    <row r="59" spans="1:47" s="7" customFormat="1" ht="15" customHeight="1" x14ac:dyDescent="0.2">
      <c r="A59" s="1112" t="s">
        <v>1237</v>
      </c>
      <c r="B59" s="192"/>
      <c r="C59" s="383"/>
      <c r="D59" s="192"/>
      <c r="E59" s="383"/>
      <c r="F59" s="192"/>
      <c r="G59" s="383"/>
      <c r="H59" s="192"/>
      <c r="I59" s="383"/>
      <c r="J59" s="192"/>
      <c r="K59" s="383"/>
      <c r="L59" s="192"/>
      <c r="M59" s="383"/>
      <c r="N59" s="192"/>
      <c r="O59" s="383"/>
      <c r="P59" s="192"/>
      <c r="Q59" s="383"/>
      <c r="R59" s="486">
        <f t="shared" si="10"/>
        <v>0</v>
      </c>
      <c r="S59" s="591">
        <f t="shared" si="11"/>
        <v>0</v>
      </c>
      <c r="T59" s="486">
        <f t="shared" si="12"/>
        <v>0</v>
      </c>
      <c r="U59" s="591">
        <f t="shared" si="13"/>
        <v>0</v>
      </c>
      <c r="V59" s="197">
        <f t="shared" si="6"/>
        <v>0</v>
      </c>
      <c r="W59" s="591">
        <f t="shared" si="7"/>
        <v>0</v>
      </c>
      <c r="X59" s="486">
        <f t="shared" si="14"/>
        <v>0</v>
      </c>
      <c r="Y59" s="5122">
        <f t="shared" si="15"/>
        <v>0</v>
      </c>
      <c r="Z59" s="377"/>
      <c r="AA59" s="64"/>
      <c r="AB59" s="383"/>
      <c r="AC59" s="377"/>
      <c r="AD59" s="383"/>
      <c r="AE59" s="482"/>
      <c r="AF59" s="383"/>
      <c r="AG59" s="192"/>
      <c r="AH59" s="383"/>
      <c r="AI59" s="482"/>
      <c r="AJ59" s="384"/>
      <c r="AK59" s="4866"/>
      <c r="AL59" s="64"/>
      <c r="AM59" s="383"/>
      <c r="AN59" s="5123"/>
      <c r="AO59" s="5124"/>
      <c r="AP59" s="5125"/>
      <c r="AQ59" s="5124"/>
      <c r="AR59" s="5126"/>
      <c r="AS59" s="5124"/>
      <c r="AT59" s="5126"/>
      <c r="AU59" s="5124"/>
    </row>
    <row r="60" spans="1:47" s="7" customFormat="1" ht="15" customHeight="1" x14ac:dyDescent="0.2">
      <c r="A60" s="1112" t="s">
        <v>1238</v>
      </c>
      <c r="B60" s="192"/>
      <c r="C60" s="383"/>
      <c r="D60" s="192"/>
      <c r="E60" s="383"/>
      <c r="F60" s="192"/>
      <c r="G60" s="383"/>
      <c r="H60" s="192"/>
      <c r="I60" s="383"/>
      <c r="J60" s="192"/>
      <c r="K60" s="383"/>
      <c r="L60" s="192"/>
      <c r="M60" s="383"/>
      <c r="N60" s="192"/>
      <c r="O60" s="383"/>
      <c r="P60" s="192"/>
      <c r="Q60" s="383"/>
      <c r="R60" s="486">
        <f t="shared" si="10"/>
        <v>0</v>
      </c>
      <c r="S60" s="591">
        <f t="shared" si="11"/>
        <v>0</v>
      </c>
      <c r="T60" s="486">
        <f t="shared" si="12"/>
        <v>0</v>
      </c>
      <c r="U60" s="591">
        <f t="shared" si="13"/>
        <v>0</v>
      </c>
      <c r="V60" s="197">
        <f t="shared" si="6"/>
        <v>0</v>
      </c>
      <c r="W60" s="591">
        <f t="shared" si="7"/>
        <v>0</v>
      </c>
      <c r="X60" s="486">
        <f t="shared" si="14"/>
        <v>0</v>
      </c>
      <c r="Y60" s="5122">
        <f t="shared" si="15"/>
        <v>0</v>
      </c>
      <c r="Z60" s="377"/>
      <c r="AA60" s="64"/>
      <c r="AB60" s="383"/>
      <c r="AC60" s="377"/>
      <c r="AD60" s="383"/>
      <c r="AE60" s="482"/>
      <c r="AF60" s="383"/>
      <c r="AG60" s="192"/>
      <c r="AH60" s="383"/>
      <c r="AI60" s="482"/>
      <c r="AJ60" s="384"/>
      <c r="AK60" s="4866"/>
      <c r="AL60" s="64"/>
      <c r="AM60" s="383"/>
      <c r="AN60" s="5123"/>
      <c r="AO60" s="5124"/>
      <c r="AP60" s="5125"/>
      <c r="AQ60" s="5124"/>
      <c r="AR60" s="5126"/>
      <c r="AS60" s="5124"/>
      <c r="AT60" s="5126"/>
      <c r="AU60" s="5124"/>
    </row>
    <row r="61" spans="1:47" s="7" customFormat="1" ht="15" customHeight="1" x14ac:dyDescent="0.2">
      <c r="A61" s="1112" t="s">
        <v>1428</v>
      </c>
      <c r="B61" s="192"/>
      <c r="C61" s="383"/>
      <c r="D61" s="192"/>
      <c r="E61" s="383"/>
      <c r="F61" s="192"/>
      <c r="G61" s="383"/>
      <c r="H61" s="192"/>
      <c r="I61" s="383"/>
      <c r="J61" s="192"/>
      <c r="K61" s="383"/>
      <c r="L61" s="192"/>
      <c r="M61" s="383"/>
      <c r="N61" s="192"/>
      <c r="O61" s="383"/>
      <c r="P61" s="192"/>
      <c r="Q61" s="383"/>
      <c r="R61" s="486">
        <f t="shared" si="10"/>
        <v>0</v>
      </c>
      <c r="S61" s="591">
        <f t="shared" si="11"/>
        <v>0</v>
      </c>
      <c r="T61" s="486">
        <f t="shared" si="12"/>
        <v>0</v>
      </c>
      <c r="U61" s="591">
        <f t="shared" si="13"/>
        <v>0</v>
      </c>
      <c r="V61" s="197">
        <f t="shared" si="6"/>
        <v>0</v>
      </c>
      <c r="W61" s="591">
        <f t="shared" si="7"/>
        <v>0</v>
      </c>
      <c r="X61" s="486">
        <f t="shared" si="14"/>
        <v>0</v>
      </c>
      <c r="Y61" s="5122">
        <f t="shared" si="15"/>
        <v>0</v>
      </c>
      <c r="Z61" s="377"/>
      <c r="AA61" s="64"/>
      <c r="AB61" s="383"/>
      <c r="AC61" s="377"/>
      <c r="AD61" s="383"/>
      <c r="AE61" s="482"/>
      <c r="AF61" s="383"/>
      <c r="AG61" s="192"/>
      <c r="AH61" s="383"/>
      <c r="AI61" s="482"/>
      <c r="AJ61" s="384"/>
      <c r="AK61" s="4866"/>
      <c r="AL61" s="64"/>
      <c r="AM61" s="383"/>
      <c r="AN61" s="5123"/>
      <c r="AO61" s="5124"/>
      <c r="AP61" s="5125"/>
      <c r="AQ61" s="5124"/>
      <c r="AR61" s="5126"/>
      <c r="AS61" s="5124"/>
      <c r="AT61" s="5126"/>
      <c r="AU61" s="5124"/>
    </row>
    <row r="62" spans="1:47" s="7" customFormat="1" ht="15" customHeight="1" x14ac:dyDescent="0.2">
      <c r="A62" s="1112" t="s">
        <v>1431</v>
      </c>
      <c r="B62" s="192"/>
      <c r="C62" s="383"/>
      <c r="D62" s="192"/>
      <c r="E62" s="383"/>
      <c r="F62" s="192"/>
      <c r="G62" s="383"/>
      <c r="H62" s="192"/>
      <c r="I62" s="383"/>
      <c r="J62" s="192"/>
      <c r="K62" s="383"/>
      <c r="L62" s="192"/>
      <c r="M62" s="383"/>
      <c r="N62" s="192"/>
      <c r="O62" s="383"/>
      <c r="P62" s="192"/>
      <c r="Q62" s="383"/>
      <c r="R62" s="486">
        <f t="shared" si="10"/>
        <v>0</v>
      </c>
      <c r="S62" s="591">
        <f t="shared" si="11"/>
        <v>0</v>
      </c>
      <c r="T62" s="486">
        <f t="shared" si="12"/>
        <v>0</v>
      </c>
      <c r="U62" s="591">
        <f t="shared" si="13"/>
        <v>0</v>
      </c>
      <c r="V62" s="197">
        <f t="shared" si="6"/>
        <v>0</v>
      </c>
      <c r="W62" s="591">
        <f t="shared" si="7"/>
        <v>0</v>
      </c>
      <c r="X62" s="486">
        <f t="shared" si="14"/>
        <v>0</v>
      </c>
      <c r="Y62" s="5122">
        <f t="shared" si="15"/>
        <v>0</v>
      </c>
      <c r="Z62" s="377"/>
      <c r="AA62" s="64"/>
      <c r="AB62" s="383"/>
      <c r="AC62" s="377"/>
      <c r="AD62" s="383"/>
      <c r="AE62" s="482"/>
      <c r="AF62" s="383"/>
      <c r="AG62" s="192"/>
      <c r="AH62" s="383"/>
      <c r="AI62" s="482"/>
      <c r="AJ62" s="384"/>
      <c r="AK62" s="4866"/>
      <c r="AL62" s="64"/>
      <c r="AM62" s="383"/>
      <c r="AN62" s="5123"/>
      <c r="AO62" s="5124"/>
      <c r="AP62" s="5125"/>
      <c r="AQ62" s="5124"/>
      <c r="AR62" s="5126"/>
      <c r="AS62" s="5124"/>
      <c r="AT62" s="5126"/>
      <c r="AU62" s="5124"/>
    </row>
    <row r="63" spans="1:47" s="7" customFormat="1" ht="15" customHeight="1" x14ac:dyDescent="0.2">
      <c r="A63" s="1112" t="s">
        <v>3717</v>
      </c>
      <c r="B63" s="192"/>
      <c r="C63" s="383"/>
      <c r="D63" s="192"/>
      <c r="E63" s="383"/>
      <c r="F63" s="192"/>
      <c r="G63" s="383"/>
      <c r="H63" s="192"/>
      <c r="I63" s="383"/>
      <c r="J63" s="192"/>
      <c r="K63" s="383"/>
      <c r="L63" s="192"/>
      <c r="M63" s="383"/>
      <c r="N63" s="192"/>
      <c r="O63" s="383"/>
      <c r="P63" s="192"/>
      <c r="Q63" s="383"/>
      <c r="R63" s="486">
        <f t="shared" si="10"/>
        <v>0</v>
      </c>
      <c r="S63" s="591">
        <f t="shared" si="11"/>
        <v>0</v>
      </c>
      <c r="T63" s="486">
        <f t="shared" si="12"/>
        <v>0</v>
      </c>
      <c r="U63" s="591">
        <f t="shared" si="13"/>
        <v>0</v>
      </c>
      <c r="V63" s="197">
        <f t="shared" si="6"/>
        <v>0</v>
      </c>
      <c r="W63" s="591">
        <f t="shared" si="7"/>
        <v>0</v>
      </c>
      <c r="X63" s="486">
        <f t="shared" si="14"/>
        <v>0</v>
      </c>
      <c r="Y63" s="5122">
        <f t="shared" si="15"/>
        <v>0</v>
      </c>
      <c r="Z63" s="377"/>
      <c r="AA63" s="64"/>
      <c r="AB63" s="383"/>
      <c r="AC63" s="377"/>
      <c r="AD63" s="383"/>
      <c r="AE63" s="482"/>
      <c r="AF63" s="383"/>
      <c r="AG63" s="192"/>
      <c r="AH63" s="383"/>
      <c r="AI63" s="482"/>
      <c r="AJ63" s="384"/>
      <c r="AK63" s="4866"/>
      <c r="AL63" s="64"/>
      <c r="AM63" s="383"/>
      <c r="AN63" s="5123"/>
      <c r="AO63" s="5124"/>
      <c r="AP63" s="5125"/>
      <c r="AQ63" s="5124"/>
      <c r="AR63" s="5126"/>
      <c r="AS63" s="5124"/>
      <c r="AT63" s="5126"/>
      <c r="AU63" s="5124"/>
    </row>
    <row r="64" spans="1:47" s="7" customFormat="1" ht="15" customHeight="1" x14ac:dyDescent="0.2">
      <c r="A64" s="1112" t="s">
        <v>1240</v>
      </c>
      <c r="B64" s="192"/>
      <c r="C64" s="383"/>
      <c r="D64" s="192"/>
      <c r="E64" s="383"/>
      <c r="F64" s="192"/>
      <c r="G64" s="383"/>
      <c r="H64" s="192"/>
      <c r="I64" s="383"/>
      <c r="J64" s="192"/>
      <c r="K64" s="383"/>
      <c r="L64" s="192"/>
      <c r="M64" s="383"/>
      <c r="N64" s="192"/>
      <c r="O64" s="383"/>
      <c r="P64" s="192"/>
      <c r="Q64" s="383"/>
      <c r="R64" s="486">
        <f t="shared" si="10"/>
        <v>0</v>
      </c>
      <c r="S64" s="591">
        <f t="shared" si="11"/>
        <v>0</v>
      </c>
      <c r="T64" s="486">
        <f t="shared" si="12"/>
        <v>0</v>
      </c>
      <c r="U64" s="591">
        <f t="shared" si="13"/>
        <v>0</v>
      </c>
      <c r="V64" s="197">
        <f t="shared" si="6"/>
        <v>0</v>
      </c>
      <c r="W64" s="591">
        <f t="shared" si="7"/>
        <v>0</v>
      </c>
      <c r="X64" s="486">
        <f t="shared" si="14"/>
        <v>0</v>
      </c>
      <c r="Y64" s="5122">
        <f t="shared" si="15"/>
        <v>0</v>
      </c>
      <c r="Z64" s="377"/>
      <c r="AA64" s="64"/>
      <c r="AB64" s="383"/>
      <c r="AC64" s="377"/>
      <c r="AD64" s="383"/>
      <c r="AE64" s="482"/>
      <c r="AF64" s="383"/>
      <c r="AG64" s="192"/>
      <c r="AH64" s="383"/>
      <c r="AI64" s="482"/>
      <c r="AJ64" s="384"/>
      <c r="AK64" s="4866"/>
      <c r="AL64" s="64"/>
      <c r="AM64" s="383"/>
      <c r="AN64" s="5123"/>
      <c r="AO64" s="5124"/>
      <c r="AP64" s="5125"/>
      <c r="AQ64" s="5124"/>
      <c r="AR64" s="5126"/>
      <c r="AS64" s="5124"/>
      <c r="AT64" s="5126"/>
      <c r="AU64" s="5124"/>
    </row>
    <row r="65" spans="1:47" s="7" customFormat="1" ht="15" customHeight="1" x14ac:dyDescent="0.2">
      <c r="A65" s="1187" t="s">
        <v>3718</v>
      </c>
      <c r="B65" s="1114"/>
      <c r="C65" s="1118"/>
      <c r="D65" s="1114"/>
      <c r="E65" s="1118"/>
      <c r="F65" s="1114"/>
      <c r="G65" s="1118"/>
      <c r="H65" s="1114"/>
      <c r="I65" s="1118"/>
      <c r="J65" s="1114"/>
      <c r="K65" s="1118"/>
      <c r="L65" s="1114"/>
      <c r="M65" s="1118"/>
      <c r="N65" s="1114"/>
      <c r="O65" s="1118"/>
      <c r="P65" s="1114"/>
      <c r="Q65" s="1118"/>
      <c r="R65" s="5128">
        <f t="shared" si="10"/>
        <v>0</v>
      </c>
      <c r="S65" s="4994">
        <f t="shared" si="11"/>
        <v>0</v>
      </c>
      <c r="T65" s="5128">
        <f t="shared" si="12"/>
        <v>0</v>
      </c>
      <c r="U65" s="4994">
        <f t="shared" si="13"/>
        <v>0</v>
      </c>
      <c r="V65" s="5129">
        <f t="shared" si="6"/>
        <v>0</v>
      </c>
      <c r="W65" s="4994">
        <f t="shared" si="7"/>
        <v>0</v>
      </c>
      <c r="X65" s="5128">
        <f t="shared" si="14"/>
        <v>0</v>
      </c>
      <c r="Y65" s="5130">
        <f t="shared" si="15"/>
        <v>0</v>
      </c>
      <c r="Z65" s="1326"/>
      <c r="AA65" s="1338"/>
      <c r="AB65" s="1118"/>
      <c r="AC65" s="1326"/>
      <c r="AD65" s="1118"/>
      <c r="AE65" s="1116"/>
      <c r="AF65" s="1118"/>
      <c r="AG65" s="1114"/>
      <c r="AH65" s="1118"/>
      <c r="AI65" s="1116"/>
      <c r="AJ65" s="1120"/>
      <c r="AK65" s="1275"/>
      <c r="AL65" s="1338"/>
      <c r="AM65" s="1118"/>
      <c r="AN65" s="5131"/>
      <c r="AO65" s="5132"/>
      <c r="AP65" s="5133"/>
      <c r="AQ65" s="5132"/>
      <c r="AR65" s="5134"/>
      <c r="AS65" s="5132"/>
      <c r="AT65" s="5134"/>
      <c r="AU65" s="5132"/>
    </row>
    <row r="66" spans="1:47" s="7" customFormat="1" ht="15" customHeight="1" x14ac:dyDescent="0.2">
      <c r="A66" s="250" t="s">
        <v>1242</v>
      </c>
      <c r="B66" s="1114"/>
      <c r="C66" s="1118"/>
      <c r="D66" s="1114"/>
      <c r="E66" s="1118"/>
      <c r="F66" s="1114"/>
      <c r="G66" s="1118"/>
      <c r="H66" s="1114"/>
      <c r="I66" s="1118"/>
      <c r="J66" s="1114"/>
      <c r="K66" s="1118"/>
      <c r="L66" s="1114"/>
      <c r="M66" s="1118"/>
      <c r="N66" s="1114"/>
      <c r="O66" s="1118"/>
      <c r="P66" s="1114"/>
      <c r="Q66" s="1118"/>
      <c r="R66" s="5128">
        <f t="shared" si="10"/>
        <v>0</v>
      </c>
      <c r="S66" s="4994">
        <f t="shared" si="11"/>
        <v>0</v>
      </c>
      <c r="T66" s="5128">
        <f t="shared" si="12"/>
        <v>0</v>
      </c>
      <c r="U66" s="4994">
        <f t="shared" si="13"/>
        <v>0</v>
      </c>
      <c r="V66" s="5129">
        <f t="shared" si="6"/>
        <v>0</v>
      </c>
      <c r="W66" s="4994">
        <f t="shared" si="7"/>
        <v>0</v>
      </c>
      <c r="X66" s="5128">
        <f t="shared" si="14"/>
        <v>0</v>
      </c>
      <c r="Y66" s="5130">
        <f t="shared" si="15"/>
        <v>0</v>
      </c>
      <c r="Z66" s="1326"/>
      <c r="AA66" s="1338"/>
      <c r="AB66" s="1118"/>
      <c r="AC66" s="1326"/>
      <c r="AD66" s="1118"/>
      <c r="AE66" s="1116"/>
      <c r="AF66" s="1118"/>
      <c r="AG66" s="1114"/>
      <c r="AH66" s="1118"/>
      <c r="AI66" s="1116"/>
      <c r="AJ66" s="1120"/>
      <c r="AK66" s="1275"/>
      <c r="AL66" s="1338"/>
      <c r="AM66" s="1118"/>
      <c r="AN66" s="5131"/>
      <c r="AO66" s="5132"/>
      <c r="AP66" s="5133"/>
      <c r="AQ66" s="5132"/>
      <c r="AR66" s="5134"/>
      <c r="AS66" s="5132"/>
      <c r="AT66" s="5134"/>
      <c r="AU66" s="5132"/>
    </row>
    <row r="67" spans="1:47" s="7" customFormat="1" ht="15" customHeight="1" x14ac:dyDescent="0.2">
      <c r="A67" s="1188" t="s">
        <v>3719</v>
      </c>
      <c r="B67" s="1139"/>
      <c r="C67" s="1140"/>
      <c r="D67" s="1139"/>
      <c r="E67" s="1140"/>
      <c r="F67" s="1139"/>
      <c r="G67" s="1140"/>
      <c r="H67" s="1139"/>
      <c r="I67" s="1140"/>
      <c r="J67" s="1139"/>
      <c r="K67" s="1140"/>
      <c r="L67" s="1139"/>
      <c r="M67" s="1140"/>
      <c r="N67" s="1139"/>
      <c r="O67" s="1140"/>
      <c r="P67" s="1139"/>
      <c r="Q67" s="1140"/>
      <c r="R67" s="3157">
        <f t="shared" si="10"/>
        <v>0</v>
      </c>
      <c r="S67" s="5084">
        <f t="shared" si="11"/>
        <v>0</v>
      </c>
      <c r="T67" s="3157">
        <f t="shared" si="12"/>
        <v>0</v>
      </c>
      <c r="U67" s="5084">
        <f t="shared" si="13"/>
        <v>0</v>
      </c>
      <c r="V67" s="5085">
        <f t="shared" si="6"/>
        <v>0</v>
      </c>
      <c r="W67" s="5084">
        <f t="shared" si="7"/>
        <v>0</v>
      </c>
      <c r="X67" s="3157">
        <f t="shared" si="14"/>
        <v>0</v>
      </c>
      <c r="Y67" s="5135">
        <f t="shared" si="15"/>
        <v>0</v>
      </c>
      <c r="Z67" s="1330"/>
      <c r="AA67" s="564"/>
      <c r="AB67" s="1140"/>
      <c r="AC67" s="1330"/>
      <c r="AD67" s="1140"/>
      <c r="AE67" s="1152"/>
      <c r="AF67" s="1140"/>
      <c r="AG67" s="1139"/>
      <c r="AH67" s="1140"/>
      <c r="AI67" s="1152"/>
      <c r="AJ67" s="1351"/>
      <c r="AK67" s="1280"/>
      <c r="AL67" s="564"/>
      <c r="AM67" s="1140"/>
      <c r="AN67" s="5136"/>
      <c r="AO67" s="5137"/>
      <c r="AP67" s="5138"/>
      <c r="AQ67" s="5137"/>
      <c r="AR67" s="5139"/>
      <c r="AS67" s="5137"/>
      <c r="AT67" s="5139"/>
      <c r="AU67" s="5137"/>
    </row>
    <row r="68" spans="1:47" s="8" customFormat="1" ht="18" customHeight="1" x14ac:dyDescent="0.2">
      <c r="A68" s="15" t="s">
        <v>3720</v>
      </c>
      <c r="B68" s="15"/>
      <c r="C68" s="15"/>
      <c r="D68" s="15"/>
      <c r="E68" s="15"/>
      <c r="F68" s="15"/>
      <c r="G68" s="15"/>
    </row>
    <row r="69" spans="1:47" s="9" customFormat="1" ht="24.75" customHeight="1" x14ac:dyDescent="0.25">
      <c r="A69" s="7412" t="s">
        <v>3721</v>
      </c>
      <c r="B69" s="6989" t="s">
        <v>3722</v>
      </c>
      <c r="C69" s="7476"/>
      <c r="D69" s="7476"/>
      <c r="E69" s="7476"/>
      <c r="F69" s="7476"/>
      <c r="G69" s="7476"/>
      <c r="H69" s="7476"/>
      <c r="I69" s="6991"/>
      <c r="J69" s="7475" t="s">
        <v>3533</v>
      </c>
      <c r="K69" s="7475"/>
      <c r="L69" s="7071"/>
      <c r="M69" s="7486" t="s">
        <v>3692</v>
      </c>
      <c r="N69" s="7476"/>
      <c r="O69" s="7476"/>
      <c r="P69" s="7476"/>
      <c r="Q69" s="7476"/>
      <c r="R69" s="7476"/>
      <c r="S69" s="7476"/>
      <c r="T69" s="7489"/>
    </row>
    <row r="70" spans="1:47" s="9" customFormat="1" ht="15" customHeight="1" x14ac:dyDescent="0.25">
      <c r="A70" s="6082"/>
      <c r="B70" s="7475" t="s">
        <v>3140</v>
      </c>
      <c r="C70" s="7457"/>
      <c r="D70" s="7023" t="s">
        <v>1203</v>
      </c>
      <c r="E70" s="7457"/>
      <c r="F70" s="7023" t="s">
        <v>1204</v>
      </c>
      <c r="G70" s="7457"/>
      <c r="H70" s="7023" t="s">
        <v>706</v>
      </c>
      <c r="I70" s="7071"/>
      <c r="J70" s="1460" t="s">
        <v>3723</v>
      </c>
      <c r="K70" s="6989" t="s">
        <v>1594</v>
      </c>
      <c r="L70" s="6991"/>
      <c r="M70" s="7475" t="s">
        <v>3140</v>
      </c>
      <c r="N70" s="7457"/>
      <c r="O70" s="7023" t="s">
        <v>1203</v>
      </c>
      <c r="P70" s="7457"/>
      <c r="Q70" s="7023" t="s">
        <v>1204</v>
      </c>
      <c r="R70" s="7457"/>
      <c r="S70" s="7023" t="s">
        <v>706</v>
      </c>
      <c r="T70" s="7457"/>
    </row>
    <row r="71" spans="1:47" s="9" customFormat="1" ht="23.25" customHeight="1" x14ac:dyDescent="0.25">
      <c r="A71" s="6465"/>
      <c r="B71" s="1093" t="s">
        <v>461</v>
      </c>
      <c r="C71" s="1203" t="s">
        <v>59</v>
      </c>
      <c r="D71" s="1314" t="s">
        <v>58</v>
      </c>
      <c r="E71" s="1203" t="s">
        <v>59</v>
      </c>
      <c r="F71" s="1314" t="s">
        <v>58</v>
      </c>
      <c r="G71" s="1203" t="s">
        <v>59</v>
      </c>
      <c r="H71" s="1093" t="s">
        <v>58</v>
      </c>
      <c r="I71" s="4901" t="s">
        <v>59</v>
      </c>
      <c r="J71" s="1460" t="s">
        <v>3724</v>
      </c>
      <c r="K71" s="1313" t="s">
        <v>3696</v>
      </c>
      <c r="L71" s="1460" t="s">
        <v>2503</v>
      </c>
      <c r="M71" s="4521" t="s">
        <v>58</v>
      </c>
      <c r="N71" s="1203" t="s">
        <v>59</v>
      </c>
      <c r="O71" s="1093" t="s">
        <v>58</v>
      </c>
      <c r="P71" s="1203" t="s">
        <v>59</v>
      </c>
      <c r="Q71" s="1093" t="s">
        <v>58</v>
      </c>
      <c r="R71" s="1203" t="s">
        <v>59</v>
      </c>
      <c r="S71" s="1314" t="s">
        <v>58</v>
      </c>
      <c r="T71" s="1203" t="s">
        <v>59</v>
      </c>
    </row>
    <row r="72" spans="1:47" s="9" customFormat="1" ht="15" customHeight="1" x14ac:dyDescent="0.25">
      <c r="A72" s="1459" t="s">
        <v>3725</v>
      </c>
      <c r="B72" s="1106"/>
      <c r="C72" s="771"/>
      <c r="D72" s="1106"/>
      <c r="E72" s="771"/>
      <c r="F72" s="1106"/>
      <c r="G72" s="771"/>
      <c r="H72" s="1108"/>
      <c r="I72" s="759"/>
      <c r="J72" s="1107"/>
      <c r="K72" s="1106"/>
      <c r="L72" s="771"/>
      <c r="M72" s="1321"/>
      <c r="N72" s="771"/>
      <c r="O72" s="1108"/>
      <c r="P72" s="771"/>
      <c r="Q72" s="1108"/>
      <c r="R72" s="771"/>
      <c r="S72" s="1106"/>
      <c r="T72" s="771"/>
    </row>
    <row r="73" spans="1:47" s="9" customFormat="1" ht="15" customHeight="1" x14ac:dyDescent="0.25">
      <c r="A73" s="1462" t="s">
        <v>3726</v>
      </c>
      <c r="B73" s="1114"/>
      <c r="C73" s="1118"/>
      <c r="D73" s="1114"/>
      <c r="E73" s="1118"/>
      <c r="F73" s="1114"/>
      <c r="G73" s="1118"/>
      <c r="H73" s="1116"/>
      <c r="I73" s="1120"/>
      <c r="J73" s="1118"/>
      <c r="K73" s="1114"/>
      <c r="L73" s="1118"/>
      <c r="M73" s="1326"/>
      <c r="N73" s="1118"/>
      <c r="O73" s="1116"/>
      <c r="P73" s="1118"/>
      <c r="Q73" s="1116"/>
      <c r="R73" s="1118"/>
      <c r="S73" s="1114"/>
      <c r="T73" s="1118"/>
    </row>
    <row r="74" spans="1:47" s="9" customFormat="1" ht="15" customHeight="1" x14ac:dyDescent="0.25">
      <c r="A74" s="893" t="s">
        <v>3345</v>
      </c>
      <c r="B74" s="5053"/>
      <c r="C74" s="311"/>
      <c r="D74" s="1289"/>
      <c r="E74" s="311"/>
      <c r="F74" s="1289"/>
      <c r="G74" s="311"/>
      <c r="H74" s="5053"/>
      <c r="I74" s="297"/>
      <c r="J74" s="311"/>
      <c r="K74" s="1289"/>
      <c r="L74" s="311"/>
      <c r="M74" s="266"/>
      <c r="N74" s="311"/>
      <c r="O74" s="5053"/>
      <c r="P74" s="311"/>
      <c r="Q74" s="5053"/>
      <c r="R74" s="311"/>
      <c r="S74" s="1289"/>
      <c r="T74" s="311"/>
    </row>
    <row r="75" spans="1:47" s="8" customFormat="1" ht="18" customHeight="1" x14ac:dyDescent="0.2">
      <c r="A75" s="15" t="s">
        <v>3727</v>
      </c>
      <c r="B75" s="15"/>
      <c r="C75" s="15"/>
      <c r="D75" s="15"/>
      <c r="E75" s="15"/>
      <c r="F75" s="15"/>
      <c r="G75" s="15"/>
    </row>
    <row r="76" spans="1:47" s="9" customFormat="1" ht="15" customHeight="1" x14ac:dyDescent="0.25">
      <c r="A76" s="7480" t="s">
        <v>3728</v>
      </c>
      <c r="B76" s="6989" t="s">
        <v>3729</v>
      </c>
      <c r="C76" s="7476"/>
      <c r="D76" s="7476"/>
      <c r="E76" s="7476"/>
      <c r="F76" s="7476"/>
      <c r="G76" s="7476"/>
      <c r="H76" s="7476"/>
      <c r="I76" s="7476"/>
      <c r="J76" s="5140"/>
      <c r="K76" s="5140"/>
      <c r="L76" s="5141"/>
      <c r="M76" s="7486" t="s">
        <v>3730</v>
      </c>
      <c r="N76" s="7476"/>
      <c r="O76" s="7476"/>
      <c r="P76" s="7476"/>
      <c r="Q76" s="7476"/>
      <c r="R76" s="7476"/>
      <c r="S76" s="7476"/>
      <c r="T76" s="7476"/>
      <c r="U76" s="7476"/>
      <c r="V76" s="7476"/>
      <c r="W76" s="6991"/>
      <c r="X76" s="7487" t="s">
        <v>3731</v>
      </c>
      <c r="Y76" s="7488"/>
      <c r="Z76" s="5142"/>
      <c r="AA76" s="5142"/>
      <c r="AB76" s="5142"/>
      <c r="AC76" s="5142"/>
      <c r="AD76" s="5142"/>
      <c r="AE76" s="5142"/>
      <c r="AF76" s="5142"/>
      <c r="AG76" s="5142"/>
      <c r="AH76" s="5142"/>
      <c r="AI76" s="5142"/>
      <c r="AJ76" s="5142"/>
      <c r="AK76" s="5142"/>
      <c r="AL76" s="5142"/>
      <c r="AM76" s="5142"/>
      <c r="AN76" s="5142"/>
      <c r="AO76" s="5142"/>
    </row>
    <row r="77" spans="1:47" s="9" customFormat="1" ht="15" customHeight="1" x14ac:dyDescent="0.25">
      <c r="A77" s="7481"/>
      <c r="B77" s="7475" t="s">
        <v>3140</v>
      </c>
      <c r="C77" s="7457"/>
      <c r="D77" s="7023" t="s">
        <v>1203</v>
      </c>
      <c r="E77" s="7457"/>
      <c r="F77" s="7023" t="s">
        <v>1204</v>
      </c>
      <c r="G77" s="7457"/>
      <c r="H77" s="7023" t="s">
        <v>706</v>
      </c>
      <c r="I77" s="7457"/>
      <c r="J77" s="6975" t="s">
        <v>3533</v>
      </c>
      <c r="K77" s="7475"/>
      <c r="L77" s="7071"/>
      <c r="M77" s="7475" t="s">
        <v>3140</v>
      </c>
      <c r="N77" s="7457"/>
      <c r="O77" s="7023" t="s">
        <v>1203</v>
      </c>
      <c r="P77" s="7457"/>
      <c r="Q77" s="7023" t="s">
        <v>1204</v>
      </c>
      <c r="R77" s="7457"/>
      <c r="S77" s="7023" t="s">
        <v>706</v>
      </c>
      <c r="T77" s="7457"/>
      <c r="U77" s="6975" t="s">
        <v>3533</v>
      </c>
      <c r="V77" s="7475"/>
      <c r="W77" s="7071"/>
      <c r="X77" s="7487"/>
      <c r="Y77" s="7488"/>
      <c r="Z77" s="5142"/>
      <c r="AA77" s="5142"/>
      <c r="AB77" s="5142"/>
      <c r="AC77" s="5142"/>
      <c r="AD77" s="5142"/>
      <c r="AE77" s="5142"/>
      <c r="AF77" s="5142"/>
      <c r="AG77" s="5142"/>
      <c r="AH77" s="5142"/>
      <c r="AI77" s="5142"/>
      <c r="AJ77" s="5142"/>
      <c r="AK77" s="5142"/>
      <c r="AL77" s="5142"/>
      <c r="AM77" s="5142"/>
      <c r="AN77" s="5142"/>
      <c r="AO77" s="5142"/>
    </row>
    <row r="78" spans="1:47" s="9" customFormat="1" ht="15" customHeight="1" x14ac:dyDescent="0.25">
      <c r="A78" s="7481"/>
      <c r="B78" s="7484" t="s">
        <v>58</v>
      </c>
      <c r="C78" s="7406" t="s">
        <v>59</v>
      </c>
      <c r="D78" s="7484" t="s">
        <v>58</v>
      </c>
      <c r="E78" s="7406" t="s">
        <v>59</v>
      </c>
      <c r="F78" s="7484" t="s">
        <v>58</v>
      </c>
      <c r="G78" s="7406" t="s">
        <v>59</v>
      </c>
      <c r="H78" s="7496" t="s">
        <v>58</v>
      </c>
      <c r="I78" s="7499" t="s">
        <v>59</v>
      </c>
      <c r="J78" s="7483" t="s">
        <v>3559</v>
      </c>
      <c r="K78" s="7489" t="s">
        <v>1594</v>
      </c>
      <c r="L78" s="7498"/>
      <c r="M78" s="7496" t="s">
        <v>58</v>
      </c>
      <c r="N78" s="7406" t="s">
        <v>59</v>
      </c>
      <c r="O78" s="7496" t="s">
        <v>58</v>
      </c>
      <c r="P78" s="7406" t="s">
        <v>59</v>
      </c>
      <c r="Q78" s="7496" t="s">
        <v>58</v>
      </c>
      <c r="R78" s="7406" t="s">
        <v>59</v>
      </c>
      <c r="S78" s="7484" t="s">
        <v>58</v>
      </c>
      <c r="T78" s="7494" t="s">
        <v>59</v>
      </c>
      <c r="U78" s="7033" t="s">
        <v>3559</v>
      </c>
      <c r="V78" s="7476" t="s">
        <v>1594</v>
      </c>
      <c r="W78" s="6991"/>
      <c r="X78" s="7501" t="s">
        <v>3732</v>
      </c>
      <c r="Y78" s="7503" t="s">
        <v>3733</v>
      </c>
      <c r="Z78" s="5142"/>
      <c r="AA78" s="5142"/>
      <c r="AB78" s="5142"/>
      <c r="AC78" s="5142"/>
      <c r="AD78" s="5142"/>
      <c r="AE78" s="5142"/>
      <c r="AF78" s="5142"/>
      <c r="AG78" s="5142"/>
      <c r="AH78" s="5142"/>
      <c r="AI78" s="5142"/>
      <c r="AJ78" s="5142"/>
      <c r="AK78" s="5142"/>
      <c r="AL78" s="5142"/>
      <c r="AM78" s="5142"/>
      <c r="AN78" s="5142"/>
      <c r="AO78" s="5142"/>
    </row>
    <row r="79" spans="1:47" s="9" customFormat="1" ht="30" customHeight="1" x14ac:dyDescent="0.25">
      <c r="A79" s="7482"/>
      <c r="B79" s="7485"/>
      <c r="C79" s="6645"/>
      <c r="D79" s="7485"/>
      <c r="E79" s="6645"/>
      <c r="F79" s="7485"/>
      <c r="G79" s="6645"/>
      <c r="H79" s="7497"/>
      <c r="I79" s="7500"/>
      <c r="J79" s="7483"/>
      <c r="K79" s="1135" t="s">
        <v>3696</v>
      </c>
      <c r="L79" s="1136" t="s">
        <v>2503</v>
      </c>
      <c r="M79" s="7497"/>
      <c r="N79" s="6645"/>
      <c r="O79" s="7497"/>
      <c r="P79" s="6645"/>
      <c r="Q79" s="7497"/>
      <c r="R79" s="6645"/>
      <c r="S79" s="7485"/>
      <c r="T79" s="6936"/>
      <c r="U79" s="6669"/>
      <c r="V79" s="1832" t="s">
        <v>3696</v>
      </c>
      <c r="W79" s="5146" t="s">
        <v>2503</v>
      </c>
      <c r="X79" s="7501"/>
      <c r="Y79" s="7503"/>
      <c r="Z79" s="5142"/>
      <c r="AA79" s="5142"/>
      <c r="AB79" s="5142"/>
      <c r="AC79" s="5142"/>
      <c r="AD79" s="5142"/>
      <c r="AE79" s="5142"/>
      <c r="AF79" s="5142"/>
      <c r="AG79" s="5142"/>
      <c r="AH79" s="5142"/>
      <c r="AI79" s="5142"/>
      <c r="AJ79" s="5142"/>
      <c r="AK79" s="5142"/>
      <c r="AL79" s="5142"/>
      <c r="AM79" s="5142"/>
      <c r="AN79" s="5142"/>
      <c r="AO79" s="5142"/>
    </row>
    <row r="80" spans="1:47" s="9" customFormat="1" ht="15" customHeight="1" x14ac:dyDescent="0.25">
      <c r="A80" s="5147" t="s">
        <v>3734</v>
      </c>
      <c r="B80" s="4987">
        <f t="shared" ref="B80:L80" si="16">B81+B82+B83+B84+B85+B86+B87+B88+B89+B92+B93</f>
        <v>0</v>
      </c>
      <c r="C80" s="1127">
        <f t="shared" si="16"/>
        <v>0</v>
      </c>
      <c r="D80" s="4987">
        <f t="shared" si="16"/>
        <v>0</v>
      </c>
      <c r="E80" s="1127">
        <f t="shared" si="16"/>
        <v>0</v>
      </c>
      <c r="F80" s="4987">
        <f t="shared" si="16"/>
        <v>0</v>
      </c>
      <c r="G80" s="1127">
        <f t="shared" si="16"/>
        <v>0</v>
      </c>
      <c r="H80" s="4987">
        <f t="shared" si="16"/>
        <v>0</v>
      </c>
      <c r="I80" s="4966">
        <f t="shared" si="16"/>
        <v>0</v>
      </c>
      <c r="J80" s="4967">
        <f t="shared" si="16"/>
        <v>0</v>
      </c>
      <c r="K80" s="1127">
        <f t="shared" si="16"/>
        <v>0</v>
      </c>
      <c r="L80" s="4966">
        <f t="shared" si="16"/>
        <v>0</v>
      </c>
      <c r="M80" s="5041">
        <f>SUM(M81:M93)</f>
        <v>0</v>
      </c>
      <c r="N80" s="1483">
        <f>SUM(N81:N93)</f>
        <v>0</v>
      </c>
      <c r="O80" s="5042">
        <f t="shared" ref="O80:W80" si="17">SUM(O81:O93)</f>
        <v>0</v>
      </c>
      <c r="P80" s="1483">
        <f t="shared" si="17"/>
        <v>0</v>
      </c>
      <c r="Q80" s="5042">
        <f t="shared" ref="Q80:R80" si="18">SUM(Q81:Q93)</f>
        <v>0</v>
      </c>
      <c r="R80" s="1483">
        <f t="shared" si="18"/>
        <v>0</v>
      </c>
      <c r="S80" s="1127">
        <f t="shared" si="17"/>
        <v>0</v>
      </c>
      <c r="T80" s="1131">
        <f t="shared" si="17"/>
        <v>0</v>
      </c>
      <c r="U80" s="4967">
        <f t="shared" si="17"/>
        <v>0</v>
      </c>
      <c r="V80" s="1127">
        <f t="shared" si="17"/>
        <v>0</v>
      </c>
      <c r="W80" s="1131">
        <f t="shared" si="17"/>
        <v>0</v>
      </c>
      <c r="X80" s="1483">
        <f>SUM(X81:X93)</f>
        <v>0</v>
      </c>
      <c r="Y80" s="1483">
        <f>SUM(Y81:Y93)</f>
        <v>0</v>
      </c>
      <c r="Z80" s="5142"/>
      <c r="AA80" s="5142"/>
      <c r="AB80" s="7"/>
      <c r="AC80" s="5142"/>
      <c r="AD80" s="5142"/>
      <c r="AE80" s="5142"/>
      <c r="AF80" s="5142"/>
      <c r="AG80" s="5142"/>
      <c r="AH80" s="5142"/>
      <c r="AI80" s="5142"/>
      <c r="AJ80" s="5142"/>
      <c r="AK80" s="5142"/>
      <c r="AL80" s="5142"/>
      <c r="AM80" s="5142"/>
      <c r="AN80" s="5142"/>
      <c r="AO80" s="5142"/>
    </row>
    <row r="81" spans="1:45" s="9" customFormat="1" ht="15" customHeight="1" x14ac:dyDescent="0.25">
      <c r="A81" s="1015" t="s">
        <v>3735</v>
      </c>
      <c r="B81" s="47"/>
      <c r="C81" s="95"/>
      <c r="D81" s="47"/>
      <c r="E81" s="95"/>
      <c r="F81" s="47"/>
      <c r="G81" s="95"/>
      <c r="H81" s="4610"/>
      <c r="I81" s="4612"/>
      <c r="J81" s="4873"/>
      <c r="K81" s="66"/>
      <c r="L81" s="4612"/>
      <c r="M81" s="4610"/>
      <c r="N81" s="95"/>
      <c r="O81" s="4610"/>
      <c r="P81" s="95"/>
      <c r="Q81" s="4610"/>
      <c r="R81" s="95"/>
      <c r="S81" s="47"/>
      <c r="T81" s="4612"/>
      <c r="U81" s="4873"/>
      <c r="V81" s="5148"/>
      <c r="W81" s="75"/>
      <c r="X81" s="1107"/>
      <c r="Y81" s="4432"/>
      <c r="Z81" s="5142"/>
      <c r="AA81" s="5142"/>
      <c r="AB81" s="7"/>
      <c r="AC81" s="5142"/>
      <c r="AD81" s="5142"/>
      <c r="AE81" s="5142"/>
      <c r="AF81" s="5142"/>
      <c r="AG81" s="5142"/>
      <c r="AH81" s="5142"/>
      <c r="AI81" s="5142"/>
      <c r="AJ81" s="5142"/>
      <c r="AK81" s="5142"/>
      <c r="AL81" s="5142"/>
      <c r="AM81" s="5142"/>
      <c r="AN81" s="5142"/>
      <c r="AO81" s="5142"/>
    </row>
    <row r="82" spans="1:45" s="9" customFormat="1" ht="15" customHeight="1" x14ac:dyDescent="0.25">
      <c r="A82" s="1015" t="s">
        <v>3736</v>
      </c>
      <c r="B82" s="192"/>
      <c r="C82" s="383"/>
      <c r="D82" s="192"/>
      <c r="E82" s="383"/>
      <c r="F82" s="192"/>
      <c r="G82" s="383"/>
      <c r="H82" s="482"/>
      <c r="I82" s="384"/>
      <c r="J82" s="4866"/>
      <c r="K82" s="64"/>
      <c r="L82" s="384"/>
      <c r="M82" s="377"/>
      <c r="N82" s="383"/>
      <c r="O82" s="482"/>
      <c r="P82" s="383"/>
      <c r="Q82" s="482"/>
      <c r="R82" s="383"/>
      <c r="S82" s="192"/>
      <c r="T82" s="384"/>
      <c r="U82" s="4866"/>
      <c r="V82" s="482"/>
      <c r="W82" s="376"/>
      <c r="X82" s="1115"/>
      <c r="Y82" s="4598"/>
      <c r="Z82" s="5142"/>
      <c r="AA82" s="5142"/>
      <c r="AB82" s="7"/>
      <c r="AC82" s="5142"/>
      <c r="AD82" s="5142"/>
      <c r="AE82" s="5142"/>
      <c r="AF82" s="5142"/>
      <c r="AG82" s="5142"/>
      <c r="AH82" s="5142"/>
      <c r="AI82" s="5142"/>
      <c r="AJ82" s="5142"/>
      <c r="AK82" s="5142"/>
      <c r="AL82" s="5142"/>
      <c r="AM82" s="5142"/>
      <c r="AN82" s="5142"/>
      <c r="AO82" s="5142"/>
    </row>
    <row r="83" spans="1:45" s="9" customFormat="1" ht="15" customHeight="1" x14ac:dyDescent="0.25">
      <c r="A83" s="1015" t="s">
        <v>3737</v>
      </c>
      <c r="B83" s="192"/>
      <c r="C83" s="383"/>
      <c r="D83" s="192"/>
      <c r="E83" s="383"/>
      <c r="F83" s="192"/>
      <c r="G83" s="383"/>
      <c r="H83" s="482"/>
      <c r="I83" s="384"/>
      <c r="J83" s="4866"/>
      <c r="K83" s="64"/>
      <c r="L83" s="384"/>
      <c r="M83" s="377"/>
      <c r="N83" s="383"/>
      <c r="O83" s="482"/>
      <c r="P83" s="383"/>
      <c r="Q83" s="482"/>
      <c r="R83" s="383"/>
      <c r="S83" s="192"/>
      <c r="T83" s="384"/>
      <c r="U83" s="4866"/>
      <c r="V83" s="482"/>
      <c r="W83" s="376"/>
      <c r="X83" s="1115"/>
      <c r="Y83" s="4598"/>
      <c r="Z83" s="5142"/>
      <c r="AA83" s="5142"/>
      <c r="AB83" s="7"/>
      <c r="AC83" s="5142"/>
      <c r="AD83" s="5142"/>
      <c r="AE83" s="5142"/>
      <c r="AF83" s="5142"/>
      <c r="AG83" s="5142"/>
      <c r="AH83" s="5142"/>
      <c r="AI83" s="5142"/>
      <c r="AJ83" s="5142"/>
      <c r="AK83" s="5142"/>
      <c r="AL83" s="5142"/>
      <c r="AM83" s="5142"/>
      <c r="AN83" s="5142"/>
      <c r="AO83" s="5142"/>
    </row>
    <row r="84" spans="1:45" s="9" customFormat="1" ht="15" customHeight="1" x14ac:dyDescent="0.25">
      <c r="A84" s="1015" t="s">
        <v>3738</v>
      </c>
      <c r="B84" s="192"/>
      <c r="C84" s="383"/>
      <c r="D84" s="192"/>
      <c r="E84" s="383"/>
      <c r="F84" s="192"/>
      <c r="G84" s="383"/>
      <c r="H84" s="482"/>
      <c r="I84" s="384"/>
      <c r="J84" s="4866"/>
      <c r="K84" s="64"/>
      <c r="L84" s="384"/>
      <c r="M84" s="377"/>
      <c r="N84" s="383"/>
      <c r="O84" s="482"/>
      <c r="P84" s="383"/>
      <c r="Q84" s="482"/>
      <c r="R84" s="383"/>
      <c r="S84" s="192"/>
      <c r="T84" s="384"/>
      <c r="U84" s="4866"/>
      <c r="V84" s="482"/>
      <c r="W84" s="376"/>
      <c r="X84" s="1115"/>
      <c r="Y84" s="4598"/>
      <c r="Z84" s="5142"/>
      <c r="AA84" s="5142"/>
      <c r="AB84" s="7"/>
      <c r="AC84" s="5142"/>
      <c r="AD84" s="5142"/>
      <c r="AE84" s="5142"/>
      <c r="AF84" s="5142"/>
      <c r="AG84" s="5142"/>
      <c r="AH84" s="5142"/>
      <c r="AI84" s="5142"/>
      <c r="AJ84" s="5142"/>
      <c r="AK84" s="5142"/>
      <c r="AL84" s="5142"/>
      <c r="AM84" s="5142"/>
      <c r="AN84" s="5142"/>
      <c r="AO84" s="5142"/>
    </row>
    <row r="85" spans="1:45" s="9" customFormat="1" ht="15" customHeight="1" x14ac:dyDescent="0.25">
      <c r="A85" s="1015" t="s">
        <v>3739</v>
      </c>
      <c r="B85" s="192"/>
      <c r="C85" s="383"/>
      <c r="D85" s="192"/>
      <c r="E85" s="383"/>
      <c r="F85" s="192"/>
      <c r="G85" s="383"/>
      <c r="H85" s="482"/>
      <c r="I85" s="384"/>
      <c r="J85" s="4866"/>
      <c r="K85" s="64"/>
      <c r="L85" s="384"/>
      <c r="M85" s="377"/>
      <c r="N85" s="383"/>
      <c r="O85" s="482"/>
      <c r="P85" s="383"/>
      <c r="Q85" s="482"/>
      <c r="R85" s="383"/>
      <c r="S85" s="192"/>
      <c r="T85" s="384"/>
      <c r="U85" s="4866"/>
      <c r="V85" s="482"/>
      <c r="W85" s="376"/>
      <c r="X85" s="1115"/>
      <c r="Y85" s="4598"/>
      <c r="Z85" s="5142"/>
      <c r="AA85" s="5142"/>
      <c r="AB85" s="7"/>
      <c r="AC85" s="5142"/>
      <c r="AD85" s="5142"/>
      <c r="AE85" s="5142"/>
      <c r="AF85" s="5142"/>
      <c r="AG85" s="5142"/>
      <c r="AH85" s="5142"/>
      <c r="AI85" s="5142"/>
      <c r="AJ85" s="5142"/>
      <c r="AK85" s="5142"/>
      <c r="AL85" s="5142"/>
      <c r="AM85" s="5142"/>
      <c r="AN85" s="5142"/>
      <c r="AO85" s="5142"/>
    </row>
    <row r="86" spans="1:45" s="9" customFormat="1" ht="15" customHeight="1" x14ac:dyDescent="0.25">
      <c r="A86" s="1015" t="s">
        <v>3740</v>
      </c>
      <c r="B86" s="192"/>
      <c r="C86" s="383"/>
      <c r="D86" s="192"/>
      <c r="E86" s="383"/>
      <c r="F86" s="192"/>
      <c r="G86" s="383"/>
      <c r="H86" s="482"/>
      <c r="I86" s="384"/>
      <c r="J86" s="4866"/>
      <c r="K86" s="64"/>
      <c r="L86" s="384"/>
      <c r="M86" s="377"/>
      <c r="N86" s="383"/>
      <c r="O86" s="482"/>
      <c r="P86" s="383"/>
      <c r="Q86" s="482"/>
      <c r="R86" s="383"/>
      <c r="S86" s="192"/>
      <c r="T86" s="384"/>
      <c r="U86" s="4866"/>
      <c r="V86" s="482"/>
      <c r="W86" s="376"/>
      <c r="X86" s="1115"/>
      <c r="Y86" s="4598"/>
      <c r="Z86" s="5142"/>
      <c r="AA86" s="5142"/>
      <c r="AB86" s="7"/>
      <c r="AC86" s="5142"/>
      <c r="AD86" s="5142"/>
      <c r="AE86" s="5142"/>
      <c r="AF86" s="5142"/>
      <c r="AG86" s="5142"/>
      <c r="AH86" s="5142"/>
      <c r="AI86" s="5142"/>
      <c r="AJ86" s="5142"/>
      <c r="AK86" s="5142"/>
      <c r="AL86" s="5142"/>
      <c r="AM86" s="5142"/>
      <c r="AN86" s="5142"/>
      <c r="AO86" s="5142"/>
    </row>
    <row r="87" spans="1:45" s="9" customFormat="1" ht="15" customHeight="1" x14ac:dyDescent="0.25">
      <c r="A87" s="1015" t="s">
        <v>3741</v>
      </c>
      <c r="B87" s="192"/>
      <c r="C87" s="383"/>
      <c r="D87" s="192"/>
      <c r="E87" s="383"/>
      <c r="F87" s="192"/>
      <c r="G87" s="383"/>
      <c r="H87" s="482"/>
      <c r="I87" s="384"/>
      <c r="J87" s="4866"/>
      <c r="K87" s="64"/>
      <c r="L87" s="384"/>
      <c r="M87" s="377"/>
      <c r="N87" s="383"/>
      <c r="O87" s="482"/>
      <c r="P87" s="383"/>
      <c r="Q87" s="482"/>
      <c r="R87" s="383"/>
      <c r="S87" s="192"/>
      <c r="T87" s="384"/>
      <c r="U87" s="4866"/>
      <c r="V87" s="482"/>
      <c r="W87" s="376"/>
      <c r="X87" s="1115"/>
      <c r="Y87" s="4598"/>
      <c r="Z87" s="5142"/>
      <c r="AA87" s="5142"/>
      <c r="AB87" s="7"/>
      <c r="AC87" s="5142"/>
      <c r="AD87" s="5142"/>
      <c r="AE87" s="5142"/>
      <c r="AF87" s="5142"/>
      <c r="AG87" s="5142"/>
      <c r="AH87" s="5142"/>
      <c r="AI87" s="5142"/>
      <c r="AJ87" s="5142"/>
      <c r="AK87" s="5142"/>
      <c r="AL87" s="5142"/>
      <c r="AM87" s="5142"/>
      <c r="AN87" s="5142"/>
      <c r="AO87" s="5142"/>
    </row>
    <row r="88" spans="1:45" s="9" customFormat="1" ht="15" customHeight="1" x14ac:dyDescent="0.25">
      <c r="A88" s="1015" t="s">
        <v>3742</v>
      </c>
      <c r="B88" s="192"/>
      <c r="C88" s="383"/>
      <c r="D88" s="192"/>
      <c r="E88" s="383"/>
      <c r="F88" s="192"/>
      <c r="G88" s="383"/>
      <c r="H88" s="482"/>
      <c r="I88" s="384"/>
      <c r="J88" s="4866"/>
      <c r="K88" s="64"/>
      <c r="L88" s="384"/>
      <c r="M88" s="377"/>
      <c r="N88" s="383"/>
      <c r="O88" s="482"/>
      <c r="P88" s="383"/>
      <c r="Q88" s="482"/>
      <c r="R88" s="383"/>
      <c r="S88" s="192"/>
      <c r="T88" s="384"/>
      <c r="U88" s="4866"/>
      <c r="V88" s="482"/>
      <c r="W88" s="376"/>
      <c r="X88" s="1115"/>
      <c r="Y88" s="4598"/>
      <c r="Z88" s="5142"/>
      <c r="AA88" s="5142"/>
      <c r="AB88" s="7"/>
      <c r="AC88" s="5142"/>
      <c r="AD88" s="5142"/>
      <c r="AE88" s="5142"/>
      <c r="AF88" s="5142"/>
      <c r="AG88" s="5142"/>
      <c r="AH88" s="5142"/>
      <c r="AI88" s="5142"/>
      <c r="AJ88" s="5142"/>
      <c r="AK88" s="5142"/>
      <c r="AL88" s="5142"/>
      <c r="AM88" s="5142"/>
      <c r="AN88" s="5142"/>
      <c r="AO88" s="5142"/>
    </row>
    <row r="89" spans="1:45" s="9" customFormat="1" ht="15" customHeight="1" x14ac:dyDescent="0.25">
      <c r="A89" s="1015" t="s">
        <v>3743</v>
      </c>
      <c r="B89" s="192"/>
      <c r="C89" s="383"/>
      <c r="D89" s="192"/>
      <c r="E89" s="383"/>
      <c r="F89" s="192"/>
      <c r="G89" s="383"/>
      <c r="H89" s="482"/>
      <c r="I89" s="384"/>
      <c r="J89" s="1275"/>
      <c r="K89" s="1338"/>
      <c r="L89" s="1120"/>
      <c r="M89" s="377"/>
      <c r="N89" s="383"/>
      <c r="O89" s="482"/>
      <c r="P89" s="383"/>
      <c r="Q89" s="482"/>
      <c r="R89" s="383"/>
      <c r="S89" s="192"/>
      <c r="T89" s="384"/>
      <c r="U89" s="4866"/>
      <c r="V89" s="482"/>
      <c r="W89" s="376"/>
      <c r="X89" s="1115"/>
      <c r="Y89" s="4598"/>
      <c r="Z89" s="5142"/>
      <c r="AA89" s="5142"/>
      <c r="AB89" s="7"/>
      <c r="AC89" s="5142"/>
      <c r="AD89" s="5142"/>
      <c r="AE89" s="5142"/>
      <c r="AF89" s="5142"/>
      <c r="AG89" s="5142"/>
      <c r="AH89" s="5142"/>
      <c r="AI89" s="5142"/>
      <c r="AJ89" s="5142"/>
      <c r="AK89" s="5142"/>
      <c r="AL89" s="5142"/>
      <c r="AM89" s="5142"/>
      <c r="AN89" s="5142"/>
      <c r="AO89" s="5142"/>
    </row>
    <row r="90" spans="1:45" s="9" customFormat="1" ht="15" customHeight="1" x14ac:dyDescent="0.25">
      <c r="A90" s="1015" t="s">
        <v>3744</v>
      </c>
      <c r="B90" s="3151"/>
      <c r="C90" s="1264"/>
      <c r="D90" s="3151"/>
      <c r="E90" s="1479"/>
      <c r="F90" s="3151"/>
      <c r="G90" s="1479"/>
      <c r="H90" s="4842"/>
      <c r="I90" s="3147"/>
      <c r="J90" s="5149"/>
      <c r="K90" s="1279"/>
      <c r="L90" s="5150"/>
      <c r="M90" s="377"/>
      <c r="N90" s="383"/>
      <c r="O90" s="482"/>
      <c r="P90" s="383"/>
      <c r="Q90" s="482"/>
      <c r="R90" s="383"/>
      <c r="S90" s="192"/>
      <c r="T90" s="384"/>
      <c r="U90" s="4866"/>
      <c r="V90" s="482"/>
      <c r="W90" s="376"/>
      <c r="X90" s="1115"/>
      <c r="Y90" s="4598"/>
      <c r="Z90" s="5142"/>
      <c r="AA90" s="5142"/>
      <c r="AB90" s="7"/>
      <c r="AC90" s="5142"/>
      <c r="AD90" s="5142"/>
      <c r="AE90" s="5142"/>
      <c r="AF90" s="5142"/>
      <c r="AG90" s="5142"/>
      <c r="AH90" s="5142"/>
      <c r="AI90" s="5142"/>
      <c r="AJ90" s="5142"/>
      <c r="AK90" s="5142"/>
      <c r="AL90" s="5142"/>
      <c r="AM90" s="5142"/>
      <c r="AN90" s="5142"/>
      <c r="AO90" s="5142"/>
    </row>
    <row r="91" spans="1:45" s="9" customFormat="1" ht="15" customHeight="1" x14ac:dyDescent="0.25">
      <c r="A91" s="4807" t="s">
        <v>3745</v>
      </c>
      <c r="B91" s="4834"/>
      <c r="C91" s="636"/>
      <c r="D91" s="4834"/>
      <c r="E91" s="4846"/>
      <c r="F91" s="4834"/>
      <c r="G91" s="4846"/>
      <c r="H91" s="4845"/>
      <c r="I91" s="4847"/>
      <c r="J91" s="5151"/>
      <c r="K91" s="745"/>
      <c r="L91" s="3215"/>
      <c r="M91" s="377"/>
      <c r="N91" s="383"/>
      <c r="O91" s="482"/>
      <c r="P91" s="383"/>
      <c r="Q91" s="482"/>
      <c r="R91" s="383"/>
      <c r="S91" s="192"/>
      <c r="T91" s="384"/>
      <c r="U91" s="4866"/>
      <c r="V91" s="482"/>
      <c r="W91" s="376"/>
      <c r="X91" s="1115"/>
      <c r="Y91" s="4598"/>
      <c r="Z91" s="5142"/>
      <c r="AA91" s="5142"/>
      <c r="AB91" s="7"/>
      <c r="AC91" s="5142"/>
      <c r="AD91" s="5142"/>
      <c r="AE91" s="5142"/>
      <c r="AF91" s="5142"/>
      <c r="AG91" s="5142"/>
      <c r="AH91" s="5142"/>
      <c r="AI91" s="5142"/>
      <c r="AJ91" s="5142"/>
      <c r="AK91" s="5142"/>
      <c r="AL91" s="5142"/>
      <c r="AM91" s="5142"/>
      <c r="AN91" s="5142"/>
      <c r="AO91" s="5142"/>
    </row>
    <row r="92" spans="1:45" s="9" customFormat="1" ht="15" customHeight="1" x14ac:dyDescent="0.25">
      <c r="A92" s="4807" t="s">
        <v>3746</v>
      </c>
      <c r="B92" s="192"/>
      <c r="C92" s="383"/>
      <c r="D92" s="192"/>
      <c r="E92" s="383"/>
      <c r="F92" s="192"/>
      <c r="G92" s="383"/>
      <c r="H92" s="482"/>
      <c r="I92" s="384"/>
      <c r="J92" s="4866"/>
      <c r="K92" s="64"/>
      <c r="L92" s="384"/>
      <c r="M92" s="377"/>
      <c r="N92" s="383"/>
      <c r="O92" s="482"/>
      <c r="P92" s="383"/>
      <c r="Q92" s="482"/>
      <c r="R92" s="383"/>
      <c r="S92" s="192"/>
      <c r="T92" s="384"/>
      <c r="U92" s="4866"/>
      <c r="V92" s="482"/>
      <c r="W92" s="376"/>
      <c r="X92" s="1115"/>
      <c r="Y92" s="4598"/>
      <c r="Z92" s="5142"/>
      <c r="AA92" s="5142"/>
      <c r="AB92" s="5142"/>
      <c r="AC92" s="5142"/>
      <c r="AD92" s="5142"/>
      <c r="AE92" s="5142"/>
      <c r="AF92" s="5142"/>
      <c r="AG92" s="5142"/>
      <c r="AH92" s="5142"/>
      <c r="AI92" s="5142"/>
      <c r="AJ92" s="5142"/>
      <c r="AK92" s="5142"/>
      <c r="AL92" s="5142"/>
      <c r="AM92" s="5142"/>
    </row>
    <row r="93" spans="1:45" s="9" customFormat="1" ht="15" customHeight="1" x14ac:dyDescent="0.25">
      <c r="A93" s="1028" t="s">
        <v>3747</v>
      </c>
      <c r="B93" s="1139"/>
      <c r="C93" s="1140"/>
      <c r="D93" s="1139"/>
      <c r="E93" s="1140"/>
      <c r="F93" s="1139"/>
      <c r="G93" s="1140"/>
      <c r="H93" s="1152"/>
      <c r="I93" s="1351"/>
      <c r="J93" s="1280"/>
      <c r="K93" s="564"/>
      <c r="L93" s="1351"/>
      <c r="M93" s="1330"/>
      <c r="N93" s="1140"/>
      <c r="O93" s="1152"/>
      <c r="P93" s="1140"/>
      <c r="Q93" s="1152"/>
      <c r="R93" s="1140"/>
      <c r="S93" s="1139"/>
      <c r="T93" s="1351"/>
      <c r="U93" s="1280"/>
      <c r="V93" s="1152"/>
      <c r="W93" s="392"/>
      <c r="X93" s="388"/>
      <c r="Y93" s="4599"/>
      <c r="Z93" s="5142"/>
      <c r="AA93" s="5142"/>
      <c r="AB93" s="5142"/>
      <c r="AC93" s="5142"/>
      <c r="AD93" s="5142"/>
      <c r="AE93" s="5142"/>
      <c r="AF93" s="5142"/>
      <c r="AG93" s="5142"/>
      <c r="AH93" s="5142"/>
      <c r="AI93" s="5142"/>
      <c r="AJ93" s="5142"/>
      <c r="AK93" s="5142"/>
      <c r="AL93" s="5142"/>
      <c r="AM93" s="5142"/>
    </row>
    <row r="94" spans="1:45" s="8" customFormat="1" ht="18" customHeight="1" x14ac:dyDescent="0.25">
      <c r="A94" s="15" t="s">
        <v>4392</v>
      </c>
      <c r="B94" s="15"/>
      <c r="C94" s="15"/>
      <c r="D94" s="15"/>
      <c r="E94" s="15"/>
      <c r="F94" s="15"/>
      <c r="G94" s="15"/>
    </row>
    <row r="95" spans="1:45" s="7" customFormat="1" ht="15" customHeight="1" x14ac:dyDescent="0.2">
      <c r="A95" s="7477" t="s">
        <v>3748</v>
      </c>
      <c r="B95" s="6989" t="s">
        <v>3749</v>
      </c>
      <c r="C95" s="7476"/>
      <c r="D95" s="7476"/>
      <c r="E95" s="7476"/>
      <c r="F95" s="7476"/>
      <c r="G95" s="7476"/>
      <c r="H95" s="7476"/>
      <c r="I95" s="7489"/>
      <c r="J95" s="6989" t="s">
        <v>3750</v>
      </c>
      <c r="K95" s="7476"/>
      <c r="L95" s="7476"/>
      <c r="M95" s="7476"/>
      <c r="N95" s="7476"/>
      <c r="O95" s="7476"/>
      <c r="P95" s="7476"/>
      <c r="Q95" s="6991"/>
      <c r="R95" s="7486" t="s">
        <v>4393</v>
      </c>
      <c r="S95" s="7476"/>
      <c r="T95" s="7476"/>
      <c r="U95" s="7476"/>
      <c r="V95" s="7476"/>
      <c r="W95" s="7476"/>
      <c r="X95" s="7476"/>
      <c r="Y95" s="6991"/>
      <c r="Z95" s="7475" t="s">
        <v>3533</v>
      </c>
      <c r="AA95" s="7475"/>
      <c r="AB95" s="7071"/>
      <c r="AC95" s="7486" t="s">
        <v>3751</v>
      </c>
      <c r="AD95" s="7476"/>
      <c r="AE95" s="7476"/>
      <c r="AF95" s="7476"/>
      <c r="AG95" s="7476"/>
      <c r="AH95" s="7476"/>
      <c r="AI95" s="7476"/>
      <c r="AJ95" s="7489"/>
      <c r="AK95" s="5142"/>
      <c r="AL95" s="5142"/>
      <c r="AM95" s="5142"/>
      <c r="AN95" s="5142"/>
      <c r="AO95" s="5142"/>
      <c r="AP95" s="5142"/>
      <c r="AQ95" s="5142"/>
      <c r="AR95" s="5142"/>
      <c r="AS95" s="5142"/>
    </row>
    <row r="96" spans="1:45" s="7" customFormat="1" ht="15" customHeight="1" x14ac:dyDescent="0.2">
      <c r="A96" s="7478"/>
      <c r="B96" s="7475" t="s">
        <v>3140</v>
      </c>
      <c r="C96" s="7457"/>
      <c r="D96" s="7023" t="s">
        <v>1203</v>
      </c>
      <c r="E96" s="7457"/>
      <c r="F96" s="7023" t="s">
        <v>1204</v>
      </c>
      <c r="G96" s="7457"/>
      <c r="H96" s="7023" t="s">
        <v>706</v>
      </c>
      <c r="I96" s="7457"/>
      <c r="J96" s="7475" t="s">
        <v>3140</v>
      </c>
      <c r="K96" s="7457"/>
      <c r="L96" s="7023" t="s">
        <v>1203</v>
      </c>
      <c r="M96" s="7457"/>
      <c r="N96" s="7023" t="s">
        <v>1204</v>
      </c>
      <c r="O96" s="7457"/>
      <c r="P96" s="7023" t="s">
        <v>706</v>
      </c>
      <c r="Q96" s="7071"/>
      <c r="R96" s="7475" t="s">
        <v>3140</v>
      </c>
      <c r="S96" s="7457"/>
      <c r="T96" s="7023" t="s">
        <v>1203</v>
      </c>
      <c r="U96" s="7457"/>
      <c r="V96" s="7023" t="s">
        <v>1204</v>
      </c>
      <c r="W96" s="7457"/>
      <c r="X96" s="7023" t="s">
        <v>706</v>
      </c>
      <c r="Y96" s="7071"/>
      <c r="Z96" s="1135" t="s">
        <v>3559</v>
      </c>
      <c r="AA96" s="7476" t="s">
        <v>1594</v>
      </c>
      <c r="AB96" s="6991"/>
      <c r="AC96" s="7475" t="s">
        <v>3140</v>
      </c>
      <c r="AD96" s="7457"/>
      <c r="AE96" s="7023" t="s">
        <v>1203</v>
      </c>
      <c r="AF96" s="7457"/>
      <c r="AG96" s="7023" t="s">
        <v>1300</v>
      </c>
      <c r="AH96" s="7457"/>
      <c r="AI96" s="7023" t="s">
        <v>706</v>
      </c>
      <c r="AJ96" s="7457"/>
      <c r="AK96" s="5142"/>
      <c r="AL96" s="5142"/>
      <c r="AM96" s="5142"/>
      <c r="AN96" s="5142"/>
      <c r="AO96" s="5142"/>
      <c r="AP96" s="5142"/>
      <c r="AQ96" s="5142"/>
      <c r="AR96" s="5142"/>
      <c r="AS96" s="5142"/>
    </row>
    <row r="97" spans="1:45" s="7" customFormat="1" ht="21" customHeight="1" x14ac:dyDescent="0.2">
      <c r="A97" s="7479"/>
      <c r="B97" s="1093" t="s">
        <v>58</v>
      </c>
      <c r="C97" s="1203" t="s">
        <v>59</v>
      </c>
      <c r="D97" s="1314" t="s">
        <v>58</v>
      </c>
      <c r="E97" s="1203" t="s">
        <v>59</v>
      </c>
      <c r="F97" s="1314" t="s">
        <v>58</v>
      </c>
      <c r="G97" s="1203" t="s">
        <v>59</v>
      </c>
      <c r="H97" s="1314" t="s">
        <v>58</v>
      </c>
      <c r="I97" s="1203" t="s">
        <v>59</v>
      </c>
      <c r="J97" s="1314" t="s">
        <v>58</v>
      </c>
      <c r="K97" s="1203" t="s">
        <v>59</v>
      </c>
      <c r="L97" s="1314" t="s">
        <v>58</v>
      </c>
      <c r="M97" s="1203" t="s">
        <v>59</v>
      </c>
      <c r="N97" s="1314" t="s">
        <v>58</v>
      </c>
      <c r="O97" s="1203" t="s">
        <v>59</v>
      </c>
      <c r="P97" s="1314" t="s">
        <v>58</v>
      </c>
      <c r="Q97" s="4901" t="s">
        <v>59</v>
      </c>
      <c r="R97" s="1093" t="s">
        <v>58</v>
      </c>
      <c r="S97" s="1203" t="s">
        <v>59</v>
      </c>
      <c r="T97" s="1093" t="s">
        <v>58</v>
      </c>
      <c r="U97" s="1203" t="s">
        <v>59</v>
      </c>
      <c r="V97" s="1093" t="s">
        <v>58</v>
      </c>
      <c r="W97" s="1203" t="s">
        <v>59</v>
      </c>
      <c r="X97" s="1314" t="s">
        <v>58</v>
      </c>
      <c r="Y97" s="4901" t="s">
        <v>59</v>
      </c>
      <c r="Z97" s="1833" t="s">
        <v>3724</v>
      </c>
      <c r="AA97" s="1238" t="s">
        <v>3696</v>
      </c>
      <c r="AB97" s="5114" t="s">
        <v>2503</v>
      </c>
      <c r="AC97" s="4521" t="s">
        <v>58</v>
      </c>
      <c r="AD97" s="1203" t="s">
        <v>59</v>
      </c>
      <c r="AE97" s="1093" t="s">
        <v>58</v>
      </c>
      <c r="AF97" s="1203" t="s">
        <v>59</v>
      </c>
      <c r="AG97" s="1314" t="s">
        <v>58</v>
      </c>
      <c r="AH97" s="1203" t="s">
        <v>59</v>
      </c>
      <c r="AI97" s="1314" t="s">
        <v>58</v>
      </c>
      <c r="AJ97" s="1203" t="s">
        <v>59</v>
      </c>
      <c r="AK97" s="5142"/>
      <c r="AL97" s="5142"/>
      <c r="AM97" s="5142"/>
      <c r="AN97" s="5142"/>
      <c r="AO97" s="5142"/>
      <c r="AP97" s="5142"/>
      <c r="AQ97" s="5142"/>
      <c r="AR97" s="5142"/>
      <c r="AS97" s="5142"/>
    </row>
    <row r="98" spans="1:45" s="7" customFormat="1" ht="15" customHeight="1" x14ac:dyDescent="0.2">
      <c r="A98" s="1312" t="s">
        <v>77</v>
      </c>
      <c r="B98" s="3157">
        <f t="shared" ref="B98:AJ98" si="19">SUM(B99:B108)</f>
        <v>0</v>
      </c>
      <c r="C98" s="1129">
        <f t="shared" si="19"/>
        <v>0</v>
      </c>
      <c r="D98" s="3157">
        <f t="shared" si="19"/>
        <v>0</v>
      </c>
      <c r="E98" s="1129">
        <f t="shared" si="19"/>
        <v>0</v>
      </c>
      <c r="F98" s="3157">
        <f t="shared" si="19"/>
        <v>0</v>
      </c>
      <c r="G98" s="1129">
        <f t="shared" si="19"/>
        <v>0</v>
      </c>
      <c r="H98" s="3157">
        <f t="shared" si="19"/>
        <v>0</v>
      </c>
      <c r="I98" s="1129">
        <f t="shared" si="19"/>
        <v>0</v>
      </c>
      <c r="J98" s="3157">
        <f t="shared" si="19"/>
        <v>0</v>
      </c>
      <c r="K98" s="1129">
        <f t="shared" si="19"/>
        <v>0</v>
      </c>
      <c r="L98" s="3157">
        <f t="shared" si="19"/>
        <v>0</v>
      </c>
      <c r="M98" s="1129">
        <f t="shared" si="19"/>
        <v>0</v>
      </c>
      <c r="N98" s="3157">
        <f t="shared" si="19"/>
        <v>0</v>
      </c>
      <c r="O98" s="1129">
        <f t="shared" si="19"/>
        <v>0</v>
      </c>
      <c r="P98" s="3157">
        <f t="shared" si="19"/>
        <v>0</v>
      </c>
      <c r="Q98" s="3157">
        <f t="shared" si="19"/>
        <v>0</v>
      </c>
      <c r="R98" s="4861">
        <f t="shared" si="19"/>
        <v>0</v>
      </c>
      <c r="S98" s="1128">
        <f t="shared" si="19"/>
        <v>0</v>
      </c>
      <c r="T98" s="4987">
        <f t="shared" si="19"/>
        <v>0</v>
      </c>
      <c r="U98" s="1128">
        <f t="shared" si="19"/>
        <v>0</v>
      </c>
      <c r="V98" s="4987">
        <f t="shared" si="19"/>
        <v>0</v>
      </c>
      <c r="W98" s="1128">
        <f t="shared" si="19"/>
        <v>0</v>
      </c>
      <c r="X98" s="4987">
        <f t="shared" si="19"/>
        <v>0</v>
      </c>
      <c r="Y98" s="1131">
        <f t="shared" si="19"/>
        <v>0</v>
      </c>
      <c r="Z98" s="4861">
        <f t="shared" si="19"/>
        <v>0</v>
      </c>
      <c r="AA98" s="5152">
        <f t="shared" si="19"/>
        <v>0</v>
      </c>
      <c r="AB98" s="306">
        <f t="shared" si="19"/>
        <v>0</v>
      </c>
      <c r="AC98" s="5082">
        <f t="shared" si="19"/>
        <v>0</v>
      </c>
      <c r="AD98" s="5084">
        <f t="shared" si="19"/>
        <v>0</v>
      </c>
      <c r="AE98" s="3157">
        <f t="shared" si="19"/>
        <v>0</v>
      </c>
      <c r="AF98" s="5084">
        <f t="shared" si="19"/>
        <v>0</v>
      </c>
      <c r="AG98" s="5085">
        <f t="shared" si="19"/>
        <v>0</v>
      </c>
      <c r="AH98" s="5084">
        <f t="shared" si="19"/>
        <v>0</v>
      </c>
      <c r="AI98" s="5085">
        <f t="shared" si="19"/>
        <v>0</v>
      </c>
      <c r="AJ98" s="5084">
        <f t="shared" si="19"/>
        <v>0</v>
      </c>
      <c r="AK98" s="5142"/>
      <c r="AL98" s="5142"/>
      <c r="AM98" s="5142"/>
      <c r="AN98" s="5142"/>
      <c r="AO98" s="5142"/>
      <c r="AP98" s="5142"/>
      <c r="AQ98" s="5142"/>
      <c r="AR98" s="5142"/>
      <c r="AS98" s="5142"/>
    </row>
    <row r="99" spans="1:45" s="7" customFormat="1" ht="15" customHeight="1" x14ac:dyDescent="0.2">
      <c r="A99" s="1015" t="s">
        <v>3752</v>
      </c>
      <c r="B99" s="482"/>
      <c r="C99" s="383"/>
      <c r="D99" s="192"/>
      <c r="E99" s="383"/>
      <c r="F99" s="192"/>
      <c r="G99" s="383"/>
      <c r="H99" s="192"/>
      <c r="I99" s="383"/>
      <c r="J99" s="192"/>
      <c r="K99" s="383"/>
      <c r="L99" s="192"/>
      <c r="M99" s="383"/>
      <c r="N99" s="192"/>
      <c r="O99" s="383"/>
      <c r="P99" s="192"/>
      <c r="Q99" s="384"/>
      <c r="R99" s="5153">
        <f t="shared" ref="R99:R108" si="20">+B99+J99</f>
        <v>0</v>
      </c>
      <c r="S99" s="591">
        <f t="shared" ref="S99:S108" si="21">+C99+K99</f>
        <v>0</v>
      </c>
      <c r="T99" s="486">
        <f t="shared" ref="T99:T108" si="22">+D99+L99</f>
        <v>0</v>
      </c>
      <c r="U99" s="591">
        <f t="shared" ref="U99:U108" si="23">+E99+M99</f>
        <v>0</v>
      </c>
      <c r="V99" s="486">
        <f t="shared" ref="V99:V108" si="24">+F99+N99</f>
        <v>0</v>
      </c>
      <c r="W99" s="591">
        <f t="shared" ref="W99:W108" si="25">+G99+O99</f>
        <v>0</v>
      </c>
      <c r="X99" s="197">
        <f t="shared" ref="X99:X108" si="26">+H99+P99</f>
        <v>0</v>
      </c>
      <c r="Y99" s="5154">
        <f t="shared" ref="Y99:Y108" si="27">+I99+Q99</f>
        <v>0</v>
      </c>
      <c r="Z99" s="482"/>
      <c r="AA99" s="64"/>
      <c r="AB99" s="384"/>
      <c r="AC99" s="5123"/>
      <c r="AD99" s="5124"/>
      <c r="AE99" s="5125"/>
      <c r="AF99" s="5124"/>
      <c r="AG99" s="5126"/>
      <c r="AH99" s="5124"/>
      <c r="AI99" s="5126"/>
      <c r="AJ99" s="5124"/>
      <c r="AK99" s="5142"/>
      <c r="AL99" s="5142"/>
      <c r="AM99" s="5142"/>
      <c r="AN99" s="5142"/>
      <c r="AO99" s="5142"/>
      <c r="AP99" s="5142"/>
      <c r="AQ99" s="5142"/>
      <c r="AR99" s="5142"/>
      <c r="AS99" s="5142"/>
    </row>
    <row r="100" spans="1:45" s="7" customFormat="1" ht="15" customHeight="1" x14ac:dyDescent="0.2">
      <c r="A100" s="1015" t="s">
        <v>3753</v>
      </c>
      <c r="B100" s="482"/>
      <c r="C100" s="383"/>
      <c r="D100" s="192"/>
      <c r="E100" s="383"/>
      <c r="F100" s="192"/>
      <c r="G100" s="383"/>
      <c r="H100" s="192"/>
      <c r="I100" s="383"/>
      <c r="J100" s="192"/>
      <c r="K100" s="383"/>
      <c r="L100" s="192"/>
      <c r="M100" s="383"/>
      <c r="N100" s="192"/>
      <c r="O100" s="383"/>
      <c r="P100" s="192"/>
      <c r="Q100" s="384"/>
      <c r="R100" s="5153">
        <f t="shared" si="20"/>
        <v>0</v>
      </c>
      <c r="S100" s="591">
        <f t="shared" si="21"/>
        <v>0</v>
      </c>
      <c r="T100" s="486">
        <f t="shared" si="22"/>
        <v>0</v>
      </c>
      <c r="U100" s="591">
        <f t="shared" si="23"/>
        <v>0</v>
      </c>
      <c r="V100" s="486">
        <f t="shared" si="24"/>
        <v>0</v>
      </c>
      <c r="W100" s="591">
        <f t="shared" si="25"/>
        <v>0</v>
      </c>
      <c r="X100" s="197">
        <f t="shared" si="26"/>
        <v>0</v>
      </c>
      <c r="Y100" s="5154">
        <f t="shared" si="27"/>
        <v>0</v>
      </c>
      <c r="Z100" s="482"/>
      <c r="AA100" s="64"/>
      <c r="AB100" s="384"/>
      <c r="AC100" s="5123"/>
      <c r="AD100" s="5124"/>
      <c r="AE100" s="5125"/>
      <c r="AF100" s="5124"/>
      <c r="AG100" s="5126"/>
      <c r="AH100" s="5124"/>
      <c r="AI100" s="5126"/>
      <c r="AJ100" s="5124"/>
      <c r="AK100" s="5142"/>
      <c r="AL100" s="5142"/>
      <c r="AM100" s="5142"/>
      <c r="AN100" s="5142"/>
      <c r="AO100" s="5142"/>
      <c r="AP100" s="5142"/>
      <c r="AQ100" s="5142"/>
      <c r="AR100" s="5142"/>
      <c r="AS100" s="5142"/>
    </row>
    <row r="101" spans="1:45" s="7" customFormat="1" ht="15" customHeight="1" x14ac:dyDescent="0.2">
      <c r="A101" s="1015" t="s">
        <v>3754</v>
      </c>
      <c r="B101" s="482"/>
      <c r="C101" s="383"/>
      <c r="D101" s="192"/>
      <c r="E101" s="383"/>
      <c r="F101" s="192"/>
      <c r="G101" s="383"/>
      <c r="H101" s="192"/>
      <c r="I101" s="383"/>
      <c r="J101" s="192"/>
      <c r="K101" s="383"/>
      <c r="L101" s="192"/>
      <c r="M101" s="383"/>
      <c r="N101" s="192"/>
      <c r="O101" s="383"/>
      <c r="P101" s="192"/>
      <c r="Q101" s="384"/>
      <c r="R101" s="5153">
        <f t="shared" si="20"/>
        <v>0</v>
      </c>
      <c r="S101" s="591">
        <f t="shared" si="21"/>
        <v>0</v>
      </c>
      <c r="T101" s="486">
        <f t="shared" si="22"/>
        <v>0</v>
      </c>
      <c r="U101" s="591">
        <f t="shared" si="23"/>
        <v>0</v>
      </c>
      <c r="V101" s="486">
        <f t="shared" si="24"/>
        <v>0</v>
      </c>
      <c r="W101" s="591">
        <f t="shared" si="25"/>
        <v>0</v>
      </c>
      <c r="X101" s="197">
        <f t="shared" si="26"/>
        <v>0</v>
      </c>
      <c r="Y101" s="5154">
        <f t="shared" si="27"/>
        <v>0</v>
      </c>
      <c r="Z101" s="482"/>
      <c r="AA101" s="64"/>
      <c r="AB101" s="384"/>
      <c r="AC101" s="5123"/>
      <c r="AD101" s="5124"/>
      <c r="AE101" s="5125"/>
      <c r="AF101" s="5124"/>
      <c r="AG101" s="5126"/>
      <c r="AH101" s="5124"/>
      <c r="AI101" s="5126"/>
      <c r="AJ101" s="5124"/>
      <c r="AK101" s="5142"/>
      <c r="AL101" s="5142"/>
      <c r="AM101" s="5142"/>
      <c r="AN101" s="5142"/>
      <c r="AO101" s="5142"/>
      <c r="AP101" s="5142"/>
      <c r="AQ101" s="5142"/>
      <c r="AR101" s="5142"/>
      <c r="AS101" s="5142"/>
    </row>
    <row r="102" spans="1:45" s="7" customFormat="1" ht="15" customHeight="1" x14ac:dyDescent="0.2">
      <c r="A102" s="1015" t="s">
        <v>3755</v>
      </c>
      <c r="B102" s="482"/>
      <c r="C102" s="383"/>
      <c r="D102" s="192"/>
      <c r="E102" s="383"/>
      <c r="F102" s="192"/>
      <c r="G102" s="383"/>
      <c r="H102" s="192"/>
      <c r="I102" s="383"/>
      <c r="J102" s="192"/>
      <c r="K102" s="383"/>
      <c r="L102" s="192"/>
      <c r="M102" s="383"/>
      <c r="N102" s="192"/>
      <c r="O102" s="383"/>
      <c r="P102" s="192"/>
      <c r="Q102" s="384"/>
      <c r="R102" s="5153">
        <f t="shared" si="20"/>
        <v>0</v>
      </c>
      <c r="S102" s="591">
        <f t="shared" si="21"/>
        <v>0</v>
      </c>
      <c r="T102" s="486">
        <f t="shared" si="22"/>
        <v>0</v>
      </c>
      <c r="U102" s="591">
        <f t="shared" si="23"/>
        <v>0</v>
      </c>
      <c r="V102" s="486">
        <f t="shared" si="24"/>
        <v>0</v>
      </c>
      <c r="W102" s="591">
        <f t="shared" si="25"/>
        <v>0</v>
      </c>
      <c r="X102" s="197">
        <f t="shared" si="26"/>
        <v>0</v>
      </c>
      <c r="Y102" s="5154">
        <f t="shared" si="27"/>
        <v>0</v>
      </c>
      <c r="Z102" s="482"/>
      <c r="AA102" s="64"/>
      <c r="AB102" s="384"/>
      <c r="AC102" s="5123"/>
      <c r="AD102" s="5124"/>
      <c r="AE102" s="5125"/>
      <c r="AF102" s="5124"/>
      <c r="AG102" s="5126"/>
      <c r="AH102" s="5124"/>
      <c r="AI102" s="5126"/>
      <c r="AJ102" s="5124"/>
      <c r="AK102" s="5142"/>
      <c r="AL102" s="5142"/>
      <c r="AM102" s="5142"/>
      <c r="AN102" s="5142"/>
      <c r="AO102" s="5142"/>
      <c r="AP102" s="5142"/>
      <c r="AQ102" s="5142"/>
      <c r="AR102" s="5142"/>
      <c r="AS102" s="5142"/>
    </row>
    <row r="103" spans="1:45" s="7" customFormat="1" ht="15" customHeight="1" x14ac:dyDescent="0.2">
      <c r="A103" s="1015" t="s">
        <v>1670</v>
      </c>
      <c r="B103" s="482"/>
      <c r="C103" s="383"/>
      <c r="D103" s="192"/>
      <c r="E103" s="383"/>
      <c r="F103" s="192"/>
      <c r="G103" s="383"/>
      <c r="H103" s="192"/>
      <c r="I103" s="383"/>
      <c r="J103" s="192"/>
      <c r="K103" s="383"/>
      <c r="L103" s="192"/>
      <c r="M103" s="383"/>
      <c r="N103" s="192"/>
      <c r="O103" s="383"/>
      <c r="P103" s="192"/>
      <c r="Q103" s="384"/>
      <c r="R103" s="5153">
        <f t="shared" si="20"/>
        <v>0</v>
      </c>
      <c r="S103" s="591">
        <f t="shared" si="21"/>
        <v>0</v>
      </c>
      <c r="T103" s="486">
        <f t="shared" si="22"/>
        <v>0</v>
      </c>
      <c r="U103" s="591">
        <f t="shared" si="23"/>
        <v>0</v>
      </c>
      <c r="V103" s="486">
        <f t="shared" si="24"/>
        <v>0</v>
      </c>
      <c r="W103" s="591">
        <f t="shared" si="25"/>
        <v>0</v>
      </c>
      <c r="X103" s="197">
        <f t="shared" si="26"/>
        <v>0</v>
      </c>
      <c r="Y103" s="5154">
        <f t="shared" si="27"/>
        <v>0</v>
      </c>
      <c r="Z103" s="482"/>
      <c r="AA103" s="64"/>
      <c r="AB103" s="384"/>
      <c r="AC103" s="5123"/>
      <c r="AD103" s="5124"/>
      <c r="AE103" s="5125"/>
      <c r="AF103" s="5124"/>
      <c r="AG103" s="5126"/>
      <c r="AH103" s="5124"/>
      <c r="AI103" s="5126"/>
      <c r="AJ103" s="5124"/>
      <c r="AK103" s="5142"/>
      <c r="AL103" s="5142"/>
      <c r="AM103" s="5142"/>
      <c r="AN103" s="5142"/>
      <c r="AO103" s="5142"/>
      <c r="AP103" s="5142"/>
      <c r="AQ103" s="5142"/>
      <c r="AR103" s="5142"/>
      <c r="AS103" s="5142"/>
    </row>
    <row r="104" spans="1:45" s="7" customFormat="1" ht="15" customHeight="1" x14ac:dyDescent="0.2">
      <c r="A104" s="1015" t="s">
        <v>3756</v>
      </c>
      <c r="B104" s="482"/>
      <c r="C104" s="383"/>
      <c r="D104" s="192"/>
      <c r="E104" s="383"/>
      <c r="F104" s="192"/>
      <c r="G104" s="383"/>
      <c r="H104" s="192"/>
      <c r="I104" s="383"/>
      <c r="J104" s="192"/>
      <c r="K104" s="383"/>
      <c r="L104" s="192"/>
      <c r="M104" s="383"/>
      <c r="N104" s="192"/>
      <c r="O104" s="383"/>
      <c r="P104" s="192"/>
      <c r="Q104" s="384"/>
      <c r="R104" s="5153">
        <f t="shared" si="20"/>
        <v>0</v>
      </c>
      <c r="S104" s="591">
        <f t="shared" si="21"/>
        <v>0</v>
      </c>
      <c r="T104" s="486">
        <f t="shared" si="22"/>
        <v>0</v>
      </c>
      <c r="U104" s="591">
        <f t="shared" si="23"/>
        <v>0</v>
      </c>
      <c r="V104" s="486">
        <f t="shared" si="24"/>
        <v>0</v>
      </c>
      <c r="W104" s="591">
        <f t="shared" si="25"/>
        <v>0</v>
      </c>
      <c r="X104" s="197">
        <f t="shared" si="26"/>
        <v>0</v>
      </c>
      <c r="Y104" s="5154">
        <f t="shared" si="27"/>
        <v>0</v>
      </c>
      <c r="Z104" s="482"/>
      <c r="AA104" s="64"/>
      <c r="AB104" s="384"/>
      <c r="AC104" s="5123"/>
      <c r="AD104" s="5124"/>
      <c r="AE104" s="5125"/>
      <c r="AF104" s="5124"/>
      <c r="AG104" s="5126"/>
      <c r="AH104" s="5124"/>
      <c r="AI104" s="5126"/>
      <c r="AJ104" s="5124"/>
      <c r="AK104" s="5142"/>
      <c r="AL104" s="5142"/>
      <c r="AM104" s="5142"/>
      <c r="AN104" s="5142"/>
      <c r="AO104" s="5142"/>
      <c r="AP104" s="5142"/>
      <c r="AQ104" s="5142"/>
      <c r="AR104" s="5142"/>
      <c r="AS104" s="5142"/>
    </row>
    <row r="105" spans="1:45" s="7" customFormat="1" ht="15" customHeight="1" x14ac:dyDescent="0.2">
      <c r="A105" s="1015" t="s">
        <v>3757</v>
      </c>
      <c r="B105" s="482"/>
      <c r="C105" s="383"/>
      <c r="D105" s="192"/>
      <c r="E105" s="383"/>
      <c r="F105" s="192"/>
      <c r="G105" s="383"/>
      <c r="H105" s="192"/>
      <c r="I105" s="383"/>
      <c r="J105" s="192"/>
      <c r="K105" s="383"/>
      <c r="L105" s="192"/>
      <c r="M105" s="383"/>
      <c r="N105" s="192"/>
      <c r="O105" s="383"/>
      <c r="P105" s="192"/>
      <c r="Q105" s="384"/>
      <c r="R105" s="5153">
        <f t="shared" si="20"/>
        <v>0</v>
      </c>
      <c r="S105" s="591">
        <f t="shared" si="21"/>
        <v>0</v>
      </c>
      <c r="T105" s="486">
        <f t="shared" si="22"/>
        <v>0</v>
      </c>
      <c r="U105" s="591">
        <f t="shared" si="23"/>
        <v>0</v>
      </c>
      <c r="V105" s="486">
        <f t="shared" si="24"/>
        <v>0</v>
      </c>
      <c r="W105" s="591">
        <f t="shared" si="25"/>
        <v>0</v>
      </c>
      <c r="X105" s="197">
        <f t="shared" si="26"/>
        <v>0</v>
      </c>
      <c r="Y105" s="5154">
        <f t="shared" si="27"/>
        <v>0</v>
      </c>
      <c r="Z105" s="482"/>
      <c r="AA105" s="64"/>
      <c r="AB105" s="384"/>
      <c r="AC105" s="5123"/>
      <c r="AD105" s="5124"/>
      <c r="AE105" s="5125"/>
      <c r="AF105" s="5124"/>
      <c r="AG105" s="5126"/>
      <c r="AH105" s="5124"/>
      <c r="AI105" s="5126"/>
      <c r="AJ105" s="5124"/>
      <c r="AK105" s="5142"/>
      <c r="AL105" s="5142"/>
      <c r="AM105" s="5142"/>
      <c r="AN105" s="5142"/>
      <c r="AO105" s="5142"/>
      <c r="AP105" s="5142"/>
      <c r="AQ105" s="5142"/>
      <c r="AR105" s="5142"/>
      <c r="AS105" s="5142"/>
    </row>
    <row r="106" spans="1:45" s="7" customFormat="1" ht="15" customHeight="1" x14ac:dyDescent="0.2">
      <c r="A106" s="1015" t="s">
        <v>3758</v>
      </c>
      <c r="B106" s="482"/>
      <c r="C106" s="383"/>
      <c r="D106" s="192"/>
      <c r="E106" s="383"/>
      <c r="F106" s="192"/>
      <c r="G106" s="383"/>
      <c r="H106" s="192"/>
      <c r="I106" s="383"/>
      <c r="J106" s="192"/>
      <c r="K106" s="383"/>
      <c r="L106" s="192"/>
      <c r="M106" s="383"/>
      <c r="N106" s="192"/>
      <c r="O106" s="383"/>
      <c r="P106" s="192"/>
      <c r="Q106" s="384"/>
      <c r="R106" s="5153">
        <f t="shared" si="20"/>
        <v>0</v>
      </c>
      <c r="S106" s="591">
        <f t="shared" si="21"/>
        <v>0</v>
      </c>
      <c r="T106" s="486">
        <f t="shared" si="22"/>
        <v>0</v>
      </c>
      <c r="U106" s="591">
        <f t="shared" si="23"/>
        <v>0</v>
      </c>
      <c r="V106" s="486">
        <f t="shared" si="24"/>
        <v>0</v>
      </c>
      <c r="W106" s="591">
        <f t="shared" si="25"/>
        <v>0</v>
      </c>
      <c r="X106" s="197">
        <f t="shared" si="26"/>
        <v>0</v>
      </c>
      <c r="Y106" s="5154">
        <f t="shared" si="27"/>
        <v>0</v>
      </c>
      <c r="Z106" s="482"/>
      <c r="AA106" s="64"/>
      <c r="AB106" s="384"/>
      <c r="AC106" s="5123"/>
      <c r="AD106" s="5124"/>
      <c r="AE106" s="5125"/>
      <c r="AF106" s="5124"/>
      <c r="AG106" s="5126"/>
      <c r="AH106" s="5124"/>
      <c r="AI106" s="5126"/>
      <c r="AJ106" s="5124"/>
      <c r="AK106" s="5142"/>
      <c r="AL106" s="5142"/>
      <c r="AM106" s="5142"/>
      <c r="AN106" s="5142"/>
      <c r="AO106" s="5142"/>
      <c r="AP106" s="5142"/>
      <c r="AQ106" s="5142"/>
      <c r="AR106" s="5142"/>
      <c r="AS106" s="5142"/>
    </row>
    <row r="107" spans="1:45" s="7" customFormat="1" ht="15" customHeight="1" x14ac:dyDescent="0.2">
      <c r="A107" s="1015" t="s">
        <v>3759</v>
      </c>
      <c r="B107" s="482"/>
      <c r="C107" s="383"/>
      <c r="D107" s="192"/>
      <c r="E107" s="383"/>
      <c r="F107" s="192"/>
      <c r="G107" s="383"/>
      <c r="H107" s="192"/>
      <c r="I107" s="383"/>
      <c r="J107" s="192"/>
      <c r="K107" s="383"/>
      <c r="L107" s="192"/>
      <c r="M107" s="383"/>
      <c r="N107" s="192"/>
      <c r="O107" s="383"/>
      <c r="P107" s="192"/>
      <c r="Q107" s="384"/>
      <c r="R107" s="5153">
        <f t="shared" si="20"/>
        <v>0</v>
      </c>
      <c r="S107" s="591">
        <f t="shared" si="21"/>
        <v>0</v>
      </c>
      <c r="T107" s="486">
        <f t="shared" si="22"/>
        <v>0</v>
      </c>
      <c r="U107" s="591">
        <f t="shared" si="23"/>
        <v>0</v>
      </c>
      <c r="V107" s="486">
        <f>+F107+N107</f>
        <v>0</v>
      </c>
      <c r="W107" s="591">
        <f t="shared" si="25"/>
        <v>0</v>
      </c>
      <c r="X107" s="197">
        <f t="shared" si="26"/>
        <v>0</v>
      </c>
      <c r="Y107" s="5154">
        <f t="shared" si="27"/>
        <v>0</v>
      </c>
      <c r="Z107" s="482"/>
      <c r="AA107" s="64"/>
      <c r="AB107" s="384"/>
      <c r="AC107" s="5123"/>
      <c r="AD107" s="5124"/>
      <c r="AE107" s="5125"/>
      <c r="AF107" s="5124"/>
      <c r="AG107" s="5126"/>
      <c r="AH107" s="5124"/>
      <c r="AI107" s="5126"/>
      <c r="AJ107" s="5124"/>
      <c r="AK107" s="5142"/>
      <c r="AL107" s="5142"/>
      <c r="AM107" s="5142"/>
      <c r="AN107" s="5142"/>
      <c r="AO107" s="5142"/>
      <c r="AP107" s="5142"/>
      <c r="AQ107" s="5142"/>
      <c r="AR107" s="5142"/>
      <c r="AS107" s="5142"/>
    </row>
    <row r="108" spans="1:45" s="7" customFormat="1" ht="15" customHeight="1" x14ac:dyDescent="0.2">
      <c r="A108" s="1028" t="s">
        <v>3760</v>
      </c>
      <c r="B108" s="1152"/>
      <c r="C108" s="1140"/>
      <c r="D108" s="1139"/>
      <c r="E108" s="1140"/>
      <c r="F108" s="1139"/>
      <c r="G108" s="1140"/>
      <c r="H108" s="1139"/>
      <c r="I108" s="1140"/>
      <c r="J108" s="1139"/>
      <c r="K108" s="1140"/>
      <c r="L108" s="1139"/>
      <c r="M108" s="1140"/>
      <c r="N108" s="1139"/>
      <c r="O108" s="1140"/>
      <c r="P108" s="1139"/>
      <c r="Q108" s="1351"/>
      <c r="R108" s="5082">
        <f t="shared" si="20"/>
        <v>0</v>
      </c>
      <c r="S108" s="5084">
        <f t="shared" si="21"/>
        <v>0</v>
      </c>
      <c r="T108" s="3157">
        <f t="shared" si="22"/>
        <v>0</v>
      </c>
      <c r="U108" s="5084">
        <f t="shared" si="23"/>
        <v>0</v>
      </c>
      <c r="V108" s="3157">
        <f t="shared" si="24"/>
        <v>0</v>
      </c>
      <c r="W108" s="5084">
        <f t="shared" si="25"/>
        <v>0</v>
      </c>
      <c r="X108" s="5085">
        <f t="shared" si="26"/>
        <v>0</v>
      </c>
      <c r="Y108" s="5115">
        <f t="shared" si="27"/>
        <v>0</v>
      </c>
      <c r="Z108" s="1152"/>
      <c r="AA108" s="564"/>
      <c r="AB108" s="1351"/>
      <c r="AC108" s="5136"/>
      <c r="AD108" s="5137"/>
      <c r="AE108" s="5138"/>
      <c r="AF108" s="5137"/>
      <c r="AG108" s="5139"/>
      <c r="AH108" s="5137"/>
      <c r="AI108" s="5139"/>
      <c r="AJ108" s="5137"/>
      <c r="AK108" s="5142"/>
      <c r="AL108" s="5142"/>
      <c r="AM108" s="5142"/>
      <c r="AN108" s="5142"/>
      <c r="AO108" s="5142"/>
      <c r="AP108" s="5142"/>
      <c r="AQ108" s="5142"/>
      <c r="AR108" s="5142"/>
      <c r="AS108" s="5142"/>
    </row>
    <row r="109" spans="1:45" s="8" customFormat="1" ht="18" customHeight="1" x14ac:dyDescent="0.2">
      <c r="A109" s="15" t="s">
        <v>3761</v>
      </c>
      <c r="B109" s="15"/>
      <c r="C109" s="15"/>
      <c r="D109" s="15"/>
      <c r="E109" s="15"/>
      <c r="F109" s="15"/>
      <c r="G109" s="15"/>
    </row>
    <row r="110" spans="1:45" s="7" customFormat="1" ht="15" customHeight="1" x14ac:dyDescent="0.2">
      <c r="A110" s="7477" t="s">
        <v>3762</v>
      </c>
      <c r="B110" s="6989" t="s">
        <v>3730</v>
      </c>
      <c r="C110" s="7476"/>
      <c r="D110" s="7476"/>
      <c r="E110" s="7476"/>
      <c r="F110" s="7476"/>
      <c r="G110" s="7476"/>
      <c r="H110" s="7476"/>
      <c r="I110" s="7476"/>
      <c r="J110" s="7476"/>
      <c r="K110" s="7476"/>
      <c r="L110" s="6991"/>
      <c r="M110" s="7502" t="s">
        <v>3763</v>
      </c>
      <c r="N110" s="7404"/>
      <c r="O110" s="7404"/>
      <c r="P110" s="7404"/>
      <c r="Q110" s="7404"/>
      <c r="R110" s="7404"/>
      <c r="S110" s="7404"/>
      <c r="T110" s="6518"/>
    </row>
    <row r="111" spans="1:45" s="7" customFormat="1" ht="15" customHeight="1" x14ac:dyDescent="0.2">
      <c r="A111" s="7478"/>
      <c r="B111" s="7475" t="s">
        <v>3140</v>
      </c>
      <c r="C111" s="7457"/>
      <c r="D111" s="7023" t="s">
        <v>1203</v>
      </c>
      <c r="E111" s="7457"/>
      <c r="F111" s="7023" t="s">
        <v>1204</v>
      </c>
      <c r="G111" s="7457"/>
      <c r="H111" s="7023" t="s">
        <v>706</v>
      </c>
      <c r="I111" s="7457"/>
      <c r="J111" s="6975" t="s">
        <v>3533</v>
      </c>
      <c r="K111" s="7475"/>
      <c r="L111" s="7071"/>
      <c r="M111" s="6672"/>
      <c r="N111" s="6467"/>
      <c r="O111" s="6467"/>
      <c r="P111" s="6467"/>
      <c r="Q111" s="6467"/>
      <c r="R111" s="6467"/>
      <c r="S111" s="6467"/>
      <c r="T111" s="6687"/>
    </row>
    <row r="112" spans="1:45" s="7" customFormat="1" ht="15" customHeight="1" x14ac:dyDescent="0.2">
      <c r="A112" s="7478"/>
      <c r="B112" s="7484" t="s">
        <v>58</v>
      </c>
      <c r="C112" s="7406" t="s">
        <v>59</v>
      </c>
      <c r="D112" s="7484" t="s">
        <v>58</v>
      </c>
      <c r="E112" s="7406" t="s">
        <v>59</v>
      </c>
      <c r="F112" s="7484" t="s">
        <v>58</v>
      </c>
      <c r="G112" s="7406" t="s">
        <v>59</v>
      </c>
      <c r="H112" s="7484" t="s">
        <v>58</v>
      </c>
      <c r="I112" s="7494" t="s">
        <v>59</v>
      </c>
      <c r="J112" s="1460" t="s">
        <v>3559</v>
      </c>
      <c r="K112" s="6989" t="s">
        <v>1594</v>
      </c>
      <c r="L112" s="6991"/>
      <c r="M112" s="7475" t="s">
        <v>3140</v>
      </c>
      <c r="N112" s="7457"/>
      <c r="O112" s="7023" t="s">
        <v>1203</v>
      </c>
      <c r="P112" s="7457"/>
      <c r="Q112" s="7475" t="s">
        <v>1204</v>
      </c>
      <c r="R112" s="7457"/>
      <c r="S112" s="7023" t="s">
        <v>706</v>
      </c>
      <c r="T112" s="7457"/>
    </row>
    <row r="113" spans="1:20" s="7" customFormat="1" ht="20.100000000000001" customHeight="1" x14ac:dyDescent="0.2">
      <c r="A113" s="7479"/>
      <c r="B113" s="7485"/>
      <c r="C113" s="6645"/>
      <c r="D113" s="7485"/>
      <c r="E113" s="6645"/>
      <c r="F113" s="7485"/>
      <c r="G113" s="6645"/>
      <c r="H113" s="7485"/>
      <c r="I113" s="6936"/>
      <c r="J113" s="1460" t="s">
        <v>3724</v>
      </c>
      <c r="K113" s="1832" t="s">
        <v>3696</v>
      </c>
      <c r="L113" s="5159" t="s">
        <v>2503</v>
      </c>
      <c r="M113" s="4521" t="s">
        <v>58</v>
      </c>
      <c r="N113" s="1203" t="s">
        <v>59</v>
      </c>
      <c r="O113" s="1314" t="s">
        <v>58</v>
      </c>
      <c r="P113" s="1203" t="s">
        <v>59</v>
      </c>
      <c r="Q113" s="1093" t="s">
        <v>58</v>
      </c>
      <c r="R113" s="1203" t="s">
        <v>59</v>
      </c>
      <c r="S113" s="1314" t="s">
        <v>58</v>
      </c>
      <c r="T113" s="1203" t="s">
        <v>59</v>
      </c>
    </row>
    <row r="114" spans="1:20" s="7" customFormat="1" ht="15" customHeight="1" x14ac:dyDescent="0.2">
      <c r="A114" s="1312" t="s">
        <v>77</v>
      </c>
      <c r="B114" s="1127">
        <f t="shared" ref="B114:G114" si="28">SUM(B115:B118)</f>
        <v>0</v>
      </c>
      <c r="C114" s="1129">
        <f t="shared" si="28"/>
        <v>0</v>
      </c>
      <c r="D114" s="4987">
        <f t="shared" si="28"/>
        <v>0</v>
      </c>
      <c r="E114" s="1129">
        <f t="shared" si="28"/>
        <v>0</v>
      </c>
      <c r="F114" s="4987">
        <f t="shared" si="28"/>
        <v>0</v>
      </c>
      <c r="G114" s="1129">
        <f t="shared" si="28"/>
        <v>0</v>
      </c>
      <c r="H114" s="1127">
        <f t="shared" ref="H114:T114" si="29">SUM(H115:H118)</f>
        <v>0</v>
      </c>
      <c r="I114" s="1131">
        <f t="shared" si="29"/>
        <v>0</v>
      </c>
      <c r="J114" s="1483">
        <f t="shared" si="29"/>
        <v>0</v>
      </c>
      <c r="K114" s="5041">
        <f t="shared" si="29"/>
        <v>0</v>
      </c>
      <c r="L114" s="5160">
        <f t="shared" si="29"/>
        <v>0</v>
      </c>
      <c r="M114" s="5040">
        <f t="shared" si="29"/>
        <v>0</v>
      </c>
      <c r="N114" s="5046">
        <f t="shared" si="29"/>
        <v>0</v>
      </c>
      <c r="O114" s="5042">
        <f t="shared" si="29"/>
        <v>0</v>
      </c>
      <c r="P114" s="5046">
        <f t="shared" si="29"/>
        <v>0</v>
      </c>
      <c r="Q114" s="5041">
        <f t="shared" ref="Q114:R114" si="30">SUM(Q115:Q118)</f>
        <v>0</v>
      </c>
      <c r="R114" s="4783">
        <f t="shared" si="30"/>
        <v>0</v>
      </c>
      <c r="S114" s="5042">
        <f t="shared" si="29"/>
        <v>0</v>
      </c>
      <c r="T114" s="5046">
        <f t="shared" si="29"/>
        <v>0</v>
      </c>
    </row>
    <row r="115" spans="1:20" s="7" customFormat="1" ht="15" customHeight="1" x14ac:dyDescent="0.2">
      <c r="A115" s="1015" t="s">
        <v>3764</v>
      </c>
      <c r="B115" s="4610"/>
      <c r="C115" s="95"/>
      <c r="D115" s="47"/>
      <c r="E115" s="95"/>
      <c r="F115" s="47"/>
      <c r="G115" s="95"/>
      <c r="H115" s="4610"/>
      <c r="I115" s="4612"/>
      <c r="J115" s="42"/>
      <c r="K115" s="4610"/>
      <c r="L115" s="75"/>
      <c r="M115" s="5155"/>
      <c r="N115" s="5156"/>
      <c r="O115" s="5158"/>
      <c r="P115" s="5156"/>
      <c r="Q115" s="5157"/>
      <c r="R115" s="5156"/>
      <c r="S115" s="5158"/>
      <c r="T115" s="5124"/>
    </row>
    <row r="116" spans="1:20" s="7" customFormat="1" ht="15" customHeight="1" x14ac:dyDescent="0.2">
      <c r="A116" s="1015" t="s">
        <v>3765</v>
      </c>
      <c r="B116" s="482"/>
      <c r="C116" s="383"/>
      <c r="D116" s="192"/>
      <c r="E116" s="383"/>
      <c r="F116" s="192"/>
      <c r="G116" s="383"/>
      <c r="H116" s="482"/>
      <c r="I116" s="384"/>
      <c r="J116" s="2"/>
      <c r="K116" s="482"/>
      <c r="L116" s="376"/>
      <c r="M116" s="5123"/>
      <c r="N116" s="5124"/>
      <c r="O116" s="5126"/>
      <c r="P116" s="5124"/>
      <c r="Q116" s="5125"/>
      <c r="R116" s="5124"/>
      <c r="S116" s="5126"/>
      <c r="T116" s="5124"/>
    </row>
    <row r="117" spans="1:20" s="7" customFormat="1" ht="15" customHeight="1" x14ac:dyDescent="0.2">
      <c r="A117" s="1015" t="s">
        <v>3766</v>
      </c>
      <c r="B117" s="482"/>
      <c r="C117" s="383"/>
      <c r="D117" s="192"/>
      <c r="E117" s="383"/>
      <c r="F117" s="192"/>
      <c r="G117" s="383"/>
      <c r="H117" s="482"/>
      <c r="I117" s="384"/>
      <c r="J117" s="2"/>
      <c r="K117" s="482"/>
      <c r="L117" s="376"/>
      <c r="M117" s="5123"/>
      <c r="N117" s="5124"/>
      <c r="O117" s="5126"/>
      <c r="P117" s="5124"/>
      <c r="Q117" s="5125"/>
      <c r="R117" s="5124"/>
      <c r="S117" s="5126"/>
      <c r="T117" s="5124"/>
    </row>
    <row r="118" spans="1:20" s="7" customFormat="1" ht="15" customHeight="1" x14ac:dyDescent="0.2">
      <c r="A118" s="1028" t="s">
        <v>3767</v>
      </c>
      <c r="B118" s="1152"/>
      <c r="C118" s="1140"/>
      <c r="D118" s="1139"/>
      <c r="E118" s="1140"/>
      <c r="F118" s="1139"/>
      <c r="G118" s="1140"/>
      <c r="H118" s="1152"/>
      <c r="I118" s="1351"/>
      <c r="J118" s="388"/>
      <c r="K118" s="1152"/>
      <c r="L118" s="392"/>
      <c r="M118" s="5136"/>
      <c r="N118" s="5137"/>
      <c r="O118" s="5139"/>
      <c r="P118" s="5137"/>
      <c r="Q118" s="5138"/>
      <c r="R118" s="5137"/>
      <c r="S118" s="5139"/>
      <c r="T118" s="5137"/>
    </row>
    <row r="119" spans="1:20" s="8" customFormat="1" ht="18" customHeight="1" x14ac:dyDescent="0.2">
      <c r="A119" s="15" t="s">
        <v>3768</v>
      </c>
      <c r="B119" s="15"/>
      <c r="C119" s="15"/>
      <c r="D119" s="15"/>
      <c r="E119" s="15"/>
      <c r="F119" s="15"/>
      <c r="G119" s="15"/>
    </row>
    <row r="120" spans="1:20" s="9" customFormat="1" ht="20.100000000000001" customHeight="1" x14ac:dyDescent="0.25">
      <c r="A120" s="7418" t="s">
        <v>3769</v>
      </c>
      <c r="B120" s="7401" t="s">
        <v>192</v>
      </c>
      <c r="C120" s="7403" t="s">
        <v>3770</v>
      </c>
      <c r="D120" s="7404"/>
      <c r="E120" s="7404"/>
      <c r="F120" s="6518"/>
      <c r="G120" s="7417" t="s">
        <v>3771</v>
      </c>
      <c r="H120" s="7495"/>
      <c r="I120" s="7494"/>
      <c r="J120" s="6549" t="s">
        <v>3772</v>
      </c>
      <c r="K120" s="7490"/>
      <c r="L120" s="7490"/>
      <c r="M120" s="7490"/>
      <c r="N120" s="7490"/>
      <c r="O120" s="7490"/>
      <c r="P120" s="7490"/>
      <c r="Q120" s="7491"/>
      <c r="R120" s="7314" t="s">
        <v>4429</v>
      </c>
    </row>
    <row r="121" spans="1:20" s="9" customFormat="1" ht="20.100000000000001" customHeight="1" x14ac:dyDescent="0.25">
      <c r="A121" s="7418"/>
      <c r="B121" s="5851"/>
      <c r="C121" s="6466"/>
      <c r="D121" s="6467"/>
      <c r="E121" s="6467"/>
      <c r="F121" s="6687"/>
      <c r="G121" s="6482"/>
      <c r="H121" s="6481"/>
      <c r="I121" s="6936"/>
      <c r="J121" s="7475" t="s">
        <v>3140</v>
      </c>
      <c r="K121" s="7457"/>
      <c r="L121" s="7023" t="s">
        <v>1203</v>
      </c>
      <c r="M121" s="7457"/>
      <c r="N121" s="7023" t="s">
        <v>1204</v>
      </c>
      <c r="O121" s="7457"/>
      <c r="P121" s="6545" t="s">
        <v>706</v>
      </c>
      <c r="Q121" s="7322"/>
      <c r="R121" s="5755"/>
    </row>
    <row r="122" spans="1:20" s="9" customFormat="1" ht="20.100000000000001" customHeight="1" x14ac:dyDescent="0.25">
      <c r="A122" s="7418" t="s">
        <v>3773</v>
      </c>
      <c r="B122" s="6471"/>
      <c r="C122" s="1313" t="s">
        <v>3774</v>
      </c>
      <c r="D122" s="1135" t="s">
        <v>1203</v>
      </c>
      <c r="E122" s="1135" t="s">
        <v>1204</v>
      </c>
      <c r="F122" s="1460" t="s">
        <v>706</v>
      </c>
      <c r="G122" s="5437" t="s">
        <v>79</v>
      </c>
      <c r="H122" s="1093" t="s">
        <v>58</v>
      </c>
      <c r="I122" s="1009" t="s">
        <v>59</v>
      </c>
      <c r="J122" s="4521" t="s">
        <v>58</v>
      </c>
      <c r="K122" s="1439" t="s">
        <v>59</v>
      </c>
      <c r="L122" s="1093" t="s">
        <v>58</v>
      </c>
      <c r="M122" s="1439" t="s">
        <v>59</v>
      </c>
      <c r="N122" s="1093" t="s">
        <v>58</v>
      </c>
      <c r="O122" s="1439" t="s">
        <v>59</v>
      </c>
      <c r="P122" s="1093" t="s">
        <v>58</v>
      </c>
      <c r="Q122" s="1203" t="s">
        <v>59</v>
      </c>
      <c r="R122" s="6540"/>
    </row>
    <row r="123" spans="1:20" s="9" customFormat="1" ht="15" customHeight="1" x14ac:dyDescent="0.25">
      <c r="A123" s="7401"/>
      <c r="B123" s="1363">
        <f>SUM(B124:B129)</f>
        <v>0</v>
      </c>
      <c r="C123" s="4987">
        <f t="shared" ref="C123:Q123" si="31">SUM(C124:C129)</f>
        <v>0</v>
      </c>
      <c r="D123" s="1127">
        <f t="shared" si="31"/>
        <v>0</v>
      </c>
      <c r="E123" s="1127">
        <f t="shared" ref="E123" si="32">SUM(E124:E129)</f>
        <v>0</v>
      </c>
      <c r="F123" s="5161">
        <f t="shared" si="31"/>
        <v>0</v>
      </c>
      <c r="G123" s="3158">
        <f>SUM(G124:G129)</f>
        <v>0</v>
      </c>
      <c r="H123" s="1127">
        <f>SUM(H124:H129)</f>
        <v>0</v>
      </c>
      <c r="I123" s="4966">
        <f t="shared" si="31"/>
        <v>0</v>
      </c>
      <c r="J123" s="5040">
        <f t="shared" si="31"/>
        <v>0</v>
      </c>
      <c r="K123" s="1483">
        <f t="shared" si="31"/>
        <v>0</v>
      </c>
      <c r="L123" s="5041">
        <f t="shared" si="31"/>
        <v>0</v>
      </c>
      <c r="M123" s="1483">
        <f t="shared" si="31"/>
        <v>0</v>
      </c>
      <c r="N123" s="5041">
        <f t="shared" ref="N123:O123" si="33">SUM(N124:N129)</f>
        <v>0</v>
      </c>
      <c r="O123" s="1483">
        <f t="shared" si="33"/>
        <v>0</v>
      </c>
      <c r="P123" s="5042">
        <f t="shared" si="31"/>
        <v>0</v>
      </c>
      <c r="Q123" s="1483">
        <f t="shared" si="31"/>
        <v>0</v>
      </c>
      <c r="R123" s="1483">
        <f>SUM(R124)</f>
        <v>0</v>
      </c>
    </row>
    <row r="124" spans="1:20" s="9" customFormat="1" ht="15" customHeight="1" x14ac:dyDescent="0.25">
      <c r="A124" s="1484" t="s">
        <v>823</v>
      </c>
      <c r="B124" s="1184">
        <f t="shared" ref="B124:B129" si="34">SUM(C124:F124)</f>
        <v>0</v>
      </c>
      <c r="C124" s="192"/>
      <c r="D124" s="482"/>
      <c r="E124" s="482"/>
      <c r="F124" s="2"/>
      <c r="G124" s="1184">
        <f>SUM(H124:I124)</f>
        <v>0</v>
      </c>
      <c r="H124" s="482"/>
      <c r="I124" s="376"/>
      <c r="J124" s="5123"/>
      <c r="K124" s="5162"/>
      <c r="L124" s="5125"/>
      <c r="M124" s="5162"/>
      <c r="N124" s="5125"/>
      <c r="O124" s="5162"/>
      <c r="P124" s="5126"/>
      <c r="Q124" s="5162"/>
      <c r="R124" s="5162"/>
    </row>
    <row r="125" spans="1:20" s="9" customFormat="1" ht="15" customHeight="1" x14ac:dyDescent="0.25">
      <c r="A125" s="5626" t="s">
        <v>3775</v>
      </c>
      <c r="B125" s="5627"/>
      <c r="C125" s="288"/>
      <c r="D125" s="3734"/>
      <c r="E125" s="3734"/>
      <c r="F125" s="131"/>
      <c r="G125" s="5627"/>
      <c r="H125" s="3734"/>
      <c r="I125" s="381"/>
      <c r="J125" s="3817"/>
      <c r="K125" s="131"/>
      <c r="L125" s="3734"/>
      <c r="M125" s="131"/>
      <c r="N125" s="3734"/>
      <c r="O125" s="131"/>
      <c r="P125" s="288"/>
      <c r="Q125" s="131"/>
      <c r="R125" s="131"/>
    </row>
    <row r="126" spans="1:20" s="9" customFormat="1" ht="15" customHeight="1" x14ac:dyDescent="0.25">
      <c r="A126" s="5626" t="s">
        <v>3776</v>
      </c>
      <c r="B126" s="5627"/>
      <c r="C126" s="288"/>
      <c r="D126" s="3734"/>
      <c r="E126" s="3734"/>
      <c r="F126" s="131"/>
      <c r="G126" s="5627"/>
      <c r="H126" s="3734"/>
      <c r="I126" s="381"/>
      <c r="J126" s="3817"/>
      <c r="K126" s="131"/>
      <c r="L126" s="3734"/>
      <c r="M126" s="131"/>
      <c r="N126" s="3734"/>
      <c r="O126" s="131"/>
      <c r="P126" s="288"/>
      <c r="Q126" s="131"/>
      <c r="R126" s="131"/>
    </row>
    <row r="127" spans="1:20" s="9" customFormat="1" ht="15" customHeight="1" x14ac:dyDescent="0.25">
      <c r="A127" s="1485" t="s">
        <v>721</v>
      </c>
      <c r="B127" s="1187">
        <f t="shared" si="34"/>
        <v>0</v>
      </c>
      <c r="C127" s="192"/>
      <c r="D127" s="482"/>
      <c r="E127" s="482"/>
      <c r="F127" s="2"/>
      <c r="G127" s="1187">
        <f t="shared" ref="G127:G129" si="35">SUM(H127:I127)</f>
        <v>0</v>
      </c>
      <c r="H127" s="482"/>
      <c r="I127" s="376"/>
      <c r="J127" s="5123"/>
      <c r="K127" s="5162"/>
      <c r="L127" s="5125"/>
      <c r="M127" s="5162"/>
      <c r="N127" s="5125"/>
      <c r="O127" s="5162"/>
      <c r="P127" s="5126"/>
      <c r="Q127" s="5162"/>
      <c r="R127" s="131"/>
    </row>
    <row r="128" spans="1:20" s="9" customFormat="1" ht="15" customHeight="1" x14ac:dyDescent="0.25">
      <c r="A128" s="1485" t="s">
        <v>3777</v>
      </c>
      <c r="B128" s="1187">
        <f>SUM(C128:F128)</f>
        <v>0</v>
      </c>
      <c r="C128" s="192"/>
      <c r="D128" s="482"/>
      <c r="E128" s="482"/>
      <c r="F128" s="2"/>
      <c r="G128" s="1187">
        <f t="shared" si="35"/>
        <v>0</v>
      </c>
      <c r="H128" s="482"/>
      <c r="I128" s="376"/>
      <c r="J128" s="5123"/>
      <c r="K128" s="5162"/>
      <c r="L128" s="5125"/>
      <c r="M128" s="5162"/>
      <c r="N128" s="5125"/>
      <c r="O128" s="5162"/>
      <c r="P128" s="5126"/>
      <c r="Q128" s="5162"/>
      <c r="R128" s="131"/>
    </row>
    <row r="129" spans="1:18" s="9" customFormat="1" ht="15" customHeight="1" x14ac:dyDescent="0.25">
      <c r="A129" s="1486" t="s">
        <v>591</v>
      </c>
      <c r="B129" s="1188">
        <f t="shared" si="34"/>
        <v>0</v>
      </c>
      <c r="C129" s="1139"/>
      <c r="D129" s="1152"/>
      <c r="E129" s="1152"/>
      <c r="F129" s="388"/>
      <c r="G129" s="1188">
        <f t="shared" si="35"/>
        <v>0</v>
      </c>
      <c r="H129" s="1152"/>
      <c r="I129" s="392"/>
      <c r="J129" s="5136"/>
      <c r="K129" s="5163"/>
      <c r="L129" s="5138"/>
      <c r="M129" s="5163"/>
      <c r="N129" s="5138"/>
      <c r="O129" s="5163"/>
      <c r="P129" s="5139"/>
      <c r="Q129" s="5163"/>
      <c r="R129" s="391"/>
    </row>
    <row r="130" spans="1:18" s="8" customFormat="1" ht="18" customHeight="1" x14ac:dyDescent="0.2">
      <c r="A130" s="15" t="s">
        <v>3778</v>
      </c>
      <c r="B130" s="15"/>
      <c r="C130" s="15"/>
      <c r="D130" s="15"/>
      <c r="E130" s="15"/>
      <c r="F130" s="15"/>
      <c r="G130" s="15"/>
    </row>
    <row r="131" spans="1:18" s="9" customFormat="1" ht="15" customHeight="1" x14ac:dyDescent="0.25">
      <c r="A131" s="7412" t="s">
        <v>3779</v>
      </c>
      <c r="B131" s="7023" t="s">
        <v>3533</v>
      </c>
      <c r="C131" s="7475"/>
      <c r="D131" s="7457"/>
    </row>
    <row r="132" spans="1:18" s="9" customFormat="1" ht="15" customHeight="1" x14ac:dyDescent="0.25">
      <c r="A132" s="6082"/>
      <c r="B132" s="1133" t="s">
        <v>3559</v>
      </c>
      <c r="C132" s="7418" t="s">
        <v>1594</v>
      </c>
      <c r="D132" s="7418"/>
    </row>
    <row r="133" spans="1:18" s="9" customFormat="1" ht="24" customHeight="1" x14ac:dyDescent="0.25">
      <c r="A133" s="6465"/>
      <c r="B133" s="1444" t="s">
        <v>3724</v>
      </c>
      <c r="C133" s="1313" t="s">
        <v>3696</v>
      </c>
      <c r="D133" s="1487" t="s">
        <v>2503</v>
      </c>
    </row>
    <row r="134" spans="1:18" s="9" customFormat="1" ht="18" customHeight="1" x14ac:dyDescent="0.25">
      <c r="A134" s="1488" t="s">
        <v>3780</v>
      </c>
      <c r="B134" s="1489"/>
      <c r="C134" s="1097"/>
      <c r="D134" s="1099"/>
    </row>
    <row r="174" spans="1:2" hidden="1" x14ac:dyDescent="0.3">
      <c r="A174" s="111">
        <f>SUM(B12:Q12,R12:Y67,Z12:AU12,B72:T74,B80:Y80,B98:Q98,R98:Y108,Z98:AJ98,B114:T114,C123:F123,H123:I123,,J123:Q123,B134:D134)</f>
        <v>0</v>
      </c>
      <c r="B174" s="88">
        <f>SUM(CE12:CF67)</f>
        <v>0</v>
      </c>
    </row>
  </sheetData>
  <sheetProtection algorithmName="SHA-512" hashValue="1YLck9GZ0dmqKwsq8rl4WJyoIOKhpnfLTGRnO+ObGdbJqkeJCVYFGPmy4zj9xKgEJBEq/etE0ECJWIkHO29r+g==" saltValue="5lLSMSnXhboNFlh8h/lavw==" spinCount="100000" sheet="1" objects="1" scenarios="1"/>
  <mergeCells count="140">
    <mergeCell ref="X78:X79"/>
    <mergeCell ref="F96:G96"/>
    <mergeCell ref="P96:Q96"/>
    <mergeCell ref="S112:T112"/>
    <mergeCell ref="M110:T111"/>
    <mergeCell ref="AC95:AJ95"/>
    <mergeCell ref="AG96:AH96"/>
    <mergeCell ref="R95:Y95"/>
    <mergeCell ref="V96:W96"/>
    <mergeCell ref="J95:Q95"/>
    <mergeCell ref="N96:O96"/>
    <mergeCell ref="Y78:Y79"/>
    <mergeCell ref="S78:S79"/>
    <mergeCell ref="T78:T79"/>
    <mergeCell ref="Q112:R112"/>
    <mergeCell ref="AI96:AJ96"/>
    <mergeCell ref="AA96:AB96"/>
    <mergeCell ref="AC96:AD96"/>
    <mergeCell ref="AE96:AF96"/>
    <mergeCell ref="T96:U96"/>
    <mergeCell ref="X96:Y96"/>
    <mergeCell ref="Z95:AB95"/>
    <mergeCell ref="R78:R79"/>
    <mergeCell ref="G112:G113"/>
    <mergeCell ref="K70:L70"/>
    <mergeCell ref="Q77:R77"/>
    <mergeCell ref="E78:E79"/>
    <mergeCell ref="B78:B79"/>
    <mergeCell ref="C78:C79"/>
    <mergeCell ref="L96:M96"/>
    <mergeCell ref="R96:S96"/>
    <mergeCell ref="V78:W78"/>
    <mergeCell ref="Q78:Q79"/>
    <mergeCell ref="U78:U79"/>
    <mergeCell ref="G78:G79"/>
    <mergeCell ref="B95:I95"/>
    <mergeCell ref="O78:O79"/>
    <mergeCell ref="P78:P79"/>
    <mergeCell ref="K78:L78"/>
    <mergeCell ref="M78:M79"/>
    <mergeCell ref="N78:N79"/>
    <mergeCell ref="H78:H79"/>
    <mergeCell ref="I78:I79"/>
    <mergeCell ref="S77:T77"/>
    <mergeCell ref="A131:A133"/>
    <mergeCell ref="B131:D131"/>
    <mergeCell ref="C132:D132"/>
    <mergeCell ref="M112:N112"/>
    <mergeCell ref="O112:P112"/>
    <mergeCell ref="A110:A113"/>
    <mergeCell ref="B111:C111"/>
    <mergeCell ref="H111:I111"/>
    <mergeCell ref="A120:A121"/>
    <mergeCell ref="B120:B122"/>
    <mergeCell ref="B112:B113"/>
    <mergeCell ref="C112:C113"/>
    <mergeCell ref="H112:H113"/>
    <mergeCell ref="I112:I113"/>
    <mergeCell ref="J111:L111"/>
    <mergeCell ref="K112:L112"/>
    <mergeCell ref="A122:A123"/>
    <mergeCell ref="D112:D113"/>
    <mergeCell ref="E112:E113"/>
    <mergeCell ref="B110:L110"/>
    <mergeCell ref="F111:G111"/>
    <mergeCell ref="F112:F113"/>
    <mergeCell ref="G120:I121"/>
    <mergeCell ref="D111:E111"/>
    <mergeCell ref="J120:Q120"/>
    <mergeCell ref="N121:O121"/>
    <mergeCell ref="C120:F121"/>
    <mergeCell ref="J121:K121"/>
    <mergeCell ref="L121:M121"/>
    <mergeCell ref="P121:Q121"/>
    <mergeCell ref="AT10:AU10"/>
    <mergeCell ref="A9:A11"/>
    <mergeCell ref="AI10:AJ10"/>
    <mergeCell ref="P10:Q10"/>
    <mergeCell ref="D10:E10"/>
    <mergeCell ref="B10:C10"/>
    <mergeCell ref="H10:I10"/>
    <mergeCell ref="J10:K10"/>
    <mergeCell ref="Z10:Z11"/>
    <mergeCell ref="AA10:AB10"/>
    <mergeCell ref="L10:M10"/>
    <mergeCell ref="R10:S10"/>
    <mergeCell ref="T10:U10"/>
    <mergeCell ref="X10:Y10"/>
    <mergeCell ref="AC10:AD10"/>
    <mergeCell ref="AE10:AF10"/>
    <mergeCell ref="AK10:AK11"/>
    <mergeCell ref="AN9:AU9"/>
    <mergeCell ref="AC9:AJ9"/>
    <mergeCell ref="AG10:AH10"/>
    <mergeCell ref="R9:Y9"/>
    <mergeCell ref="Z9:AB9"/>
    <mergeCell ref="AK9:AM9"/>
    <mergeCell ref="AR10:AS10"/>
    <mergeCell ref="A6:Y6"/>
    <mergeCell ref="A69:A71"/>
    <mergeCell ref="B70:C70"/>
    <mergeCell ref="H70:I70"/>
    <mergeCell ref="M70:N70"/>
    <mergeCell ref="O70:P70"/>
    <mergeCell ref="D70:E70"/>
    <mergeCell ref="S70:T70"/>
    <mergeCell ref="B69:I69"/>
    <mergeCell ref="F70:G70"/>
    <mergeCell ref="J69:L69"/>
    <mergeCell ref="B9:I9"/>
    <mergeCell ref="M69:T69"/>
    <mergeCell ref="Q70:R70"/>
    <mergeCell ref="V10:W10"/>
    <mergeCell ref="J9:Q9"/>
    <mergeCell ref="N10:O10"/>
    <mergeCell ref="F10:G10"/>
    <mergeCell ref="R120:R122"/>
    <mergeCell ref="AN10:AO10"/>
    <mergeCell ref="AP10:AQ10"/>
    <mergeCell ref="AL10:AM10"/>
    <mergeCell ref="A95:A97"/>
    <mergeCell ref="D96:E96"/>
    <mergeCell ref="A76:A79"/>
    <mergeCell ref="B77:C77"/>
    <mergeCell ref="H77:I77"/>
    <mergeCell ref="O77:P77"/>
    <mergeCell ref="J78:J79"/>
    <mergeCell ref="D77:E77"/>
    <mergeCell ref="D78:D79"/>
    <mergeCell ref="F78:F79"/>
    <mergeCell ref="B76:I76"/>
    <mergeCell ref="F77:G77"/>
    <mergeCell ref="B96:C96"/>
    <mergeCell ref="H96:I96"/>
    <mergeCell ref="J96:K96"/>
    <mergeCell ref="M76:W76"/>
    <mergeCell ref="X76:Y77"/>
    <mergeCell ref="J77:L77"/>
    <mergeCell ref="M77:N77"/>
    <mergeCell ref="U77:W77"/>
  </mergeCells>
  <dataValidations count="2">
    <dataValidation type="whole" operator="greaterThanOrEqual" allowBlank="1" showInputMessage="1" showErrorMessage="1" sqref="B115:T118 B72:T74 B99:Q108 B134:D134 Z13:AU67 B13:Q67 Z99:AJ108 B124:R129" xr:uid="{D6B16C41-7EE3-4BD7-8E69-3AEC941C175B}">
      <formula1>0</formula1>
    </dataValidation>
    <dataValidation type="whole" allowBlank="1" showInputMessage="1" showErrorMessage="1" sqref="B81:Y93" xr:uid="{5FCEE4B7-1955-44EA-8D24-0349C81C34DC}">
      <formula1>0</formula1>
      <formula2>9.99999999999999E+40</formula2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U138"/>
  <sheetViews>
    <sheetView showGridLines="0" zoomScaleNormal="100" workbookViewId="0"/>
  </sheetViews>
  <sheetFormatPr baseColWidth="10" defaultColWidth="11.44140625" defaultRowHeight="14.4" x14ac:dyDescent="0.3"/>
  <cols>
    <col min="1" max="1" width="57.44140625" customWidth="1"/>
    <col min="2" max="2" width="11.33203125" customWidth="1"/>
    <col min="3" max="3" width="12.88671875" customWidth="1"/>
    <col min="4" max="4" width="14.33203125" customWidth="1"/>
    <col min="5" max="5" width="14.6640625" customWidth="1"/>
    <col min="6" max="6" width="18.44140625" customWidth="1"/>
    <col min="7" max="7" width="16.109375" customWidth="1"/>
    <col min="8" max="8" width="12" customWidth="1"/>
    <col min="9" max="9" width="11.6640625" customWidth="1"/>
    <col min="10" max="10" width="12" customWidth="1"/>
    <col min="11" max="11" width="11.6640625" customWidth="1"/>
    <col min="13" max="13" width="12.44140625" customWidth="1"/>
    <col min="15" max="15" width="12.33203125" customWidth="1"/>
    <col min="17" max="17" width="11.33203125" customWidth="1"/>
    <col min="18" max="18" width="12" customWidth="1"/>
    <col min="19" max="19" width="11.6640625" customWidth="1"/>
    <col min="21" max="21" width="12.44140625" customWidth="1"/>
    <col min="23" max="23" width="12.33203125" customWidth="1"/>
    <col min="25" max="25" width="11.33203125" customWidth="1"/>
    <col min="28" max="28" width="12.6640625" customWidth="1"/>
    <col min="73" max="96" width="11.6640625" customWidth="1"/>
  </cols>
  <sheetData>
    <row r="1" spans="1:17" x14ac:dyDescent="0.3">
      <c r="A1" s="50" t="s">
        <v>23</v>
      </c>
    </row>
    <row r="2" spans="1:17" x14ac:dyDescent="0.3">
      <c r="A2" s="50" t="str">
        <f>CONCATENATE("COMUNA: ",NOMBRE!B2, " (",NOMBRE!C2,NOMBRE!D2,NOMBRE!E2,NOMBRE!F2,NOMBRE!G2,")")</f>
        <v>COMUNA:  ()</v>
      </c>
    </row>
    <row r="3" spans="1:17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17" x14ac:dyDescent="0.3">
      <c r="A4" s="50" t="str">
        <f>CONCATENATE("MES: ",NOMBRE!B6, " (",NOMBRE!C6,NOMBRE!D6,")")</f>
        <v>MES:  ()</v>
      </c>
    </row>
    <row r="5" spans="1:17" ht="18" customHeight="1" x14ac:dyDescent="0.3">
      <c r="A5" s="2429" t="str">
        <f>CONCATENATE("AÑO: ",NOMBRE!B7)</f>
        <v>AÑO: 2025</v>
      </c>
    </row>
    <row r="6" spans="1:17" s="5164" customFormat="1" ht="18" customHeight="1" x14ac:dyDescent="0.3">
      <c r="A6" s="6539" t="s">
        <v>4394</v>
      </c>
      <c r="B6" s="6539"/>
      <c r="C6" s="6539"/>
      <c r="D6" s="6539"/>
      <c r="E6" s="6539"/>
      <c r="F6" s="6539"/>
      <c r="G6" s="6539"/>
      <c r="H6" s="6539"/>
      <c r="I6" s="6539"/>
      <c r="J6" s="6539"/>
      <c r="K6" s="6539"/>
      <c r="L6" s="6539"/>
      <c r="M6" s="6539"/>
      <c r="N6" s="6539"/>
      <c r="O6" s="6539"/>
      <c r="P6" s="6539"/>
      <c r="Q6" s="6539"/>
    </row>
    <row r="7" spans="1:17" s="5164" customFormat="1" ht="18" customHeight="1" x14ac:dyDescent="0.3">
      <c r="A7" s="6539" t="s">
        <v>3781</v>
      </c>
      <c r="B7" s="6539"/>
      <c r="C7" s="6539"/>
      <c r="D7" s="6539"/>
      <c r="E7" s="6539"/>
      <c r="F7" s="6539"/>
      <c r="G7" s="6539"/>
      <c r="H7" s="6539"/>
      <c r="I7" s="6539"/>
      <c r="J7" s="6539"/>
      <c r="K7" s="6539"/>
      <c r="L7" s="6539"/>
      <c r="M7" s="6539"/>
      <c r="N7" s="6539"/>
      <c r="O7" s="6539"/>
      <c r="P7" s="6539"/>
      <c r="Q7" s="6539"/>
    </row>
    <row r="10" spans="1:17" s="8" customFormat="1" ht="17.100000000000001" customHeight="1" x14ac:dyDescent="0.2">
      <c r="A10" s="1" t="s">
        <v>3782</v>
      </c>
    </row>
    <row r="11" spans="1:17" s="8" customFormat="1" ht="17.100000000000001" customHeight="1" x14ac:dyDescent="0.2">
      <c r="A11" s="1" t="s">
        <v>3783</v>
      </c>
      <c r="B11" s="1"/>
      <c r="C11" s="1"/>
      <c r="D11" s="1"/>
      <c r="E11" s="1"/>
    </row>
    <row r="12" spans="1:17" ht="36" customHeight="1" x14ac:dyDescent="0.3">
      <c r="A12" s="7502" t="s">
        <v>3784</v>
      </c>
      <c r="B12" s="6989" t="s">
        <v>3785</v>
      </c>
      <c r="C12" s="7476"/>
      <c r="D12" s="7476"/>
      <c r="E12" s="7489"/>
      <c r="F12" s="7418" t="s">
        <v>3786</v>
      </c>
      <c r="G12" s="7418"/>
      <c r="H12" s="7418"/>
      <c r="I12" s="6989"/>
      <c r="J12" s="6989" t="s">
        <v>3787</v>
      </c>
      <c r="K12" s="7476"/>
      <c r="L12" s="7476"/>
      <c r="M12" s="7489"/>
      <c r="N12" s="6989" t="s">
        <v>3788</v>
      </c>
      <c r="O12" s="7476"/>
      <c r="P12" s="7476"/>
      <c r="Q12" s="7489"/>
    </row>
    <row r="13" spans="1:17" x14ac:dyDescent="0.3">
      <c r="A13" s="7512"/>
      <c r="B13" s="7023" t="s">
        <v>3789</v>
      </c>
      <c r="C13" s="7457"/>
      <c r="D13" s="7023" t="s">
        <v>2391</v>
      </c>
      <c r="E13" s="7457"/>
      <c r="F13" s="7023" t="s">
        <v>3789</v>
      </c>
      <c r="G13" s="7457"/>
      <c r="H13" s="7023" t="s">
        <v>2391</v>
      </c>
      <c r="I13" s="7457"/>
      <c r="J13" s="7023" t="s">
        <v>3789</v>
      </c>
      <c r="K13" s="7457"/>
      <c r="L13" s="7023" t="s">
        <v>2391</v>
      </c>
      <c r="M13" s="7457"/>
      <c r="N13" s="7023" t="s">
        <v>3789</v>
      </c>
      <c r="O13" s="7457"/>
      <c r="P13" s="7023" t="s">
        <v>2391</v>
      </c>
      <c r="Q13" s="7457"/>
    </row>
    <row r="14" spans="1:17" x14ac:dyDescent="0.3">
      <c r="A14" s="6672"/>
      <c r="B14" s="1314" t="s">
        <v>58</v>
      </c>
      <c r="C14" s="1439" t="s">
        <v>59</v>
      </c>
      <c r="D14" s="1314" t="s">
        <v>58</v>
      </c>
      <c r="E14" s="1439" t="s">
        <v>59</v>
      </c>
      <c r="F14" s="1314" t="s">
        <v>58</v>
      </c>
      <c r="G14" s="1439" t="s">
        <v>59</v>
      </c>
      <c r="H14" s="1314" t="s">
        <v>58</v>
      </c>
      <c r="I14" s="1822" t="s">
        <v>59</v>
      </c>
      <c r="J14" s="1314" t="s">
        <v>58</v>
      </c>
      <c r="K14" s="1203" t="s">
        <v>59</v>
      </c>
      <c r="L14" s="5145" t="s">
        <v>58</v>
      </c>
      <c r="M14" s="946" t="s">
        <v>59</v>
      </c>
      <c r="N14" s="1314" t="s">
        <v>58</v>
      </c>
      <c r="O14" s="1439" t="s">
        <v>59</v>
      </c>
      <c r="P14" s="1314" t="s">
        <v>58</v>
      </c>
      <c r="Q14" s="1439" t="s">
        <v>59</v>
      </c>
    </row>
    <row r="15" spans="1:17" x14ac:dyDescent="0.3">
      <c r="A15" s="1805" t="s">
        <v>77</v>
      </c>
      <c r="B15" s="5165">
        <f t="shared" ref="B15:Q15" si="0">SUM(B16:B27)</f>
        <v>0</v>
      </c>
      <c r="C15" s="5166">
        <f t="shared" si="0"/>
        <v>0</v>
      </c>
      <c r="D15" s="5165">
        <f t="shared" si="0"/>
        <v>0</v>
      </c>
      <c r="E15" s="5166">
        <f t="shared" si="0"/>
        <v>0</v>
      </c>
      <c r="F15" s="5165">
        <f t="shared" si="0"/>
        <v>0</v>
      </c>
      <c r="G15" s="5166">
        <f t="shared" si="0"/>
        <v>0</v>
      </c>
      <c r="H15" s="5165">
        <f t="shared" si="0"/>
        <v>0</v>
      </c>
      <c r="I15" s="5166">
        <f t="shared" si="0"/>
        <v>0</v>
      </c>
      <c r="J15" s="5165">
        <f t="shared" si="0"/>
        <v>0</v>
      </c>
      <c r="K15" s="5166">
        <f t="shared" si="0"/>
        <v>0</v>
      </c>
      <c r="L15" s="5036">
        <f t="shared" si="0"/>
        <v>0</v>
      </c>
      <c r="M15" s="5167">
        <f t="shared" si="0"/>
        <v>0</v>
      </c>
      <c r="N15" s="5165">
        <f t="shared" si="0"/>
        <v>0</v>
      </c>
      <c r="O15" s="5166">
        <f t="shared" si="0"/>
        <v>0</v>
      </c>
      <c r="P15" s="5165">
        <f t="shared" si="0"/>
        <v>0</v>
      </c>
      <c r="Q15" s="5166">
        <f t="shared" si="0"/>
        <v>0</v>
      </c>
    </row>
    <row r="16" spans="1:17" x14ac:dyDescent="0.3">
      <c r="A16" s="4973" t="s">
        <v>1219</v>
      </c>
      <c r="B16" s="1332"/>
      <c r="C16" s="3753"/>
      <c r="D16" s="5168">
        <f t="shared" ref="D16:E27" si="1">SUM(H16+L16)</f>
        <v>0</v>
      </c>
      <c r="E16" s="4994">
        <f t="shared" si="1"/>
        <v>0</v>
      </c>
      <c r="F16" s="1336"/>
      <c r="G16" s="4841"/>
      <c r="H16" s="1114"/>
      <c r="I16" s="1117"/>
      <c r="J16" s="1336"/>
      <c r="K16" s="4841"/>
      <c r="L16" s="4431"/>
      <c r="M16" s="771"/>
      <c r="N16" s="1336"/>
      <c r="O16" s="4841"/>
      <c r="P16" s="5134"/>
      <c r="Q16" s="5132"/>
    </row>
    <row r="17" spans="1:17" x14ac:dyDescent="0.3">
      <c r="A17" s="4973" t="s">
        <v>1220</v>
      </c>
      <c r="B17" s="5129">
        <f>SUM(F17+J17)</f>
        <v>0</v>
      </c>
      <c r="C17" s="4994">
        <f>SUM(G17+K17)</f>
        <v>0</v>
      </c>
      <c r="D17" s="197">
        <f t="shared" si="1"/>
        <v>0</v>
      </c>
      <c r="E17" s="4994">
        <f t="shared" si="1"/>
        <v>0</v>
      </c>
      <c r="F17" s="1114"/>
      <c r="G17" s="1118"/>
      <c r="H17" s="1114"/>
      <c r="I17" s="1117"/>
      <c r="J17" s="1114"/>
      <c r="K17" s="1118"/>
      <c r="L17" s="1116"/>
      <c r="M17" s="1115"/>
      <c r="N17" s="5134"/>
      <c r="O17" s="5132"/>
      <c r="P17" s="5134"/>
      <c r="Q17" s="5132"/>
    </row>
    <row r="18" spans="1:17" x14ac:dyDescent="0.3">
      <c r="A18" s="4973" t="s">
        <v>1222</v>
      </c>
      <c r="B18" s="1336"/>
      <c r="C18" s="4841"/>
      <c r="D18" s="197">
        <f t="shared" si="1"/>
        <v>0</v>
      </c>
      <c r="E18" s="4994">
        <f t="shared" si="1"/>
        <v>0</v>
      </c>
      <c r="F18" s="1336"/>
      <c r="G18" s="4841"/>
      <c r="H18" s="1114"/>
      <c r="I18" s="1117"/>
      <c r="J18" s="1336"/>
      <c r="K18" s="4841"/>
      <c r="L18" s="1116"/>
      <c r="M18" s="1118"/>
      <c r="N18" s="1336"/>
      <c r="O18" s="4841"/>
      <c r="P18" s="5134"/>
      <c r="Q18" s="5132"/>
    </row>
    <row r="19" spans="1:17" x14ac:dyDescent="0.3">
      <c r="A19" s="4973" t="s">
        <v>1240</v>
      </c>
      <c r="B19" s="1336"/>
      <c r="C19" s="4841"/>
      <c r="D19" s="197">
        <f t="shared" si="1"/>
        <v>0</v>
      </c>
      <c r="E19" s="4994">
        <f t="shared" si="1"/>
        <v>0</v>
      </c>
      <c r="F19" s="285"/>
      <c r="G19" s="5169"/>
      <c r="H19" s="1114"/>
      <c r="I19" s="1117"/>
      <c r="J19" s="285"/>
      <c r="K19" s="5169"/>
      <c r="L19" s="1116"/>
      <c r="M19" s="1118"/>
      <c r="N19" s="288"/>
      <c r="O19" s="3809"/>
      <c r="P19" s="5126"/>
      <c r="Q19" s="5124"/>
    </row>
    <row r="20" spans="1:17" x14ac:dyDescent="0.3">
      <c r="A20" s="4973" t="s">
        <v>3136</v>
      </c>
      <c r="B20" s="5129">
        <f>SUM(F20+J20)</f>
        <v>0</v>
      </c>
      <c r="C20" s="4994">
        <f>SUM(G20+K20)</f>
        <v>0</v>
      </c>
      <c r="D20" s="197">
        <f t="shared" si="1"/>
        <v>0</v>
      </c>
      <c r="E20" s="4994">
        <f t="shared" si="1"/>
        <v>0</v>
      </c>
      <c r="F20" s="47"/>
      <c r="G20" s="95"/>
      <c r="H20" s="1114"/>
      <c r="I20" s="1117"/>
      <c r="J20" s="47"/>
      <c r="K20" s="95"/>
      <c r="L20" s="1338"/>
      <c r="M20" s="1118"/>
      <c r="N20" s="5134"/>
      <c r="O20" s="5132"/>
      <c r="P20" s="5126"/>
      <c r="Q20" s="5124"/>
    </row>
    <row r="21" spans="1:17" x14ac:dyDescent="0.3">
      <c r="A21" s="4973" t="s">
        <v>3790</v>
      </c>
      <c r="B21" s="1336"/>
      <c r="C21" s="4841"/>
      <c r="D21" s="197">
        <f t="shared" si="1"/>
        <v>0</v>
      </c>
      <c r="E21" s="4994">
        <f t="shared" si="1"/>
        <v>0</v>
      </c>
      <c r="F21" s="285"/>
      <c r="G21" s="5169"/>
      <c r="H21" s="1114"/>
      <c r="I21" s="1117"/>
      <c r="J21" s="285"/>
      <c r="K21" s="5169"/>
      <c r="L21" s="1116"/>
      <c r="M21" s="1118"/>
      <c r="N21" s="288"/>
      <c r="O21" s="3809"/>
      <c r="P21" s="5126"/>
      <c r="Q21" s="5124"/>
    </row>
    <row r="22" spans="1:17" x14ac:dyDescent="0.3">
      <c r="A22" s="2670" t="s">
        <v>3791</v>
      </c>
      <c r="B22" s="1336"/>
      <c r="C22" s="4841"/>
      <c r="D22" s="197">
        <f t="shared" si="1"/>
        <v>0</v>
      </c>
      <c r="E22" s="4994">
        <f t="shared" si="1"/>
        <v>0</v>
      </c>
      <c r="F22" s="285"/>
      <c r="G22" s="5169"/>
      <c r="H22" s="1114"/>
      <c r="I22" s="1117"/>
      <c r="J22" s="285"/>
      <c r="K22" s="5169"/>
      <c r="L22" s="1116"/>
      <c r="M22" s="1115"/>
      <c r="N22" s="288"/>
      <c r="O22" s="3809"/>
      <c r="P22" s="5126"/>
      <c r="Q22" s="5124"/>
    </row>
    <row r="23" spans="1:17" x14ac:dyDescent="0.3">
      <c r="A23" s="2670" t="s">
        <v>3792</v>
      </c>
      <c r="B23" s="5129">
        <f>SUM(F23+J23)</f>
        <v>0</v>
      </c>
      <c r="C23" s="4994">
        <f>SUM(G23+K23)</f>
        <v>0</v>
      </c>
      <c r="D23" s="5129">
        <f t="shared" si="1"/>
        <v>0</v>
      </c>
      <c r="E23" s="4994">
        <f t="shared" si="1"/>
        <v>0</v>
      </c>
      <c r="F23" s="1114"/>
      <c r="G23" s="1118"/>
      <c r="H23" s="1114"/>
      <c r="I23" s="1117"/>
      <c r="J23" s="1114"/>
      <c r="K23" s="1118"/>
      <c r="L23" s="1116"/>
      <c r="M23" s="1118"/>
      <c r="N23" s="5126"/>
      <c r="O23" s="5124"/>
      <c r="P23" s="5126"/>
      <c r="Q23" s="5124"/>
    </row>
    <row r="24" spans="1:17" x14ac:dyDescent="0.3">
      <c r="A24" s="4973" t="s">
        <v>3793</v>
      </c>
      <c r="B24" s="5129">
        <f>SUM(F24+J24)</f>
        <v>0</v>
      </c>
      <c r="C24" s="4994">
        <f>SUM(G24+K24)</f>
        <v>0</v>
      </c>
      <c r="D24" s="5129">
        <f t="shared" si="1"/>
        <v>0</v>
      </c>
      <c r="E24" s="4994">
        <f t="shared" si="1"/>
        <v>0</v>
      </c>
      <c r="F24" s="1114"/>
      <c r="G24" s="1118"/>
      <c r="H24" s="5170"/>
      <c r="I24" s="5171"/>
      <c r="J24" s="5170"/>
      <c r="K24" s="5171"/>
      <c r="L24" s="5170"/>
      <c r="M24" s="5171"/>
      <c r="N24" s="5126"/>
      <c r="O24" s="5124"/>
      <c r="P24" s="5172"/>
      <c r="Q24" s="5173"/>
    </row>
    <row r="25" spans="1:17" x14ac:dyDescent="0.3">
      <c r="A25" s="2670" t="s">
        <v>3794</v>
      </c>
      <c r="B25" s="1336"/>
      <c r="C25" s="4841"/>
      <c r="D25" s="5129">
        <f t="shared" si="1"/>
        <v>0</v>
      </c>
      <c r="E25" s="4994">
        <f t="shared" si="1"/>
        <v>0</v>
      </c>
      <c r="F25" s="314"/>
      <c r="G25" s="5174"/>
      <c r="H25" s="5175"/>
      <c r="I25" s="5176"/>
      <c r="J25" s="314"/>
      <c r="K25" s="5174"/>
      <c r="L25" s="5175"/>
      <c r="M25" s="5176"/>
      <c r="N25" s="314"/>
      <c r="O25" s="5174"/>
      <c r="P25" s="5177"/>
      <c r="Q25" s="5124"/>
    </row>
    <row r="26" spans="1:17" x14ac:dyDescent="0.3">
      <c r="A26" s="2670" t="s">
        <v>2395</v>
      </c>
      <c r="B26" s="1336"/>
      <c r="C26" s="4841"/>
      <c r="D26" s="197">
        <f t="shared" si="1"/>
        <v>0</v>
      </c>
      <c r="E26" s="4994">
        <f t="shared" si="1"/>
        <v>0</v>
      </c>
      <c r="F26" s="285"/>
      <c r="G26" s="5169"/>
      <c r="H26" s="5178"/>
      <c r="I26" s="5179"/>
      <c r="J26" s="285"/>
      <c r="K26" s="5169"/>
      <c r="L26" s="5178"/>
      <c r="M26" s="5179"/>
      <c r="N26" s="285"/>
      <c r="O26" s="5169"/>
      <c r="P26" s="5177"/>
      <c r="Q26" s="5180"/>
    </row>
    <row r="27" spans="1:17" x14ac:dyDescent="0.3">
      <c r="A27" s="2670" t="s">
        <v>3795</v>
      </c>
      <c r="B27" s="197">
        <f>SUM(F27+J27)</f>
        <v>0</v>
      </c>
      <c r="C27" s="591">
        <f>SUM(G27+K27)</f>
        <v>0</v>
      </c>
      <c r="D27" s="197">
        <f t="shared" si="1"/>
        <v>0</v>
      </c>
      <c r="E27" s="591">
        <f t="shared" si="1"/>
        <v>0</v>
      </c>
      <c r="F27" s="5170"/>
      <c r="G27" s="5181"/>
      <c r="H27" s="5182"/>
      <c r="I27" s="5181"/>
      <c r="J27" s="5182"/>
      <c r="K27" s="5181"/>
      <c r="L27" s="5182"/>
      <c r="M27" s="5181"/>
      <c r="N27" s="5183"/>
      <c r="O27" s="5184"/>
      <c r="P27" s="5183"/>
      <c r="Q27" s="5184"/>
    </row>
    <row r="28" spans="1:17" s="6" customFormat="1" ht="18" customHeight="1" x14ac:dyDescent="0.25">
      <c r="A28" s="7513" t="s">
        <v>3796</v>
      </c>
      <c r="B28" s="7514"/>
      <c r="C28" s="7514"/>
      <c r="D28" s="7514"/>
      <c r="E28" s="7514"/>
      <c r="F28" s="7514"/>
      <c r="G28" s="92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ht="24.75" customHeight="1" x14ac:dyDescent="0.3">
      <c r="A29" s="7401" t="s">
        <v>3784</v>
      </c>
      <c r="B29" s="7418" t="s">
        <v>3797</v>
      </c>
      <c r="C29" s="7418"/>
      <c r="D29" s="7418"/>
      <c r="E29" s="7418"/>
      <c r="F29" s="7418" t="s">
        <v>3798</v>
      </c>
      <c r="G29" s="7418"/>
      <c r="H29" s="7418"/>
      <c r="I29" s="7418"/>
      <c r="J29" s="7418" t="s">
        <v>3799</v>
      </c>
      <c r="K29" s="7418"/>
      <c r="L29" s="7418"/>
      <c r="M29" s="7418"/>
      <c r="N29" s="6989" t="s">
        <v>3800</v>
      </c>
      <c r="O29" s="7476"/>
      <c r="P29" s="7476"/>
      <c r="Q29" s="7489"/>
    </row>
    <row r="30" spans="1:17" x14ac:dyDescent="0.3">
      <c r="A30" s="5851"/>
      <c r="B30" s="7023" t="s">
        <v>3789</v>
      </c>
      <c r="C30" s="7457"/>
      <c r="D30" s="7023" t="s">
        <v>2391</v>
      </c>
      <c r="E30" s="7457"/>
      <c r="F30" s="7023" t="s">
        <v>3789</v>
      </c>
      <c r="G30" s="7457"/>
      <c r="H30" s="7023" t="s">
        <v>2391</v>
      </c>
      <c r="I30" s="7457"/>
      <c r="J30" s="7023" t="s">
        <v>3789</v>
      </c>
      <c r="K30" s="7457"/>
      <c r="L30" s="7023" t="s">
        <v>2391</v>
      </c>
      <c r="M30" s="7457"/>
      <c r="N30" s="7023" t="s">
        <v>3789</v>
      </c>
      <c r="O30" s="7457"/>
      <c r="P30" s="7023" t="s">
        <v>2391</v>
      </c>
      <c r="Q30" s="7457"/>
    </row>
    <row r="31" spans="1:17" x14ac:dyDescent="0.3">
      <c r="A31" s="6471"/>
      <c r="B31" s="1314" t="s">
        <v>58</v>
      </c>
      <c r="C31" s="1439" t="s">
        <v>59</v>
      </c>
      <c r="D31" s="1314" t="s">
        <v>58</v>
      </c>
      <c r="E31" s="1439" t="s">
        <v>59</v>
      </c>
      <c r="F31" s="1314" t="s">
        <v>58</v>
      </c>
      <c r="G31" s="1439" t="s">
        <v>59</v>
      </c>
      <c r="H31" s="1314" t="s">
        <v>58</v>
      </c>
      <c r="I31" s="1439" t="s">
        <v>59</v>
      </c>
      <c r="J31" s="1314" t="s">
        <v>58</v>
      </c>
      <c r="K31" s="1439" t="s">
        <v>59</v>
      </c>
      <c r="L31" s="1314" t="s">
        <v>58</v>
      </c>
      <c r="M31" s="1439" t="s">
        <v>59</v>
      </c>
      <c r="N31" s="1314" t="s">
        <v>58</v>
      </c>
      <c r="O31" s="1439" t="s">
        <v>59</v>
      </c>
      <c r="P31" s="1314" t="s">
        <v>58</v>
      </c>
      <c r="Q31" s="1439" t="s">
        <v>59</v>
      </c>
    </row>
    <row r="32" spans="1:17" x14ac:dyDescent="0.3">
      <c r="A32" s="1312" t="s">
        <v>77</v>
      </c>
      <c r="B32" s="5036">
        <f>SUM(B33+B36+B38+B39+B40)</f>
        <v>0</v>
      </c>
      <c r="C32" s="5185">
        <f>SUM(C33+C36+C38+C39+C40)</f>
        <v>0</v>
      </c>
      <c r="D32" s="5036">
        <f>SUM(D33:D40)</f>
        <v>0</v>
      </c>
      <c r="E32" s="5185">
        <f>SUM(E33:E40)</f>
        <v>0</v>
      </c>
      <c r="F32" s="5036">
        <f>SUM(F33+F36+F38+F39+F40+F41+F42+F43)</f>
        <v>0</v>
      </c>
      <c r="G32" s="5167">
        <f>SUM(G33+G36+G38+G39+G40+G41+G42+G43)</f>
        <v>0</v>
      </c>
      <c r="H32" s="5036">
        <f>SUM(H33:H43)</f>
        <v>0</v>
      </c>
      <c r="I32" s="5167">
        <f>SUM(I33:I43)</f>
        <v>0</v>
      </c>
      <c r="J32" s="5036">
        <f>SUM(J33+J36+J38+J39+J40+J41+J42+J43)</f>
        <v>0</v>
      </c>
      <c r="K32" s="5167">
        <f>SUM(K33+K36+K38+K39+K40+K41+K42+K43)</f>
        <v>0</v>
      </c>
      <c r="L32" s="5036">
        <f>SUM(L33:L43)</f>
        <v>0</v>
      </c>
      <c r="M32" s="5167">
        <f>SUM(M33:M43)</f>
        <v>0</v>
      </c>
      <c r="N32" s="5036">
        <f>SUM(N33+N36+N38+N39+N40+N41+N42+N43)</f>
        <v>0</v>
      </c>
      <c r="O32" s="5167">
        <f>SUM(O33+O36+O38+O39+O40+O41+O42+O43)</f>
        <v>0</v>
      </c>
      <c r="P32" s="5036">
        <f>SUM(P33:P43)</f>
        <v>0</v>
      </c>
      <c r="Q32" s="5185">
        <f>SUM(Q33:Q43)</f>
        <v>0</v>
      </c>
    </row>
    <row r="33" spans="1:21" x14ac:dyDescent="0.3">
      <c r="A33" s="5018" t="s">
        <v>1220</v>
      </c>
      <c r="B33" s="5186">
        <f>SUM(F33+J33)</f>
        <v>0</v>
      </c>
      <c r="C33" s="5187">
        <f>SUM(G33+K33)</f>
        <v>0</v>
      </c>
      <c r="D33" s="5186">
        <f>SUM(H33+L33)</f>
        <v>0</v>
      </c>
      <c r="E33" s="5187">
        <f>SUM(I33+M33)</f>
        <v>0</v>
      </c>
      <c r="F33" s="1106"/>
      <c r="G33" s="771"/>
      <c r="H33" s="1106"/>
      <c r="I33" s="771"/>
      <c r="J33" s="1106"/>
      <c r="K33" s="771"/>
      <c r="L33" s="1106"/>
      <c r="M33" s="771"/>
      <c r="N33" s="5121"/>
      <c r="O33" s="5119"/>
      <c r="P33" s="5121"/>
      <c r="Q33" s="5119"/>
    </row>
    <row r="34" spans="1:21" x14ac:dyDescent="0.3">
      <c r="A34" s="4973" t="s">
        <v>1431</v>
      </c>
      <c r="B34" s="1336"/>
      <c r="C34" s="4841"/>
      <c r="D34" s="5188">
        <f t="shared" ref="D34:E43" si="2">SUM(H34+L34)</f>
        <v>0</v>
      </c>
      <c r="E34" s="5189">
        <f t="shared" si="2"/>
        <v>0</v>
      </c>
      <c r="F34" s="1336"/>
      <c r="G34" s="4841"/>
      <c r="H34" s="1114"/>
      <c r="I34" s="1118"/>
      <c r="J34" s="1336"/>
      <c r="K34" s="4841"/>
      <c r="L34" s="1114"/>
      <c r="M34" s="1118"/>
      <c r="N34" s="1336"/>
      <c r="O34" s="4841"/>
      <c r="P34" s="5134"/>
      <c r="Q34" s="5132"/>
    </row>
    <row r="35" spans="1:21" x14ac:dyDescent="0.3">
      <c r="A35" s="4973" t="s">
        <v>3136</v>
      </c>
      <c r="B35" s="5188">
        <f t="shared" ref="B35:C35" si="3">SUM(F35+J35)</f>
        <v>0</v>
      </c>
      <c r="C35" s="5189">
        <f t="shared" si="3"/>
        <v>0</v>
      </c>
      <c r="D35" s="5188">
        <f t="shared" si="2"/>
        <v>0</v>
      </c>
      <c r="E35" s="5189">
        <f t="shared" si="2"/>
        <v>0</v>
      </c>
      <c r="F35" s="1114"/>
      <c r="G35" s="1118"/>
      <c r="H35" s="1114"/>
      <c r="I35" s="1118"/>
      <c r="J35" s="1336"/>
      <c r="K35" s="4841"/>
      <c r="L35" s="1114"/>
      <c r="M35" s="1118"/>
      <c r="N35" s="1336"/>
      <c r="O35" s="4841"/>
      <c r="P35" s="5134"/>
      <c r="Q35" s="5132"/>
    </row>
    <row r="36" spans="1:21" x14ac:dyDescent="0.3">
      <c r="A36" s="4973" t="s">
        <v>1238</v>
      </c>
      <c r="B36" s="5188">
        <f>SUM(F36+J36)</f>
        <v>0</v>
      </c>
      <c r="C36" s="5189">
        <f>SUM(G36+K36)</f>
        <v>0</v>
      </c>
      <c r="D36" s="5188">
        <f t="shared" si="2"/>
        <v>0</v>
      </c>
      <c r="E36" s="5189">
        <f t="shared" si="2"/>
        <v>0</v>
      </c>
      <c r="F36" s="1114"/>
      <c r="G36" s="1118"/>
      <c r="H36" s="1114"/>
      <c r="I36" s="1118"/>
      <c r="J36" s="1114"/>
      <c r="K36" s="1118"/>
      <c r="L36" s="1114"/>
      <c r="M36" s="1118"/>
      <c r="N36" s="5134"/>
      <c r="O36" s="5132"/>
      <c r="P36" s="5134"/>
      <c r="Q36" s="5132"/>
    </row>
    <row r="37" spans="1:21" x14ac:dyDescent="0.3">
      <c r="A37" s="4973" t="s">
        <v>1209</v>
      </c>
      <c r="B37" s="1336"/>
      <c r="C37" s="4841"/>
      <c r="D37" s="5188">
        <f t="shared" si="2"/>
        <v>0</v>
      </c>
      <c r="E37" s="5189">
        <f t="shared" si="2"/>
        <v>0</v>
      </c>
      <c r="F37" s="1336"/>
      <c r="G37" s="4841"/>
      <c r="H37" s="1114"/>
      <c r="I37" s="1118"/>
      <c r="J37" s="1336"/>
      <c r="K37" s="4841"/>
      <c r="L37" s="1114"/>
      <c r="M37" s="1118"/>
      <c r="N37" s="1336"/>
      <c r="O37" s="4841"/>
      <c r="P37" s="5134"/>
      <c r="Q37" s="5132"/>
    </row>
    <row r="38" spans="1:21" x14ac:dyDescent="0.3">
      <c r="A38" s="4973" t="s">
        <v>3801</v>
      </c>
      <c r="B38" s="5188">
        <f t="shared" ref="B38:C43" si="4">SUM(F38+J38)</f>
        <v>0</v>
      </c>
      <c r="C38" s="5189">
        <f t="shared" si="4"/>
        <v>0</v>
      </c>
      <c r="D38" s="5188">
        <f t="shared" si="2"/>
        <v>0</v>
      </c>
      <c r="E38" s="5189">
        <f t="shared" si="2"/>
        <v>0</v>
      </c>
      <c r="F38" s="47"/>
      <c r="G38" s="95"/>
      <c r="H38" s="47"/>
      <c r="I38" s="95"/>
      <c r="J38" s="47"/>
      <c r="K38" s="95"/>
      <c r="L38" s="47"/>
      <c r="M38" s="95"/>
      <c r="N38" s="5126"/>
      <c r="O38" s="5132"/>
      <c r="P38" s="5134"/>
      <c r="Q38" s="5124"/>
    </row>
    <row r="39" spans="1:21" x14ac:dyDescent="0.3">
      <c r="A39" s="4973" t="s">
        <v>3793</v>
      </c>
      <c r="B39" s="5188">
        <f t="shared" si="4"/>
        <v>0</v>
      </c>
      <c r="C39" s="5189">
        <f t="shared" si="4"/>
        <v>0</v>
      </c>
      <c r="D39" s="5188">
        <f t="shared" si="2"/>
        <v>0</v>
      </c>
      <c r="E39" s="5189">
        <f t="shared" si="2"/>
        <v>0</v>
      </c>
      <c r="F39" s="192"/>
      <c r="G39" s="383"/>
      <c r="H39" s="192"/>
      <c r="I39" s="383"/>
      <c r="J39" s="192"/>
      <c r="K39" s="383"/>
      <c r="L39" s="192"/>
      <c r="M39" s="383"/>
      <c r="N39" s="5126"/>
      <c r="O39" s="5132"/>
      <c r="P39" s="5134"/>
      <c r="Q39" s="5132"/>
    </row>
    <row r="40" spans="1:21" x14ac:dyDescent="0.3">
      <c r="A40" s="4973" t="s">
        <v>2395</v>
      </c>
      <c r="B40" s="5188">
        <f t="shared" si="4"/>
        <v>0</v>
      </c>
      <c r="C40" s="5189">
        <f t="shared" si="4"/>
        <v>0</v>
      </c>
      <c r="D40" s="5188">
        <f t="shared" si="2"/>
        <v>0</v>
      </c>
      <c r="E40" s="5189">
        <f t="shared" si="2"/>
        <v>0</v>
      </c>
      <c r="F40" s="192"/>
      <c r="G40" s="383"/>
      <c r="H40" s="192"/>
      <c r="I40" s="383"/>
      <c r="J40" s="192"/>
      <c r="K40" s="383"/>
      <c r="L40" s="192"/>
      <c r="M40" s="383"/>
      <c r="N40" s="5126"/>
      <c r="O40" s="5132"/>
      <c r="P40" s="5190"/>
      <c r="Q40" s="5132"/>
    </row>
    <row r="41" spans="1:21" x14ac:dyDescent="0.3">
      <c r="A41" s="4973" t="s">
        <v>1434</v>
      </c>
      <c r="B41" s="5188">
        <f t="shared" si="4"/>
        <v>0</v>
      </c>
      <c r="C41" s="5189">
        <f t="shared" si="4"/>
        <v>0</v>
      </c>
      <c r="D41" s="5188">
        <f t="shared" si="2"/>
        <v>0</v>
      </c>
      <c r="E41" s="5189">
        <f t="shared" si="2"/>
        <v>0</v>
      </c>
      <c r="F41" s="192"/>
      <c r="G41" s="2"/>
      <c r="H41" s="192"/>
      <c r="I41" s="383"/>
      <c r="J41" s="482"/>
      <c r="K41" s="383"/>
      <c r="L41" s="192"/>
      <c r="M41" s="383"/>
      <c r="N41" s="5125"/>
      <c r="O41" s="5132"/>
      <c r="P41" s="5134"/>
      <c r="Q41" s="5132"/>
    </row>
    <row r="42" spans="1:21" x14ac:dyDescent="0.3">
      <c r="A42" s="4973" t="s">
        <v>3791</v>
      </c>
      <c r="B42" s="5188">
        <f t="shared" si="4"/>
        <v>0</v>
      </c>
      <c r="C42" s="5189">
        <f t="shared" si="4"/>
        <v>0</v>
      </c>
      <c r="D42" s="5188">
        <f t="shared" si="2"/>
        <v>0</v>
      </c>
      <c r="E42" s="5189">
        <f t="shared" si="2"/>
        <v>0</v>
      </c>
      <c r="F42" s="1114"/>
      <c r="G42" s="1115"/>
      <c r="H42" s="1114"/>
      <c r="I42" s="1118"/>
      <c r="J42" s="1116"/>
      <c r="K42" s="1118"/>
      <c r="L42" s="1114"/>
      <c r="M42" s="1118"/>
      <c r="N42" s="5125"/>
      <c r="O42" s="5132"/>
      <c r="P42" s="5190"/>
      <c r="Q42" s="5132"/>
    </row>
    <row r="43" spans="1:21" x14ac:dyDescent="0.3">
      <c r="A43" s="4523" t="s">
        <v>3802</v>
      </c>
      <c r="B43" s="5191">
        <f t="shared" si="4"/>
        <v>0</v>
      </c>
      <c r="C43" s="5192">
        <f t="shared" si="4"/>
        <v>0</v>
      </c>
      <c r="D43" s="5191">
        <f t="shared" si="2"/>
        <v>0</v>
      </c>
      <c r="E43" s="5192">
        <f t="shared" si="2"/>
        <v>0</v>
      </c>
      <c r="F43" s="1289"/>
      <c r="G43" s="1474"/>
      <c r="H43" s="1289"/>
      <c r="I43" s="311"/>
      <c r="J43" s="5053"/>
      <c r="K43" s="311"/>
      <c r="L43" s="1289"/>
      <c r="M43" s="311"/>
      <c r="N43" s="5193"/>
      <c r="O43" s="5194"/>
      <c r="P43" s="5139"/>
      <c r="Q43" s="5137"/>
    </row>
    <row r="44" spans="1:21" s="6" customFormat="1" ht="17.100000000000001" customHeight="1" x14ac:dyDescent="0.25">
      <c r="A44" s="15" t="s">
        <v>3803</v>
      </c>
      <c r="B44" s="4"/>
      <c r="C44" s="4"/>
      <c r="D44" s="4"/>
      <c r="E44" s="4"/>
      <c r="F44" s="8"/>
      <c r="G44" s="8"/>
      <c r="H44" s="8"/>
      <c r="I44" s="8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1" ht="22.5" customHeight="1" x14ac:dyDescent="0.3">
      <c r="A45" s="7511" t="s">
        <v>3804</v>
      </c>
      <c r="B45" s="7418" t="s">
        <v>3805</v>
      </c>
      <c r="C45" s="7418"/>
      <c r="D45" s="7418"/>
      <c r="E45" s="7418"/>
      <c r="F45" s="7418" t="s">
        <v>3806</v>
      </c>
      <c r="G45" s="7418"/>
      <c r="H45" s="7418"/>
      <c r="I45" s="7418"/>
      <c r="J45" s="7418" t="s">
        <v>4395</v>
      </c>
      <c r="K45" s="7418"/>
      <c r="L45" s="7418"/>
      <c r="M45" s="6989"/>
      <c r="N45" s="7418" t="s">
        <v>3807</v>
      </c>
      <c r="O45" s="7418"/>
      <c r="P45" s="7418"/>
      <c r="Q45" s="7418"/>
      <c r="R45" s="7489" t="s">
        <v>3808</v>
      </c>
      <c r="S45" s="7418"/>
      <c r="T45" s="7418"/>
      <c r="U45" s="7418"/>
    </row>
    <row r="46" spans="1:21" x14ac:dyDescent="0.3">
      <c r="A46" s="7511"/>
      <c r="B46" s="7023" t="s">
        <v>3789</v>
      </c>
      <c r="C46" s="7457"/>
      <c r="D46" s="7023" t="s">
        <v>2391</v>
      </c>
      <c r="E46" s="7457"/>
      <c r="F46" s="7023" t="s">
        <v>3789</v>
      </c>
      <c r="G46" s="7457"/>
      <c r="H46" s="7023" t="s">
        <v>2391</v>
      </c>
      <c r="I46" s="7457"/>
      <c r="J46" s="7023" t="s">
        <v>3789</v>
      </c>
      <c r="K46" s="7457"/>
      <c r="L46" s="7023" t="s">
        <v>2391</v>
      </c>
      <c r="M46" s="7457"/>
      <c r="N46" s="7023" t="s">
        <v>3789</v>
      </c>
      <c r="O46" s="7457"/>
      <c r="P46" s="7023" t="s">
        <v>2391</v>
      </c>
      <c r="Q46" s="7457"/>
      <c r="R46" s="7023" t="s">
        <v>3789</v>
      </c>
      <c r="S46" s="7457"/>
      <c r="T46" s="7023" t="s">
        <v>2391</v>
      </c>
      <c r="U46" s="7457"/>
    </row>
    <row r="47" spans="1:21" x14ac:dyDescent="0.3">
      <c r="A47" s="7511"/>
      <c r="B47" s="1314" t="s">
        <v>58</v>
      </c>
      <c r="C47" s="1439" t="s">
        <v>59</v>
      </c>
      <c r="D47" s="1314" t="s">
        <v>58</v>
      </c>
      <c r="E47" s="1439" t="s">
        <v>59</v>
      </c>
      <c r="F47" s="1314" t="s">
        <v>58</v>
      </c>
      <c r="G47" s="1439" t="s">
        <v>59</v>
      </c>
      <c r="H47" s="1314" t="s">
        <v>58</v>
      </c>
      <c r="I47" s="1439" t="s">
        <v>59</v>
      </c>
      <c r="J47" s="1314" t="s">
        <v>58</v>
      </c>
      <c r="K47" s="1439" t="s">
        <v>59</v>
      </c>
      <c r="L47" s="1314" t="s">
        <v>58</v>
      </c>
      <c r="M47" s="1822" t="s">
        <v>59</v>
      </c>
      <c r="N47" s="1314" t="s">
        <v>58</v>
      </c>
      <c r="O47" s="1439" t="s">
        <v>59</v>
      </c>
      <c r="P47" s="1314" t="s">
        <v>58</v>
      </c>
      <c r="Q47" s="1439" t="s">
        <v>59</v>
      </c>
      <c r="R47" s="1093" t="s">
        <v>58</v>
      </c>
      <c r="S47" s="1439" t="s">
        <v>59</v>
      </c>
      <c r="T47" s="1314" t="s">
        <v>58</v>
      </c>
      <c r="U47" s="1439" t="s">
        <v>59</v>
      </c>
    </row>
    <row r="48" spans="1:21" x14ac:dyDescent="0.3">
      <c r="A48" s="5195" t="s">
        <v>77</v>
      </c>
      <c r="B48" s="4987">
        <f t="shared" ref="B48:M48" si="5">SUM(B49:B52)</f>
        <v>0</v>
      </c>
      <c r="C48" s="5161">
        <f t="shared" si="5"/>
        <v>0</v>
      </c>
      <c r="D48" s="1127">
        <f t="shared" si="5"/>
        <v>0</v>
      </c>
      <c r="E48" s="5161">
        <f t="shared" si="5"/>
        <v>0</v>
      </c>
      <c r="F48" s="4987">
        <f t="shared" si="5"/>
        <v>0</v>
      </c>
      <c r="G48" s="1127">
        <f t="shared" si="5"/>
        <v>0</v>
      </c>
      <c r="H48" s="4987">
        <f t="shared" si="5"/>
        <v>0</v>
      </c>
      <c r="I48" s="1127">
        <f t="shared" si="5"/>
        <v>0</v>
      </c>
      <c r="J48" s="4987">
        <f t="shared" si="5"/>
        <v>0</v>
      </c>
      <c r="K48" s="1127">
        <f t="shared" si="5"/>
        <v>0</v>
      </c>
      <c r="L48" s="4987">
        <f t="shared" si="5"/>
        <v>0</v>
      </c>
      <c r="M48" s="5196">
        <f t="shared" si="5"/>
        <v>0</v>
      </c>
      <c r="N48" s="4987">
        <f>SUM(N49)</f>
        <v>0</v>
      </c>
      <c r="O48" s="5161">
        <f>SUM(O49)</f>
        <v>0</v>
      </c>
      <c r="P48" s="1127">
        <f>SUM(P49)</f>
        <v>0</v>
      </c>
      <c r="Q48" s="1129">
        <f>SUM(Q49)</f>
        <v>0</v>
      </c>
      <c r="R48" s="1127">
        <f t="shared" ref="R48:U48" si="6">SUM(R49:R52)</f>
        <v>0</v>
      </c>
      <c r="S48" s="5161">
        <f t="shared" si="6"/>
        <v>0</v>
      </c>
      <c r="T48" s="4987">
        <f t="shared" si="6"/>
        <v>0</v>
      </c>
      <c r="U48" s="5161">
        <f t="shared" si="6"/>
        <v>0</v>
      </c>
    </row>
    <row r="49" spans="1:21" x14ac:dyDescent="0.3">
      <c r="A49" s="1010" t="s">
        <v>3809</v>
      </c>
      <c r="B49" s="1185">
        <f t="shared" ref="B49:E52" si="7">SUM(F49+J49)</f>
        <v>0</v>
      </c>
      <c r="C49" s="4880">
        <f t="shared" si="7"/>
        <v>0</v>
      </c>
      <c r="D49" s="1185">
        <f t="shared" si="7"/>
        <v>0</v>
      </c>
      <c r="E49" s="4880">
        <f t="shared" si="7"/>
        <v>0</v>
      </c>
      <c r="F49" s="1108"/>
      <c r="G49" s="771"/>
      <c r="H49" s="1106"/>
      <c r="I49" s="771"/>
      <c r="J49" s="1106"/>
      <c r="K49" s="771"/>
      <c r="L49" s="1106"/>
      <c r="M49" s="1109"/>
      <c r="N49" s="1106"/>
      <c r="O49" s="771"/>
      <c r="P49" s="1106"/>
      <c r="Q49" s="771"/>
      <c r="R49" s="1108"/>
      <c r="S49" s="771"/>
      <c r="T49" s="1106"/>
      <c r="U49" s="771"/>
    </row>
    <row r="50" spans="1:21" x14ac:dyDescent="0.3">
      <c r="A50" s="1015" t="s">
        <v>3810</v>
      </c>
      <c r="B50" s="300">
        <f t="shared" si="7"/>
        <v>0</v>
      </c>
      <c r="C50" s="146">
        <f t="shared" si="7"/>
        <v>0</v>
      </c>
      <c r="D50" s="300">
        <f t="shared" si="7"/>
        <v>0</v>
      </c>
      <c r="E50" s="146">
        <f t="shared" si="7"/>
        <v>0</v>
      </c>
      <c r="F50" s="1116"/>
      <c r="G50" s="1118"/>
      <c r="H50" s="1114"/>
      <c r="I50" s="1118"/>
      <c r="J50" s="1114"/>
      <c r="K50" s="1118"/>
      <c r="L50" s="1114"/>
      <c r="M50" s="1117"/>
      <c r="N50" s="1336"/>
      <c r="O50" s="1335"/>
      <c r="P50" s="1336"/>
      <c r="Q50" s="1335"/>
      <c r="R50" s="1116"/>
      <c r="S50" s="1118"/>
      <c r="T50" s="1114"/>
      <c r="U50" s="1118"/>
    </row>
    <row r="51" spans="1:21" x14ac:dyDescent="0.3">
      <c r="A51" s="1015" t="s">
        <v>3811</v>
      </c>
      <c r="B51" s="300">
        <f t="shared" si="7"/>
        <v>0</v>
      </c>
      <c r="C51" s="146">
        <f t="shared" si="7"/>
        <v>0</v>
      </c>
      <c r="D51" s="300">
        <f t="shared" si="7"/>
        <v>0</v>
      </c>
      <c r="E51" s="146">
        <f t="shared" si="7"/>
        <v>0</v>
      </c>
      <c r="F51" s="1116"/>
      <c r="G51" s="1118"/>
      <c r="H51" s="1114"/>
      <c r="I51" s="1118"/>
      <c r="J51" s="1114"/>
      <c r="K51" s="1118"/>
      <c r="L51" s="1114"/>
      <c r="M51" s="1117"/>
      <c r="N51" s="5197"/>
      <c r="O51" s="4841"/>
      <c r="P51" s="5198"/>
      <c r="Q51" s="4841"/>
      <c r="R51" s="1116"/>
      <c r="S51" s="1118"/>
      <c r="T51" s="1114"/>
      <c r="U51" s="1118"/>
    </row>
    <row r="52" spans="1:21" x14ac:dyDescent="0.3">
      <c r="A52" s="1395" t="s">
        <v>3812</v>
      </c>
      <c r="B52" s="3191">
        <f t="shared" si="7"/>
        <v>0</v>
      </c>
      <c r="C52" s="3497">
        <f t="shared" si="7"/>
        <v>0</v>
      </c>
      <c r="D52" s="3191">
        <f t="shared" si="7"/>
        <v>0</v>
      </c>
      <c r="E52" s="3497">
        <f t="shared" si="7"/>
        <v>0</v>
      </c>
      <c r="F52" s="5053"/>
      <c r="G52" s="311"/>
      <c r="H52" s="1289"/>
      <c r="I52" s="311"/>
      <c r="J52" s="1289"/>
      <c r="K52" s="311"/>
      <c r="L52" s="1289"/>
      <c r="M52" s="316"/>
      <c r="N52" s="5199"/>
      <c r="O52" s="4837"/>
      <c r="P52" s="1341"/>
      <c r="Q52" s="3672"/>
      <c r="R52" s="5053"/>
      <c r="S52" s="311"/>
      <c r="T52" s="1289"/>
      <c r="U52" s="311"/>
    </row>
    <row r="53" spans="1:21" s="6" customFormat="1" ht="17.100000000000001" customHeight="1" x14ac:dyDescent="0.25">
      <c r="A53" s="4093" t="s">
        <v>3813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21" ht="22.5" customHeight="1" x14ac:dyDescent="0.3">
      <c r="A54" s="7511" t="s">
        <v>3814</v>
      </c>
      <c r="B54" s="6989" t="s">
        <v>3815</v>
      </c>
      <c r="C54" s="7476"/>
      <c r="D54" s="7476"/>
      <c r="E54" s="7489"/>
      <c r="F54" s="6989" t="s">
        <v>3816</v>
      </c>
      <c r="G54" s="7476"/>
      <c r="H54" s="7476"/>
      <c r="I54" s="7489"/>
      <c r="J54" s="6989" t="s">
        <v>3817</v>
      </c>
      <c r="K54" s="7476"/>
      <c r="L54" s="7476"/>
      <c r="M54" s="7489"/>
      <c r="N54" s="7489" t="s">
        <v>3818</v>
      </c>
      <c r="O54" s="7418"/>
      <c r="P54" s="7418"/>
      <c r="Q54" s="7418"/>
    </row>
    <row r="55" spans="1:21" x14ac:dyDescent="0.3">
      <c r="A55" s="7511"/>
      <c r="B55" s="7023" t="s">
        <v>3789</v>
      </c>
      <c r="C55" s="7457"/>
      <c r="D55" s="7023" t="s">
        <v>2391</v>
      </c>
      <c r="E55" s="7457"/>
      <c r="F55" s="7023" t="s">
        <v>3789</v>
      </c>
      <c r="G55" s="7457"/>
      <c r="H55" s="7023" t="s">
        <v>2391</v>
      </c>
      <c r="I55" s="7457"/>
      <c r="J55" s="7023" t="s">
        <v>3789</v>
      </c>
      <c r="K55" s="7457"/>
      <c r="L55" s="7023" t="s">
        <v>2391</v>
      </c>
      <c r="M55" s="7457"/>
      <c r="N55" s="7023" t="s">
        <v>3789</v>
      </c>
      <c r="O55" s="7457"/>
      <c r="P55" s="7023" t="s">
        <v>2391</v>
      </c>
      <c r="Q55" s="7457"/>
    </row>
    <row r="56" spans="1:21" x14ac:dyDescent="0.3">
      <c r="A56" s="7511"/>
      <c r="B56" s="5200" t="s">
        <v>58</v>
      </c>
      <c r="C56" s="1352" t="s">
        <v>59</v>
      </c>
      <c r="D56" s="5143" t="s">
        <v>58</v>
      </c>
      <c r="E56" s="1352" t="s">
        <v>59</v>
      </c>
      <c r="F56" s="5200" t="s">
        <v>58</v>
      </c>
      <c r="G56" s="1352" t="s">
        <v>59</v>
      </c>
      <c r="H56" s="5143" t="s">
        <v>58</v>
      </c>
      <c r="I56" s="1352" t="s">
        <v>59</v>
      </c>
      <c r="J56" s="1314" t="s">
        <v>58</v>
      </c>
      <c r="K56" s="1439" t="s">
        <v>59</v>
      </c>
      <c r="L56" s="1314" t="s">
        <v>58</v>
      </c>
      <c r="M56" s="1439" t="s">
        <v>59</v>
      </c>
      <c r="N56" s="5143" t="s">
        <v>58</v>
      </c>
      <c r="O56" s="1352" t="s">
        <v>59</v>
      </c>
      <c r="P56" s="5200" t="s">
        <v>58</v>
      </c>
      <c r="Q56" s="1352" t="s">
        <v>59</v>
      </c>
    </row>
    <row r="57" spans="1:21" x14ac:dyDescent="0.3">
      <c r="A57" s="5195" t="s">
        <v>77</v>
      </c>
      <c r="B57" s="5201">
        <f t="shared" ref="B57:E57" si="8">SUM(B58:B62)</f>
        <v>0</v>
      </c>
      <c r="C57" s="1560">
        <f t="shared" si="8"/>
        <v>0</v>
      </c>
      <c r="D57" s="1559">
        <f t="shared" si="8"/>
        <v>0</v>
      </c>
      <c r="E57" s="1560">
        <f t="shared" si="8"/>
        <v>0</v>
      </c>
      <c r="F57" s="5201">
        <f>SUM(F58:F63)</f>
        <v>0</v>
      </c>
      <c r="G57" s="1560">
        <f t="shared" ref="G57:P57" si="9">SUM(G58:G63)</f>
        <v>0</v>
      </c>
      <c r="H57" s="1559">
        <f t="shared" si="9"/>
        <v>0</v>
      </c>
      <c r="I57" s="1560">
        <f>SUM(I58:I63)</f>
        <v>0</v>
      </c>
      <c r="J57" s="5013">
        <f t="shared" si="9"/>
        <v>0</v>
      </c>
      <c r="K57" s="5202">
        <f t="shared" si="9"/>
        <v>0</v>
      </c>
      <c r="L57" s="1558">
        <f t="shared" si="9"/>
        <v>0</v>
      </c>
      <c r="M57" s="1601">
        <f t="shared" si="9"/>
        <v>0</v>
      </c>
      <c r="N57" s="5203">
        <f>SUM(N58:N63)</f>
        <v>0</v>
      </c>
      <c r="O57" s="1601">
        <f t="shared" si="9"/>
        <v>0</v>
      </c>
      <c r="P57" s="1559">
        <f t="shared" si="9"/>
        <v>0</v>
      </c>
      <c r="Q57" s="1268">
        <f>SUM(Q58:Q63)</f>
        <v>0</v>
      </c>
    </row>
    <row r="58" spans="1:21" x14ac:dyDescent="0.3">
      <c r="A58" s="5204" t="s">
        <v>3819</v>
      </c>
      <c r="B58" s="1185">
        <f t="shared" ref="B58:E63" si="10">SUM(F58+J58)</f>
        <v>0</v>
      </c>
      <c r="C58" s="3044">
        <f t="shared" si="10"/>
        <v>0</v>
      </c>
      <c r="D58" s="5116">
        <f t="shared" si="10"/>
        <v>0</v>
      </c>
      <c r="E58" s="3044">
        <f t="shared" si="10"/>
        <v>0</v>
      </c>
      <c r="F58" s="1106"/>
      <c r="G58" s="1107"/>
      <c r="H58" s="1108"/>
      <c r="I58" s="1107"/>
      <c r="J58" s="1108"/>
      <c r="K58" s="1107"/>
      <c r="L58" s="1106"/>
      <c r="M58" s="1107"/>
      <c r="N58" s="5121"/>
      <c r="O58" s="5119"/>
      <c r="P58" s="5121"/>
      <c r="Q58" s="5119"/>
    </row>
    <row r="59" spans="1:21" x14ac:dyDescent="0.3">
      <c r="A59" s="1015" t="s">
        <v>3753</v>
      </c>
      <c r="B59" s="5129">
        <f t="shared" si="10"/>
        <v>0</v>
      </c>
      <c r="C59" s="4994">
        <f t="shared" si="10"/>
        <v>0</v>
      </c>
      <c r="D59" s="5128">
        <f t="shared" si="10"/>
        <v>0</v>
      </c>
      <c r="E59" s="4994">
        <f t="shared" si="10"/>
        <v>0</v>
      </c>
      <c r="F59" s="1114"/>
      <c r="G59" s="1118"/>
      <c r="H59" s="1116"/>
      <c r="I59" s="1118"/>
      <c r="J59" s="1116"/>
      <c r="K59" s="1118"/>
      <c r="L59" s="1114"/>
      <c r="M59" s="1118"/>
      <c r="N59" s="5134"/>
      <c r="O59" s="5132"/>
      <c r="P59" s="5134"/>
      <c r="Q59" s="5132"/>
    </row>
    <row r="60" spans="1:21" x14ac:dyDescent="0.3">
      <c r="A60" s="5205" t="s">
        <v>3820</v>
      </c>
      <c r="B60" s="5129">
        <f t="shared" si="10"/>
        <v>0</v>
      </c>
      <c r="C60" s="4994">
        <f t="shared" si="10"/>
        <v>0</v>
      </c>
      <c r="D60" s="5128">
        <f t="shared" si="10"/>
        <v>0</v>
      </c>
      <c r="E60" s="4994">
        <f t="shared" si="10"/>
        <v>0</v>
      </c>
      <c r="F60" s="1114"/>
      <c r="G60" s="1115"/>
      <c r="H60" s="1116"/>
      <c r="I60" s="1115"/>
      <c r="J60" s="1116"/>
      <c r="K60" s="1115"/>
      <c r="L60" s="1114"/>
      <c r="M60" s="1115"/>
      <c r="N60" s="5134"/>
      <c r="O60" s="5132"/>
      <c r="P60" s="5134"/>
      <c r="Q60" s="5132"/>
    </row>
    <row r="61" spans="1:21" x14ac:dyDescent="0.3">
      <c r="A61" s="5205" t="s">
        <v>3821</v>
      </c>
      <c r="B61" s="5129">
        <f t="shared" si="10"/>
        <v>0</v>
      </c>
      <c r="C61" s="4994">
        <f t="shared" si="10"/>
        <v>0</v>
      </c>
      <c r="D61" s="5128">
        <f t="shared" si="10"/>
        <v>0</v>
      </c>
      <c r="E61" s="4994">
        <f t="shared" si="10"/>
        <v>0</v>
      </c>
      <c r="F61" s="1114"/>
      <c r="G61" s="1115"/>
      <c r="H61" s="1116"/>
      <c r="I61" s="1115"/>
      <c r="J61" s="1116"/>
      <c r="K61" s="1115"/>
      <c r="L61" s="1114"/>
      <c r="M61" s="1115"/>
      <c r="N61" s="5134"/>
      <c r="O61" s="5132"/>
      <c r="P61" s="5134"/>
      <c r="Q61" s="5132"/>
    </row>
    <row r="62" spans="1:21" x14ac:dyDescent="0.3">
      <c r="A62" s="1015" t="s">
        <v>3822</v>
      </c>
      <c r="B62" s="5129">
        <f t="shared" si="10"/>
        <v>0</v>
      </c>
      <c r="C62" s="4994">
        <f t="shared" si="10"/>
        <v>0</v>
      </c>
      <c r="D62" s="5128">
        <f t="shared" si="10"/>
        <v>0</v>
      </c>
      <c r="E62" s="4994">
        <f t="shared" si="10"/>
        <v>0</v>
      </c>
      <c r="F62" s="1114"/>
      <c r="G62" s="1115"/>
      <c r="H62" s="1116"/>
      <c r="I62" s="1115"/>
      <c r="J62" s="1116"/>
      <c r="K62" s="1115"/>
      <c r="L62" s="1114"/>
      <c r="M62" s="1115"/>
      <c r="N62" s="5134"/>
      <c r="O62" s="5132"/>
      <c r="P62" s="5134"/>
      <c r="Q62" s="5132"/>
    </row>
    <row r="63" spans="1:21" x14ac:dyDescent="0.3">
      <c r="A63" s="3515" t="s">
        <v>3823</v>
      </c>
      <c r="B63" s="3191">
        <f t="shared" si="10"/>
        <v>0</v>
      </c>
      <c r="C63" s="3195">
        <f t="shared" si="10"/>
        <v>0</v>
      </c>
      <c r="D63" s="5152">
        <f t="shared" si="10"/>
        <v>0</v>
      </c>
      <c r="E63" s="3195">
        <f t="shared" si="10"/>
        <v>0</v>
      </c>
      <c r="F63" s="1289"/>
      <c r="G63" s="1474"/>
      <c r="H63" s="5053"/>
      <c r="I63" s="1474"/>
      <c r="J63" s="5053"/>
      <c r="K63" s="1474"/>
      <c r="L63" s="1289"/>
      <c r="M63" s="1474"/>
      <c r="N63" s="5206"/>
      <c r="O63" s="5207"/>
      <c r="P63" s="5206"/>
      <c r="Q63" s="5207"/>
    </row>
    <row r="64" spans="1:21" s="6" customFormat="1" ht="17.100000000000001" customHeight="1" x14ac:dyDescent="0.25">
      <c r="A64" s="3" t="s">
        <v>3824</v>
      </c>
      <c r="B64" s="60"/>
      <c r="C64" s="60"/>
      <c r="D64" s="60"/>
      <c r="E64" s="60"/>
    </row>
    <row r="65" spans="1:9" ht="27" customHeight="1" x14ac:dyDescent="0.3">
      <c r="A65" s="7504" t="s">
        <v>3825</v>
      </c>
      <c r="B65" s="7418" t="s">
        <v>4396</v>
      </c>
      <c r="C65" s="7418"/>
      <c r="D65" s="7418"/>
      <c r="E65" s="7418"/>
      <c r="F65" s="6518" t="s">
        <v>3826</v>
      </c>
      <c r="G65" s="7401" t="s">
        <v>3827</v>
      </c>
    </row>
    <row r="66" spans="1:9" x14ac:dyDescent="0.3">
      <c r="A66" s="7504"/>
      <c r="B66" s="7023" t="s">
        <v>3789</v>
      </c>
      <c r="C66" s="7457"/>
      <c r="D66" s="7023" t="s">
        <v>2391</v>
      </c>
      <c r="E66" s="7457"/>
      <c r="F66" s="5759"/>
      <c r="G66" s="5851"/>
    </row>
    <row r="67" spans="1:9" ht="22.5" customHeight="1" x14ac:dyDescent="0.3">
      <c r="A67" s="7504"/>
      <c r="B67" s="1314" t="s">
        <v>58</v>
      </c>
      <c r="C67" s="1439" t="s">
        <v>59</v>
      </c>
      <c r="D67" s="1314" t="s">
        <v>58</v>
      </c>
      <c r="E67" s="1439" t="s">
        <v>59</v>
      </c>
      <c r="F67" s="6687"/>
      <c r="G67" s="6471"/>
    </row>
    <row r="68" spans="1:9" x14ac:dyDescent="0.3">
      <c r="A68" s="5208" t="s">
        <v>77</v>
      </c>
      <c r="B68" s="4987">
        <f t="shared" ref="B68:G68" si="11">SUM(B69:B72)</f>
        <v>0</v>
      </c>
      <c r="C68" s="1127">
        <f t="shared" si="11"/>
        <v>0</v>
      </c>
      <c r="D68" s="4987">
        <f t="shared" si="11"/>
        <v>0</v>
      </c>
      <c r="E68" s="1127">
        <f t="shared" si="11"/>
        <v>0</v>
      </c>
      <c r="F68" s="4987">
        <f t="shared" si="11"/>
        <v>0</v>
      </c>
      <c r="G68" s="1363">
        <f t="shared" si="11"/>
        <v>0</v>
      </c>
    </row>
    <row r="69" spans="1:9" x14ac:dyDescent="0.3">
      <c r="A69" s="1010" t="s">
        <v>98</v>
      </c>
      <c r="B69" s="290"/>
      <c r="C69" s="637"/>
      <c r="D69" s="22"/>
      <c r="E69" s="637"/>
      <c r="F69" s="65"/>
      <c r="G69" s="4432"/>
    </row>
    <row r="70" spans="1:9" x14ac:dyDescent="0.3">
      <c r="A70" s="1187" t="s">
        <v>3828</v>
      </c>
      <c r="B70" s="1114"/>
      <c r="C70" s="1118"/>
      <c r="D70" s="1116"/>
      <c r="E70" s="1118"/>
      <c r="F70" s="1338"/>
      <c r="G70" s="4598"/>
    </row>
    <row r="71" spans="1:9" x14ac:dyDescent="0.3">
      <c r="A71" s="1187" t="s">
        <v>3829</v>
      </c>
      <c r="B71" s="1114"/>
      <c r="C71" s="1118"/>
      <c r="D71" s="1116"/>
      <c r="E71" s="1118"/>
      <c r="F71" s="1338"/>
      <c r="G71" s="4598"/>
    </row>
    <row r="72" spans="1:9" x14ac:dyDescent="0.3">
      <c r="A72" s="1188" t="s">
        <v>105</v>
      </c>
      <c r="B72" s="1139"/>
      <c r="C72" s="1140"/>
      <c r="D72" s="1152"/>
      <c r="E72" s="1140"/>
      <c r="F72" s="564"/>
      <c r="G72" s="4599"/>
    </row>
    <row r="73" spans="1:9" s="6" customFormat="1" ht="17.100000000000001" customHeight="1" x14ac:dyDescent="0.25">
      <c r="A73" s="4093" t="s">
        <v>3830</v>
      </c>
      <c r="B73" s="1"/>
      <c r="C73" s="1"/>
      <c r="D73" s="1"/>
      <c r="E73" s="1"/>
      <c r="F73" s="1"/>
      <c r="G73" s="1"/>
      <c r="H73" s="1"/>
      <c r="I73" s="1"/>
    </row>
    <row r="74" spans="1:9" ht="22.5" customHeight="1" x14ac:dyDescent="0.3">
      <c r="A74" s="7505" t="s">
        <v>3831</v>
      </c>
      <c r="B74" s="7418" t="s">
        <v>3832</v>
      </c>
      <c r="C74" s="7418"/>
      <c r="D74" s="7418"/>
      <c r="E74" s="7418"/>
      <c r="F74" s="7418" t="s">
        <v>3833</v>
      </c>
      <c r="G74" s="7418"/>
      <c r="H74" s="7418"/>
      <c r="I74" s="7418"/>
    </row>
    <row r="75" spans="1:9" x14ac:dyDescent="0.3">
      <c r="A75" s="7506"/>
      <c r="B75" s="7023" t="s">
        <v>3789</v>
      </c>
      <c r="C75" s="7457"/>
      <c r="D75" s="7023" t="s">
        <v>2391</v>
      </c>
      <c r="E75" s="7457"/>
      <c r="F75" s="7023" t="s">
        <v>3789</v>
      </c>
      <c r="G75" s="7457"/>
      <c r="H75" s="7023" t="s">
        <v>2391</v>
      </c>
      <c r="I75" s="7457"/>
    </row>
    <row r="76" spans="1:9" x14ac:dyDescent="0.3">
      <c r="A76" s="7507"/>
      <c r="B76" s="1314" t="s">
        <v>58</v>
      </c>
      <c r="C76" s="1203" t="s">
        <v>59</v>
      </c>
      <c r="D76" s="1093" t="s">
        <v>58</v>
      </c>
      <c r="E76" s="1439" t="s">
        <v>59</v>
      </c>
      <c r="F76" s="1314" t="s">
        <v>58</v>
      </c>
      <c r="G76" s="1439" t="s">
        <v>59</v>
      </c>
      <c r="H76" s="1314" t="s">
        <v>58</v>
      </c>
      <c r="I76" s="1203" t="s">
        <v>59</v>
      </c>
    </row>
    <row r="77" spans="1:9" x14ac:dyDescent="0.3">
      <c r="A77" s="5195" t="s">
        <v>77</v>
      </c>
      <c r="B77" s="1558">
        <f t="shared" ref="B77:I77" si="12">SUM(B78:B79)</f>
        <v>0</v>
      </c>
      <c r="C77" s="5203">
        <f t="shared" si="12"/>
        <v>0</v>
      </c>
      <c r="D77" s="1558">
        <f t="shared" si="12"/>
        <v>0</v>
      </c>
      <c r="E77" s="5203">
        <f t="shared" si="12"/>
        <v>0</v>
      </c>
      <c r="F77" s="5209">
        <f t="shared" si="12"/>
        <v>0</v>
      </c>
      <c r="G77" s="1268">
        <f t="shared" si="12"/>
        <v>0</v>
      </c>
      <c r="H77" s="5209">
        <f t="shared" si="12"/>
        <v>0</v>
      </c>
      <c r="I77" s="1268">
        <f t="shared" si="12"/>
        <v>0</v>
      </c>
    </row>
    <row r="78" spans="1:9" x14ac:dyDescent="0.3">
      <c r="A78" s="1010" t="s">
        <v>3834</v>
      </c>
      <c r="B78" s="1106"/>
      <c r="C78" s="771"/>
      <c r="D78" s="1108"/>
      <c r="E78" s="1107"/>
      <c r="F78" s="5121"/>
      <c r="G78" s="5119"/>
      <c r="H78" s="5121"/>
      <c r="I78" s="5119"/>
    </row>
    <row r="79" spans="1:9" x14ac:dyDescent="0.3">
      <c r="A79" s="1028" t="s">
        <v>3835</v>
      </c>
      <c r="B79" s="1289"/>
      <c r="C79" s="311"/>
      <c r="D79" s="5053"/>
      <c r="E79" s="311"/>
      <c r="F79" s="5206"/>
      <c r="G79" s="5207"/>
      <c r="H79" s="5206"/>
      <c r="I79" s="5207"/>
    </row>
    <row r="80" spans="1:9" s="6" customFormat="1" ht="17.100000000000001" customHeight="1" x14ac:dyDescent="0.25">
      <c r="A80" s="15" t="s">
        <v>3836</v>
      </c>
    </row>
    <row r="81" spans="1:7" s="6" customFormat="1" ht="17.100000000000001" customHeight="1" x14ac:dyDescent="0.25">
      <c r="A81" s="1" t="s">
        <v>3837</v>
      </c>
      <c r="B81" s="15"/>
      <c r="C81" s="5210"/>
      <c r="D81" s="5210"/>
      <c r="E81" s="5210"/>
      <c r="F81" s="5210"/>
      <c r="G81" s="8"/>
    </row>
    <row r="82" spans="1:7" ht="24.75" customHeight="1" x14ac:dyDescent="0.3">
      <c r="A82" s="7480" t="s">
        <v>3838</v>
      </c>
      <c r="B82" s="7489" t="s">
        <v>77</v>
      </c>
      <c r="C82" s="7403" t="s">
        <v>4397</v>
      </c>
      <c r="D82" s="7404"/>
      <c r="E82" s="6518"/>
    </row>
    <row r="83" spans="1:7" ht="11.25" customHeight="1" x14ac:dyDescent="0.3">
      <c r="A83" s="7481"/>
      <c r="B83" s="7489"/>
      <c r="C83" s="6466"/>
      <c r="D83" s="6467"/>
      <c r="E83" s="6687"/>
    </row>
    <row r="84" spans="1:7" ht="20.399999999999999" x14ac:dyDescent="0.3">
      <c r="A84" s="7482"/>
      <c r="B84" s="6518"/>
      <c r="C84" s="1313" t="s">
        <v>3789</v>
      </c>
      <c r="D84" s="5211" t="s">
        <v>2391</v>
      </c>
      <c r="E84" s="5212" t="s">
        <v>3839</v>
      </c>
    </row>
    <row r="85" spans="1:7" x14ac:dyDescent="0.3">
      <c r="A85" s="1010" t="s">
        <v>1180</v>
      </c>
      <c r="B85" s="1184">
        <f>SUM(C85:E85)</f>
        <v>0</v>
      </c>
      <c r="C85" s="22"/>
      <c r="D85" s="637"/>
      <c r="E85" s="4432"/>
    </row>
    <row r="86" spans="1:7" x14ac:dyDescent="0.3">
      <c r="A86" s="400" t="s">
        <v>3840</v>
      </c>
      <c r="B86" s="3190">
        <f>SUM(C86:E86)</f>
        <v>0</v>
      </c>
      <c r="C86" s="5053"/>
      <c r="D86" s="311"/>
      <c r="E86" s="3450"/>
    </row>
    <row r="87" spans="1:7" s="6" customFormat="1" ht="17.100000000000001" customHeight="1" x14ac:dyDescent="0.25">
      <c r="A87" s="5213" t="s">
        <v>3841</v>
      </c>
      <c r="B87" s="5214"/>
      <c r="C87" s="5215"/>
      <c r="D87" s="5215"/>
      <c r="E87" s="5215"/>
      <c r="F87" s="5216"/>
    </row>
    <row r="88" spans="1:7" ht="24.75" customHeight="1" x14ac:dyDescent="0.3">
      <c r="A88" s="7480" t="s">
        <v>3842</v>
      </c>
      <c r="B88" s="7508" t="s">
        <v>77</v>
      </c>
      <c r="C88" s="6989" t="s">
        <v>4398</v>
      </c>
      <c r="D88" s="6991"/>
      <c r="E88" s="7404" t="s">
        <v>4399</v>
      </c>
      <c r="F88" s="6518"/>
    </row>
    <row r="89" spans="1:7" x14ac:dyDescent="0.3">
      <c r="A89" s="7481"/>
      <c r="B89" s="7509"/>
      <c r="C89" s="7023" t="s">
        <v>2391</v>
      </c>
      <c r="D89" s="7071"/>
      <c r="E89" s="6467"/>
      <c r="F89" s="6687"/>
    </row>
    <row r="90" spans="1:7" x14ac:dyDescent="0.3">
      <c r="A90" s="7482"/>
      <c r="B90" s="7510"/>
      <c r="C90" s="1313" t="s">
        <v>58</v>
      </c>
      <c r="D90" s="1136" t="s">
        <v>59</v>
      </c>
      <c r="E90" s="1828" t="s">
        <v>3843</v>
      </c>
      <c r="F90" s="1490" t="s">
        <v>3844</v>
      </c>
    </row>
    <row r="91" spans="1:7" x14ac:dyDescent="0.3">
      <c r="A91" s="1010" t="s">
        <v>1180</v>
      </c>
      <c r="B91" s="1184">
        <f>SUM(C91:D91)</f>
        <v>0</v>
      </c>
      <c r="C91" s="22"/>
      <c r="D91" s="431"/>
      <c r="E91" s="1321"/>
      <c r="F91" s="1107"/>
    </row>
    <row r="92" spans="1:7" x14ac:dyDescent="0.3">
      <c r="A92" s="1028" t="s">
        <v>3845</v>
      </c>
      <c r="B92" s="3190">
        <f>SUM(C92:D92)</f>
        <v>0</v>
      </c>
      <c r="C92" s="5053"/>
      <c r="D92" s="297"/>
      <c r="E92" s="266"/>
      <c r="F92" s="1474"/>
    </row>
    <row r="93" spans="1:7" s="6" customFormat="1" ht="17.100000000000001" customHeight="1" x14ac:dyDescent="0.25">
      <c r="A93" s="15" t="s">
        <v>3846</v>
      </c>
      <c r="B93" s="15"/>
      <c r="C93" s="5210"/>
      <c r="D93" s="5210"/>
      <c r="E93" s="5210"/>
      <c r="F93" s="5210"/>
      <c r="G93" s="8"/>
    </row>
    <row r="94" spans="1:7" ht="37.5" customHeight="1" x14ac:dyDescent="0.3">
      <c r="A94" s="7480" t="s">
        <v>3847</v>
      </c>
      <c r="B94" s="7401" t="s">
        <v>77</v>
      </c>
      <c r="C94" s="6989" t="s">
        <v>4400</v>
      </c>
      <c r="D94" s="7489"/>
    </row>
    <row r="95" spans="1:7" x14ac:dyDescent="0.3">
      <c r="A95" s="7481"/>
      <c r="B95" s="5851"/>
      <c r="C95" s="7023" t="s">
        <v>2391</v>
      </c>
      <c r="D95" s="7457"/>
    </row>
    <row r="96" spans="1:7" x14ac:dyDescent="0.3">
      <c r="A96" s="7482"/>
      <c r="B96" s="6471"/>
      <c r="C96" s="1093" t="s">
        <v>58</v>
      </c>
      <c r="D96" s="1439" t="s">
        <v>59</v>
      </c>
    </row>
    <row r="97" spans="1:9" ht="14.25" customHeight="1" x14ac:dyDescent="0.3">
      <c r="A97" s="1010" t="s">
        <v>3848</v>
      </c>
      <c r="B97" s="4910">
        <f>SUM(C97:D97)</f>
        <v>0</v>
      </c>
      <c r="C97" s="1108"/>
      <c r="D97" s="771"/>
    </row>
    <row r="98" spans="1:9" ht="14.25" customHeight="1" x14ac:dyDescent="0.3">
      <c r="A98" s="3717" t="s">
        <v>3849</v>
      </c>
      <c r="B98" s="3190">
        <f>SUM(C98:D98)</f>
        <v>0</v>
      </c>
      <c r="C98" s="5053"/>
      <c r="D98" s="311"/>
    </row>
    <row r="99" spans="1:9" s="6" customFormat="1" ht="17.100000000000001" customHeight="1" x14ac:dyDescent="0.25">
      <c r="A99" s="4093" t="s">
        <v>3850</v>
      </c>
      <c r="B99" s="5210"/>
      <c r="C99" s="5210"/>
      <c r="D99" s="5210"/>
      <c r="E99" s="5210"/>
      <c r="F99" s="8"/>
      <c r="G99" s="8"/>
      <c r="H99" s="8"/>
      <c r="I99" s="8"/>
    </row>
    <row r="100" spans="1:9" ht="21.75" customHeight="1" x14ac:dyDescent="0.3">
      <c r="A100" s="7480" t="s">
        <v>3851</v>
      </c>
      <c r="B100" s="7418" t="s">
        <v>3852</v>
      </c>
      <c r="C100" s="7418"/>
      <c r="D100" s="7418"/>
      <c r="E100" s="7418"/>
    </row>
    <row r="101" spans="1:9" x14ac:dyDescent="0.3">
      <c r="A101" s="7481"/>
      <c r="B101" s="7023" t="s">
        <v>3789</v>
      </c>
      <c r="C101" s="7457"/>
      <c r="D101" s="7023" t="s">
        <v>2391</v>
      </c>
      <c r="E101" s="7457"/>
    </row>
    <row r="102" spans="1:9" x14ac:dyDescent="0.3">
      <c r="A102" s="7482"/>
      <c r="B102" s="1314" t="s">
        <v>58</v>
      </c>
      <c r="C102" s="1439" t="s">
        <v>59</v>
      </c>
      <c r="D102" s="1314" t="s">
        <v>58</v>
      </c>
      <c r="E102" s="1439" t="s">
        <v>59</v>
      </c>
    </row>
    <row r="103" spans="1:9" x14ac:dyDescent="0.3">
      <c r="A103" s="5195" t="s">
        <v>77</v>
      </c>
      <c r="B103" s="5036">
        <f>SUM(B104:B106)</f>
        <v>0</v>
      </c>
      <c r="C103" s="5185">
        <f>SUM(C104:C106)</f>
        <v>0</v>
      </c>
      <c r="D103" s="5036">
        <f>SUM(D104:D106)</f>
        <v>0</v>
      </c>
      <c r="E103" s="5185">
        <f>SUM(E104:E106)</f>
        <v>0</v>
      </c>
    </row>
    <row r="104" spans="1:9" x14ac:dyDescent="0.3">
      <c r="A104" s="1010" t="s">
        <v>3853</v>
      </c>
      <c r="B104" s="1106"/>
      <c r="C104" s="1107"/>
      <c r="D104" s="1106"/>
      <c r="E104" s="1107"/>
    </row>
    <row r="105" spans="1:9" x14ac:dyDescent="0.3">
      <c r="A105" s="1015" t="s">
        <v>3854</v>
      </c>
      <c r="B105" s="1114"/>
      <c r="C105" s="1115"/>
      <c r="D105" s="1114"/>
      <c r="E105" s="1115"/>
    </row>
    <row r="106" spans="1:9" x14ac:dyDescent="0.3">
      <c r="A106" s="1028" t="s">
        <v>591</v>
      </c>
      <c r="B106" s="1139"/>
      <c r="C106" s="388"/>
      <c r="D106" s="1139"/>
      <c r="E106" s="388"/>
    </row>
    <row r="107" spans="1:9" s="6" customFormat="1" ht="17.100000000000001" customHeight="1" x14ac:dyDescent="0.25">
      <c r="A107" s="4093" t="s">
        <v>3855</v>
      </c>
      <c r="B107" s="5210"/>
      <c r="C107" s="5210"/>
      <c r="D107" s="5210"/>
      <c r="E107" s="5210"/>
      <c r="F107" s="8"/>
      <c r="G107" s="8"/>
    </row>
    <row r="108" spans="1:9" x14ac:dyDescent="0.3">
      <c r="A108" s="7480" t="s">
        <v>3856</v>
      </c>
      <c r="B108" s="7412" t="s">
        <v>192</v>
      </c>
      <c r="C108" s="7489" t="s">
        <v>3857</v>
      </c>
      <c r="D108" s="7418"/>
      <c r="E108" s="7418"/>
      <c r="F108" s="7418"/>
      <c r="G108" s="7418"/>
    </row>
    <row r="109" spans="1:9" x14ac:dyDescent="0.3">
      <c r="A109" s="7481"/>
      <c r="B109" s="6082"/>
      <c r="C109" s="7023" t="s">
        <v>3789</v>
      </c>
      <c r="D109" s="7457"/>
      <c r="E109" s="7023" t="s">
        <v>2391</v>
      </c>
      <c r="F109" s="7457"/>
      <c r="G109" s="7401" t="s">
        <v>3858</v>
      </c>
    </row>
    <row r="110" spans="1:9" x14ac:dyDescent="0.3">
      <c r="A110" s="7482"/>
      <c r="B110" s="6465"/>
      <c r="C110" s="1093" t="s">
        <v>58</v>
      </c>
      <c r="D110" s="1439" t="s">
        <v>59</v>
      </c>
      <c r="E110" s="1093" t="s">
        <v>58</v>
      </c>
      <c r="F110" s="1439" t="s">
        <v>59</v>
      </c>
      <c r="G110" s="6471"/>
    </row>
    <row r="111" spans="1:9" x14ac:dyDescent="0.3">
      <c r="A111" s="1010" t="s">
        <v>3859</v>
      </c>
      <c r="B111" s="4910">
        <f>SUM(C111:G111)</f>
        <v>0</v>
      </c>
      <c r="C111" s="1106"/>
      <c r="D111" s="771"/>
      <c r="E111" s="1106"/>
      <c r="F111" s="771"/>
      <c r="G111" s="4432"/>
    </row>
    <row r="112" spans="1:9" x14ac:dyDescent="0.3">
      <c r="A112" s="1015" t="s">
        <v>3860</v>
      </c>
      <c r="B112" s="4762">
        <f>SUM(C112:G112)</f>
        <v>0</v>
      </c>
      <c r="C112" s="1114"/>
      <c r="D112" s="1118"/>
      <c r="E112" s="1114"/>
      <c r="F112" s="1118"/>
      <c r="G112" s="4598"/>
    </row>
    <row r="113" spans="1:12" x14ac:dyDescent="0.3">
      <c r="A113" s="1015" t="s">
        <v>3861</v>
      </c>
      <c r="B113" s="4762">
        <f>SUM(C113:G113)</f>
        <v>0</v>
      </c>
      <c r="C113" s="192"/>
      <c r="D113" s="383"/>
      <c r="E113" s="192"/>
      <c r="F113" s="383"/>
      <c r="G113" s="3446"/>
    </row>
    <row r="114" spans="1:12" x14ac:dyDescent="0.3">
      <c r="A114" s="1395" t="s">
        <v>3862</v>
      </c>
      <c r="B114" s="5217">
        <f>SUM(C114:G114)</f>
        <v>0</v>
      </c>
      <c r="C114" s="1139"/>
      <c r="D114" s="1140"/>
      <c r="E114" s="1139"/>
      <c r="F114" s="1140"/>
      <c r="G114" s="4599"/>
    </row>
    <row r="115" spans="1:12" x14ac:dyDescent="0.3">
      <c r="A115" s="4525" t="s">
        <v>3863</v>
      </c>
      <c r="B115" s="3540"/>
      <c r="C115" s="3540"/>
      <c r="D115" s="24"/>
      <c r="E115" s="24"/>
      <c r="F115" s="24"/>
      <c r="G115" s="24"/>
      <c r="H115" s="2181"/>
      <c r="I115" s="2181"/>
    </row>
    <row r="116" spans="1:12" x14ac:dyDescent="0.3">
      <c r="A116" s="7412" t="s">
        <v>3864</v>
      </c>
      <c r="B116" s="6989" t="s">
        <v>3865</v>
      </c>
      <c r="C116" s="7476"/>
      <c r="D116" s="7476"/>
      <c r="E116" s="7489"/>
      <c r="F116" s="6989" t="s">
        <v>3866</v>
      </c>
      <c r="G116" s="7476"/>
      <c r="H116" s="7476"/>
      <c r="I116" s="7489"/>
      <c r="K116" s="53"/>
      <c r="L116" s="167"/>
    </row>
    <row r="117" spans="1:12" x14ac:dyDescent="0.3">
      <c r="A117" s="6082"/>
      <c r="B117" s="7023" t="s">
        <v>3789</v>
      </c>
      <c r="C117" s="7457"/>
      <c r="D117" s="7023" t="s">
        <v>2391</v>
      </c>
      <c r="E117" s="7457"/>
      <c r="F117" s="7023" t="s">
        <v>3789</v>
      </c>
      <c r="G117" s="7457"/>
      <c r="H117" s="7023" t="s">
        <v>2391</v>
      </c>
      <c r="I117" s="7457"/>
    </row>
    <row r="118" spans="1:12" x14ac:dyDescent="0.3">
      <c r="A118" s="6465"/>
      <c r="B118" s="1314" t="s">
        <v>58</v>
      </c>
      <c r="C118" s="1203" t="s">
        <v>59</v>
      </c>
      <c r="D118" s="1093" t="s">
        <v>58</v>
      </c>
      <c r="E118" s="1203" t="s">
        <v>59</v>
      </c>
      <c r="F118" s="1314" t="s">
        <v>58</v>
      </c>
      <c r="G118" s="1203" t="s">
        <v>59</v>
      </c>
      <c r="H118" s="1093" t="s">
        <v>58</v>
      </c>
      <c r="I118" s="1203" t="s">
        <v>59</v>
      </c>
    </row>
    <row r="119" spans="1:12" x14ac:dyDescent="0.3">
      <c r="A119" s="1462" t="s">
        <v>3334</v>
      </c>
      <c r="B119" s="1336"/>
      <c r="C119" s="4841"/>
      <c r="D119" s="1108"/>
      <c r="E119" s="771"/>
      <c r="F119" s="1336"/>
      <c r="G119" s="4841"/>
      <c r="H119" s="1108"/>
      <c r="I119" s="771"/>
    </row>
    <row r="120" spans="1:12" x14ac:dyDescent="0.3">
      <c r="A120" s="893" t="s">
        <v>3867</v>
      </c>
      <c r="B120" s="1289"/>
      <c r="C120" s="311"/>
      <c r="D120" s="5053"/>
      <c r="E120" s="311"/>
      <c r="F120" s="5218"/>
      <c r="G120" s="5219"/>
      <c r="H120" s="5220"/>
      <c r="I120" s="5219"/>
    </row>
    <row r="121" spans="1:12" s="6" customFormat="1" ht="17.100000000000001" customHeight="1" x14ac:dyDescent="0.25">
      <c r="A121" s="4525" t="s">
        <v>3868</v>
      </c>
      <c r="B121" s="3540"/>
      <c r="C121" s="3540"/>
      <c r="D121" s="4"/>
      <c r="E121" s="4"/>
      <c r="F121" s="4"/>
      <c r="G121" s="4"/>
      <c r="H121" s="5"/>
      <c r="I121" s="5"/>
    </row>
    <row r="122" spans="1:12" ht="24" customHeight="1" x14ac:dyDescent="0.3">
      <c r="A122" s="7412" t="s">
        <v>3869</v>
      </c>
      <c r="B122" s="7401" t="s">
        <v>3870</v>
      </c>
      <c r="C122" s="7418"/>
      <c r="D122" s="7418" t="s">
        <v>3871</v>
      </c>
      <c r="E122" s="7418"/>
      <c r="F122" s="7418"/>
      <c r="G122" s="9"/>
      <c r="H122" s="9"/>
      <c r="I122" s="9"/>
    </row>
    <row r="123" spans="1:12" x14ac:dyDescent="0.3">
      <c r="A123" s="6482"/>
      <c r="B123" s="1314" t="s">
        <v>58</v>
      </c>
      <c r="C123" s="1439" t="s">
        <v>59</v>
      </c>
      <c r="D123" s="1314" t="s">
        <v>2331</v>
      </c>
      <c r="E123" s="1007" t="s">
        <v>3872</v>
      </c>
      <c r="F123" s="1439" t="s">
        <v>3873</v>
      </c>
      <c r="G123" s="9"/>
      <c r="H123" s="9"/>
      <c r="I123" s="9"/>
    </row>
    <row r="124" spans="1:12" x14ac:dyDescent="0.3">
      <c r="A124" s="1227" t="s">
        <v>3874</v>
      </c>
      <c r="B124" s="1108"/>
      <c r="C124" s="1109"/>
      <c r="D124" s="290"/>
      <c r="E124" s="535"/>
      <c r="F124" s="65"/>
      <c r="G124" s="5221"/>
      <c r="H124" s="9"/>
      <c r="I124" s="9"/>
    </row>
    <row r="125" spans="1:12" x14ac:dyDescent="0.3">
      <c r="A125" s="893" t="s">
        <v>3875</v>
      </c>
      <c r="B125" s="5053"/>
      <c r="C125" s="311"/>
      <c r="D125" s="1289"/>
      <c r="E125" s="262"/>
      <c r="F125" s="1474"/>
      <c r="G125" s="9"/>
      <c r="H125" s="9"/>
      <c r="I125" s="9"/>
    </row>
    <row r="138" spans="1:2" hidden="1" x14ac:dyDescent="0.3">
      <c r="A138" s="3114">
        <f>SUM(B15:E27,N15:Q27,B32:E40,N32:Q40,B48:E52,N48:U52,B57:E62,B69:G72,N57:Q62,B77:I77,B85:B85,B91:B92,B97:B98,B103:E103,B111:B114,B119:I120,B124:F125)</f>
        <v>0</v>
      </c>
      <c r="B138">
        <f>SUM(CE12:CF68)</f>
        <v>0</v>
      </c>
    </row>
  </sheetData>
  <sheetProtection algorithmName="SHA-512" hashValue="Iv7A05ewKRHdnhvxwBn54Y2Mp+zNhAlYYy1SJM70/NvgKSlBc2BUVuWdNQtrDxLXvQNOBEgZfxBtxbxyAQJDJw==" saltValue="QdKViRK/3QcjcOMf57v17g==" spinCount="100000" sheet="1" objects="1" scenarios="1"/>
  <mergeCells count="103">
    <mergeCell ref="A116:A118"/>
    <mergeCell ref="A94:A96"/>
    <mergeCell ref="B94:B96"/>
    <mergeCell ref="C94:D94"/>
    <mergeCell ref="C95:D95"/>
    <mergeCell ref="A100:A102"/>
    <mergeCell ref="B100:E100"/>
    <mergeCell ref="B101:C101"/>
    <mergeCell ref="D101:E101"/>
    <mergeCell ref="A108:A110"/>
    <mergeCell ref="B108:B110"/>
    <mergeCell ref="C108:G108"/>
    <mergeCell ref="C109:D109"/>
    <mergeCell ref="E109:F109"/>
    <mergeCell ref="G109:G110"/>
    <mergeCell ref="B116:E116"/>
    <mergeCell ref="F116:I116"/>
    <mergeCell ref="B117:C117"/>
    <mergeCell ref="D117:E117"/>
    <mergeCell ref="F117:G117"/>
    <mergeCell ref="H117:I117"/>
    <mergeCell ref="A28:F28"/>
    <mergeCell ref="A29:A31"/>
    <mergeCell ref="B29:E29"/>
    <mergeCell ref="F29:I29"/>
    <mergeCell ref="J29:M29"/>
    <mergeCell ref="N29:Q29"/>
    <mergeCell ref="B30:C30"/>
    <mergeCell ref="D30:E30"/>
    <mergeCell ref="F30:G30"/>
    <mergeCell ref="H30:I30"/>
    <mergeCell ref="J30:K30"/>
    <mergeCell ref="L30:M30"/>
    <mergeCell ref="N30:O30"/>
    <mergeCell ref="P30:Q30"/>
    <mergeCell ref="A7:Q7"/>
    <mergeCell ref="A6:Q6"/>
    <mergeCell ref="L13:M13"/>
    <mergeCell ref="N13:O13"/>
    <mergeCell ref="P13:Q13"/>
    <mergeCell ref="A12:A14"/>
    <mergeCell ref="B12:E12"/>
    <mergeCell ref="F12:I12"/>
    <mergeCell ref="J12:M12"/>
    <mergeCell ref="N12:Q12"/>
    <mergeCell ref="B13:C13"/>
    <mergeCell ref="D13:E13"/>
    <mergeCell ref="F13:G13"/>
    <mergeCell ref="H13:I13"/>
    <mergeCell ref="J13:K13"/>
    <mergeCell ref="A45:A47"/>
    <mergeCell ref="B45:E45"/>
    <mergeCell ref="F45:I45"/>
    <mergeCell ref="J45:M45"/>
    <mergeCell ref="N45:Q45"/>
    <mergeCell ref="R45:U45"/>
    <mergeCell ref="B46:C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A54:A56"/>
    <mergeCell ref="B54:E54"/>
    <mergeCell ref="F54:I54"/>
    <mergeCell ref="J54:M54"/>
    <mergeCell ref="N54:Q54"/>
    <mergeCell ref="B55:C55"/>
    <mergeCell ref="D55:E55"/>
    <mergeCell ref="F55:G55"/>
    <mergeCell ref="H55:I55"/>
    <mergeCell ref="J55:K55"/>
    <mergeCell ref="L55:M55"/>
    <mergeCell ref="N55:O55"/>
    <mergeCell ref="P55:Q55"/>
    <mergeCell ref="A122:A123"/>
    <mergeCell ref="B122:C122"/>
    <mergeCell ref="D122:F122"/>
    <mergeCell ref="A65:A67"/>
    <mergeCell ref="B65:E65"/>
    <mergeCell ref="F65:F67"/>
    <mergeCell ref="G65:G67"/>
    <mergeCell ref="B66:C66"/>
    <mergeCell ref="D66:E66"/>
    <mergeCell ref="A74:A76"/>
    <mergeCell ref="B74:E74"/>
    <mergeCell ref="F74:I74"/>
    <mergeCell ref="B75:C75"/>
    <mergeCell ref="D75:E75"/>
    <mergeCell ref="F75:G75"/>
    <mergeCell ref="H75:I75"/>
    <mergeCell ref="A82:A84"/>
    <mergeCell ref="B82:B84"/>
    <mergeCell ref="C82:E83"/>
    <mergeCell ref="A88:A90"/>
    <mergeCell ref="B88:B90"/>
    <mergeCell ref="C88:D88"/>
    <mergeCell ref="E88:F89"/>
    <mergeCell ref="C89:D89"/>
  </mergeCells>
  <dataValidations count="8">
    <dataValidation type="whole" allowBlank="1" showInputMessage="1" showErrorMessage="1" errorTitle="Error de ingreso" error="Debe ingresar sólo números." sqref="B49:E52 B38:C43 B33:C33 B35:C36 B58:E64 D33:E43 B67:E68" xr:uid="{9EB9EA2E-0414-4574-965C-D397189F0992}">
      <formula1>0</formula1>
      <formula2>99999</formula2>
    </dataValidation>
    <dataValidation type="whole" operator="greaterThanOrEqual" allowBlank="1" showInputMessage="1" showErrorMessage="1" errorTitle="Error de ingreso" error="Debe ingresar sólo números." sqref="B78:I79 F58:Q63 D16:E27 H65:Q72 F68:G68 C97:D98 C91:F92 C85:E86" xr:uid="{A00B149D-A1CB-47BA-B24D-79CAA8A3C8B8}">
      <formula1>0</formula1>
    </dataValidation>
    <dataValidation operator="greaterThanOrEqual" allowBlank="1" showInputMessage="1" showErrorMessage="1" errorTitle="Error de ingreso" error="Debe ingresar sólo números." sqref="F65:G67" xr:uid="{07F6C744-D575-48BF-867B-F5583148929C}"/>
    <dataValidation allowBlank="1" showInputMessage="1" showErrorMessage="1" errorTitle="Error de ingreso" error="Debe ingresar sólo números." sqref="B65:E65" xr:uid="{1E03B818-D14B-4EFF-A0F8-FD7307E76DDE}"/>
    <dataValidation type="whole" operator="greaterThanOrEqual" allowBlank="1" showInputMessage="1" showErrorMessage="1" sqref="B23:C24 B27:C27 B15:Q15 B20:C20 B48:U48 B17:C17 B32:Q32" xr:uid="{B8ADD3C6-9FE7-4042-85B5-489A0F165A8D}">
      <formula1>0</formula1>
    </dataValidation>
    <dataValidation type="whole" allowBlank="1" showInputMessage="1" showErrorMessage="1" sqref="F16:Q27 F33:Q43 B16:C16 B18:C19 B21:C22 B25:C26 B34:C34 B37:C37" xr:uid="{EC4C2457-7735-41EA-98BF-105E0678B045}">
      <formula1>0</formula1>
      <formula2>9.99999999999999E+40</formula2>
    </dataValidation>
    <dataValidation type="whole" allowBlank="1" showInputMessage="1" showErrorMessage="1" sqref="F49:U52 B104:E106 C111:G114 B119:I120 B124:F125" xr:uid="{AD75415F-BF34-4609-A7BD-266A2842A54B}">
      <formula1>0</formula1>
      <formula2>9.99999999999999E+38</formula2>
    </dataValidation>
    <dataValidation type="whole" allowBlank="1" showInputMessage="1" showErrorMessage="1" sqref="B69:G72" xr:uid="{C4CE84DE-8547-4AE7-AFC1-5041EAEEE28E}">
      <formula1>0</formula1>
      <formula2>9.99999999999999E+42</formula2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CM130"/>
  <sheetViews>
    <sheetView showGridLines="0" zoomScaleNormal="100" workbookViewId="0"/>
  </sheetViews>
  <sheetFormatPr baseColWidth="10" defaultColWidth="11.44140625" defaultRowHeight="14.4" x14ac:dyDescent="0.3"/>
  <cols>
    <col min="1" max="1" width="41.88671875" customWidth="1"/>
    <col min="2" max="2" width="17.44140625" customWidth="1"/>
    <col min="3" max="3" width="14.109375" customWidth="1"/>
    <col min="6" max="11" width="11.109375" customWidth="1"/>
    <col min="12" max="12" width="12.44140625" customWidth="1"/>
    <col min="13" max="13" width="12.33203125" customWidth="1"/>
    <col min="14" max="14" width="12.88671875" customWidth="1"/>
    <col min="15" max="15" width="12.109375" customWidth="1"/>
    <col min="16" max="16" width="12" customWidth="1"/>
    <col min="17" max="17" width="13.6640625" customWidth="1"/>
    <col min="18" max="18" width="12.44140625" customWidth="1"/>
    <col min="19" max="19" width="11.109375" customWidth="1"/>
    <col min="20" max="21" width="12.44140625" customWidth="1"/>
    <col min="22" max="22" width="11" customWidth="1"/>
    <col min="23" max="23" width="10.6640625" customWidth="1"/>
    <col min="25" max="25" width="12.33203125" customWidth="1"/>
    <col min="26" max="26" width="13.109375" customWidth="1"/>
    <col min="27" max="27" width="10.33203125" customWidth="1"/>
    <col min="28" max="28" width="12.109375" customWidth="1"/>
    <col min="29" max="29" width="12.44140625" customWidth="1"/>
    <col min="30" max="30" width="12" customWidth="1"/>
    <col min="31" max="31" width="12.6640625" customWidth="1"/>
    <col min="32" max="32" width="11" customWidth="1"/>
    <col min="33" max="34" width="11.6640625" customWidth="1"/>
    <col min="35" max="35" width="10.44140625" customWidth="1"/>
    <col min="36" max="36" width="11.88671875" customWidth="1"/>
    <col min="38" max="38" width="10.88671875" customWidth="1"/>
    <col min="40" max="40" width="11.6640625" customWidth="1"/>
    <col min="44" max="44" width="13.5546875" customWidth="1"/>
    <col min="45" max="45" width="14.44140625" customWidth="1"/>
    <col min="79" max="79" width="11.44140625" customWidth="1"/>
    <col min="80" max="85" width="11.44140625" style="2707" hidden="1" customWidth="1"/>
    <col min="86" max="86" width="11.44140625" hidden="1" customWidth="1"/>
    <col min="87" max="89" width="11.44140625" style="1901" hidden="1" customWidth="1"/>
    <col min="90" max="91" width="11.44140625" hidden="1" customWidth="1"/>
  </cols>
  <sheetData>
    <row r="1" spans="1:90" x14ac:dyDescent="0.3">
      <c r="A1" s="50" t="s">
        <v>23</v>
      </c>
      <c r="CB1"/>
      <c r="CC1"/>
      <c r="CD1"/>
      <c r="CE1"/>
      <c r="CF1"/>
      <c r="CG1"/>
      <c r="CI1"/>
      <c r="CJ1"/>
      <c r="CK1"/>
    </row>
    <row r="2" spans="1:90" x14ac:dyDescent="0.3">
      <c r="A2" s="50" t="str">
        <f>CONCATENATE("COMUNA: ",NOMBRE!B2, " (",NOMBRE!C2,NOMBRE!D2,NOMBRE!E2,NOMBRE!F2,NOMBRE!G2,")")</f>
        <v>COMUNA:  ()</v>
      </c>
      <c r="CB2"/>
      <c r="CC2"/>
      <c r="CD2"/>
      <c r="CE2"/>
      <c r="CF2"/>
      <c r="CG2"/>
      <c r="CI2"/>
      <c r="CJ2"/>
      <c r="CK2"/>
    </row>
    <row r="3" spans="1:90" x14ac:dyDescent="0.3">
      <c r="A3" s="50" t="str">
        <f>CONCATENATE("ESTABLECIMIENTO/ESTRATEGIA: ", NOMBRE!B3, " (",NOMBRE!C3,NOMBRE!D3,NOMBRE!E3,NOMBRE!F3,NOMBRE!G3,NOMBRE!H3,")")</f>
        <v>ESTABLECIMIENTO/ESTRATEGIA:  ()</v>
      </c>
      <c r="CB3"/>
      <c r="CC3"/>
      <c r="CD3"/>
      <c r="CE3"/>
      <c r="CF3"/>
      <c r="CG3"/>
      <c r="CI3"/>
      <c r="CJ3"/>
      <c r="CK3"/>
    </row>
    <row r="4" spans="1:90" x14ac:dyDescent="0.3">
      <c r="A4" s="50" t="str">
        <f>CONCATENATE("MES: ",NOMBRE!B6, " (",NOMBRE!C6,NOMBRE!D6,")")</f>
        <v>MES:  ()</v>
      </c>
      <c r="CB4"/>
      <c r="CC4"/>
      <c r="CD4"/>
      <c r="CE4"/>
      <c r="CF4"/>
      <c r="CG4"/>
      <c r="CI4"/>
      <c r="CJ4"/>
      <c r="CK4"/>
    </row>
    <row r="5" spans="1:90" x14ac:dyDescent="0.3">
      <c r="A5" s="50" t="str">
        <f>CONCATENATE("AÑO: ",NOMBRE!B7)</f>
        <v>AÑO: 2025</v>
      </c>
      <c r="CB5"/>
      <c r="CC5"/>
      <c r="CD5"/>
      <c r="CE5"/>
      <c r="CF5"/>
      <c r="CG5"/>
      <c r="CI5"/>
      <c r="CJ5"/>
      <c r="CK5"/>
    </row>
    <row r="6" spans="1:90" ht="18" customHeight="1" x14ac:dyDescent="0.3">
      <c r="A6" s="5819" t="s">
        <v>3876</v>
      </c>
      <c r="B6" s="5819"/>
      <c r="C6" s="5819"/>
      <c r="D6" s="5819"/>
      <c r="E6" s="5819"/>
      <c r="F6" s="5819"/>
      <c r="G6" s="5819"/>
      <c r="H6" s="5819"/>
      <c r="I6" s="5819"/>
      <c r="J6" s="5819"/>
      <c r="K6" s="5819"/>
      <c r="L6" s="5819"/>
      <c r="M6" s="5819"/>
      <c r="N6" s="5819"/>
      <c r="O6" s="5819"/>
      <c r="P6" s="5819"/>
      <c r="Q6" s="5819"/>
      <c r="R6" s="5819"/>
      <c r="S6" s="5819"/>
      <c r="T6" s="5819"/>
      <c r="CB6"/>
      <c r="CC6"/>
      <c r="CD6"/>
      <c r="CE6"/>
      <c r="CF6"/>
      <c r="CG6"/>
      <c r="CI6"/>
      <c r="CJ6"/>
      <c r="CK6"/>
    </row>
    <row r="7" spans="1:90" x14ac:dyDescent="0.3">
      <c r="CB7"/>
      <c r="CC7"/>
      <c r="CD7"/>
      <c r="CE7"/>
      <c r="CF7"/>
      <c r="CG7"/>
      <c r="CI7"/>
      <c r="CJ7"/>
      <c r="CK7"/>
    </row>
    <row r="8" spans="1:90" s="25" customFormat="1" ht="17.100000000000001" customHeight="1" x14ac:dyDescent="0.2">
      <c r="A8" s="7266" t="s">
        <v>3877</v>
      </c>
      <c r="B8" s="7266"/>
      <c r="C8" s="7266"/>
      <c r="D8" s="7266"/>
      <c r="E8" s="7266"/>
      <c r="F8" s="7266"/>
      <c r="G8" s="7266"/>
      <c r="H8" s="7266"/>
      <c r="I8" s="7266"/>
      <c r="J8" s="7266"/>
      <c r="K8" s="51"/>
    </row>
    <row r="9" spans="1:90" ht="20.100000000000001" customHeight="1" x14ac:dyDescent="0.3">
      <c r="A9" s="7521" t="s">
        <v>3878</v>
      </c>
      <c r="B9" s="7455"/>
      <c r="C9" s="7521" t="s">
        <v>77</v>
      </c>
      <c r="D9" s="7521"/>
      <c r="E9" s="7455"/>
      <c r="F9" s="7522" t="s">
        <v>101</v>
      </c>
      <c r="G9" s="7523"/>
      <c r="H9" s="7523"/>
      <c r="I9" s="7523"/>
      <c r="J9" s="7523"/>
      <c r="K9" s="7523"/>
      <c r="L9" s="7523"/>
      <c r="M9" s="7523"/>
      <c r="N9" s="7523"/>
      <c r="O9" s="7523"/>
      <c r="P9" s="7523"/>
      <c r="Q9" s="7523"/>
      <c r="R9" s="7523"/>
      <c r="S9" s="7523"/>
      <c r="T9" s="7523"/>
      <c r="U9" s="7523"/>
      <c r="V9" s="7523"/>
      <c r="W9" s="7523"/>
      <c r="X9" s="7523"/>
      <c r="Y9" s="7523"/>
      <c r="Z9" s="7523"/>
      <c r="AA9" s="7523"/>
      <c r="AB9" s="7523"/>
      <c r="AC9" s="7523"/>
      <c r="AD9" s="7523"/>
      <c r="AE9" s="7523"/>
      <c r="AF9" s="7523"/>
      <c r="AG9" s="7523"/>
      <c r="AH9" s="7523"/>
      <c r="AI9" s="7523"/>
      <c r="AJ9" s="7523"/>
      <c r="AK9" s="7523"/>
      <c r="AL9" s="7523"/>
      <c r="AM9" s="7523"/>
      <c r="AN9" s="7533" t="s">
        <v>3879</v>
      </c>
      <c r="AO9" s="7536" t="s">
        <v>597</v>
      </c>
      <c r="AP9" s="7536" t="s">
        <v>36</v>
      </c>
      <c r="AQ9" s="7536" t="s">
        <v>37</v>
      </c>
      <c r="AR9" s="7542" t="s">
        <v>34</v>
      </c>
      <c r="AS9" s="7533" t="s">
        <v>3880</v>
      </c>
      <c r="AT9" s="7542" t="s">
        <v>1265</v>
      </c>
      <c r="AU9" s="7533" t="s">
        <v>2937</v>
      </c>
      <c r="AV9" s="7536" t="s">
        <v>3881</v>
      </c>
      <c r="AW9" s="7539" t="s">
        <v>3882</v>
      </c>
      <c r="CB9"/>
      <c r="CC9"/>
      <c r="CD9"/>
      <c r="CE9"/>
      <c r="CF9"/>
      <c r="CG9"/>
      <c r="CI9"/>
      <c r="CJ9"/>
      <c r="CK9"/>
    </row>
    <row r="10" spans="1:90" ht="18" customHeight="1" x14ac:dyDescent="0.3">
      <c r="A10" s="6201"/>
      <c r="B10" s="6123"/>
      <c r="C10" s="7109"/>
      <c r="D10" s="7109"/>
      <c r="E10" s="6910"/>
      <c r="F10" s="7522" t="s">
        <v>103</v>
      </c>
      <c r="G10" s="7526"/>
      <c r="H10" s="7523" t="s">
        <v>42</v>
      </c>
      <c r="I10" s="7526"/>
      <c r="J10" s="7523" t="s">
        <v>3883</v>
      </c>
      <c r="K10" s="7526"/>
      <c r="L10" s="7522" t="s">
        <v>44</v>
      </c>
      <c r="M10" s="7526"/>
      <c r="N10" s="7106" t="s">
        <v>45</v>
      </c>
      <c r="O10" s="7474"/>
      <c r="P10" s="7106" t="s">
        <v>46</v>
      </c>
      <c r="Q10" s="7474"/>
      <c r="R10" s="7106" t="s">
        <v>47</v>
      </c>
      <c r="S10" s="7474"/>
      <c r="T10" s="7106" t="s">
        <v>48</v>
      </c>
      <c r="U10" s="7474"/>
      <c r="V10" s="7106" t="s">
        <v>49</v>
      </c>
      <c r="W10" s="7474"/>
      <c r="X10" s="7106" t="s">
        <v>50</v>
      </c>
      <c r="Y10" s="7474"/>
      <c r="Z10" s="7106" t="s">
        <v>51</v>
      </c>
      <c r="AA10" s="7474"/>
      <c r="AB10" s="7106" t="s">
        <v>52</v>
      </c>
      <c r="AC10" s="7474"/>
      <c r="AD10" s="7106" t="s">
        <v>53</v>
      </c>
      <c r="AE10" s="7474"/>
      <c r="AF10" s="7106" t="s">
        <v>54</v>
      </c>
      <c r="AG10" s="7474"/>
      <c r="AH10" s="7106" t="s">
        <v>55</v>
      </c>
      <c r="AI10" s="7474"/>
      <c r="AJ10" s="7106" t="s">
        <v>56</v>
      </c>
      <c r="AK10" s="7474"/>
      <c r="AL10" s="7106" t="s">
        <v>476</v>
      </c>
      <c r="AM10" s="7473"/>
      <c r="AN10" s="7534"/>
      <c r="AO10" s="7537"/>
      <c r="AP10" s="7537"/>
      <c r="AQ10" s="7537"/>
      <c r="AR10" s="7543"/>
      <c r="AS10" s="7534"/>
      <c r="AT10" s="7543"/>
      <c r="AU10" s="7534"/>
      <c r="AV10" s="7537"/>
      <c r="AW10" s="7540"/>
      <c r="CB10"/>
      <c r="CC10"/>
      <c r="CD10"/>
      <c r="CE10"/>
      <c r="CF10"/>
      <c r="CG10"/>
      <c r="CI10"/>
      <c r="CJ10"/>
      <c r="CK10"/>
    </row>
    <row r="11" spans="1:90" ht="18" customHeight="1" x14ac:dyDescent="0.3">
      <c r="A11" s="7109"/>
      <c r="B11" s="6910"/>
      <c r="C11" s="5225" t="s">
        <v>79</v>
      </c>
      <c r="D11" s="5226" t="s">
        <v>58</v>
      </c>
      <c r="E11" s="1816" t="s">
        <v>59</v>
      </c>
      <c r="F11" s="1316" t="s">
        <v>58</v>
      </c>
      <c r="G11" s="5223" t="s">
        <v>59</v>
      </c>
      <c r="H11" s="1234" t="s">
        <v>58</v>
      </c>
      <c r="I11" s="5223" t="s">
        <v>59</v>
      </c>
      <c r="J11" s="1234" t="s">
        <v>58</v>
      </c>
      <c r="K11" s="5223" t="s">
        <v>59</v>
      </c>
      <c r="L11" s="1316" t="s">
        <v>58</v>
      </c>
      <c r="M11" s="5223" t="s">
        <v>59</v>
      </c>
      <c r="N11" s="1316" t="s">
        <v>58</v>
      </c>
      <c r="O11" s="5223" t="s">
        <v>59</v>
      </c>
      <c r="P11" s="1316" t="s">
        <v>58</v>
      </c>
      <c r="Q11" s="5223" t="s">
        <v>59</v>
      </c>
      <c r="R11" s="1316" t="s">
        <v>58</v>
      </c>
      <c r="S11" s="5223" t="s">
        <v>59</v>
      </c>
      <c r="T11" s="1316" t="s">
        <v>58</v>
      </c>
      <c r="U11" s="5223" t="s">
        <v>59</v>
      </c>
      <c r="V11" s="1316" t="s">
        <v>58</v>
      </c>
      <c r="W11" s="5223" t="s">
        <v>59</v>
      </c>
      <c r="X11" s="1316" t="s">
        <v>58</v>
      </c>
      <c r="Y11" s="5223" t="s">
        <v>59</v>
      </c>
      <c r="Z11" s="1316" t="s">
        <v>58</v>
      </c>
      <c r="AA11" s="5223" t="s">
        <v>59</v>
      </c>
      <c r="AB11" s="1316" t="s">
        <v>58</v>
      </c>
      <c r="AC11" s="5223" t="s">
        <v>59</v>
      </c>
      <c r="AD11" s="1316" t="s">
        <v>58</v>
      </c>
      <c r="AE11" s="5223" t="s">
        <v>59</v>
      </c>
      <c r="AF11" s="1316" t="s">
        <v>58</v>
      </c>
      <c r="AG11" s="5223" t="s">
        <v>59</v>
      </c>
      <c r="AH11" s="1316" t="s">
        <v>58</v>
      </c>
      <c r="AI11" s="5223" t="s">
        <v>59</v>
      </c>
      <c r="AJ11" s="1316" t="s">
        <v>58</v>
      </c>
      <c r="AK11" s="5223" t="s">
        <v>59</v>
      </c>
      <c r="AL11" s="1316" t="s">
        <v>58</v>
      </c>
      <c r="AM11" s="1683" t="s">
        <v>59</v>
      </c>
      <c r="AN11" s="7535"/>
      <c r="AO11" s="7538"/>
      <c r="AP11" s="7538"/>
      <c r="AQ11" s="7538"/>
      <c r="AR11" s="7544"/>
      <c r="AS11" s="7535"/>
      <c r="AT11" s="7544"/>
      <c r="AU11" s="7535"/>
      <c r="AV11" s="7538"/>
      <c r="AW11" s="7541"/>
      <c r="CB11"/>
      <c r="CC11"/>
      <c r="CD11"/>
      <c r="CE11"/>
      <c r="CF11"/>
      <c r="CG11"/>
      <c r="CI11"/>
      <c r="CJ11"/>
      <c r="CK11"/>
    </row>
    <row r="12" spans="1:90" s="19" customFormat="1" ht="15" customHeight="1" x14ac:dyDescent="0.2">
      <c r="A12" s="7530" t="s">
        <v>3884</v>
      </c>
      <c r="B12" s="5227" t="s">
        <v>3885</v>
      </c>
      <c r="C12" s="1185">
        <f>+D12+E12</f>
        <v>0</v>
      </c>
      <c r="D12" s="5116">
        <f>+F12+H12+J12+L12+N12+P12+R12+T12+V12+X12+Z12+AB12+AD12+AF12+AH12+AJ12+AL12</f>
        <v>0</v>
      </c>
      <c r="E12" s="4880">
        <f>+G12+I12+K12+M12+O12+Q12+S12+U12+W12+Y12+AA12+AC12+AE12+AG12+AI12+AK12+AM12</f>
        <v>0</v>
      </c>
      <c r="F12" s="47"/>
      <c r="G12" s="95"/>
      <c r="H12" s="4610"/>
      <c r="I12" s="95"/>
      <c r="J12" s="4610"/>
      <c r="K12" s="95"/>
      <c r="L12" s="4610"/>
      <c r="M12" s="95"/>
      <c r="N12" s="4610"/>
      <c r="O12" s="95"/>
      <c r="P12" s="4610"/>
      <c r="Q12" s="95"/>
      <c r="R12" s="4610"/>
      <c r="S12" s="95"/>
      <c r="T12" s="4610"/>
      <c r="U12" s="95"/>
      <c r="V12" s="4610"/>
      <c r="W12" s="95"/>
      <c r="X12" s="4610"/>
      <c r="Y12" s="95"/>
      <c r="Z12" s="4610"/>
      <c r="AA12" s="95"/>
      <c r="AB12" s="4610"/>
      <c r="AC12" s="95"/>
      <c r="AD12" s="4610"/>
      <c r="AE12" s="95"/>
      <c r="AF12" s="4610"/>
      <c r="AG12" s="95"/>
      <c r="AH12" s="4610"/>
      <c r="AI12" s="95"/>
      <c r="AJ12" s="4610"/>
      <c r="AK12" s="95"/>
      <c r="AL12" s="4610"/>
      <c r="AM12" s="3181"/>
      <c r="AN12" s="4678"/>
      <c r="AO12" s="3227"/>
      <c r="AP12" s="242"/>
      <c r="AQ12" s="242"/>
      <c r="AR12" s="5228"/>
      <c r="AS12" s="74"/>
      <c r="AT12" s="5228"/>
      <c r="AU12" s="74"/>
      <c r="AV12" s="242"/>
      <c r="AW12" s="42"/>
      <c r="AX12" s="19" t="str">
        <f>CB12&amp;CC12&amp;CD12&amp;CE12&amp;CF12&amp;CG12</f>
        <v/>
      </c>
      <c r="CB12" s="83" t="str">
        <f>IF(AND(C12&gt;0,AO12="")," * No olvide digitar la variable Beneficiarios. Digite Cero si no tiene.",IF(AO12&gt;C12,"  * La variable Beneficiarios No puede ser mayor al Total.",""))</f>
        <v/>
      </c>
      <c r="CC12" s="83" t="str">
        <f>IF(AND(C12&gt;0,AP12="")," * No olvide digitar la variable Pueblos originarios. Digite Cero si no tiene.",IF(AP12&gt;C12,"  * La variable pueblos originarios No puede ser mayor al Total.",""))</f>
        <v/>
      </c>
      <c r="CD12" s="83" t="str">
        <f>IF(AND(C12&gt;0,AQ12="")," * No olvide digitar la variable Migrantes. Digite Cero si no tiene.",IF(AQ12&gt;C12,"  * La variable Migrantes No puede ser mayor al Total.",""))</f>
        <v/>
      </c>
      <c r="CE12" s="83" t="str">
        <f>IF(AND(C12&gt;0,AR12="")," * No olvide digitar la variable Niños, niñas, adolescentes y Jóvenes SENAME. Digite Cero si no tiene.",IF(AR12&gt;C12,"  * La variable Niños, niñas, adolescentes y Jóvenes SENAME No puede ser mayor al Total.",""))</f>
        <v/>
      </c>
      <c r="CF12" s="83"/>
      <c r="CG12" s="83"/>
      <c r="CI12" s="84">
        <f>IF(AND(C12&gt;0,AO12=""),1,IF(AO12&gt;C12,1,0))</f>
        <v>0</v>
      </c>
      <c r="CJ12" s="84">
        <f>IF(AND(C12&gt;0,AP12=""),1,IF(AP12&gt;C12,1,0))</f>
        <v>0</v>
      </c>
      <c r="CK12" s="84">
        <f>IF(AND(C12&gt;0,AQ12=""),1,IF(AQ12&gt;C12,1,0))</f>
        <v>0</v>
      </c>
      <c r="CL12" s="84">
        <f>IF(AND(C12&gt;0,AR12=""),1,IF(AR12&gt;C12,1,0))</f>
        <v>0</v>
      </c>
    </row>
    <row r="13" spans="1:90" s="19" customFormat="1" ht="15" customHeight="1" x14ac:dyDescent="0.2">
      <c r="A13" s="7531"/>
      <c r="B13" s="4804" t="s">
        <v>3886</v>
      </c>
      <c r="C13" s="5129">
        <f t="shared" ref="C13:C28" si="0">+D13+E13</f>
        <v>0</v>
      </c>
      <c r="D13" s="5128">
        <f t="shared" ref="D13:E27" si="1">+F13+H13+J13+L13+N13+P13+R13+T13+V13+X13+Z13+AB13+AD13+AF13+AH13+AJ13+AL13</f>
        <v>0</v>
      </c>
      <c r="E13" s="3144">
        <f t="shared" si="1"/>
        <v>0</v>
      </c>
      <c r="F13" s="192"/>
      <c r="G13" s="383"/>
      <c r="H13" s="482"/>
      <c r="I13" s="383"/>
      <c r="J13" s="482"/>
      <c r="K13" s="383"/>
      <c r="L13" s="482"/>
      <c r="M13" s="383"/>
      <c r="N13" s="482"/>
      <c r="O13" s="383"/>
      <c r="P13" s="482"/>
      <c r="Q13" s="383"/>
      <c r="R13" s="482"/>
      <c r="S13" s="383"/>
      <c r="T13" s="482"/>
      <c r="U13" s="383"/>
      <c r="V13" s="482"/>
      <c r="W13" s="383"/>
      <c r="X13" s="482"/>
      <c r="Y13" s="383"/>
      <c r="Z13" s="482"/>
      <c r="AA13" s="383"/>
      <c r="AB13" s="482"/>
      <c r="AC13" s="383"/>
      <c r="AD13" s="482"/>
      <c r="AE13" s="383"/>
      <c r="AF13" s="482"/>
      <c r="AG13" s="383"/>
      <c r="AH13" s="482"/>
      <c r="AI13" s="383"/>
      <c r="AJ13" s="482"/>
      <c r="AK13" s="383"/>
      <c r="AL13" s="482"/>
      <c r="AM13" s="1123"/>
      <c r="AN13" s="4843"/>
      <c r="AO13" s="594"/>
      <c r="AP13" s="594"/>
      <c r="AQ13" s="594"/>
      <c r="AR13" s="64"/>
      <c r="AS13" s="377"/>
      <c r="AT13" s="64"/>
      <c r="AU13" s="377"/>
      <c r="AV13" s="594"/>
      <c r="AW13" s="2"/>
      <c r="AX13" s="19" t="str">
        <f t="shared" ref="AX13:AX27" si="2">CB13&amp;CC13&amp;CD13&amp;CE13&amp;CF13&amp;CG13</f>
        <v/>
      </c>
      <c r="CB13" s="83" t="str">
        <f t="shared" ref="CB13:CB27" si="3">IF(AND(C13&gt;0,AO13="")," * No olvide digitar la variable Beneficiarios. Digite Cero si no tiene.",IF(AO13&gt;C13,"  * La variable Beneficiarios No puede ser mayor al Total.",""))</f>
        <v/>
      </c>
      <c r="CC13" s="83" t="str">
        <f t="shared" ref="CC13:CC27" si="4">IF(AND(C13&gt;0,AP13="")," * No olvide digitar la variable Pueblos originarios. Digite Cero si no tiene.",IF(AP13&gt;C13,"  * La variable pueblos originarios No puede ser mayor al Total.",""))</f>
        <v/>
      </c>
      <c r="CD13" s="83" t="str">
        <f t="shared" ref="CD13:CD27" si="5">IF(AND(C13&gt;0,AQ13="")," * No olvide digitar la variable Migrantes. Digite Cero si no tiene.",IF(AQ13&gt;C13,"  * La variable Migrantes No puede ser mayor al Total.",""))</f>
        <v/>
      </c>
      <c r="CE13" s="83" t="str">
        <f t="shared" ref="CE13:CE27" si="6">IF(AND(C13&gt;0,AR13="")," * No olvide digitar la variable Niños, niñas, adolescentes y Jóvenes SENAME. Digite Cero si no tiene.",IF(AR13&gt;C13,"  * La variable Niños, niñas, adolescentes y Jóvenes SENAME No puede ser mayor al Total.",""))</f>
        <v/>
      </c>
      <c r="CF13" s="83"/>
      <c r="CG13" s="83"/>
      <c r="CI13" s="84">
        <f t="shared" ref="CI13:CI27" si="7">IF(AND(C13&gt;0,AO13=""),1,IF(AO13&gt;C13,1,0))</f>
        <v>0</v>
      </c>
      <c r="CJ13" s="84">
        <f t="shared" ref="CJ13:CJ27" si="8">IF(AND(C13&gt;0,AP13=""),1,IF(AP13&gt;C13,1,0))</f>
        <v>0</v>
      </c>
      <c r="CK13" s="84">
        <f t="shared" ref="CK13:CK27" si="9">IF(AND(C13&gt;0,AQ13=""),1,IF(AQ13&gt;C13,1,0))</f>
        <v>0</v>
      </c>
      <c r="CL13" s="84">
        <f t="shared" ref="CL13:CL27" si="10">IF(AND(C13&gt;0,AR13=""),1,IF(AR13&gt;C13,1,0))</f>
        <v>0</v>
      </c>
    </row>
    <row r="14" spans="1:90" s="19" customFormat="1" ht="15" customHeight="1" x14ac:dyDescent="0.2">
      <c r="A14" s="7044"/>
      <c r="B14" s="4805" t="s">
        <v>3887</v>
      </c>
      <c r="C14" s="5085">
        <f t="shared" si="0"/>
        <v>0</v>
      </c>
      <c r="D14" s="3157">
        <f t="shared" si="1"/>
        <v>0</v>
      </c>
      <c r="E14" s="485">
        <f t="shared" si="1"/>
        <v>0</v>
      </c>
      <c r="F14" s="1139"/>
      <c r="G14" s="1140"/>
      <c r="H14" s="1152"/>
      <c r="I14" s="1140"/>
      <c r="J14" s="1152"/>
      <c r="K14" s="1140"/>
      <c r="L14" s="1152"/>
      <c r="M14" s="1140"/>
      <c r="N14" s="1152"/>
      <c r="O14" s="1140"/>
      <c r="P14" s="1152"/>
      <c r="Q14" s="1140"/>
      <c r="R14" s="1152"/>
      <c r="S14" s="1140"/>
      <c r="T14" s="1152"/>
      <c r="U14" s="1140"/>
      <c r="V14" s="1152"/>
      <c r="W14" s="1140"/>
      <c r="X14" s="1152"/>
      <c r="Y14" s="1140"/>
      <c r="Z14" s="1152"/>
      <c r="AA14" s="1140"/>
      <c r="AB14" s="1152"/>
      <c r="AC14" s="1140"/>
      <c r="AD14" s="1152"/>
      <c r="AE14" s="1140"/>
      <c r="AF14" s="1152"/>
      <c r="AG14" s="1140"/>
      <c r="AH14" s="1152"/>
      <c r="AI14" s="1140"/>
      <c r="AJ14" s="1152"/>
      <c r="AK14" s="1140"/>
      <c r="AL14" s="1152"/>
      <c r="AM14" s="1153"/>
      <c r="AN14" s="3832"/>
      <c r="AO14" s="1283"/>
      <c r="AP14" s="1283"/>
      <c r="AQ14" s="1283"/>
      <c r="AR14" s="564"/>
      <c r="AS14" s="1330"/>
      <c r="AT14" s="564"/>
      <c r="AU14" s="1330"/>
      <c r="AV14" s="1283"/>
      <c r="AW14" s="388"/>
      <c r="AX14" s="19" t="str">
        <f t="shared" si="2"/>
        <v/>
      </c>
      <c r="CB14" s="83" t="str">
        <f t="shared" si="3"/>
        <v/>
      </c>
      <c r="CC14" s="83" t="str">
        <f t="shared" si="4"/>
        <v/>
      </c>
      <c r="CD14" s="83" t="str">
        <f t="shared" si="5"/>
        <v/>
      </c>
      <c r="CE14" s="83" t="str">
        <f t="shared" si="6"/>
        <v/>
      </c>
      <c r="CF14" s="83"/>
      <c r="CG14" s="83"/>
      <c r="CI14" s="84">
        <f t="shared" si="7"/>
        <v>0</v>
      </c>
      <c r="CJ14" s="84">
        <f t="shared" si="8"/>
        <v>0</v>
      </c>
      <c r="CK14" s="84">
        <f t="shared" si="9"/>
        <v>0</v>
      </c>
      <c r="CL14" s="84">
        <f t="shared" si="10"/>
        <v>0</v>
      </c>
    </row>
    <row r="15" spans="1:90" s="19" customFormat="1" ht="15" customHeight="1" x14ac:dyDescent="0.2">
      <c r="A15" s="5910" t="s">
        <v>3888</v>
      </c>
      <c r="B15" s="5096" t="s">
        <v>3889</v>
      </c>
      <c r="C15" s="5229">
        <f t="shared" si="0"/>
        <v>0</v>
      </c>
      <c r="D15" s="5230">
        <f t="shared" si="1"/>
        <v>0</v>
      </c>
      <c r="E15" s="5231">
        <f t="shared" si="1"/>
        <v>0</v>
      </c>
      <c r="F15" s="290"/>
      <c r="G15" s="637"/>
      <c r="H15" s="22"/>
      <c r="I15" s="637"/>
      <c r="J15" s="22"/>
      <c r="K15" s="107"/>
      <c r="L15" s="22"/>
      <c r="M15" s="107"/>
      <c r="N15" s="22"/>
      <c r="O15" s="107"/>
      <c r="P15" s="22"/>
      <c r="Q15" s="107"/>
      <c r="R15" s="22"/>
      <c r="S15" s="107"/>
      <c r="T15" s="22"/>
      <c r="U15" s="107"/>
      <c r="V15" s="22"/>
      <c r="W15" s="107"/>
      <c r="X15" s="22"/>
      <c r="Y15" s="107"/>
      <c r="Z15" s="22"/>
      <c r="AA15" s="107"/>
      <c r="AB15" s="22"/>
      <c r="AC15" s="107"/>
      <c r="AD15" s="22"/>
      <c r="AE15" s="107"/>
      <c r="AF15" s="22"/>
      <c r="AG15" s="107"/>
      <c r="AH15" s="22"/>
      <c r="AI15" s="107"/>
      <c r="AJ15" s="22"/>
      <c r="AK15" s="107"/>
      <c r="AL15" s="22"/>
      <c r="AM15" s="65"/>
      <c r="AN15" s="4672"/>
      <c r="AO15" s="535"/>
      <c r="AP15" s="535"/>
      <c r="AQ15" s="535"/>
      <c r="AR15" s="65"/>
      <c r="AS15" s="296"/>
      <c r="AT15" s="65"/>
      <c r="AU15" s="296"/>
      <c r="AV15" s="535"/>
      <c r="AW15" s="107"/>
      <c r="AX15" s="19" t="str">
        <f t="shared" si="2"/>
        <v/>
      </c>
      <c r="CB15" s="83" t="str">
        <f t="shared" si="3"/>
        <v/>
      </c>
      <c r="CC15" s="83" t="str">
        <f t="shared" si="4"/>
        <v/>
      </c>
      <c r="CD15" s="83" t="str">
        <f t="shared" si="5"/>
        <v/>
      </c>
      <c r="CE15" s="83" t="str">
        <f t="shared" si="6"/>
        <v/>
      </c>
      <c r="CF15" s="83"/>
      <c r="CG15" s="83"/>
      <c r="CI15" s="84">
        <f t="shared" si="7"/>
        <v>0</v>
      </c>
      <c r="CJ15" s="84">
        <f t="shared" si="8"/>
        <v>0</v>
      </c>
      <c r="CK15" s="84">
        <f t="shared" si="9"/>
        <v>0</v>
      </c>
      <c r="CL15" s="84">
        <f t="shared" si="10"/>
        <v>0</v>
      </c>
    </row>
    <row r="16" spans="1:90" s="19" customFormat="1" ht="15" customHeight="1" x14ac:dyDescent="0.2">
      <c r="A16" s="5910"/>
      <c r="B16" s="5232" t="s">
        <v>3890</v>
      </c>
      <c r="C16" s="5229">
        <f t="shared" si="0"/>
        <v>0</v>
      </c>
      <c r="D16" s="5230">
        <f t="shared" si="1"/>
        <v>0</v>
      </c>
      <c r="E16" s="3003">
        <f t="shared" si="1"/>
        <v>0</v>
      </c>
      <c r="F16" s="290"/>
      <c r="G16" s="637"/>
      <c r="H16" s="22"/>
      <c r="I16" s="637"/>
      <c r="J16" s="22"/>
      <c r="K16" s="107"/>
      <c r="L16" s="22"/>
      <c r="M16" s="107"/>
      <c r="N16" s="22"/>
      <c r="O16" s="107"/>
      <c r="P16" s="22"/>
      <c r="Q16" s="107"/>
      <c r="R16" s="22"/>
      <c r="S16" s="107"/>
      <c r="T16" s="22"/>
      <c r="U16" s="107"/>
      <c r="V16" s="22"/>
      <c r="W16" s="107"/>
      <c r="X16" s="22"/>
      <c r="Y16" s="107"/>
      <c r="Z16" s="22"/>
      <c r="AA16" s="107"/>
      <c r="AB16" s="22"/>
      <c r="AC16" s="107"/>
      <c r="AD16" s="22"/>
      <c r="AE16" s="107"/>
      <c r="AF16" s="22"/>
      <c r="AG16" s="107"/>
      <c r="AH16" s="22"/>
      <c r="AI16" s="107"/>
      <c r="AJ16" s="22"/>
      <c r="AK16" s="107"/>
      <c r="AL16" s="22"/>
      <c r="AM16" s="65"/>
      <c r="AN16" s="4672"/>
      <c r="AO16" s="535"/>
      <c r="AP16" s="535"/>
      <c r="AQ16" s="535"/>
      <c r="AR16" s="65"/>
      <c r="AS16" s="296"/>
      <c r="AT16" s="65"/>
      <c r="AU16" s="296"/>
      <c r="AV16" s="535"/>
      <c r="AW16" s="107"/>
      <c r="AX16" s="19" t="str">
        <f t="shared" si="2"/>
        <v/>
      </c>
      <c r="CB16" s="83" t="str">
        <f t="shared" si="3"/>
        <v/>
      </c>
      <c r="CC16" s="83" t="str">
        <f t="shared" si="4"/>
        <v/>
      </c>
      <c r="CD16" s="83" t="str">
        <f t="shared" si="5"/>
        <v/>
      </c>
      <c r="CE16" s="83" t="str">
        <f t="shared" si="6"/>
        <v/>
      </c>
      <c r="CF16" s="83"/>
      <c r="CG16" s="83"/>
      <c r="CI16" s="84">
        <f t="shared" si="7"/>
        <v>0</v>
      </c>
      <c r="CJ16" s="84">
        <f t="shared" si="8"/>
        <v>0</v>
      </c>
      <c r="CK16" s="84">
        <f t="shared" si="9"/>
        <v>0</v>
      </c>
      <c r="CL16" s="84">
        <f t="shared" si="10"/>
        <v>0</v>
      </c>
    </row>
    <row r="17" spans="1:90" s="19" customFormat="1" ht="15" customHeight="1" x14ac:dyDescent="0.2">
      <c r="A17" s="5910"/>
      <c r="B17" s="5232" t="s">
        <v>3891</v>
      </c>
      <c r="C17" s="5229">
        <f t="shared" si="0"/>
        <v>0</v>
      </c>
      <c r="D17" s="3584">
        <f>+F17+H17+J17+L17+N17+P17+R17+T17+V17+X17+Z17+AB17+AD17+AF17+AH17+AJ17+AL17</f>
        <v>0</v>
      </c>
      <c r="E17" s="3003">
        <f t="shared" si="1"/>
        <v>0</v>
      </c>
      <c r="F17" s="290"/>
      <c r="G17" s="637"/>
      <c r="H17" s="22"/>
      <c r="I17" s="637"/>
      <c r="J17" s="22"/>
      <c r="K17" s="107"/>
      <c r="L17" s="22"/>
      <c r="M17" s="107"/>
      <c r="N17" s="22"/>
      <c r="O17" s="107"/>
      <c r="P17" s="22"/>
      <c r="Q17" s="107"/>
      <c r="R17" s="22"/>
      <c r="S17" s="107"/>
      <c r="T17" s="22"/>
      <c r="U17" s="107"/>
      <c r="V17" s="22"/>
      <c r="W17" s="107"/>
      <c r="X17" s="22"/>
      <c r="Y17" s="107"/>
      <c r="Z17" s="22"/>
      <c r="AA17" s="107"/>
      <c r="AB17" s="22"/>
      <c r="AC17" s="107"/>
      <c r="AD17" s="22"/>
      <c r="AE17" s="107"/>
      <c r="AF17" s="22"/>
      <c r="AG17" s="107"/>
      <c r="AH17" s="22"/>
      <c r="AI17" s="107"/>
      <c r="AJ17" s="22"/>
      <c r="AK17" s="107"/>
      <c r="AL17" s="22"/>
      <c r="AM17" s="65"/>
      <c r="AN17" s="4672"/>
      <c r="AO17" s="535"/>
      <c r="AP17" s="535"/>
      <c r="AQ17" s="535"/>
      <c r="AR17" s="65"/>
      <c r="AS17" s="296"/>
      <c r="AT17" s="65"/>
      <c r="AU17" s="296"/>
      <c r="AV17" s="535"/>
      <c r="AW17" s="107"/>
      <c r="AX17" s="19" t="str">
        <f t="shared" si="2"/>
        <v/>
      </c>
      <c r="CB17" s="83" t="str">
        <f t="shared" si="3"/>
        <v/>
      </c>
      <c r="CC17" s="83" t="str">
        <f t="shared" si="4"/>
        <v/>
      </c>
      <c r="CD17" s="83" t="str">
        <f t="shared" si="5"/>
        <v/>
      </c>
      <c r="CE17" s="83" t="str">
        <f t="shared" si="6"/>
        <v/>
      </c>
      <c r="CF17" s="83"/>
      <c r="CG17" s="83"/>
      <c r="CI17" s="84">
        <f t="shared" si="7"/>
        <v>0</v>
      </c>
      <c r="CJ17" s="84">
        <f t="shared" si="8"/>
        <v>0</v>
      </c>
      <c r="CK17" s="84">
        <f t="shared" si="9"/>
        <v>0</v>
      </c>
      <c r="CL17" s="84">
        <f t="shared" si="10"/>
        <v>0</v>
      </c>
    </row>
    <row r="18" spans="1:90" s="19" customFormat="1" ht="15" customHeight="1" x14ac:dyDescent="0.2">
      <c r="A18" s="5910"/>
      <c r="B18" s="5232" t="s">
        <v>3892</v>
      </c>
      <c r="C18" s="5229">
        <f t="shared" si="0"/>
        <v>0</v>
      </c>
      <c r="D18" s="5230">
        <f t="shared" si="1"/>
        <v>0</v>
      </c>
      <c r="E18" s="3003">
        <f t="shared" si="1"/>
        <v>0</v>
      </c>
      <c r="F18" s="290"/>
      <c r="G18" s="637"/>
      <c r="H18" s="22"/>
      <c r="I18" s="637"/>
      <c r="J18" s="22"/>
      <c r="K18" s="107"/>
      <c r="L18" s="22"/>
      <c r="M18" s="107"/>
      <c r="N18" s="22"/>
      <c r="O18" s="107"/>
      <c r="P18" s="22"/>
      <c r="Q18" s="107"/>
      <c r="R18" s="22"/>
      <c r="S18" s="107"/>
      <c r="T18" s="22"/>
      <c r="U18" s="107"/>
      <c r="V18" s="22"/>
      <c r="W18" s="107"/>
      <c r="X18" s="22"/>
      <c r="Y18" s="107"/>
      <c r="Z18" s="22"/>
      <c r="AA18" s="107"/>
      <c r="AB18" s="22"/>
      <c r="AC18" s="107"/>
      <c r="AD18" s="22"/>
      <c r="AE18" s="107"/>
      <c r="AF18" s="22"/>
      <c r="AG18" s="107"/>
      <c r="AH18" s="22"/>
      <c r="AI18" s="107"/>
      <c r="AJ18" s="22"/>
      <c r="AK18" s="107"/>
      <c r="AL18" s="22"/>
      <c r="AM18" s="65"/>
      <c r="AN18" s="4672"/>
      <c r="AO18" s="535"/>
      <c r="AP18" s="535"/>
      <c r="AQ18" s="535"/>
      <c r="AR18" s="65"/>
      <c r="AS18" s="296"/>
      <c r="AT18" s="65"/>
      <c r="AU18" s="296"/>
      <c r="AV18" s="535"/>
      <c r="AW18" s="107"/>
      <c r="AX18" s="19" t="str">
        <f t="shared" si="2"/>
        <v/>
      </c>
      <c r="CB18" s="83" t="str">
        <f t="shared" si="3"/>
        <v/>
      </c>
      <c r="CC18" s="83" t="str">
        <f t="shared" si="4"/>
        <v/>
      </c>
      <c r="CD18" s="83" t="str">
        <f t="shared" si="5"/>
        <v/>
      </c>
      <c r="CE18" s="83" t="str">
        <f t="shared" si="6"/>
        <v/>
      </c>
      <c r="CF18" s="83"/>
      <c r="CG18" s="83"/>
      <c r="CI18" s="84">
        <f t="shared" si="7"/>
        <v>0</v>
      </c>
      <c r="CJ18" s="84">
        <f t="shared" si="8"/>
        <v>0</v>
      </c>
      <c r="CK18" s="84">
        <f t="shared" si="9"/>
        <v>0</v>
      </c>
      <c r="CL18" s="84">
        <f t="shared" si="10"/>
        <v>0</v>
      </c>
    </row>
    <row r="19" spans="1:90" s="19" customFormat="1" ht="15" customHeight="1" x14ac:dyDescent="0.2">
      <c r="A19" s="5910"/>
      <c r="B19" s="5232" t="s">
        <v>3893</v>
      </c>
      <c r="C19" s="5229">
        <f t="shared" si="0"/>
        <v>0</v>
      </c>
      <c r="D19" s="5230">
        <f t="shared" si="1"/>
        <v>0</v>
      </c>
      <c r="E19" s="3003">
        <f t="shared" si="1"/>
        <v>0</v>
      </c>
      <c r="F19" s="290"/>
      <c r="G19" s="637"/>
      <c r="H19" s="22"/>
      <c r="I19" s="637"/>
      <c r="J19" s="22"/>
      <c r="K19" s="107"/>
      <c r="L19" s="22"/>
      <c r="M19" s="107"/>
      <c r="N19" s="22"/>
      <c r="O19" s="107"/>
      <c r="P19" s="22"/>
      <c r="Q19" s="107"/>
      <c r="R19" s="22"/>
      <c r="S19" s="107"/>
      <c r="T19" s="22"/>
      <c r="U19" s="107"/>
      <c r="V19" s="22"/>
      <c r="W19" s="107"/>
      <c r="X19" s="22"/>
      <c r="Y19" s="107"/>
      <c r="Z19" s="22"/>
      <c r="AA19" s="107"/>
      <c r="AB19" s="22"/>
      <c r="AC19" s="107"/>
      <c r="AD19" s="22"/>
      <c r="AE19" s="107"/>
      <c r="AF19" s="22"/>
      <c r="AG19" s="107"/>
      <c r="AH19" s="22"/>
      <c r="AI19" s="107"/>
      <c r="AJ19" s="22"/>
      <c r="AK19" s="107"/>
      <c r="AL19" s="22"/>
      <c r="AM19" s="65"/>
      <c r="AN19" s="4672"/>
      <c r="AO19" s="535"/>
      <c r="AP19" s="535"/>
      <c r="AQ19" s="535"/>
      <c r="AR19" s="65"/>
      <c r="AS19" s="296"/>
      <c r="AT19" s="65"/>
      <c r="AU19" s="296"/>
      <c r="AV19" s="535"/>
      <c r="AW19" s="107"/>
      <c r="AX19" s="19" t="str">
        <f t="shared" si="2"/>
        <v/>
      </c>
      <c r="CB19" s="83" t="str">
        <f t="shared" si="3"/>
        <v/>
      </c>
      <c r="CC19" s="83" t="str">
        <f t="shared" si="4"/>
        <v/>
      </c>
      <c r="CD19" s="83" t="str">
        <f t="shared" si="5"/>
        <v/>
      </c>
      <c r="CE19" s="83" t="str">
        <f t="shared" si="6"/>
        <v/>
      </c>
      <c r="CF19" s="83"/>
      <c r="CG19" s="83"/>
      <c r="CI19" s="84">
        <f t="shared" si="7"/>
        <v>0</v>
      </c>
      <c r="CJ19" s="84">
        <f t="shared" si="8"/>
        <v>0</v>
      </c>
      <c r="CK19" s="84">
        <f t="shared" si="9"/>
        <v>0</v>
      </c>
      <c r="CL19" s="84">
        <f t="shared" si="10"/>
        <v>0</v>
      </c>
    </row>
    <row r="20" spans="1:90" s="19" customFormat="1" ht="20.399999999999999" x14ac:dyDescent="0.2">
      <c r="A20" s="5910"/>
      <c r="B20" s="5232" t="s">
        <v>3894</v>
      </c>
      <c r="C20" s="5229">
        <f t="shared" si="0"/>
        <v>0</v>
      </c>
      <c r="D20" s="5230">
        <f t="shared" si="1"/>
        <v>0</v>
      </c>
      <c r="E20" s="3003">
        <f t="shared" si="1"/>
        <v>0</v>
      </c>
      <c r="F20" s="290"/>
      <c r="G20" s="637"/>
      <c r="H20" s="22"/>
      <c r="I20" s="637"/>
      <c r="J20" s="22"/>
      <c r="K20" s="107"/>
      <c r="L20" s="22"/>
      <c r="M20" s="107"/>
      <c r="N20" s="22"/>
      <c r="O20" s="107"/>
      <c r="P20" s="22"/>
      <c r="Q20" s="107"/>
      <c r="R20" s="22"/>
      <c r="S20" s="107"/>
      <c r="T20" s="22"/>
      <c r="U20" s="107"/>
      <c r="V20" s="22"/>
      <c r="W20" s="107"/>
      <c r="X20" s="22"/>
      <c r="Y20" s="107"/>
      <c r="Z20" s="22"/>
      <c r="AA20" s="107"/>
      <c r="AB20" s="22"/>
      <c r="AC20" s="107"/>
      <c r="AD20" s="22"/>
      <c r="AE20" s="107"/>
      <c r="AF20" s="22"/>
      <c r="AG20" s="107"/>
      <c r="AH20" s="22"/>
      <c r="AI20" s="107"/>
      <c r="AJ20" s="22"/>
      <c r="AK20" s="107"/>
      <c r="AL20" s="22"/>
      <c r="AM20" s="65"/>
      <c r="AN20" s="4672"/>
      <c r="AO20" s="535"/>
      <c r="AP20" s="535"/>
      <c r="AQ20" s="535"/>
      <c r="AR20" s="65"/>
      <c r="AS20" s="296"/>
      <c r="AT20" s="65"/>
      <c r="AU20" s="296"/>
      <c r="AV20" s="535"/>
      <c r="AW20" s="107"/>
      <c r="AX20" s="19" t="str">
        <f t="shared" si="2"/>
        <v/>
      </c>
      <c r="CB20" s="83" t="str">
        <f t="shared" si="3"/>
        <v/>
      </c>
      <c r="CC20" s="83" t="str">
        <f t="shared" si="4"/>
        <v/>
      </c>
      <c r="CD20" s="83" t="str">
        <f t="shared" si="5"/>
        <v/>
      </c>
      <c r="CE20" s="83" t="str">
        <f t="shared" si="6"/>
        <v/>
      </c>
      <c r="CF20" s="83"/>
      <c r="CG20" s="83"/>
      <c r="CI20" s="84">
        <f t="shared" si="7"/>
        <v>0</v>
      </c>
      <c r="CJ20" s="84">
        <f t="shared" si="8"/>
        <v>0</v>
      </c>
      <c r="CK20" s="84">
        <f t="shared" si="9"/>
        <v>0</v>
      </c>
      <c r="CL20" s="84">
        <f t="shared" si="10"/>
        <v>0</v>
      </c>
    </row>
    <row r="21" spans="1:90" s="19" customFormat="1" ht="15" customHeight="1" x14ac:dyDescent="0.2">
      <c r="A21" s="5910"/>
      <c r="B21" s="5232" t="s">
        <v>3895</v>
      </c>
      <c r="C21" s="5229">
        <f t="shared" si="0"/>
        <v>0</v>
      </c>
      <c r="D21" s="5230">
        <f t="shared" si="1"/>
        <v>0</v>
      </c>
      <c r="E21" s="3003">
        <f t="shared" si="1"/>
        <v>0</v>
      </c>
      <c r="F21" s="290"/>
      <c r="G21" s="637"/>
      <c r="H21" s="22"/>
      <c r="I21" s="637"/>
      <c r="J21" s="22"/>
      <c r="K21" s="107"/>
      <c r="L21" s="22"/>
      <c r="M21" s="107"/>
      <c r="N21" s="22"/>
      <c r="O21" s="107"/>
      <c r="P21" s="22"/>
      <c r="Q21" s="107"/>
      <c r="R21" s="22"/>
      <c r="S21" s="107"/>
      <c r="T21" s="22"/>
      <c r="U21" s="107"/>
      <c r="V21" s="22"/>
      <c r="W21" s="107"/>
      <c r="X21" s="22"/>
      <c r="Y21" s="107"/>
      <c r="Z21" s="22"/>
      <c r="AA21" s="107"/>
      <c r="AB21" s="22"/>
      <c r="AC21" s="107"/>
      <c r="AD21" s="22"/>
      <c r="AE21" s="107"/>
      <c r="AF21" s="22"/>
      <c r="AG21" s="107"/>
      <c r="AH21" s="22"/>
      <c r="AI21" s="107"/>
      <c r="AJ21" s="22"/>
      <c r="AK21" s="107"/>
      <c r="AL21" s="22"/>
      <c r="AM21" s="65"/>
      <c r="AN21" s="4672"/>
      <c r="AO21" s="535"/>
      <c r="AP21" s="535"/>
      <c r="AQ21" s="535"/>
      <c r="AR21" s="65"/>
      <c r="AS21" s="296"/>
      <c r="AT21" s="65"/>
      <c r="AU21" s="296"/>
      <c r="AV21" s="535"/>
      <c r="AW21" s="107"/>
      <c r="AX21" s="19" t="str">
        <f t="shared" si="2"/>
        <v/>
      </c>
      <c r="CB21" s="83" t="str">
        <f t="shared" si="3"/>
        <v/>
      </c>
      <c r="CC21" s="83" t="str">
        <f t="shared" si="4"/>
        <v/>
      </c>
      <c r="CD21" s="83" t="str">
        <f t="shared" si="5"/>
        <v/>
      </c>
      <c r="CE21" s="83" t="str">
        <f t="shared" si="6"/>
        <v/>
      </c>
      <c r="CF21" s="83"/>
      <c r="CG21" s="83"/>
      <c r="CI21" s="84">
        <f t="shared" si="7"/>
        <v>0</v>
      </c>
      <c r="CJ21" s="84">
        <f t="shared" si="8"/>
        <v>0</v>
      </c>
      <c r="CK21" s="84">
        <f t="shared" si="9"/>
        <v>0</v>
      </c>
      <c r="CL21" s="84">
        <f t="shared" si="10"/>
        <v>0</v>
      </c>
    </row>
    <row r="22" spans="1:90" s="19" customFormat="1" ht="15" customHeight="1" x14ac:dyDescent="0.2">
      <c r="A22" s="5910"/>
      <c r="B22" s="5232" t="s">
        <v>3896</v>
      </c>
      <c r="C22" s="5229">
        <f t="shared" si="0"/>
        <v>0</v>
      </c>
      <c r="D22" s="5230">
        <f t="shared" si="1"/>
        <v>0</v>
      </c>
      <c r="E22" s="3003">
        <f t="shared" si="1"/>
        <v>0</v>
      </c>
      <c r="F22" s="290"/>
      <c r="G22" s="637"/>
      <c r="H22" s="22"/>
      <c r="I22" s="637"/>
      <c r="J22" s="22"/>
      <c r="K22" s="107"/>
      <c r="L22" s="22"/>
      <c r="M22" s="107"/>
      <c r="N22" s="22"/>
      <c r="O22" s="107"/>
      <c r="P22" s="22"/>
      <c r="Q22" s="107"/>
      <c r="R22" s="22"/>
      <c r="S22" s="107"/>
      <c r="T22" s="22"/>
      <c r="U22" s="107"/>
      <c r="V22" s="22"/>
      <c r="W22" s="107"/>
      <c r="X22" s="22"/>
      <c r="Y22" s="107"/>
      <c r="Z22" s="22"/>
      <c r="AA22" s="107"/>
      <c r="AB22" s="22"/>
      <c r="AC22" s="107"/>
      <c r="AD22" s="22"/>
      <c r="AE22" s="107"/>
      <c r="AF22" s="22"/>
      <c r="AG22" s="107"/>
      <c r="AH22" s="22"/>
      <c r="AI22" s="107"/>
      <c r="AJ22" s="22"/>
      <c r="AK22" s="107"/>
      <c r="AL22" s="22"/>
      <c r="AM22" s="65"/>
      <c r="AN22" s="4672"/>
      <c r="AO22" s="535"/>
      <c r="AP22" s="535"/>
      <c r="AQ22" s="535"/>
      <c r="AR22" s="65"/>
      <c r="AS22" s="296"/>
      <c r="AT22" s="65"/>
      <c r="AU22" s="296"/>
      <c r="AV22" s="535"/>
      <c r="AW22" s="107"/>
      <c r="AX22" s="19" t="str">
        <f t="shared" si="2"/>
        <v/>
      </c>
      <c r="CB22" s="83" t="str">
        <f t="shared" si="3"/>
        <v/>
      </c>
      <c r="CC22" s="83" t="str">
        <f t="shared" si="4"/>
        <v/>
      </c>
      <c r="CD22" s="83" t="str">
        <f t="shared" si="5"/>
        <v/>
      </c>
      <c r="CE22" s="83" t="str">
        <f t="shared" si="6"/>
        <v/>
      </c>
      <c r="CF22" s="83"/>
      <c r="CG22" s="83"/>
      <c r="CI22" s="84">
        <f t="shared" si="7"/>
        <v>0</v>
      </c>
      <c r="CJ22" s="84">
        <f t="shared" si="8"/>
        <v>0</v>
      </c>
      <c r="CK22" s="84">
        <f t="shared" si="9"/>
        <v>0</v>
      </c>
      <c r="CL22" s="84">
        <f t="shared" si="10"/>
        <v>0</v>
      </c>
    </row>
    <row r="23" spans="1:90" s="19" customFormat="1" ht="15" customHeight="1" x14ac:dyDescent="0.2">
      <c r="A23" s="5910"/>
      <c r="B23" s="5232" t="s">
        <v>3897</v>
      </c>
      <c r="C23" s="5229">
        <f t="shared" si="0"/>
        <v>0</v>
      </c>
      <c r="D23" s="5233">
        <f t="shared" si="1"/>
        <v>0</v>
      </c>
      <c r="E23" s="5234">
        <f t="shared" si="1"/>
        <v>0</v>
      </c>
      <c r="F23" s="1114"/>
      <c r="G23" s="1118"/>
      <c r="H23" s="1116"/>
      <c r="I23" s="1118"/>
      <c r="J23" s="1116"/>
      <c r="K23" s="1115"/>
      <c r="L23" s="1116"/>
      <c r="M23" s="1115"/>
      <c r="N23" s="1116"/>
      <c r="O23" s="1115"/>
      <c r="P23" s="1116"/>
      <c r="Q23" s="1115"/>
      <c r="R23" s="1116"/>
      <c r="S23" s="1115"/>
      <c r="T23" s="1116"/>
      <c r="U23" s="1115"/>
      <c r="V23" s="1116"/>
      <c r="W23" s="1115"/>
      <c r="X23" s="1116"/>
      <c r="Y23" s="1115"/>
      <c r="Z23" s="1116"/>
      <c r="AA23" s="1115"/>
      <c r="AB23" s="1116"/>
      <c r="AC23" s="1115"/>
      <c r="AD23" s="1116"/>
      <c r="AE23" s="1115"/>
      <c r="AF23" s="1116"/>
      <c r="AG23" s="1115"/>
      <c r="AH23" s="1116"/>
      <c r="AI23" s="1115"/>
      <c r="AJ23" s="1116"/>
      <c r="AK23" s="1115"/>
      <c r="AL23" s="1116"/>
      <c r="AM23" s="1338"/>
      <c r="AN23" s="3831"/>
      <c r="AO23" s="1278"/>
      <c r="AP23" s="1278"/>
      <c r="AQ23" s="1278"/>
      <c r="AR23" s="1338"/>
      <c r="AS23" s="1326"/>
      <c r="AT23" s="1338"/>
      <c r="AU23" s="1326"/>
      <c r="AV23" s="1278"/>
      <c r="AW23" s="1115"/>
      <c r="AX23" s="19" t="str">
        <f t="shared" si="2"/>
        <v/>
      </c>
      <c r="CB23" s="83" t="str">
        <f t="shared" si="3"/>
        <v/>
      </c>
      <c r="CC23" s="83" t="str">
        <f t="shared" si="4"/>
        <v/>
      </c>
      <c r="CD23" s="83" t="str">
        <f t="shared" si="5"/>
        <v/>
      </c>
      <c r="CE23" s="83" t="str">
        <f t="shared" si="6"/>
        <v/>
      </c>
      <c r="CF23" s="83"/>
      <c r="CG23" s="83"/>
      <c r="CI23" s="84">
        <f t="shared" si="7"/>
        <v>0</v>
      </c>
      <c r="CJ23" s="84">
        <f t="shared" si="8"/>
        <v>0</v>
      </c>
      <c r="CK23" s="84">
        <f t="shared" si="9"/>
        <v>0</v>
      </c>
      <c r="CL23" s="84">
        <f t="shared" si="10"/>
        <v>0</v>
      </c>
    </row>
    <row r="24" spans="1:90" s="19" customFormat="1" ht="15" customHeight="1" x14ac:dyDescent="0.2">
      <c r="A24" s="5910"/>
      <c r="B24" s="5235" t="s">
        <v>3898</v>
      </c>
      <c r="C24" s="5229">
        <f t="shared" si="0"/>
        <v>0</v>
      </c>
      <c r="D24" s="5233">
        <f t="shared" si="1"/>
        <v>0</v>
      </c>
      <c r="E24" s="5234">
        <f t="shared" si="1"/>
        <v>0</v>
      </c>
      <c r="F24" s="1114"/>
      <c r="G24" s="1118"/>
      <c r="H24" s="1116"/>
      <c r="I24" s="1118"/>
      <c r="J24" s="1116"/>
      <c r="K24" s="1115"/>
      <c r="L24" s="1116"/>
      <c r="M24" s="1115"/>
      <c r="N24" s="1116"/>
      <c r="O24" s="1115"/>
      <c r="P24" s="1116"/>
      <c r="Q24" s="1115"/>
      <c r="R24" s="1116"/>
      <c r="S24" s="1115"/>
      <c r="T24" s="1116"/>
      <c r="U24" s="1115"/>
      <c r="V24" s="1116"/>
      <c r="W24" s="1115"/>
      <c r="X24" s="1116"/>
      <c r="Y24" s="1115"/>
      <c r="Z24" s="1116"/>
      <c r="AA24" s="1115"/>
      <c r="AB24" s="1116"/>
      <c r="AC24" s="1115"/>
      <c r="AD24" s="1116"/>
      <c r="AE24" s="1115"/>
      <c r="AF24" s="1116"/>
      <c r="AG24" s="1115"/>
      <c r="AH24" s="1116"/>
      <c r="AI24" s="1115"/>
      <c r="AJ24" s="1116"/>
      <c r="AK24" s="1115"/>
      <c r="AL24" s="1116"/>
      <c r="AM24" s="1338"/>
      <c r="AN24" s="3831"/>
      <c r="AO24" s="1278"/>
      <c r="AP24" s="1278"/>
      <c r="AQ24" s="1278"/>
      <c r="AR24" s="1338"/>
      <c r="AS24" s="1326"/>
      <c r="AT24" s="1338"/>
      <c r="AU24" s="1326"/>
      <c r="AV24" s="1278"/>
      <c r="AW24" s="1115"/>
      <c r="AX24" s="19" t="str">
        <f t="shared" si="2"/>
        <v/>
      </c>
      <c r="CB24" s="83" t="str">
        <f t="shared" si="3"/>
        <v/>
      </c>
      <c r="CC24" s="83" t="str">
        <f t="shared" si="4"/>
        <v/>
      </c>
      <c r="CD24" s="83" t="str">
        <f t="shared" si="5"/>
        <v/>
      </c>
      <c r="CE24" s="83" t="str">
        <f t="shared" si="6"/>
        <v/>
      </c>
      <c r="CF24" s="83"/>
      <c r="CG24" s="83"/>
      <c r="CI24" s="84">
        <f t="shared" si="7"/>
        <v>0</v>
      </c>
      <c r="CJ24" s="84">
        <f t="shared" si="8"/>
        <v>0</v>
      </c>
      <c r="CK24" s="84">
        <f t="shared" si="9"/>
        <v>0</v>
      </c>
      <c r="CL24" s="84">
        <f t="shared" si="10"/>
        <v>0</v>
      </c>
    </row>
    <row r="25" spans="1:90" s="19" customFormat="1" ht="15" customHeight="1" x14ac:dyDescent="0.2">
      <c r="A25" s="5910"/>
      <c r="B25" s="4804" t="s">
        <v>3899</v>
      </c>
      <c r="C25" s="5229">
        <f t="shared" si="0"/>
        <v>0</v>
      </c>
      <c r="D25" s="5233">
        <f t="shared" si="1"/>
        <v>0</v>
      </c>
      <c r="E25" s="5234">
        <f t="shared" si="1"/>
        <v>0</v>
      </c>
      <c r="F25" s="1114"/>
      <c r="G25" s="1118"/>
      <c r="H25" s="1116"/>
      <c r="I25" s="1118"/>
      <c r="J25" s="1116"/>
      <c r="K25" s="1115"/>
      <c r="L25" s="1116"/>
      <c r="M25" s="1115"/>
      <c r="N25" s="1116"/>
      <c r="O25" s="1115"/>
      <c r="P25" s="1116"/>
      <c r="Q25" s="1115"/>
      <c r="R25" s="1116"/>
      <c r="S25" s="1115"/>
      <c r="T25" s="1116"/>
      <c r="U25" s="1115"/>
      <c r="V25" s="1116"/>
      <c r="W25" s="1115"/>
      <c r="X25" s="1116"/>
      <c r="Y25" s="1115"/>
      <c r="Z25" s="1116"/>
      <c r="AA25" s="1115"/>
      <c r="AB25" s="1116"/>
      <c r="AC25" s="1115"/>
      <c r="AD25" s="1116"/>
      <c r="AE25" s="1115"/>
      <c r="AF25" s="1116"/>
      <c r="AG25" s="1115"/>
      <c r="AH25" s="1116"/>
      <c r="AI25" s="1115"/>
      <c r="AJ25" s="1116"/>
      <c r="AK25" s="1115"/>
      <c r="AL25" s="1116"/>
      <c r="AM25" s="1338"/>
      <c r="AN25" s="3831"/>
      <c r="AO25" s="1278"/>
      <c r="AP25" s="1278"/>
      <c r="AQ25" s="1278"/>
      <c r="AR25" s="1338"/>
      <c r="AS25" s="1326"/>
      <c r="AT25" s="1338"/>
      <c r="AU25" s="1326"/>
      <c r="AV25" s="1278"/>
      <c r="AW25" s="1115"/>
      <c r="AX25" s="19" t="str">
        <f t="shared" si="2"/>
        <v/>
      </c>
      <c r="CB25" s="83" t="str">
        <f t="shared" si="3"/>
        <v/>
      </c>
      <c r="CC25" s="83" t="str">
        <f t="shared" si="4"/>
        <v/>
      </c>
      <c r="CD25" s="83" t="str">
        <f t="shared" si="5"/>
        <v/>
      </c>
      <c r="CE25" s="83" t="str">
        <f t="shared" si="6"/>
        <v/>
      </c>
      <c r="CF25" s="83"/>
      <c r="CG25" s="83"/>
      <c r="CI25" s="84">
        <f t="shared" si="7"/>
        <v>0</v>
      </c>
      <c r="CJ25" s="84">
        <f t="shared" si="8"/>
        <v>0</v>
      </c>
      <c r="CK25" s="84">
        <f t="shared" si="9"/>
        <v>0</v>
      </c>
      <c r="CL25" s="84">
        <f t="shared" si="10"/>
        <v>0</v>
      </c>
    </row>
    <row r="26" spans="1:90" s="19" customFormat="1" ht="15" customHeight="1" x14ac:dyDescent="0.2">
      <c r="A26" s="5910"/>
      <c r="B26" s="5236" t="s">
        <v>3900</v>
      </c>
      <c r="C26" s="5229">
        <f t="shared" si="0"/>
        <v>0</v>
      </c>
      <c r="D26" s="5233">
        <f t="shared" si="1"/>
        <v>0</v>
      </c>
      <c r="E26" s="5234">
        <f t="shared" si="1"/>
        <v>0</v>
      </c>
      <c r="F26" s="1114"/>
      <c r="G26" s="1118"/>
      <c r="H26" s="1116"/>
      <c r="I26" s="1118"/>
      <c r="J26" s="1116"/>
      <c r="K26" s="1115"/>
      <c r="L26" s="1116"/>
      <c r="M26" s="1115"/>
      <c r="N26" s="1116"/>
      <c r="O26" s="1115"/>
      <c r="P26" s="1116"/>
      <c r="Q26" s="1115"/>
      <c r="R26" s="1116"/>
      <c r="S26" s="1115"/>
      <c r="T26" s="1116"/>
      <c r="U26" s="1115"/>
      <c r="V26" s="1116"/>
      <c r="W26" s="1115"/>
      <c r="X26" s="1116"/>
      <c r="Y26" s="1115"/>
      <c r="Z26" s="1116"/>
      <c r="AA26" s="1115"/>
      <c r="AB26" s="1116"/>
      <c r="AC26" s="1115"/>
      <c r="AD26" s="1116"/>
      <c r="AE26" s="1115"/>
      <c r="AF26" s="1116"/>
      <c r="AG26" s="1115"/>
      <c r="AH26" s="1116"/>
      <c r="AI26" s="1115"/>
      <c r="AJ26" s="1116"/>
      <c r="AK26" s="1115"/>
      <c r="AL26" s="1116"/>
      <c r="AM26" s="1338"/>
      <c r="AN26" s="3831"/>
      <c r="AO26" s="1278"/>
      <c r="AP26" s="1278"/>
      <c r="AQ26" s="1278"/>
      <c r="AR26" s="1338"/>
      <c r="AS26" s="1326"/>
      <c r="AT26" s="1338"/>
      <c r="AU26" s="1326"/>
      <c r="AV26" s="1278"/>
      <c r="AW26" s="1115"/>
      <c r="AX26" s="19" t="str">
        <f t="shared" si="2"/>
        <v/>
      </c>
      <c r="CB26" s="83" t="str">
        <f t="shared" si="3"/>
        <v/>
      </c>
      <c r="CC26" s="83" t="str">
        <f t="shared" si="4"/>
        <v/>
      </c>
      <c r="CD26" s="83" t="str">
        <f t="shared" si="5"/>
        <v/>
      </c>
      <c r="CE26" s="83" t="str">
        <f t="shared" si="6"/>
        <v/>
      </c>
      <c r="CF26" s="83"/>
      <c r="CG26" s="83"/>
      <c r="CI26" s="84">
        <f t="shared" si="7"/>
        <v>0</v>
      </c>
      <c r="CJ26" s="84">
        <f t="shared" si="8"/>
        <v>0</v>
      </c>
      <c r="CK26" s="84">
        <f t="shared" si="9"/>
        <v>0</v>
      </c>
      <c r="CL26" s="84">
        <f t="shared" si="10"/>
        <v>0</v>
      </c>
    </row>
    <row r="27" spans="1:90" s="19" customFormat="1" ht="15" customHeight="1" x14ac:dyDescent="0.2">
      <c r="A27" s="7532"/>
      <c r="B27" s="4804" t="s">
        <v>902</v>
      </c>
      <c r="C27" s="5237">
        <f t="shared" si="0"/>
        <v>0</v>
      </c>
      <c r="D27" s="5233">
        <f t="shared" si="1"/>
        <v>0</v>
      </c>
      <c r="E27" s="3009">
        <f t="shared" si="1"/>
        <v>0</v>
      </c>
      <c r="F27" s="1114"/>
      <c r="G27" s="1118"/>
      <c r="H27" s="1116"/>
      <c r="I27" s="1118"/>
      <c r="J27" s="1116"/>
      <c r="K27" s="1115"/>
      <c r="L27" s="1116"/>
      <c r="M27" s="1115"/>
      <c r="N27" s="1116"/>
      <c r="O27" s="1115"/>
      <c r="P27" s="1116"/>
      <c r="Q27" s="1115"/>
      <c r="R27" s="1116"/>
      <c r="S27" s="1115"/>
      <c r="T27" s="1116"/>
      <c r="U27" s="1115"/>
      <c r="V27" s="1116"/>
      <c r="W27" s="1115"/>
      <c r="X27" s="1116"/>
      <c r="Y27" s="1115"/>
      <c r="Z27" s="1116"/>
      <c r="AA27" s="1115"/>
      <c r="AB27" s="1116"/>
      <c r="AC27" s="1115"/>
      <c r="AD27" s="1116"/>
      <c r="AE27" s="1115"/>
      <c r="AF27" s="1116"/>
      <c r="AG27" s="1115"/>
      <c r="AH27" s="1116"/>
      <c r="AI27" s="1115"/>
      <c r="AJ27" s="1116"/>
      <c r="AK27" s="1115"/>
      <c r="AL27" s="1116"/>
      <c r="AM27" s="564"/>
      <c r="AN27" s="3831"/>
      <c r="AO27" s="1278"/>
      <c r="AP27" s="1278"/>
      <c r="AQ27" s="1278"/>
      <c r="AR27" s="1338"/>
      <c r="AS27" s="1326"/>
      <c r="AT27" s="1338"/>
      <c r="AU27" s="1326"/>
      <c r="AV27" s="1278"/>
      <c r="AW27" s="1115"/>
      <c r="AX27" s="19" t="str">
        <f t="shared" si="2"/>
        <v/>
      </c>
      <c r="CB27" s="83" t="str">
        <f t="shared" si="3"/>
        <v/>
      </c>
      <c r="CC27" s="83" t="str">
        <f t="shared" si="4"/>
        <v/>
      </c>
      <c r="CD27" s="83" t="str">
        <f t="shared" si="5"/>
        <v/>
      </c>
      <c r="CE27" s="83" t="str">
        <f t="shared" si="6"/>
        <v/>
      </c>
      <c r="CF27" s="83"/>
      <c r="CG27" s="83"/>
      <c r="CI27" s="84">
        <f t="shared" si="7"/>
        <v>0</v>
      </c>
      <c r="CJ27" s="84">
        <f t="shared" si="8"/>
        <v>0</v>
      </c>
      <c r="CK27" s="84">
        <f t="shared" si="9"/>
        <v>0</v>
      </c>
      <c r="CL27" s="84">
        <f t="shared" si="10"/>
        <v>0</v>
      </c>
    </row>
    <row r="28" spans="1:90" s="19" customFormat="1" ht="15" customHeight="1" x14ac:dyDescent="0.2">
      <c r="A28" s="7522" t="s">
        <v>77</v>
      </c>
      <c r="B28" s="7526"/>
      <c r="C28" s="5238">
        <f t="shared" si="0"/>
        <v>0</v>
      </c>
      <c r="D28" s="1127">
        <f>+F28+H28+J28+L28+N28+P28+R28+T28+V28+X28+Z28+AB28+AD28+AF28+AH28+AJ28+AL28</f>
        <v>0</v>
      </c>
      <c r="E28" s="5161">
        <f>+G28+I28+K28+M28+O28+Q28+S28+U28+W28+Y28+AA28+AC28+AE28+AG28+AI28+AK28+AM28</f>
        <v>0</v>
      </c>
      <c r="F28" s="4987">
        <f>SUM(F12:F27)</f>
        <v>0</v>
      </c>
      <c r="G28" s="1127">
        <f>SUM(G12:G27)</f>
        <v>0</v>
      </c>
      <c r="H28" s="4987">
        <f t="shared" ref="H28:AW28" si="11">SUM(H12:H27)</f>
        <v>0</v>
      </c>
      <c r="I28" s="1127">
        <f t="shared" si="11"/>
        <v>0</v>
      </c>
      <c r="J28" s="4987">
        <f t="shared" si="11"/>
        <v>0</v>
      </c>
      <c r="K28" s="1127">
        <f t="shared" si="11"/>
        <v>0</v>
      </c>
      <c r="L28" s="4987">
        <f t="shared" si="11"/>
        <v>0</v>
      </c>
      <c r="M28" s="1127">
        <f t="shared" si="11"/>
        <v>0</v>
      </c>
      <c r="N28" s="4987">
        <f t="shared" si="11"/>
        <v>0</v>
      </c>
      <c r="O28" s="1127">
        <f t="shared" si="11"/>
        <v>0</v>
      </c>
      <c r="P28" s="4987">
        <f t="shared" si="11"/>
        <v>0</v>
      </c>
      <c r="Q28" s="1127">
        <f t="shared" si="11"/>
        <v>0</v>
      </c>
      <c r="R28" s="4987">
        <f t="shared" si="11"/>
        <v>0</v>
      </c>
      <c r="S28" s="1127">
        <f t="shared" si="11"/>
        <v>0</v>
      </c>
      <c r="T28" s="4987">
        <f t="shared" si="11"/>
        <v>0</v>
      </c>
      <c r="U28" s="1127">
        <f t="shared" si="11"/>
        <v>0</v>
      </c>
      <c r="V28" s="4987">
        <f t="shared" si="11"/>
        <v>0</v>
      </c>
      <c r="W28" s="1127">
        <f t="shared" si="11"/>
        <v>0</v>
      </c>
      <c r="X28" s="4987">
        <f t="shared" si="11"/>
        <v>0</v>
      </c>
      <c r="Y28" s="1127">
        <f t="shared" si="11"/>
        <v>0</v>
      </c>
      <c r="Z28" s="4987">
        <f t="shared" si="11"/>
        <v>0</v>
      </c>
      <c r="AA28" s="1127">
        <f t="shared" si="11"/>
        <v>0</v>
      </c>
      <c r="AB28" s="4987">
        <f t="shared" si="11"/>
        <v>0</v>
      </c>
      <c r="AC28" s="1127">
        <f t="shared" si="11"/>
        <v>0</v>
      </c>
      <c r="AD28" s="4987">
        <f t="shared" si="11"/>
        <v>0</v>
      </c>
      <c r="AE28" s="1127">
        <f t="shared" si="11"/>
        <v>0</v>
      </c>
      <c r="AF28" s="4987">
        <f t="shared" si="11"/>
        <v>0</v>
      </c>
      <c r="AG28" s="1127">
        <f t="shared" si="11"/>
        <v>0</v>
      </c>
      <c r="AH28" s="4987">
        <f t="shared" si="11"/>
        <v>0</v>
      </c>
      <c r="AI28" s="1127">
        <f t="shared" si="11"/>
        <v>0</v>
      </c>
      <c r="AJ28" s="4987">
        <f t="shared" si="11"/>
        <v>0</v>
      </c>
      <c r="AK28" s="1127">
        <f t="shared" si="11"/>
        <v>0</v>
      </c>
      <c r="AL28" s="4987">
        <f>SUM(AL12:AL27)</f>
        <v>0</v>
      </c>
      <c r="AM28" s="1128">
        <f t="shared" si="11"/>
        <v>0</v>
      </c>
      <c r="AN28" s="4861">
        <f t="shared" si="11"/>
        <v>0</v>
      </c>
      <c r="AO28" s="1141">
        <f t="shared" si="11"/>
        <v>0</v>
      </c>
      <c r="AP28" s="1141">
        <f t="shared" si="11"/>
        <v>0</v>
      </c>
      <c r="AQ28" s="1141">
        <f t="shared" si="11"/>
        <v>0</v>
      </c>
      <c r="AR28" s="5196">
        <f t="shared" si="11"/>
        <v>0</v>
      </c>
      <c r="AS28" s="4861">
        <f t="shared" si="11"/>
        <v>0</v>
      </c>
      <c r="AT28" s="5196">
        <f t="shared" si="11"/>
        <v>0</v>
      </c>
      <c r="AU28" s="4861">
        <f t="shared" si="11"/>
        <v>0</v>
      </c>
      <c r="AV28" s="1141">
        <f>SUM(AV12:AV27)</f>
        <v>0</v>
      </c>
      <c r="AW28" s="5161">
        <f t="shared" si="11"/>
        <v>0</v>
      </c>
    </row>
    <row r="29" spans="1:90" s="25" customFormat="1" ht="17.100000000000001" customHeight="1" x14ac:dyDescent="0.2">
      <c r="A29" s="7515" t="s">
        <v>3901</v>
      </c>
      <c r="B29" s="7515"/>
      <c r="C29" s="7515"/>
      <c r="D29" s="7515"/>
      <c r="E29" s="7515"/>
      <c r="F29" s="7515"/>
      <c r="G29" s="7515"/>
      <c r="H29" s="7515"/>
      <c r="I29" s="7515"/>
      <c r="J29" s="7515"/>
      <c r="K29" s="7515"/>
      <c r="L29" s="7515"/>
    </row>
    <row r="30" spans="1:90" s="19" customFormat="1" ht="15" customHeight="1" x14ac:dyDescent="0.2">
      <c r="A30" s="7431" t="s">
        <v>3902</v>
      </c>
      <c r="B30" s="7431" t="s">
        <v>77</v>
      </c>
      <c r="C30" s="7527" t="s">
        <v>3885</v>
      </c>
      <c r="D30" s="6506" t="s">
        <v>3886</v>
      </c>
      <c r="E30" s="7529" t="s">
        <v>3887</v>
      </c>
      <c r="F30" s="7522" t="s">
        <v>3903</v>
      </c>
      <c r="G30" s="7523"/>
      <c r="H30" s="7523"/>
      <c r="I30" s="7523"/>
      <c r="J30" s="7523"/>
      <c r="K30" s="7523"/>
      <c r="L30" s="7523"/>
      <c r="M30" s="7523"/>
      <c r="N30" s="7523"/>
      <c r="O30" s="7523"/>
      <c r="P30" s="7523"/>
      <c r="Q30" s="7523"/>
      <c r="R30" s="7523"/>
      <c r="S30" s="7523"/>
      <c r="T30" s="7523"/>
      <c r="U30" s="7523"/>
      <c r="V30" s="7523"/>
      <c r="W30" s="7523"/>
      <c r="X30" s="7523"/>
      <c r="Y30" s="7523"/>
      <c r="Z30" s="7523"/>
      <c r="AA30" s="7523"/>
      <c r="AB30" s="7523"/>
      <c r="AC30" s="7523"/>
      <c r="AD30" s="7523"/>
      <c r="AE30" s="7523"/>
      <c r="AF30" s="7526"/>
    </row>
    <row r="31" spans="1:90" ht="40.799999999999997" x14ac:dyDescent="0.3">
      <c r="A31" s="6917"/>
      <c r="B31" s="6917"/>
      <c r="C31" s="7528"/>
      <c r="D31" s="6508"/>
      <c r="E31" s="5936"/>
      <c r="F31" s="5240" t="s">
        <v>3889</v>
      </c>
      <c r="G31" s="2964" t="s">
        <v>3904</v>
      </c>
      <c r="H31" s="2964" t="s">
        <v>3905</v>
      </c>
      <c r="I31" s="2964" t="s">
        <v>3906</v>
      </c>
      <c r="J31" s="5241" t="s">
        <v>3891</v>
      </c>
      <c r="K31" s="2964" t="s">
        <v>3907</v>
      </c>
      <c r="L31" s="4690" t="s">
        <v>3908</v>
      </c>
      <c r="M31" s="2964" t="s">
        <v>3909</v>
      </c>
      <c r="N31" s="2964" t="s">
        <v>3893</v>
      </c>
      <c r="O31" s="2964" t="s">
        <v>3894</v>
      </c>
      <c r="P31" s="4801" t="s">
        <v>3910</v>
      </c>
      <c r="Q31" s="5242" t="s">
        <v>3895</v>
      </c>
      <c r="R31" s="2964" t="s">
        <v>3896</v>
      </c>
      <c r="S31" s="4690" t="s">
        <v>3911</v>
      </c>
      <c r="T31" s="4801" t="s">
        <v>3898</v>
      </c>
      <c r="U31" s="1234" t="s">
        <v>3912</v>
      </c>
      <c r="V31" s="4801" t="s">
        <v>3913</v>
      </c>
      <c r="W31" s="4801" t="s">
        <v>3899</v>
      </c>
      <c r="X31" s="4690" t="s">
        <v>3900</v>
      </c>
      <c r="Y31" s="4801" t="s">
        <v>3914</v>
      </c>
      <c r="Z31" s="1234" t="s">
        <v>3915</v>
      </c>
      <c r="AA31" s="4801" t="s">
        <v>3916</v>
      </c>
      <c r="AB31" s="2964" t="s">
        <v>3917</v>
      </c>
      <c r="AC31" s="4801" t="s">
        <v>3918</v>
      </c>
      <c r="AD31" s="4801" t="s">
        <v>3919</v>
      </c>
      <c r="AE31" s="4801" t="s">
        <v>3920</v>
      </c>
      <c r="AF31" s="5223" t="s">
        <v>3921</v>
      </c>
      <c r="CB31"/>
      <c r="CC31"/>
      <c r="CD31"/>
      <c r="CE31"/>
      <c r="CF31"/>
      <c r="CG31"/>
      <c r="CI31"/>
      <c r="CJ31"/>
      <c r="CK31"/>
    </row>
    <row r="32" spans="1:90" s="19" customFormat="1" ht="15" customHeight="1" x14ac:dyDescent="0.2">
      <c r="A32" s="5096" t="s">
        <v>959</v>
      </c>
      <c r="B32" s="1184">
        <f>SUM(C32:AF32)</f>
        <v>0</v>
      </c>
      <c r="C32" s="4610"/>
      <c r="D32" s="4610"/>
      <c r="E32" s="95"/>
      <c r="F32" s="290"/>
      <c r="G32" s="535"/>
      <c r="H32" s="535"/>
      <c r="I32" s="535"/>
      <c r="J32" s="735"/>
      <c r="K32" s="773"/>
      <c r="L32" s="773"/>
      <c r="M32" s="773"/>
      <c r="N32" s="773"/>
      <c r="O32" s="773"/>
      <c r="P32" s="773"/>
      <c r="Q32" s="773"/>
      <c r="R32" s="773"/>
      <c r="S32" s="773"/>
      <c r="T32" s="1108"/>
      <c r="U32" s="773"/>
      <c r="V32" s="773"/>
      <c r="W32" s="773"/>
      <c r="X32" s="773"/>
      <c r="Y32" s="773"/>
      <c r="Z32" s="773"/>
      <c r="AA32" s="773"/>
      <c r="AB32" s="773"/>
      <c r="AC32" s="773"/>
      <c r="AD32" s="773"/>
      <c r="AE32" s="773"/>
      <c r="AF32" s="1107"/>
      <c r="CB32" s="83"/>
      <c r="CC32" s="83"/>
      <c r="CD32" s="83"/>
      <c r="CE32" s="83"/>
      <c r="CF32" s="83"/>
      <c r="CG32" s="83"/>
      <c r="CI32" s="84"/>
      <c r="CJ32" s="84"/>
      <c r="CK32" s="84"/>
    </row>
    <row r="33" spans="1:32" s="19" customFormat="1" ht="15" customHeight="1" x14ac:dyDescent="0.2">
      <c r="A33" s="5232" t="s">
        <v>587</v>
      </c>
      <c r="B33" s="1187">
        <f>SUM(C33:AF33)</f>
        <v>0</v>
      </c>
      <c r="C33" s="482"/>
      <c r="D33" s="482"/>
      <c r="E33" s="383"/>
      <c r="F33" s="192"/>
      <c r="G33" s="594"/>
      <c r="H33" s="594"/>
      <c r="I33" s="594"/>
      <c r="J33" s="1123"/>
      <c r="K33" s="1278"/>
      <c r="L33" s="1278"/>
      <c r="M33" s="1278"/>
      <c r="N33" s="1278"/>
      <c r="O33" s="1278"/>
      <c r="P33" s="1278"/>
      <c r="Q33" s="1278"/>
      <c r="R33" s="1278"/>
      <c r="S33" s="1278"/>
      <c r="T33" s="1116"/>
      <c r="U33" s="1278"/>
      <c r="V33" s="1278"/>
      <c r="W33" s="1278"/>
      <c r="X33" s="1278"/>
      <c r="Y33" s="1278"/>
      <c r="Z33" s="1278"/>
      <c r="AA33" s="1278"/>
      <c r="AB33" s="1278"/>
      <c r="AC33" s="1278"/>
      <c r="AD33" s="1278"/>
      <c r="AE33" s="1278"/>
      <c r="AF33" s="1115"/>
    </row>
    <row r="34" spans="1:32" s="19" customFormat="1" ht="15" customHeight="1" x14ac:dyDescent="0.2">
      <c r="A34" s="5232" t="s">
        <v>3922</v>
      </c>
      <c r="B34" s="1187">
        <f t="shared" ref="B34:B45" si="12">SUM(C34:AF34)</f>
        <v>0</v>
      </c>
      <c r="C34" s="482"/>
      <c r="D34" s="482"/>
      <c r="E34" s="383"/>
      <c r="F34" s="192"/>
      <c r="G34" s="594"/>
      <c r="H34" s="594"/>
      <c r="I34" s="594"/>
      <c r="J34" s="1123"/>
      <c r="K34" s="1278"/>
      <c r="L34" s="1278"/>
      <c r="M34" s="1278"/>
      <c r="N34" s="1278"/>
      <c r="O34" s="1278"/>
      <c r="P34" s="1278"/>
      <c r="Q34" s="1278"/>
      <c r="R34" s="1278"/>
      <c r="S34" s="1278"/>
      <c r="T34" s="1116"/>
      <c r="U34" s="1278"/>
      <c r="V34" s="1278"/>
      <c r="W34" s="1278"/>
      <c r="X34" s="1278"/>
      <c r="Y34" s="1278"/>
      <c r="Z34" s="1278"/>
      <c r="AA34" s="1278"/>
      <c r="AB34" s="1278"/>
      <c r="AC34" s="1278"/>
      <c r="AD34" s="1278"/>
      <c r="AE34" s="1278"/>
      <c r="AF34" s="1115"/>
    </row>
    <row r="35" spans="1:32" s="19" customFormat="1" ht="15" customHeight="1" x14ac:dyDescent="0.2">
      <c r="A35" s="5232" t="s">
        <v>3923</v>
      </c>
      <c r="B35" s="1187">
        <f t="shared" si="12"/>
        <v>0</v>
      </c>
      <c r="C35" s="482"/>
      <c r="D35" s="482"/>
      <c r="E35" s="383"/>
      <c r="F35" s="192"/>
      <c r="G35" s="594"/>
      <c r="H35" s="594"/>
      <c r="I35" s="594"/>
      <c r="J35" s="1123"/>
      <c r="K35" s="1278"/>
      <c r="L35" s="1278"/>
      <c r="M35" s="1278"/>
      <c r="N35" s="1278"/>
      <c r="O35" s="1278"/>
      <c r="P35" s="1278"/>
      <c r="Q35" s="1278"/>
      <c r="R35" s="1278"/>
      <c r="S35" s="1278"/>
      <c r="T35" s="1116"/>
      <c r="U35" s="1278"/>
      <c r="V35" s="1278"/>
      <c r="W35" s="1278"/>
      <c r="X35" s="1278"/>
      <c r="Y35" s="1278"/>
      <c r="Z35" s="1278"/>
      <c r="AA35" s="1278"/>
      <c r="AB35" s="1278"/>
      <c r="AC35" s="1278"/>
      <c r="AD35" s="1278"/>
      <c r="AE35" s="1278"/>
      <c r="AF35" s="1115"/>
    </row>
    <row r="36" spans="1:32" s="19" customFormat="1" ht="15" customHeight="1" x14ac:dyDescent="0.2">
      <c r="A36" s="5232" t="s">
        <v>589</v>
      </c>
      <c r="B36" s="1187">
        <f t="shared" si="12"/>
        <v>0</v>
      </c>
      <c r="C36" s="482"/>
      <c r="D36" s="482"/>
      <c r="E36" s="383"/>
      <c r="F36" s="192"/>
      <c r="G36" s="594"/>
      <c r="H36" s="594"/>
      <c r="I36" s="594"/>
      <c r="J36" s="1123"/>
      <c r="K36" s="1278"/>
      <c r="L36" s="1278"/>
      <c r="M36" s="1278"/>
      <c r="N36" s="1278"/>
      <c r="O36" s="1278"/>
      <c r="P36" s="1278"/>
      <c r="Q36" s="1278"/>
      <c r="R36" s="1278"/>
      <c r="S36" s="1278"/>
      <c r="T36" s="1116"/>
      <c r="U36" s="1278"/>
      <c r="V36" s="1278"/>
      <c r="W36" s="1278"/>
      <c r="X36" s="1278"/>
      <c r="Y36" s="1278"/>
      <c r="Z36" s="1278"/>
      <c r="AA36" s="1278"/>
      <c r="AB36" s="1278"/>
      <c r="AC36" s="1278"/>
      <c r="AD36" s="1278"/>
      <c r="AE36" s="1278"/>
      <c r="AF36" s="1115"/>
    </row>
    <row r="37" spans="1:32" s="19" customFormat="1" ht="15" customHeight="1" x14ac:dyDescent="0.2">
      <c r="A37" s="5232" t="s">
        <v>3924</v>
      </c>
      <c r="B37" s="1187">
        <f t="shared" si="12"/>
        <v>0</v>
      </c>
      <c r="C37" s="482"/>
      <c r="D37" s="482"/>
      <c r="E37" s="383"/>
      <c r="F37" s="192"/>
      <c r="G37" s="594"/>
      <c r="H37" s="594"/>
      <c r="I37" s="594"/>
      <c r="J37" s="1123"/>
      <c r="K37" s="1278"/>
      <c r="L37" s="1278"/>
      <c r="M37" s="1278"/>
      <c r="N37" s="1278"/>
      <c r="O37" s="1278"/>
      <c r="P37" s="1278"/>
      <c r="Q37" s="1278"/>
      <c r="R37" s="1278"/>
      <c r="S37" s="1278"/>
      <c r="T37" s="1116"/>
      <c r="U37" s="1278"/>
      <c r="V37" s="1278"/>
      <c r="W37" s="1278"/>
      <c r="X37" s="1278"/>
      <c r="Y37" s="1278"/>
      <c r="Z37" s="1278"/>
      <c r="AA37" s="1278"/>
      <c r="AB37" s="1278"/>
      <c r="AC37" s="1278"/>
      <c r="AD37" s="1278"/>
      <c r="AE37" s="1278"/>
      <c r="AF37" s="1115"/>
    </row>
    <row r="38" spans="1:32" s="19" customFormat="1" ht="15" customHeight="1" x14ac:dyDescent="0.2">
      <c r="A38" s="5232" t="s">
        <v>509</v>
      </c>
      <c r="B38" s="1187">
        <f t="shared" si="12"/>
        <v>0</v>
      </c>
      <c r="C38" s="482"/>
      <c r="D38" s="482"/>
      <c r="E38" s="383"/>
      <c r="F38" s="192"/>
      <c r="G38" s="594"/>
      <c r="H38" s="594"/>
      <c r="I38" s="594"/>
      <c r="J38" s="1123"/>
      <c r="K38" s="1278"/>
      <c r="L38" s="1278"/>
      <c r="M38" s="1278"/>
      <c r="N38" s="1278"/>
      <c r="O38" s="1278"/>
      <c r="P38" s="1278"/>
      <c r="Q38" s="1278"/>
      <c r="R38" s="1278"/>
      <c r="S38" s="1278"/>
      <c r="T38" s="1116"/>
      <c r="U38" s="1278"/>
      <c r="V38" s="1278"/>
      <c r="W38" s="1278"/>
      <c r="X38" s="1278"/>
      <c r="Y38" s="1278"/>
      <c r="Z38" s="1278"/>
      <c r="AA38" s="1278"/>
      <c r="AB38" s="1278"/>
      <c r="AC38" s="1278"/>
      <c r="AD38" s="1278"/>
      <c r="AE38" s="1278"/>
      <c r="AF38" s="1115"/>
    </row>
    <row r="39" spans="1:32" s="19" customFormat="1" ht="15" customHeight="1" x14ac:dyDescent="0.2">
      <c r="A39" s="5232" t="s">
        <v>3925</v>
      </c>
      <c r="B39" s="1187">
        <f t="shared" si="12"/>
        <v>0</v>
      </c>
      <c r="C39" s="482"/>
      <c r="D39" s="482"/>
      <c r="E39" s="383"/>
      <c r="F39" s="192"/>
      <c r="G39" s="594"/>
      <c r="H39" s="594"/>
      <c r="I39" s="594"/>
      <c r="J39" s="1123"/>
      <c r="K39" s="1278"/>
      <c r="L39" s="1278"/>
      <c r="M39" s="1278"/>
      <c r="N39" s="1278"/>
      <c r="O39" s="1278"/>
      <c r="P39" s="1278"/>
      <c r="Q39" s="1278"/>
      <c r="R39" s="1278"/>
      <c r="S39" s="1278"/>
      <c r="T39" s="1116"/>
      <c r="U39" s="1278"/>
      <c r="V39" s="1278"/>
      <c r="W39" s="1278"/>
      <c r="X39" s="1278"/>
      <c r="Y39" s="1278"/>
      <c r="Z39" s="1278"/>
      <c r="AA39" s="1278"/>
      <c r="AB39" s="1278"/>
      <c r="AC39" s="1278"/>
      <c r="AD39" s="1278"/>
      <c r="AE39" s="1278"/>
      <c r="AF39" s="1115"/>
    </row>
    <row r="40" spans="1:32" s="19" customFormat="1" ht="15" customHeight="1" x14ac:dyDescent="0.2">
      <c r="A40" s="5232" t="s">
        <v>3926</v>
      </c>
      <c r="B40" s="1187">
        <f t="shared" si="12"/>
        <v>0</v>
      </c>
      <c r="C40" s="482"/>
      <c r="D40" s="482"/>
      <c r="E40" s="383"/>
      <c r="F40" s="192"/>
      <c r="G40" s="594"/>
      <c r="H40" s="594"/>
      <c r="I40" s="594"/>
      <c r="J40" s="1123"/>
      <c r="K40" s="1278"/>
      <c r="L40" s="1278"/>
      <c r="M40" s="1278"/>
      <c r="N40" s="1278"/>
      <c r="O40" s="1278"/>
      <c r="P40" s="1278"/>
      <c r="Q40" s="1278"/>
      <c r="R40" s="1278"/>
      <c r="S40" s="1278"/>
      <c r="T40" s="1116"/>
      <c r="U40" s="1278"/>
      <c r="V40" s="1278"/>
      <c r="W40" s="1278"/>
      <c r="X40" s="1278"/>
      <c r="Y40" s="1278"/>
      <c r="Z40" s="1278"/>
      <c r="AA40" s="1278"/>
      <c r="AB40" s="1278"/>
      <c r="AC40" s="1278"/>
      <c r="AD40" s="1278"/>
      <c r="AE40" s="1278"/>
      <c r="AF40" s="1115"/>
    </row>
    <row r="41" spans="1:32" s="19" customFormat="1" ht="15" customHeight="1" x14ac:dyDescent="0.2">
      <c r="A41" s="5232" t="s">
        <v>105</v>
      </c>
      <c r="B41" s="1187">
        <f t="shared" si="12"/>
        <v>0</v>
      </c>
      <c r="C41" s="482"/>
      <c r="D41" s="482"/>
      <c r="E41" s="383"/>
      <c r="F41" s="192"/>
      <c r="G41" s="594"/>
      <c r="H41" s="594"/>
      <c r="I41" s="594"/>
      <c r="J41" s="1123"/>
      <c r="K41" s="1278"/>
      <c r="L41" s="1278"/>
      <c r="M41" s="1278"/>
      <c r="N41" s="1278"/>
      <c r="O41" s="1278"/>
      <c r="P41" s="1278"/>
      <c r="Q41" s="1278"/>
      <c r="R41" s="1278"/>
      <c r="S41" s="1278"/>
      <c r="T41" s="1116"/>
      <c r="U41" s="1278"/>
      <c r="V41" s="1278"/>
      <c r="W41" s="1278"/>
      <c r="X41" s="1278"/>
      <c r="Y41" s="1278"/>
      <c r="Z41" s="1278"/>
      <c r="AA41" s="1278"/>
      <c r="AB41" s="1278"/>
      <c r="AC41" s="1278"/>
      <c r="AD41" s="1278"/>
      <c r="AE41" s="1278"/>
      <c r="AF41" s="1115"/>
    </row>
    <row r="42" spans="1:32" s="19" customFormat="1" ht="15" customHeight="1" x14ac:dyDescent="0.2">
      <c r="A42" s="5232" t="s">
        <v>3927</v>
      </c>
      <c r="B42" s="1187">
        <f t="shared" si="12"/>
        <v>0</v>
      </c>
      <c r="C42" s="482"/>
      <c r="D42" s="482"/>
      <c r="E42" s="383"/>
      <c r="F42" s="192"/>
      <c r="G42" s="594"/>
      <c r="H42" s="594"/>
      <c r="I42" s="594"/>
      <c r="J42" s="1123"/>
      <c r="K42" s="1278"/>
      <c r="L42" s="1278"/>
      <c r="M42" s="1278"/>
      <c r="N42" s="1278"/>
      <c r="O42" s="1278"/>
      <c r="P42" s="1278"/>
      <c r="Q42" s="1278"/>
      <c r="R42" s="1278"/>
      <c r="S42" s="1278"/>
      <c r="T42" s="1116"/>
      <c r="U42" s="1278"/>
      <c r="V42" s="1278"/>
      <c r="W42" s="1278"/>
      <c r="X42" s="1278"/>
      <c r="Y42" s="1278"/>
      <c r="Z42" s="1278"/>
      <c r="AA42" s="1278"/>
      <c r="AB42" s="1278"/>
      <c r="AC42" s="1278"/>
      <c r="AD42" s="1278"/>
      <c r="AE42" s="1278"/>
      <c r="AF42" s="1115"/>
    </row>
    <row r="43" spans="1:32" s="19" customFormat="1" ht="15" customHeight="1" x14ac:dyDescent="0.2">
      <c r="A43" s="5232" t="s">
        <v>1035</v>
      </c>
      <c r="B43" s="1187">
        <f t="shared" si="12"/>
        <v>0</v>
      </c>
      <c r="C43" s="482"/>
      <c r="D43" s="482"/>
      <c r="E43" s="383"/>
      <c r="F43" s="192"/>
      <c r="G43" s="594"/>
      <c r="H43" s="594"/>
      <c r="I43" s="594"/>
      <c r="J43" s="1123"/>
      <c r="K43" s="1278"/>
      <c r="L43" s="1278"/>
      <c r="M43" s="1278"/>
      <c r="N43" s="1278"/>
      <c r="O43" s="1278"/>
      <c r="P43" s="1278"/>
      <c r="Q43" s="1278"/>
      <c r="R43" s="1278"/>
      <c r="S43" s="1278"/>
      <c r="T43" s="1116"/>
      <c r="U43" s="1278"/>
      <c r="V43" s="1278"/>
      <c r="W43" s="1278"/>
      <c r="X43" s="1278"/>
      <c r="Y43" s="1278"/>
      <c r="Z43" s="1278"/>
      <c r="AA43" s="1278"/>
      <c r="AB43" s="1278"/>
      <c r="AC43" s="1278"/>
      <c r="AD43" s="1278"/>
      <c r="AE43" s="1278"/>
      <c r="AF43" s="1115"/>
    </row>
    <row r="44" spans="1:32" s="19" customFormat="1" ht="15" customHeight="1" x14ac:dyDescent="0.2">
      <c r="A44" s="5243" t="s">
        <v>1037</v>
      </c>
      <c r="B44" s="3144">
        <f t="shared" si="12"/>
        <v>0</v>
      </c>
      <c r="C44" s="482"/>
      <c r="D44" s="482"/>
      <c r="E44" s="383"/>
      <c r="F44" s="192"/>
      <c r="G44" s="594"/>
      <c r="H44" s="594"/>
      <c r="I44" s="594"/>
      <c r="J44" s="1123"/>
      <c r="K44" s="1278"/>
      <c r="L44" s="1278"/>
      <c r="M44" s="1278"/>
      <c r="N44" s="1278"/>
      <c r="O44" s="1278"/>
      <c r="P44" s="1278"/>
      <c r="Q44" s="1278"/>
      <c r="R44" s="1278"/>
      <c r="S44" s="1278"/>
      <c r="T44" s="1116"/>
      <c r="U44" s="1278"/>
      <c r="V44" s="1278"/>
      <c r="W44" s="1278"/>
      <c r="X44" s="1278"/>
      <c r="Y44" s="1278"/>
      <c r="Z44" s="1278"/>
      <c r="AA44" s="1278"/>
      <c r="AB44" s="1278"/>
      <c r="AC44" s="1278"/>
      <c r="AD44" s="1278"/>
      <c r="AE44" s="1278"/>
      <c r="AF44" s="1115"/>
    </row>
    <row r="45" spans="1:32" s="19" customFormat="1" ht="15" customHeight="1" x14ac:dyDescent="0.2">
      <c r="A45" s="1704" t="s">
        <v>3928</v>
      </c>
      <c r="B45" s="485">
        <f t="shared" si="12"/>
        <v>0</v>
      </c>
      <c r="C45" s="1152"/>
      <c r="D45" s="1152"/>
      <c r="E45" s="1140"/>
      <c r="F45" s="1139"/>
      <c r="G45" s="1283"/>
      <c r="H45" s="1283"/>
      <c r="I45" s="1283"/>
      <c r="J45" s="1153"/>
      <c r="K45" s="1283"/>
      <c r="L45" s="1283"/>
      <c r="M45" s="1283"/>
      <c r="N45" s="1283"/>
      <c r="O45" s="1283"/>
      <c r="P45" s="1283"/>
      <c r="Q45" s="1283"/>
      <c r="R45" s="1283"/>
      <c r="S45" s="1283"/>
      <c r="T45" s="1152"/>
      <c r="U45" s="1283"/>
      <c r="V45" s="1283"/>
      <c r="W45" s="1283"/>
      <c r="X45" s="1283"/>
      <c r="Y45" s="1283"/>
      <c r="Z45" s="1283"/>
      <c r="AA45" s="1283"/>
      <c r="AB45" s="1283"/>
      <c r="AC45" s="1283"/>
      <c r="AD45" s="1283"/>
      <c r="AE45" s="1283"/>
      <c r="AF45" s="388"/>
    </row>
    <row r="46" spans="1:32" s="19" customFormat="1" ht="15" customHeight="1" x14ac:dyDescent="0.2">
      <c r="A46" s="1815" t="s">
        <v>77</v>
      </c>
      <c r="B46" s="1487">
        <f>SUM(B32:B45)</f>
        <v>0</v>
      </c>
      <c r="C46" s="1127">
        <f>SUM(C32:C45)</f>
        <v>0</v>
      </c>
      <c r="D46" s="1127">
        <f t="shared" ref="D46:AE46" si="13">SUM(D32:D45)</f>
        <v>0</v>
      </c>
      <c r="E46" s="1129">
        <f t="shared" si="13"/>
        <v>0</v>
      </c>
      <c r="F46" s="4987">
        <f t="shared" si="13"/>
        <v>0</v>
      </c>
      <c r="G46" s="1127">
        <f t="shared" si="13"/>
        <v>0</v>
      </c>
      <c r="H46" s="1127">
        <f t="shared" si="13"/>
        <v>0</v>
      </c>
      <c r="I46" s="1127">
        <f>SUM(I32:I45)</f>
        <v>0</v>
      </c>
      <c r="J46" s="1141">
        <f t="shared" si="13"/>
        <v>0</v>
      </c>
      <c r="K46" s="1141">
        <f t="shared" si="13"/>
        <v>0</v>
      </c>
      <c r="L46" s="1141">
        <f t="shared" si="13"/>
        <v>0</v>
      </c>
      <c r="M46" s="1141">
        <f t="shared" si="13"/>
        <v>0</v>
      </c>
      <c r="N46" s="1141">
        <f t="shared" si="13"/>
        <v>0</v>
      </c>
      <c r="O46" s="1141">
        <f t="shared" si="13"/>
        <v>0</v>
      </c>
      <c r="P46" s="1141">
        <f t="shared" si="13"/>
        <v>0</v>
      </c>
      <c r="Q46" s="1141">
        <f t="shared" si="13"/>
        <v>0</v>
      </c>
      <c r="R46" s="1141">
        <f t="shared" si="13"/>
        <v>0</v>
      </c>
      <c r="S46" s="1141">
        <f t="shared" si="13"/>
        <v>0</v>
      </c>
      <c r="T46" s="1141">
        <f t="shared" si="13"/>
        <v>0</v>
      </c>
      <c r="U46" s="1141">
        <f t="shared" si="13"/>
        <v>0</v>
      </c>
      <c r="V46" s="1141">
        <f t="shared" si="13"/>
        <v>0</v>
      </c>
      <c r="W46" s="1141">
        <f t="shared" si="13"/>
        <v>0</v>
      </c>
      <c r="X46" s="1141">
        <f t="shared" si="13"/>
        <v>0</v>
      </c>
      <c r="Y46" s="1141">
        <f t="shared" si="13"/>
        <v>0</v>
      </c>
      <c r="Z46" s="1141">
        <f t="shared" si="13"/>
        <v>0</v>
      </c>
      <c r="AA46" s="1141">
        <f t="shared" si="13"/>
        <v>0</v>
      </c>
      <c r="AB46" s="1141">
        <f t="shared" si="13"/>
        <v>0</v>
      </c>
      <c r="AC46" s="1141">
        <f t="shared" si="13"/>
        <v>0</v>
      </c>
      <c r="AD46" s="1141">
        <f t="shared" si="13"/>
        <v>0</v>
      </c>
      <c r="AE46" s="1141">
        <f t="shared" si="13"/>
        <v>0</v>
      </c>
      <c r="AF46" s="5161">
        <f>SUM(AF32:AF45)</f>
        <v>0</v>
      </c>
    </row>
    <row r="47" spans="1:32" s="25" customFormat="1" ht="17.100000000000001" customHeight="1" x14ac:dyDescent="0.2">
      <c r="A47" s="7515" t="s">
        <v>3929</v>
      </c>
      <c r="B47" s="7515"/>
      <c r="C47" s="7515"/>
      <c r="D47" s="7515"/>
      <c r="E47" s="7515"/>
      <c r="F47" s="7515"/>
      <c r="G47" s="7515"/>
      <c r="H47" s="7515"/>
      <c r="I47" s="7515"/>
      <c r="J47" s="7515"/>
      <c r="K47" s="7515"/>
      <c r="L47" s="7515"/>
      <c r="M47" s="7515"/>
    </row>
    <row r="48" spans="1:32" s="19" customFormat="1" ht="15" customHeight="1" x14ac:dyDescent="0.2">
      <c r="A48" s="7455" t="s">
        <v>3930</v>
      </c>
      <c r="B48" s="7431" t="s">
        <v>77</v>
      </c>
      <c r="C48" s="7527" t="s">
        <v>3885</v>
      </c>
      <c r="D48" s="6506" t="s">
        <v>3886</v>
      </c>
      <c r="E48" s="7529" t="s">
        <v>3887</v>
      </c>
      <c r="F48" s="7522" t="s">
        <v>3903</v>
      </c>
      <c r="G48" s="7523"/>
      <c r="H48" s="7523"/>
      <c r="I48" s="7523"/>
      <c r="J48" s="7523"/>
      <c r="K48" s="7523"/>
      <c r="L48" s="7523"/>
      <c r="M48" s="7523"/>
      <c r="N48" s="7523"/>
      <c r="O48" s="7523"/>
      <c r="P48" s="7523"/>
      <c r="Q48" s="7523"/>
      <c r="R48" s="7523"/>
      <c r="S48" s="7523"/>
      <c r="T48" s="7523"/>
      <c r="U48" s="7523"/>
      <c r="V48" s="7523"/>
      <c r="W48" s="7523"/>
      <c r="X48" s="7523"/>
      <c r="Y48" s="7523"/>
      <c r="Z48" s="7523"/>
      <c r="AA48" s="7523"/>
      <c r="AB48" s="7523"/>
      <c r="AC48" s="7523"/>
      <c r="AD48" s="7523"/>
      <c r="AE48" s="7523"/>
      <c r="AF48" s="7526"/>
    </row>
    <row r="49" spans="1:32" s="19" customFormat="1" ht="42" customHeight="1" x14ac:dyDescent="0.2">
      <c r="A49" s="6910"/>
      <c r="B49" s="6917"/>
      <c r="C49" s="7528"/>
      <c r="D49" s="6508"/>
      <c r="E49" s="5936"/>
      <c r="F49" s="5240" t="s">
        <v>3889</v>
      </c>
      <c r="G49" s="2964" t="s">
        <v>3904</v>
      </c>
      <c r="H49" s="2964" t="s">
        <v>3905</v>
      </c>
      <c r="I49" s="2964" t="s">
        <v>3906</v>
      </c>
      <c r="J49" s="5241" t="s">
        <v>3891</v>
      </c>
      <c r="K49" s="2964" t="s">
        <v>3907</v>
      </c>
      <c r="L49" s="4690" t="s">
        <v>3908</v>
      </c>
      <c r="M49" s="2964" t="s">
        <v>3931</v>
      </c>
      <c r="N49" s="2964" t="s">
        <v>3893</v>
      </c>
      <c r="O49" s="2964" t="s">
        <v>3894</v>
      </c>
      <c r="P49" s="4801" t="s">
        <v>3910</v>
      </c>
      <c r="Q49" s="5242" t="s">
        <v>3895</v>
      </c>
      <c r="R49" s="2964" t="s">
        <v>3896</v>
      </c>
      <c r="S49" s="4690" t="s">
        <v>3911</v>
      </c>
      <c r="T49" s="4801" t="s">
        <v>3898</v>
      </c>
      <c r="U49" s="1234" t="s">
        <v>3912</v>
      </c>
      <c r="V49" s="4801" t="s">
        <v>3913</v>
      </c>
      <c r="W49" s="4801" t="s">
        <v>3899</v>
      </c>
      <c r="X49" s="4690" t="s">
        <v>3900</v>
      </c>
      <c r="Y49" s="4801" t="s">
        <v>3914</v>
      </c>
      <c r="Z49" s="1234" t="s">
        <v>3915</v>
      </c>
      <c r="AA49" s="4801" t="s">
        <v>3916</v>
      </c>
      <c r="AB49" s="2964" t="s">
        <v>3917</v>
      </c>
      <c r="AC49" s="4801" t="s">
        <v>3918</v>
      </c>
      <c r="AD49" s="4801" t="s">
        <v>3919</v>
      </c>
      <c r="AE49" s="4801" t="s">
        <v>3920</v>
      </c>
      <c r="AF49" s="5244" t="s">
        <v>3921</v>
      </c>
    </row>
    <row r="50" spans="1:32" s="19" customFormat="1" ht="15" customHeight="1" x14ac:dyDescent="0.2">
      <c r="A50" s="4414" t="s">
        <v>3932</v>
      </c>
      <c r="B50" s="1282">
        <f>SUM(C50:AF50)</f>
        <v>0</v>
      </c>
      <c r="C50" s="1114"/>
      <c r="D50" s="773"/>
      <c r="E50" s="1115"/>
      <c r="F50" s="4671"/>
      <c r="G50" s="3811"/>
      <c r="H50" s="3811"/>
      <c r="I50" s="3811"/>
      <c r="J50" s="5245"/>
      <c r="K50" s="3697"/>
      <c r="L50" s="3697"/>
      <c r="M50" s="3697"/>
      <c r="N50" s="4826"/>
      <c r="O50" s="3811"/>
      <c r="P50" s="3811"/>
      <c r="Q50" s="3811"/>
      <c r="R50" s="3811"/>
      <c r="S50" s="3811"/>
      <c r="T50" s="3811"/>
      <c r="U50" s="3811"/>
      <c r="V50" s="3811"/>
      <c r="W50" s="3811"/>
      <c r="X50" s="3811"/>
      <c r="Y50" s="3811"/>
      <c r="Z50" s="5245"/>
      <c r="AA50" s="5245"/>
      <c r="AB50" s="5245"/>
      <c r="AC50" s="5245"/>
      <c r="AD50" s="3697"/>
      <c r="AE50" s="4825"/>
      <c r="AF50" s="5246"/>
    </row>
    <row r="51" spans="1:32" s="19" customFormat="1" ht="15" customHeight="1" x14ac:dyDescent="0.2">
      <c r="A51" s="5090" t="s">
        <v>3933</v>
      </c>
      <c r="B51" s="1243">
        <f t="shared" ref="B51:B65" si="14">SUM(C51:AF51)</f>
        <v>0</v>
      </c>
      <c r="C51" s="1114"/>
      <c r="D51" s="1278"/>
      <c r="E51" s="1115"/>
      <c r="F51" s="192"/>
      <c r="G51" s="594"/>
      <c r="H51" s="594"/>
      <c r="I51" s="594"/>
      <c r="J51" s="1123"/>
      <c r="K51" s="594"/>
      <c r="L51" s="594"/>
      <c r="M51" s="594"/>
      <c r="N51" s="482"/>
      <c r="O51" s="594"/>
      <c r="P51" s="594"/>
      <c r="Q51" s="594"/>
      <c r="R51" s="594"/>
      <c r="S51" s="594"/>
      <c r="T51" s="594"/>
      <c r="U51" s="594"/>
      <c r="V51" s="594"/>
      <c r="W51" s="594"/>
      <c r="X51" s="594"/>
      <c r="Y51" s="594"/>
      <c r="Z51" s="1123"/>
      <c r="AA51" s="1123"/>
      <c r="AB51" s="1123"/>
      <c r="AC51" s="1123"/>
      <c r="AD51" s="594"/>
      <c r="AE51" s="482"/>
      <c r="AF51" s="383"/>
    </row>
    <row r="52" spans="1:32" s="19" customFormat="1" ht="15" customHeight="1" x14ac:dyDescent="0.2">
      <c r="A52" s="5090" t="s">
        <v>3934</v>
      </c>
      <c r="B52" s="1243">
        <f t="shared" si="14"/>
        <v>0</v>
      </c>
      <c r="C52" s="1114"/>
      <c r="D52" s="1278"/>
      <c r="E52" s="1115"/>
      <c r="F52" s="1114"/>
      <c r="G52" s="1278"/>
      <c r="H52" s="1278"/>
      <c r="I52" s="1278"/>
      <c r="J52" s="1117"/>
      <c r="K52" s="1278"/>
      <c r="L52" s="1278"/>
      <c r="M52" s="1278"/>
      <c r="N52" s="1116"/>
      <c r="O52" s="1278"/>
      <c r="P52" s="1278"/>
      <c r="Q52" s="1278"/>
      <c r="R52" s="1278"/>
      <c r="S52" s="1278"/>
      <c r="T52" s="1278"/>
      <c r="U52" s="1278"/>
      <c r="V52" s="1278"/>
      <c r="W52" s="1278"/>
      <c r="X52" s="1278"/>
      <c r="Y52" s="1278"/>
      <c r="Z52" s="1117"/>
      <c r="AA52" s="1117"/>
      <c r="AB52" s="1117"/>
      <c r="AC52" s="1117"/>
      <c r="AD52" s="1278"/>
      <c r="AE52" s="1116"/>
      <c r="AF52" s="1118"/>
    </row>
    <row r="53" spans="1:32" s="19" customFormat="1" ht="15" customHeight="1" x14ac:dyDescent="0.2">
      <c r="A53" s="5090" t="s">
        <v>3935</v>
      </c>
      <c r="B53" s="1243">
        <f t="shared" si="14"/>
        <v>0</v>
      </c>
      <c r="C53" s="1114"/>
      <c r="D53" s="1278"/>
      <c r="E53" s="1115"/>
      <c r="F53" s="1114"/>
      <c r="G53" s="1278"/>
      <c r="H53" s="1278"/>
      <c r="I53" s="1278"/>
      <c r="J53" s="1117"/>
      <c r="K53" s="1278"/>
      <c r="L53" s="1278"/>
      <c r="M53" s="1278"/>
      <c r="N53" s="1116"/>
      <c r="O53" s="1278"/>
      <c r="P53" s="1278"/>
      <c r="Q53" s="1278"/>
      <c r="R53" s="1278"/>
      <c r="S53" s="1278"/>
      <c r="T53" s="1278"/>
      <c r="U53" s="1278"/>
      <c r="V53" s="1278"/>
      <c r="W53" s="1278"/>
      <c r="X53" s="1278"/>
      <c r="Y53" s="1278"/>
      <c r="Z53" s="1117"/>
      <c r="AA53" s="1117"/>
      <c r="AB53" s="1117"/>
      <c r="AC53" s="1117"/>
      <c r="AD53" s="1278"/>
      <c r="AE53" s="1116"/>
      <c r="AF53" s="1118"/>
    </row>
    <row r="54" spans="1:32" s="19" customFormat="1" ht="15" customHeight="1" x14ac:dyDescent="0.2">
      <c r="A54" s="5232" t="s">
        <v>3936</v>
      </c>
      <c r="B54" s="1243">
        <f t="shared" si="14"/>
        <v>0</v>
      </c>
      <c r="C54" s="1114"/>
      <c r="D54" s="1278"/>
      <c r="E54" s="1115"/>
      <c r="F54" s="290"/>
      <c r="G54" s="535"/>
      <c r="H54" s="535"/>
      <c r="I54" s="535"/>
      <c r="J54" s="735"/>
      <c r="K54" s="535"/>
      <c r="L54" s="535"/>
      <c r="M54" s="535"/>
      <c r="N54" s="22"/>
      <c r="O54" s="535"/>
      <c r="P54" s="535"/>
      <c r="Q54" s="535"/>
      <c r="R54" s="535"/>
      <c r="S54" s="535"/>
      <c r="T54" s="535"/>
      <c r="U54" s="535"/>
      <c r="V54" s="535"/>
      <c r="W54" s="535"/>
      <c r="X54" s="535"/>
      <c r="Y54" s="535"/>
      <c r="Z54" s="735"/>
      <c r="AA54" s="735"/>
      <c r="AB54" s="735"/>
      <c r="AC54" s="735"/>
      <c r="AD54" s="535"/>
      <c r="AE54" s="22"/>
      <c r="AF54" s="637"/>
    </row>
    <row r="55" spans="1:32" s="19" customFormat="1" ht="15" customHeight="1" x14ac:dyDescent="0.2">
      <c r="A55" s="5232" t="s">
        <v>3937</v>
      </c>
      <c r="B55" s="1243">
        <f t="shared" si="14"/>
        <v>0</v>
      </c>
      <c r="C55" s="1114"/>
      <c r="D55" s="1278"/>
      <c r="E55" s="1115"/>
      <c r="F55" s="290"/>
      <c r="G55" s="535"/>
      <c r="H55" s="535"/>
      <c r="I55" s="535"/>
      <c r="J55" s="735"/>
      <c r="K55" s="535"/>
      <c r="L55" s="1278"/>
      <c r="M55" s="1278"/>
      <c r="N55" s="22"/>
      <c r="O55" s="535"/>
      <c r="P55" s="535"/>
      <c r="Q55" s="535"/>
      <c r="R55" s="535"/>
      <c r="S55" s="535"/>
      <c r="T55" s="535"/>
      <c r="U55" s="535"/>
      <c r="V55" s="535"/>
      <c r="W55" s="535"/>
      <c r="X55" s="535"/>
      <c r="Y55" s="535"/>
      <c r="Z55" s="735"/>
      <c r="AA55" s="735"/>
      <c r="AB55" s="735"/>
      <c r="AC55" s="735"/>
      <c r="AD55" s="535"/>
      <c r="AE55" s="1116"/>
      <c r="AF55" s="1118"/>
    </row>
    <row r="56" spans="1:32" s="19" customFormat="1" ht="15" customHeight="1" x14ac:dyDescent="0.2">
      <c r="A56" s="5232" t="s">
        <v>3938</v>
      </c>
      <c r="B56" s="1243">
        <f t="shared" si="14"/>
        <v>0</v>
      </c>
      <c r="C56" s="1114"/>
      <c r="D56" s="1278"/>
      <c r="E56" s="1115"/>
      <c r="F56" s="1114"/>
      <c r="G56" s="1278"/>
      <c r="H56" s="1278"/>
      <c r="I56" s="1278"/>
      <c r="J56" s="1117"/>
      <c r="K56" s="1278"/>
      <c r="L56" s="1278"/>
      <c r="M56" s="1278"/>
      <c r="N56" s="1116"/>
      <c r="O56" s="1278"/>
      <c r="P56" s="1278"/>
      <c r="Q56" s="1278"/>
      <c r="R56" s="1278"/>
      <c r="S56" s="1278"/>
      <c r="T56" s="1278"/>
      <c r="U56" s="1278"/>
      <c r="V56" s="1278"/>
      <c r="W56" s="1278"/>
      <c r="X56" s="1278"/>
      <c r="Y56" s="1278"/>
      <c r="Z56" s="1117"/>
      <c r="AA56" s="1117"/>
      <c r="AB56" s="1117"/>
      <c r="AC56" s="1117"/>
      <c r="AD56" s="1278"/>
      <c r="AE56" s="1116"/>
      <c r="AF56" s="1118"/>
    </row>
    <row r="57" spans="1:32" s="19" customFormat="1" ht="15" customHeight="1" x14ac:dyDescent="0.2">
      <c r="A57" s="5232" t="s">
        <v>3939</v>
      </c>
      <c r="B57" s="1243">
        <f t="shared" si="14"/>
        <v>0</v>
      </c>
      <c r="C57" s="1114"/>
      <c r="D57" s="1278"/>
      <c r="E57" s="1115"/>
      <c r="F57" s="1114"/>
      <c r="G57" s="1278"/>
      <c r="H57" s="1278"/>
      <c r="I57" s="1278"/>
      <c r="J57" s="1117"/>
      <c r="K57" s="1278"/>
      <c r="L57" s="1278"/>
      <c r="M57" s="1278"/>
      <c r="N57" s="1116"/>
      <c r="O57" s="1278"/>
      <c r="P57" s="1278"/>
      <c r="Q57" s="1278"/>
      <c r="R57" s="1278"/>
      <c r="S57" s="1278"/>
      <c r="T57" s="1278"/>
      <c r="U57" s="1278"/>
      <c r="V57" s="1278"/>
      <c r="W57" s="1278"/>
      <c r="X57" s="1278"/>
      <c r="Y57" s="1278"/>
      <c r="Z57" s="1117"/>
      <c r="AA57" s="1117"/>
      <c r="AB57" s="1117"/>
      <c r="AC57" s="1117"/>
      <c r="AD57" s="1278"/>
      <c r="AE57" s="1116"/>
      <c r="AF57" s="1118"/>
    </row>
    <row r="58" spans="1:32" s="19" customFormat="1" ht="15" customHeight="1" x14ac:dyDescent="0.2">
      <c r="A58" s="5232" t="s">
        <v>3940</v>
      </c>
      <c r="B58" s="1243">
        <f t="shared" si="14"/>
        <v>0</v>
      </c>
      <c r="C58" s="1114"/>
      <c r="D58" s="1278"/>
      <c r="E58" s="1115"/>
      <c r="F58" s="192"/>
      <c r="G58" s="594"/>
      <c r="H58" s="594"/>
      <c r="I58" s="594"/>
      <c r="J58" s="594"/>
      <c r="K58" s="482"/>
      <c r="L58" s="482"/>
      <c r="M58" s="482"/>
      <c r="N58" s="482"/>
      <c r="O58" s="594"/>
      <c r="P58" s="482"/>
      <c r="Q58" s="594"/>
      <c r="R58" s="482"/>
      <c r="S58" s="594"/>
      <c r="T58" s="482"/>
      <c r="U58" s="594"/>
      <c r="V58" s="482"/>
      <c r="W58" s="594"/>
      <c r="X58" s="482"/>
      <c r="Y58" s="594"/>
      <c r="Z58" s="482"/>
      <c r="AA58" s="594"/>
      <c r="AB58" s="482"/>
      <c r="AC58" s="594"/>
      <c r="AD58" s="594"/>
      <c r="AE58" s="482"/>
      <c r="AF58" s="383"/>
    </row>
    <row r="59" spans="1:32" s="19" customFormat="1" ht="15" customHeight="1" x14ac:dyDescent="0.2">
      <c r="A59" s="5090" t="s">
        <v>3941</v>
      </c>
      <c r="B59" s="366">
        <f t="shared" si="14"/>
        <v>0</v>
      </c>
      <c r="C59" s="290"/>
      <c r="D59" s="535"/>
      <c r="E59" s="107"/>
      <c r="F59" s="192"/>
      <c r="G59" s="594"/>
      <c r="H59" s="594"/>
      <c r="I59" s="594"/>
      <c r="J59" s="1278"/>
      <c r="K59" s="1116"/>
      <c r="L59" s="482"/>
      <c r="M59" s="1116"/>
      <c r="N59" s="482"/>
      <c r="O59" s="1278"/>
      <c r="P59" s="482"/>
      <c r="Q59" s="1278"/>
      <c r="R59" s="482"/>
      <c r="S59" s="1278"/>
      <c r="T59" s="482"/>
      <c r="U59" s="594"/>
      <c r="V59" s="482"/>
      <c r="W59" s="1278"/>
      <c r="X59" s="482"/>
      <c r="Y59" s="1278"/>
      <c r="Z59" s="482"/>
      <c r="AA59" s="594"/>
      <c r="AB59" s="482"/>
      <c r="AC59" s="1278"/>
      <c r="AD59" s="1278"/>
      <c r="AE59" s="1116"/>
      <c r="AF59" s="1118"/>
    </row>
    <row r="60" spans="1:32" s="19" customFormat="1" ht="15" customHeight="1" x14ac:dyDescent="0.2">
      <c r="A60" s="5232" t="s">
        <v>3942</v>
      </c>
      <c r="B60" s="1243">
        <f t="shared" si="14"/>
        <v>0</v>
      </c>
      <c r="C60" s="192"/>
      <c r="D60" s="594"/>
      <c r="E60" s="2"/>
      <c r="F60" s="1114"/>
      <c r="G60" s="1278"/>
      <c r="H60" s="1278"/>
      <c r="I60" s="1278"/>
      <c r="J60" s="1117"/>
      <c r="K60" s="1278"/>
      <c r="L60" s="1278"/>
      <c r="M60" s="1278"/>
      <c r="N60" s="1116"/>
      <c r="O60" s="1278"/>
      <c r="P60" s="1278"/>
      <c r="Q60" s="1278"/>
      <c r="R60" s="1278"/>
      <c r="S60" s="1278"/>
      <c r="T60" s="1278"/>
      <c r="U60" s="1278"/>
      <c r="V60" s="1116"/>
      <c r="W60" s="1278"/>
      <c r="X60" s="1278"/>
      <c r="Y60" s="1278"/>
      <c r="Z60" s="1117"/>
      <c r="AA60" s="1278"/>
      <c r="AB60" s="1338"/>
      <c r="AC60" s="1117"/>
      <c r="AD60" s="1278"/>
      <c r="AE60" s="1116"/>
      <c r="AF60" s="1118"/>
    </row>
    <row r="61" spans="1:32" s="19" customFormat="1" ht="15" customHeight="1" x14ac:dyDescent="0.2">
      <c r="A61" s="5232" t="s">
        <v>3943</v>
      </c>
      <c r="B61" s="1243">
        <f t="shared" si="14"/>
        <v>0</v>
      </c>
      <c r="C61" s="1114"/>
      <c r="D61" s="1278"/>
      <c r="E61" s="1115"/>
      <c r="F61" s="1114"/>
      <c r="G61" s="1278"/>
      <c r="H61" s="1278"/>
      <c r="I61" s="1278"/>
      <c r="J61" s="1117"/>
      <c r="K61" s="1278"/>
      <c r="L61" s="1278"/>
      <c r="M61" s="1278"/>
      <c r="N61" s="1116"/>
      <c r="O61" s="1278"/>
      <c r="P61" s="1278"/>
      <c r="Q61" s="1278"/>
      <c r="R61" s="1278"/>
      <c r="S61" s="1278"/>
      <c r="T61" s="1278"/>
      <c r="U61" s="1278"/>
      <c r="V61" s="1278"/>
      <c r="W61" s="1278"/>
      <c r="X61" s="1278"/>
      <c r="Y61" s="1278"/>
      <c r="Z61" s="1117"/>
      <c r="AA61" s="1117"/>
      <c r="AB61" s="1117"/>
      <c r="AC61" s="1117"/>
      <c r="AD61" s="1278"/>
      <c r="AE61" s="1116"/>
      <c r="AF61" s="1118"/>
    </row>
    <row r="62" spans="1:32" s="19" customFormat="1" ht="15" customHeight="1" x14ac:dyDescent="0.2">
      <c r="A62" s="5232" t="s">
        <v>3944</v>
      </c>
      <c r="B62" s="1243">
        <f t="shared" si="14"/>
        <v>0</v>
      </c>
      <c r="C62" s="1114"/>
      <c r="D62" s="1278"/>
      <c r="E62" s="1115"/>
      <c r="F62" s="1114"/>
      <c r="G62" s="1278"/>
      <c r="H62" s="1278"/>
      <c r="I62" s="1278"/>
      <c r="J62" s="1117"/>
      <c r="K62" s="1278"/>
      <c r="L62" s="1278"/>
      <c r="M62" s="1278"/>
      <c r="N62" s="1116"/>
      <c r="O62" s="1278"/>
      <c r="P62" s="1278"/>
      <c r="Q62" s="1278"/>
      <c r="R62" s="1278"/>
      <c r="S62" s="1278"/>
      <c r="T62" s="1278"/>
      <c r="U62" s="1278"/>
      <c r="V62" s="1278"/>
      <c r="W62" s="1278"/>
      <c r="X62" s="1278"/>
      <c r="Y62" s="1278"/>
      <c r="Z62" s="1117"/>
      <c r="AA62" s="1117"/>
      <c r="AB62" s="1117"/>
      <c r="AC62" s="1117"/>
      <c r="AD62" s="1278"/>
      <c r="AE62" s="1116"/>
      <c r="AF62" s="1118"/>
    </row>
    <row r="63" spans="1:32" s="19" customFormat="1" ht="15" customHeight="1" x14ac:dyDescent="0.2">
      <c r="A63" s="5232" t="s">
        <v>3945</v>
      </c>
      <c r="B63" s="1243">
        <f t="shared" si="14"/>
        <v>0</v>
      </c>
      <c r="C63" s="1114"/>
      <c r="D63" s="1278"/>
      <c r="E63" s="1115"/>
      <c r="F63" s="1114"/>
      <c r="G63" s="1278"/>
      <c r="H63" s="1278"/>
      <c r="I63" s="1278"/>
      <c r="J63" s="1117"/>
      <c r="K63" s="1278"/>
      <c r="L63" s="1278"/>
      <c r="M63" s="1278"/>
      <c r="N63" s="1116"/>
      <c r="O63" s="1278"/>
      <c r="P63" s="1278"/>
      <c r="Q63" s="1278"/>
      <c r="R63" s="1278"/>
      <c r="S63" s="1278"/>
      <c r="T63" s="1278"/>
      <c r="U63" s="1278"/>
      <c r="V63" s="1278"/>
      <c r="W63" s="1278"/>
      <c r="X63" s="1278"/>
      <c r="Y63" s="1278"/>
      <c r="Z63" s="1117"/>
      <c r="AA63" s="1117"/>
      <c r="AB63" s="1117"/>
      <c r="AC63" s="1117"/>
      <c r="AD63" s="1278"/>
      <c r="AE63" s="1116"/>
      <c r="AF63" s="1118"/>
    </row>
    <row r="64" spans="1:32" s="19" customFormat="1" ht="10.199999999999999" x14ac:dyDescent="0.2">
      <c r="A64" s="5090" t="s">
        <v>3946</v>
      </c>
      <c r="B64" s="1243">
        <f t="shared" si="14"/>
        <v>0</v>
      </c>
      <c r="C64" s="1114"/>
      <c r="D64" s="1278"/>
      <c r="E64" s="1115"/>
      <c r="F64" s="1114"/>
      <c r="G64" s="1278"/>
      <c r="H64" s="1278"/>
      <c r="I64" s="1278"/>
      <c r="J64" s="1117"/>
      <c r="K64" s="1278"/>
      <c r="L64" s="1278"/>
      <c r="M64" s="1278"/>
      <c r="N64" s="1116"/>
      <c r="O64" s="1278"/>
      <c r="P64" s="1278"/>
      <c r="Q64" s="1278"/>
      <c r="R64" s="1278"/>
      <c r="S64" s="1278"/>
      <c r="T64" s="1278"/>
      <c r="U64" s="1278"/>
      <c r="V64" s="1278"/>
      <c r="W64" s="1278"/>
      <c r="X64" s="1278"/>
      <c r="Y64" s="1278"/>
      <c r="Z64" s="1117"/>
      <c r="AA64" s="1117"/>
      <c r="AB64" s="1117"/>
      <c r="AC64" s="1117"/>
      <c r="AD64" s="1278"/>
      <c r="AE64" s="1116"/>
      <c r="AF64" s="1118"/>
    </row>
    <row r="65" spans="1:90" s="19" customFormat="1" ht="15" customHeight="1" x14ac:dyDescent="0.2">
      <c r="A65" s="4153" t="s">
        <v>3947</v>
      </c>
      <c r="B65" s="1720">
        <f t="shared" si="14"/>
        <v>0</v>
      </c>
      <c r="C65" s="1289"/>
      <c r="D65" s="262"/>
      <c r="E65" s="1474"/>
      <c r="F65" s="1139"/>
      <c r="G65" s="1283"/>
      <c r="H65" s="1283"/>
      <c r="I65" s="1283"/>
      <c r="J65" s="1153"/>
      <c r="K65" s="1283"/>
      <c r="L65" s="1283"/>
      <c r="M65" s="1283"/>
      <c r="N65" s="1152"/>
      <c r="O65" s="1283"/>
      <c r="P65" s="1283"/>
      <c r="Q65" s="1283"/>
      <c r="R65" s="1283"/>
      <c r="S65" s="1283"/>
      <c r="T65" s="1283"/>
      <c r="U65" s="1283"/>
      <c r="V65" s="1283"/>
      <c r="W65" s="1283"/>
      <c r="X65" s="1283"/>
      <c r="Y65" s="1283"/>
      <c r="Z65" s="1153"/>
      <c r="AA65" s="1153"/>
      <c r="AB65" s="1153"/>
      <c r="AC65" s="1153"/>
      <c r="AD65" s="1283"/>
      <c r="AE65" s="1152"/>
      <c r="AF65" s="1140"/>
      <c r="CB65" s="83"/>
      <c r="CC65" s="83"/>
      <c r="CD65" s="83"/>
      <c r="CE65" s="83"/>
      <c r="CF65" s="83"/>
      <c r="CG65" s="83"/>
      <c r="CI65" s="84"/>
      <c r="CJ65" s="84"/>
      <c r="CK65" s="84"/>
    </row>
    <row r="66" spans="1:90" s="19" customFormat="1" ht="15" customHeight="1" x14ac:dyDescent="0.2">
      <c r="A66" s="1815" t="s">
        <v>77</v>
      </c>
      <c r="B66" s="3190">
        <f>SUM(B50:B65)</f>
        <v>0</v>
      </c>
      <c r="C66" s="4987">
        <f>SUM(C50:C65)</f>
        <v>0</v>
      </c>
      <c r="D66" s="1141">
        <f>SUM(D50:D65)</f>
        <v>0</v>
      </c>
      <c r="E66" s="5161">
        <f t="shared" ref="E66:AE66" si="15">SUM(E50:E65)</f>
        <v>0</v>
      </c>
      <c r="F66" s="4987">
        <f t="shared" si="15"/>
        <v>0</v>
      </c>
      <c r="G66" s="1141">
        <f t="shared" si="15"/>
        <v>0</v>
      </c>
      <c r="H66" s="1141">
        <f t="shared" si="15"/>
        <v>0</v>
      </c>
      <c r="I66" s="1141">
        <f t="shared" si="15"/>
        <v>0</v>
      </c>
      <c r="J66" s="1128">
        <f t="shared" si="15"/>
        <v>0</v>
      </c>
      <c r="K66" s="1141">
        <f t="shared" si="15"/>
        <v>0</v>
      </c>
      <c r="L66" s="1141">
        <f t="shared" si="15"/>
        <v>0</v>
      </c>
      <c r="M66" s="1141">
        <f t="shared" si="15"/>
        <v>0</v>
      </c>
      <c r="N66" s="1127">
        <f t="shared" si="15"/>
        <v>0</v>
      </c>
      <c r="O66" s="1141">
        <f t="shared" si="15"/>
        <v>0</v>
      </c>
      <c r="P66" s="1141">
        <f t="shared" si="15"/>
        <v>0</v>
      </c>
      <c r="Q66" s="1141">
        <f t="shared" si="15"/>
        <v>0</v>
      </c>
      <c r="R66" s="1141">
        <f t="shared" si="15"/>
        <v>0</v>
      </c>
      <c r="S66" s="1141">
        <f t="shared" si="15"/>
        <v>0</v>
      </c>
      <c r="T66" s="1141">
        <f t="shared" si="15"/>
        <v>0</v>
      </c>
      <c r="U66" s="1141">
        <f t="shared" si="15"/>
        <v>0</v>
      </c>
      <c r="V66" s="1141">
        <f t="shared" si="15"/>
        <v>0</v>
      </c>
      <c r="W66" s="1141">
        <f t="shared" si="15"/>
        <v>0</v>
      </c>
      <c r="X66" s="1141">
        <f t="shared" si="15"/>
        <v>0</v>
      </c>
      <c r="Y66" s="1141">
        <f t="shared" si="15"/>
        <v>0</v>
      </c>
      <c r="Z66" s="1128">
        <f t="shared" si="15"/>
        <v>0</v>
      </c>
      <c r="AA66" s="1128">
        <f t="shared" si="15"/>
        <v>0</v>
      </c>
      <c r="AB66" s="1128">
        <f t="shared" si="15"/>
        <v>0</v>
      </c>
      <c r="AC66" s="1128">
        <f>SUM(AC50:AC65)</f>
        <v>0</v>
      </c>
      <c r="AD66" s="1141">
        <f t="shared" si="15"/>
        <v>0</v>
      </c>
      <c r="AE66" s="1127">
        <f t="shared" si="15"/>
        <v>0</v>
      </c>
      <c r="AF66" s="1129">
        <f>SUM(AF50:AF65)</f>
        <v>0</v>
      </c>
      <c r="CB66" s="83"/>
      <c r="CC66" s="83"/>
      <c r="CD66" s="83"/>
      <c r="CE66" s="83"/>
      <c r="CF66" s="83"/>
      <c r="CG66" s="83"/>
      <c r="CI66" s="84"/>
      <c r="CJ66" s="84"/>
      <c r="CK66" s="84"/>
    </row>
    <row r="67" spans="1:90" s="25" customFormat="1" ht="17.100000000000001" customHeight="1" x14ac:dyDescent="0.2">
      <c r="A67" s="7515" t="s">
        <v>3948</v>
      </c>
      <c r="B67" s="7515"/>
      <c r="C67" s="7515"/>
      <c r="D67" s="7515"/>
      <c r="E67" s="7515"/>
      <c r="F67" s="7515"/>
      <c r="G67" s="7515"/>
      <c r="H67" s="7515"/>
      <c r="I67" s="7515"/>
      <c r="J67" s="7515"/>
      <c r="K67" s="7515"/>
      <c r="L67" s="7515"/>
      <c r="M67" s="7515"/>
    </row>
    <row r="68" spans="1:90" s="19" customFormat="1" ht="18.899999999999999" customHeight="1" x14ac:dyDescent="0.2">
      <c r="A68" s="7455" t="s">
        <v>3949</v>
      </c>
      <c r="B68" s="7518" t="s">
        <v>3950</v>
      </c>
      <c r="C68" s="7521" t="s">
        <v>3951</v>
      </c>
      <c r="D68" s="7521"/>
      <c r="E68" s="7455"/>
      <c r="F68" s="7522" t="s">
        <v>101</v>
      </c>
      <c r="G68" s="7523"/>
      <c r="H68" s="7523"/>
      <c r="I68" s="7523"/>
      <c r="J68" s="7523"/>
      <c r="K68" s="7523"/>
      <c r="L68" s="7523"/>
      <c r="M68" s="7524"/>
      <c r="N68" s="7525" t="s">
        <v>2937</v>
      </c>
      <c r="O68" s="6506" t="s">
        <v>3952</v>
      </c>
      <c r="P68" s="6506" t="s">
        <v>3882</v>
      </c>
      <c r="Q68" s="6506" t="s">
        <v>597</v>
      </c>
      <c r="R68" s="6506" t="s">
        <v>36</v>
      </c>
      <c r="S68" s="6506" t="s">
        <v>37</v>
      </c>
      <c r="T68" s="7455" t="s">
        <v>34</v>
      </c>
    </row>
    <row r="69" spans="1:90" s="19" customFormat="1" ht="15" customHeight="1" x14ac:dyDescent="0.2">
      <c r="A69" s="6123"/>
      <c r="B69" s="7519"/>
      <c r="C69" s="6201"/>
      <c r="D69" s="6201"/>
      <c r="E69" s="6123"/>
      <c r="F69" s="7522" t="s">
        <v>3953</v>
      </c>
      <c r="G69" s="7526"/>
      <c r="H69" s="7522" t="s">
        <v>1177</v>
      </c>
      <c r="I69" s="7526"/>
      <c r="J69" s="7522" t="s">
        <v>3954</v>
      </c>
      <c r="K69" s="7526"/>
      <c r="L69" s="7522" t="s">
        <v>664</v>
      </c>
      <c r="M69" s="7524"/>
      <c r="N69" s="6780"/>
      <c r="O69" s="6507"/>
      <c r="P69" s="6507"/>
      <c r="Q69" s="6507"/>
      <c r="R69" s="6507"/>
      <c r="S69" s="6507"/>
      <c r="T69" s="6123"/>
    </row>
    <row r="70" spans="1:90" s="19" customFormat="1" ht="21.75" customHeight="1" x14ac:dyDescent="0.2">
      <c r="A70" s="6910"/>
      <c r="B70" s="7520"/>
      <c r="C70" s="1464" t="s">
        <v>79</v>
      </c>
      <c r="D70" s="1234" t="s">
        <v>58</v>
      </c>
      <c r="E70" s="5223" t="s">
        <v>59</v>
      </c>
      <c r="F70" s="1316" t="s">
        <v>58</v>
      </c>
      <c r="G70" s="5223" t="s">
        <v>59</v>
      </c>
      <c r="H70" s="1316" t="s">
        <v>58</v>
      </c>
      <c r="I70" s="5223" t="s">
        <v>59</v>
      </c>
      <c r="J70" s="1316" t="s">
        <v>58</v>
      </c>
      <c r="K70" s="5223" t="s">
        <v>59</v>
      </c>
      <c r="L70" s="1316" t="s">
        <v>58</v>
      </c>
      <c r="M70" s="5247" t="s">
        <v>59</v>
      </c>
      <c r="N70" s="5904"/>
      <c r="O70" s="6508"/>
      <c r="P70" s="6508"/>
      <c r="Q70" s="6508"/>
      <c r="R70" s="6508"/>
      <c r="S70" s="6508"/>
      <c r="T70" s="6910"/>
    </row>
    <row r="71" spans="1:90" s="19" customFormat="1" ht="15" customHeight="1" x14ac:dyDescent="0.2">
      <c r="A71" s="5248" t="s">
        <v>3904</v>
      </c>
      <c r="B71" s="1286"/>
      <c r="C71" s="5249">
        <f>SUM(D71:E71)</f>
        <v>0</v>
      </c>
      <c r="D71" s="2326">
        <f>SUM(F71+H71+J71+L71)</f>
        <v>0</v>
      </c>
      <c r="E71" s="146">
        <f>SUM(G71+I71+K71+M71)</f>
        <v>0</v>
      </c>
      <c r="F71" s="290"/>
      <c r="G71" s="637"/>
      <c r="H71" s="22"/>
      <c r="I71" s="637"/>
      <c r="J71" s="22"/>
      <c r="K71" s="637"/>
      <c r="L71" s="22"/>
      <c r="M71" s="431"/>
      <c r="N71" s="1321"/>
      <c r="O71" s="773"/>
      <c r="P71" s="773"/>
      <c r="Q71" s="773"/>
      <c r="R71" s="773"/>
      <c r="S71" s="773"/>
      <c r="T71" s="1107"/>
      <c r="U71" s="19" t="str">
        <f>CB71&amp;CC71&amp;CD71&amp;CE71&amp;CF71&amp;CG71</f>
        <v/>
      </c>
      <c r="CB71" s="83" t="str">
        <f>IF(AND(C71&gt;0,Q71=""),"  * No olvide digitar la variable Beneficiarios. Digite Cero si no tiene.",IF(Q71&gt;C71," * La variable beneficiarios No puede ser mayor al Total.",""))</f>
        <v/>
      </c>
      <c r="CC71" s="83" t="str">
        <f>IF(AND(C71&gt;0,R71=""),"  * No olvide digitar la variable Pueblos originarios. Digite Cero si no tiene.",IF(R71&gt;C71," * La variable Pueblos originarios No puede ser mayor al Total.",""))</f>
        <v/>
      </c>
      <c r="CD71" s="83" t="str">
        <f>IF(AND(C71&gt;0,S71=""),"  * No olvide digitar la variable Migrantes. Digite Cero si no tiene.",IF(S71&gt;C71," * La variable Migrantes No puede ser mayor al Total.",""))</f>
        <v/>
      </c>
      <c r="CE71" s="83" t="str">
        <f>IF(AND(C71&gt;0,T71=""),"  * No olvide digitar la variable Niños, Niñas, Adolescentes y Jóvenes SENAME. Digite Cero si no tiene.",IF(T71&gt;C71," * La variable Niños, Niñas, Adolescentes y Jóvenes SENAME No puede ser mayor al Total.",""))</f>
        <v/>
      </c>
      <c r="CF71" s="83"/>
      <c r="CG71" s="83"/>
      <c r="CI71" s="84">
        <f>IF(AND(C71&gt;0,Q71=""),1,IF(Q71&gt;C71,1,0))</f>
        <v>0</v>
      </c>
      <c r="CJ71" s="84">
        <f>IF(AND(C71&gt;0,R71=""),1,IF(R71&gt;C71,1,0))</f>
        <v>0</v>
      </c>
      <c r="CK71" s="84">
        <f>IF(AND(C71&gt;0,S71=""),1,IF(S71&gt;C71,1,0))</f>
        <v>0</v>
      </c>
      <c r="CL71" s="84">
        <f>IF(AND(C71&gt;0,T71=""),1,IF(T71&gt;C71,1,0))</f>
        <v>0</v>
      </c>
    </row>
    <row r="72" spans="1:90" s="19" customFormat="1" ht="15" customHeight="1" x14ac:dyDescent="0.2">
      <c r="A72" s="5250" t="s">
        <v>3906</v>
      </c>
      <c r="B72" s="371"/>
      <c r="C72" s="5249">
        <f t="shared" ref="C72:C84" si="16">SUM(D72:E72)</f>
        <v>0</v>
      </c>
      <c r="D72" s="2326">
        <f t="shared" ref="D72:E84" si="17">SUM(F72+H72+J72+L72)</f>
        <v>0</v>
      </c>
      <c r="E72" s="146">
        <f t="shared" si="17"/>
        <v>0</v>
      </c>
      <c r="F72" s="290"/>
      <c r="G72" s="637"/>
      <c r="H72" s="22"/>
      <c r="I72" s="637"/>
      <c r="J72" s="22"/>
      <c r="K72" s="637"/>
      <c r="L72" s="22"/>
      <c r="M72" s="431"/>
      <c r="N72" s="1326"/>
      <c r="O72" s="1278"/>
      <c r="P72" s="1278"/>
      <c r="Q72" s="1278"/>
      <c r="R72" s="1278"/>
      <c r="S72" s="1278"/>
      <c r="T72" s="1115"/>
      <c r="U72" s="19" t="str">
        <f t="shared" ref="U72:U84" si="18">CB72&amp;CC72&amp;CD72&amp;CE72&amp;CF72&amp;CG72</f>
        <v/>
      </c>
      <c r="CB72" s="83" t="str">
        <f t="shared" ref="CB72:CB84" si="19">IF(AND(C72&gt;0,Q72=""),"  * No olvide digitar la variable Beneficiarios. Digite Cero si no tiene.",IF(Q72&gt;C72," * La variable beneficiarios No puede ser mayor al Total.",""))</f>
        <v/>
      </c>
      <c r="CC72" s="83" t="str">
        <f t="shared" ref="CC72:CC84" si="20">IF(AND(C72&gt;0,R72=""),"  * No olvide digitar la variable Pueblos originarios. Digite Cero si no tiene.",IF(R72&gt;C72," * La variable Pueblos originarios No puede ser mayor al Total.",""))</f>
        <v/>
      </c>
      <c r="CD72" s="83" t="str">
        <f t="shared" ref="CD72:CD84" si="21">IF(AND(C72&gt;0,S72=""),"  * No olvide digitar la variable Migrantes. Digite Cero si no tiene.",IF(S72&gt;C72," * La variable Migrantes No puede ser mayor al Total.",""))</f>
        <v/>
      </c>
      <c r="CE72" s="83" t="str">
        <f t="shared" ref="CE72:CE84" si="22">IF(AND(C72&gt;0,T72=""),"  * No olvide digitar la variable Niños, Niñas, Adolescentes y Jóvenes SENAME. Digite Cero si no tiene.",IF(T72&gt;C72," * La variable Niños, Niñas, Adolescentes y Jóvenes SENAME No puede ser mayor al Total.",""))</f>
        <v/>
      </c>
      <c r="CF72" s="83"/>
      <c r="CG72" s="83"/>
      <c r="CI72" s="84">
        <f t="shared" ref="CI72:CI84" si="23">IF(AND(C72&gt;0,Q72=""),1,IF(Q72&gt;C72,1,0))</f>
        <v>0</v>
      </c>
      <c r="CJ72" s="84">
        <f t="shared" ref="CJ72:CJ84" si="24">IF(AND(C72&gt;0,R72=""),1,IF(R72&gt;C72,1,0))</f>
        <v>0</v>
      </c>
      <c r="CK72" s="84">
        <f t="shared" ref="CK72:CK84" si="25">IF(AND(C72&gt;0,S72=""),1,IF(S72&gt;C72,1,0))</f>
        <v>0</v>
      </c>
      <c r="CL72" s="84">
        <f t="shared" ref="CL72:CL84" si="26">IF(AND(C72&gt;0,T72=""),1,IF(T72&gt;C72,1,0))</f>
        <v>0</v>
      </c>
    </row>
    <row r="73" spans="1:90" s="19" customFormat="1" ht="15" customHeight="1" x14ac:dyDescent="0.2">
      <c r="A73" s="5250" t="s">
        <v>3955</v>
      </c>
      <c r="B73" s="371"/>
      <c r="C73" s="5249">
        <f t="shared" si="16"/>
        <v>0</v>
      </c>
      <c r="D73" s="2326">
        <f t="shared" si="17"/>
        <v>0</v>
      </c>
      <c r="E73" s="146">
        <f t="shared" si="17"/>
        <v>0</v>
      </c>
      <c r="F73" s="290"/>
      <c r="G73" s="637"/>
      <c r="H73" s="22"/>
      <c r="I73" s="637"/>
      <c r="J73" s="22"/>
      <c r="K73" s="637"/>
      <c r="L73" s="22"/>
      <c r="M73" s="431"/>
      <c r="N73" s="1326"/>
      <c r="O73" s="1278"/>
      <c r="P73" s="1278"/>
      <c r="Q73" s="1278"/>
      <c r="R73" s="1278"/>
      <c r="S73" s="1278"/>
      <c r="T73" s="1115"/>
      <c r="U73" s="19" t="str">
        <f t="shared" si="18"/>
        <v/>
      </c>
      <c r="CB73" s="83" t="str">
        <f t="shared" si="19"/>
        <v/>
      </c>
      <c r="CC73" s="83" t="str">
        <f t="shared" si="20"/>
        <v/>
      </c>
      <c r="CD73" s="83" t="str">
        <f t="shared" si="21"/>
        <v/>
      </c>
      <c r="CE73" s="83" t="str">
        <f t="shared" si="22"/>
        <v/>
      </c>
      <c r="CF73" s="83"/>
      <c r="CG73" s="83"/>
      <c r="CI73" s="84">
        <f t="shared" si="23"/>
        <v>0</v>
      </c>
      <c r="CJ73" s="84">
        <f t="shared" si="24"/>
        <v>0</v>
      </c>
      <c r="CK73" s="84">
        <f t="shared" si="25"/>
        <v>0</v>
      </c>
      <c r="CL73" s="84">
        <f t="shared" si="26"/>
        <v>0</v>
      </c>
    </row>
    <row r="74" spans="1:90" s="19" customFormat="1" ht="15" customHeight="1" x14ac:dyDescent="0.2">
      <c r="A74" s="5250" t="s">
        <v>3956</v>
      </c>
      <c r="B74" s="371"/>
      <c r="C74" s="5249">
        <f t="shared" si="16"/>
        <v>0</v>
      </c>
      <c r="D74" s="2326">
        <f t="shared" si="17"/>
        <v>0</v>
      </c>
      <c r="E74" s="146">
        <f t="shared" si="17"/>
        <v>0</v>
      </c>
      <c r="F74" s="290"/>
      <c r="G74" s="637"/>
      <c r="H74" s="22"/>
      <c r="I74" s="637"/>
      <c r="J74" s="22"/>
      <c r="K74" s="637"/>
      <c r="L74" s="22"/>
      <c r="M74" s="431"/>
      <c r="N74" s="1326"/>
      <c r="O74" s="1278"/>
      <c r="P74" s="1278"/>
      <c r="Q74" s="1278"/>
      <c r="R74" s="1278"/>
      <c r="S74" s="1278"/>
      <c r="T74" s="1115"/>
      <c r="U74" s="19" t="str">
        <f t="shared" si="18"/>
        <v/>
      </c>
      <c r="CB74" s="83" t="str">
        <f t="shared" si="19"/>
        <v/>
      </c>
      <c r="CC74" s="83" t="str">
        <f t="shared" si="20"/>
        <v/>
      </c>
      <c r="CD74" s="83" t="str">
        <f t="shared" si="21"/>
        <v/>
      </c>
      <c r="CE74" s="83" t="str">
        <f t="shared" si="22"/>
        <v/>
      </c>
      <c r="CF74" s="83"/>
      <c r="CG74" s="83"/>
      <c r="CI74" s="84">
        <f t="shared" si="23"/>
        <v>0</v>
      </c>
      <c r="CJ74" s="84">
        <f t="shared" si="24"/>
        <v>0</v>
      </c>
      <c r="CK74" s="84">
        <f t="shared" si="25"/>
        <v>0</v>
      </c>
      <c r="CL74" s="84">
        <f t="shared" si="26"/>
        <v>0</v>
      </c>
    </row>
    <row r="75" spans="1:90" s="19" customFormat="1" ht="15" customHeight="1" x14ac:dyDescent="0.2">
      <c r="A75" s="5250" t="s">
        <v>3912</v>
      </c>
      <c r="B75" s="371"/>
      <c r="C75" s="5249">
        <f>SUM(D75:E75)</f>
        <v>0</v>
      </c>
      <c r="D75" s="2326">
        <f t="shared" si="17"/>
        <v>0</v>
      </c>
      <c r="E75" s="146">
        <f t="shared" si="17"/>
        <v>0</v>
      </c>
      <c r="F75" s="290"/>
      <c r="G75" s="637"/>
      <c r="H75" s="22"/>
      <c r="I75" s="637"/>
      <c r="J75" s="22"/>
      <c r="K75" s="637"/>
      <c r="L75" s="22"/>
      <c r="M75" s="431"/>
      <c r="N75" s="1326"/>
      <c r="O75" s="1278"/>
      <c r="P75" s="1278"/>
      <c r="Q75" s="1278"/>
      <c r="R75" s="1278"/>
      <c r="S75" s="1278"/>
      <c r="T75" s="1115"/>
      <c r="U75" s="19" t="str">
        <f t="shared" si="18"/>
        <v/>
      </c>
      <c r="CB75" s="83" t="str">
        <f t="shared" si="19"/>
        <v/>
      </c>
      <c r="CC75" s="83" t="str">
        <f t="shared" si="20"/>
        <v/>
      </c>
      <c r="CD75" s="83" t="str">
        <f t="shared" si="21"/>
        <v/>
      </c>
      <c r="CE75" s="83" t="str">
        <f t="shared" si="22"/>
        <v/>
      </c>
      <c r="CF75" s="83"/>
      <c r="CG75" s="83"/>
      <c r="CI75" s="84">
        <f t="shared" si="23"/>
        <v>0</v>
      </c>
      <c r="CJ75" s="84">
        <f t="shared" si="24"/>
        <v>0</v>
      </c>
      <c r="CK75" s="84">
        <f t="shared" si="25"/>
        <v>0</v>
      </c>
      <c r="CL75" s="84">
        <f t="shared" si="26"/>
        <v>0</v>
      </c>
    </row>
    <row r="76" spans="1:90" s="19" customFormat="1" ht="15" customHeight="1" x14ac:dyDescent="0.2">
      <c r="A76" s="5250" t="s">
        <v>3957</v>
      </c>
      <c r="B76" s="371"/>
      <c r="C76" s="5251">
        <f>SUM(D76:E76)</f>
        <v>0</v>
      </c>
      <c r="D76" s="2326">
        <f t="shared" si="17"/>
        <v>0</v>
      </c>
      <c r="E76" s="146">
        <f t="shared" si="17"/>
        <v>0</v>
      </c>
      <c r="F76" s="290"/>
      <c r="G76" s="637"/>
      <c r="H76" s="22"/>
      <c r="I76" s="637"/>
      <c r="J76" s="22"/>
      <c r="K76" s="637"/>
      <c r="L76" s="22"/>
      <c r="M76" s="431"/>
      <c r="N76" s="1326"/>
      <c r="O76" s="1278"/>
      <c r="P76" s="1278"/>
      <c r="Q76" s="1278"/>
      <c r="R76" s="1278"/>
      <c r="S76" s="1278"/>
      <c r="T76" s="1115"/>
      <c r="U76" s="19" t="str">
        <f t="shared" si="18"/>
        <v/>
      </c>
      <c r="CB76" s="83" t="str">
        <f t="shared" si="19"/>
        <v/>
      </c>
      <c r="CC76" s="83" t="str">
        <f t="shared" si="20"/>
        <v/>
      </c>
      <c r="CD76" s="83" t="str">
        <f t="shared" si="21"/>
        <v/>
      </c>
      <c r="CE76" s="83" t="str">
        <f t="shared" si="22"/>
        <v/>
      </c>
      <c r="CF76" s="83"/>
      <c r="CG76" s="83"/>
      <c r="CI76" s="84">
        <f t="shared" si="23"/>
        <v>0</v>
      </c>
      <c r="CJ76" s="84">
        <f t="shared" si="24"/>
        <v>0</v>
      </c>
      <c r="CK76" s="84">
        <f t="shared" si="25"/>
        <v>0</v>
      </c>
      <c r="CL76" s="84">
        <f t="shared" si="26"/>
        <v>0</v>
      </c>
    </row>
    <row r="77" spans="1:90" s="19" customFormat="1" ht="15" customHeight="1" x14ac:dyDescent="0.2">
      <c r="A77" s="5252" t="s">
        <v>3914</v>
      </c>
      <c r="B77" s="371"/>
      <c r="C77" s="5249">
        <f t="shared" si="16"/>
        <v>0</v>
      </c>
      <c r="D77" s="2326">
        <f t="shared" si="17"/>
        <v>0</v>
      </c>
      <c r="E77" s="146">
        <f t="shared" si="17"/>
        <v>0</v>
      </c>
      <c r="F77" s="290"/>
      <c r="G77" s="637"/>
      <c r="H77" s="22"/>
      <c r="I77" s="637"/>
      <c r="J77" s="22"/>
      <c r="K77" s="637"/>
      <c r="L77" s="22"/>
      <c r="M77" s="431"/>
      <c r="N77" s="1326"/>
      <c r="O77" s="1278"/>
      <c r="P77" s="1278"/>
      <c r="Q77" s="1278"/>
      <c r="R77" s="1278"/>
      <c r="S77" s="1278"/>
      <c r="T77" s="1115"/>
      <c r="U77" s="19" t="str">
        <f t="shared" si="18"/>
        <v/>
      </c>
      <c r="CB77" s="83" t="str">
        <f t="shared" si="19"/>
        <v/>
      </c>
      <c r="CC77" s="83" t="str">
        <f t="shared" si="20"/>
        <v/>
      </c>
      <c r="CD77" s="83" t="str">
        <f t="shared" si="21"/>
        <v/>
      </c>
      <c r="CE77" s="83" t="str">
        <f t="shared" si="22"/>
        <v/>
      </c>
      <c r="CF77" s="83"/>
      <c r="CG77" s="83"/>
      <c r="CI77" s="84">
        <f t="shared" si="23"/>
        <v>0</v>
      </c>
      <c r="CJ77" s="84">
        <f t="shared" si="24"/>
        <v>0</v>
      </c>
      <c r="CK77" s="84">
        <f t="shared" si="25"/>
        <v>0</v>
      </c>
      <c r="CL77" s="84">
        <f t="shared" si="26"/>
        <v>0</v>
      </c>
    </row>
    <row r="78" spans="1:90" s="19" customFormat="1" ht="15" customHeight="1" x14ac:dyDescent="0.2">
      <c r="A78" s="5252" t="s">
        <v>3958</v>
      </c>
      <c r="B78" s="371"/>
      <c r="C78" s="5249">
        <f t="shared" si="16"/>
        <v>0</v>
      </c>
      <c r="D78" s="2326">
        <f t="shared" si="17"/>
        <v>0</v>
      </c>
      <c r="E78" s="146">
        <f t="shared" si="17"/>
        <v>0</v>
      </c>
      <c r="F78" s="290"/>
      <c r="G78" s="637"/>
      <c r="H78" s="22"/>
      <c r="I78" s="637"/>
      <c r="J78" s="22"/>
      <c r="K78" s="637"/>
      <c r="L78" s="22"/>
      <c r="M78" s="431"/>
      <c r="N78" s="1326"/>
      <c r="O78" s="1278"/>
      <c r="P78" s="1278"/>
      <c r="Q78" s="1278"/>
      <c r="R78" s="1278"/>
      <c r="S78" s="1278"/>
      <c r="T78" s="1115"/>
      <c r="U78" s="19" t="str">
        <f t="shared" si="18"/>
        <v/>
      </c>
      <c r="CB78" s="83" t="str">
        <f t="shared" si="19"/>
        <v/>
      </c>
      <c r="CC78" s="83" t="str">
        <f t="shared" si="20"/>
        <v/>
      </c>
      <c r="CD78" s="83" t="str">
        <f t="shared" si="21"/>
        <v/>
      </c>
      <c r="CE78" s="83" t="str">
        <f t="shared" si="22"/>
        <v/>
      </c>
      <c r="CF78" s="83"/>
      <c r="CG78" s="83"/>
      <c r="CI78" s="84">
        <f t="shared" si="23"/>
        <v>0</v>
      </c>
      <c r="CJ78" s="84">
        <f t="shared" si="24"/>
        <v>0</v>
      </c>
      <c r="CK78" s="84">
        <f t="shared" si="25"/>
        <v>0</v>
      </c>
      <c r="CL78" s="84">
        <f t="shared" si="26"/>
        <v>0</v>
      </c>
    </row>
    <row r="79" spans="1:90" s="19" customFormat="1" ht="15" customHeight="1" x14ac:dyDescent="0.2">
      <c r="A79" s="5252" t="s">
        <v>3959</v>
      </c>
      <c r="B79" s="371"/>
      <c r="C79" s="5251">
        <f>SUM(D79:E79)</f>
        <v>0</v>
      </c>
      <c r="D79" s="2326">
        <f t="shared" si="17"/>
        <v>0</v>
      </c>
      <c r="E79" s="146">
        <f t="shared" si="17"/>
        <v>0</v>
      </c>
      <c r="F79" s="290"/>
      <c r="G79" s="637"/>
      <c r="H79" s="22"/>
      <c r="I79" s="637"/>
      <c r="J79" s="22"/>
      <c r="K79" s="637"/>
      <c r="L79" s="22"/>
      <c r="M79" s="431"/>
      <c r="N79" s="1326"/>
      <c r="O79" s="1278"/>
      <c r="P79" s="1278"/>
      <c r="Q79" s="1278"/>
      <c r="R79" s="1278"/>
      <c r="S79" s="1278"/>
      <c r="T79" s="1115"/>
      <c r="U79" s="19" t="str">
        <f t="shared" si="18"/>
        <v/>
      </c>
      <c r="CB79" s="83" t="str">
        <f t="shared" si="19"/>
        <v/>
      </c>
      <c r="CC79" s="83" t="str">
        <f t="shared" si="20"/>
        <v/>
      </c>
      <c r="CD79" s="83" t="str">
        <f t="shared" si="21"/>
        <v/>
      </c>
      <c r="CE79" s="83" t="str">
        <f t="shared" si="22"/>
        <v/>
      </c>
      <c r="CF79" s="83"/>
      <c r="CG79" s="83"/>
      <c r="CI79" s="84">
        <f t="shared" si="23"/>
        <v>0</v>
      </c>
      <c r="CJ79" s="84">
        <f t="shared" si="24"/>
        <v>0</v>
      </c>
      <c r="CK79" s="84">
        <f t="shared" si="25"/>
        <v>0</v>
      </c>
      <c r="CL79" s="84">
        <f t="shared" si="26"/>
        <v>0</v>
      </c>
    </row>
    <row r="80" spans="1:90" s="19" customFormat="1" ht="15" customHeight="1" x14ac:dyDescent="0.2">
      <c r="A80" s="5250" t="s">
        <v>3907</v>
      </c>
      <c r="B80" s="371"/>
      <c r="C80" s="5249">
        <f>SUM(D80:E80)</f>
        <v>0</v>
      </c>
      <c r="D80" s="2326">
        <f t="shared" si="17"/>
        <v>0</v>
      </c>
      <c r="E80" s="146">
        <f t="shared" si="17"/>
        <v>0</v>
      </c>
      <c r="F80" s="290"/>
      <c r="G80" s="637"/>
      <c r="H80" s="22"/>
      <c r="I80" s="637"/>
      <c r="J80" s="22"/>
      <c r="K80" s="637"/>
      <c r="L80" s="22"/>
      <c r="M80" s="431"/>
      <c r="N80" s="1326"/>
      <c r="O80" s="1278"/>
      <c r="P80" s="1278"/>
      <c r="Q80" s="1278"/>
      <c r="R80" s="1278"/>
      <c r="S80" s="1278"/>
      <c r="T80" s="1115"/>
      <c r="U80" s="19" t="str">
        <f t="shared" si="18"/>
        <v/>
      </c>
      <c r="CB80" s="83" t="str">
        <f t="shared" si="19"/>
        <v/>
      </c>
      <c r="CC80" s="83" t="str">
        <f t="shared" si="20"/>
        <v/>
      </c>
      <c r="CD80" s="83" t="str">
        <f t="shared" si="21"/>
        <v/>
      </c>
      <c r="CE80" s="83" t="str">
        <f t="shared" si="22"/>
        <v/>
      </c>
      <c r="CF80" s="83"/>
      <c r="CG80" s="83"/>
      <c r="CI80" s="84">
        <f t="shared" si="23"/>
        <v>0</v>
      </c>
      <c r="CJ80" s="84">
        <f t="shared" si="24"/>
        <v>0</v>
      </c>
      <c r="CK80" s="84">
        <f t="shared" si="25"/>
        <v>0</v>
      </c>
      <c r="CL80" s="84">
        <f t="shared" si="26"/>
        <v>0</v>
      </c>
    </row>
    <row r="81" spans="1:90" s="19" customFormat="1" ht="15" customHeight="1" x14ac:dyDescent="0.2">
      <c r="A81" s="5250" t="s">
        <v>3918</v>
      </c>
      <c r="B81" s="371"/>
      <c r="C81" s="5249">
        <f t="shared" si="16"/>
        <v>0</v>
      </c>
      <c r="D81" s="2326">
        <f t="shared" si="17"/>
        <v>0</v>
      </c>
      <c r="E81" s="146">
        <f t="shared" si="17"/>
        <v>0</v>
      </c>
      <c r="F81" s="290"/>
      <c r="G81" s="637"/>
      <c r="H81" s="22"/>
      <c r="I81" s="637"/>
      <c r="J81" s="22"/>
      <c r="K81" s="637"/>
      <c r="L81" s="22"/>
      <c r="M81" s="431"/>
      <c r="N81" s="1326"/>
      <c r="O81" s="1278"/>
      <c r="P81" s="1278"/>
      <c r="Q81" s="1278"/>
      <c r="R81" s="1278"/>
      <c r="S81" s="1278"/>
      <c r="T81" s="1115"/>
      <c r="U81" s="19" t="str">
        <f t="shared" si="18"/>
        <v/>
      </c>
      <c r="CB81" s="83" t="str">
        <f t="shared" si="19"/>
        <v/>
      </c>
      <c r="CC81" s="83" t="str">
        <f t="shared" si="20"/>
        <v/>
      </c>
      <c r="CD81" s="83" t="str">
        <f t="shared" si="21"/>
        <v/>
      </c>
      <c r="CE81" s="83" t="str">
        <f t="shared" si="22"/>
        <v/>
      </c>
      <c r="CF81" s="83"/>
      <c r="CG81" s="83"/>
      <c r="CI81" s="84">
        <f t="shared" si="23"/>
        <v>0</v>
      </c>
      <c r="CJ81" s="84">
        <f t="shared" si="24"/>
        <v>0</v>
      </c>
      <c r="CK81" s="84">
        <f t="shared" si="25"/>
        <v>0</v>
      </c>
      <c r="CL81" s="84">
        <f t="shared" si="26"/>
        <v>0</v>
      </c>
    </row>
    <row r="82" spans="1:90" s="19" customFormat="1" ht="15" customHeight="1" x14ac:dyDescent="0.2">
      <c r="A82" s="5252" t="s">
        <v>3917</v>
      </c>
      <c r="B82" s="371"/>
      <c r="C82" s="5253">
        <f t="shared" si="16"/>
        <v>0</v>
      </c>
      <c r="D82" s="2326">
        <f t="shared" si="17"/>
        <v>0</v>
      </c>
      <c r="E82" s="146">
        <f t="shared" si="17"/>
        <v>0</v>
      </c>
      <c r="F82" s="290"/>
      <c r="G82" s="637"/>
      <c r="H82" s="22"/>
      <c r="I82" s="637"/>
      <c r="J82" s="22"/>
      <c r="K82" s="637"/>
      <c r="L82" s="22"/>
      <c r="M82" s="431"/>
      <c r="N82" s="1326"/>
      <c r="O82" s="1278"/>
      <c r="P82" s="1278"/>
      <c r="Q82" s="1278"/>
      <c r="R82" s="1278"/>
      <c r="S82" s="1278"/>
      <c r="T82" s="1115"/>
      <c r="U82" s="19" t="str">
        <f t="shared" si="18"/>
        <v/>
      </c>
      <c r="CB82" s="83" t="str">
        <f t="shared" si="19"/>
        <v/>
      </c>
      <c r="CC82" s="83" t="str">
        <f t="shared" si="20"/>
        <v/>
      </c>
      <c r="CD82" s="83" t="str">
        <f t="shared" si="21"/>
        <v/>
      </c>
      <c r="CE82" s="83" t="str">
        <f t="shared" si="22"/>
        <v/>
      </c>
      <c r="CF82" s="83"/>
      <c r="CG82" s="83"/>
      <c r="CI82" s="84">
        <f t="shared" si="23"/>
        <v>0</v>
      </c>
      <c r="CJ82" s="84">
        <f t="shared" si="24"/>
        <v>0</v>
      </c>
      <c r="CK82" s="84">
        <f t="shared" si="25"/>
        <v>0</v>
      </c>
      <c r="CL82" s="84">
        <f t="shared" si="26"/>
        <v>0</v>
      </c>
    </row>
    <row r="83" spans="1:90" s="19" customFormat="1" ht="15" customHeight="1" x14ac:dyDescent="0.2">
      <c r="A83" s="5252" t="s">
        <v>3919</v>
      </c>
      <c r="B83" s="371"/>
      <c r="C83" s="5251">
        <f t="shared" si="16"/>
        <v>0</v>
      </c>
      <c r="D83" s="2326">
        <f t="shared" si="17"/>
        <v>0</v>
      </c>
      <c r="E83" s="146">
        <f t="shared" si="17"/>
        <v>0</v>
      </c>
      <c r="F83" s="1114"/>
      <c r="G83" s="1118"/>
      <c r="H83" s="1116"/>
      <c r="I83" s="1118"/>
      <c r="J83" s="1116"/>
      <c r="K83" s="1118"/>
      <c r="L83" s="22"/>
      <c r="M83" s="431"/>
      <c r="N83" s="296"/>
      <c r="O83" s="535"/>
      <c r="P83" s="535"/>
      <c r="Q83" s="535"/>
      <c r="R83" s="535"/>
      <c r="S83" s="535"/>
      <c r="T83" s="107"/>
      <c r="U83" s="19" t="str">
        <f t="shared" si="18"/>
        <v/>
      </c>
      <c r="CB83" s="83" t="str">
        <f t="shared" si="19"/>
        <v/>
      </c>
      <c r="CC83" s="83" t="str">
        <f t="shared" si="20"/>
        <v/>
      </c>
      <c r="CD83" s="83" t="str">
        <f t="shared" si="21"/>
        <v/>
      </c>
      <c r="CE83" s="83" t="str">
        <f t="shared" si="22"/>
        <v/>
      </c>
      <c r="CF83" s="83"/>
      <c r="CG83" s="83"/>
      <c r="CI83" s="84">
        <f t="shared" si="23"/>
        <v>0</v>
      </c>
      <c r="CJ83" s="84">
        <f t="shared" si="24"/>
        <v>0</v>
      </c>
      <c r="CK83" s="84">
        <f t="shared" si="25"/>
        <v>0</v>
      </c>
      <c r="CL83" s="84">
        <f t="shared" si="26"/>
        <v>0</v>
      </c>
    </row>
    <row r="84" spans="1:90" s="19" customFormat="1" ht="15" customHeight="1" x14ac:dyDescent="0.2">
      <c r="A84" s="5254" t="s">
        <v>902</v>
      </c>
      <c r="B84" s="371"/>
      <c r="C84" s="5251">
        <f t="shared" si="16"/>
        <v>0</v>
      </c>
      <c r="D84" s="2326">
        <f t="shared" si="17"/>
        <v>0</v>
      </c>
      <c r="E84" s="146">
        <f t="shared" si="17"/>
        <v>0</v>
      </c>
      <c r="F84" s="290"/>
      <c r="G84" s="637"/>
      <c r="H84" s="22"/>
      <c r="I84" s="637"/>
      <c r="J84" s="22"/>
      <c r="K84" s="637"/>
      <c r="L84" s="1116"/>
      <c r="M84" s="1120"/>
      <c r="N84" s="296"/>
      <c r="O84" s="535"/>
      <c r="P84" s="535"/>
      <c r="Q84" s="535"/>
      <c r="R84" s="535"/>
      <c r="S84" s="535"/>
      <c r="T84" s="107"/>
      <c r="U84" s="19" t="str">
        <f t="shared" si="18"/>
        <v/>
      </c>
      <c r="CB84" s="83" t="str">
        <f t="shared" si="19"/>
        <v/>
      </c>
      <c r="CC84" s="83" t="str">
        <f t="shared" si="20"/>
        <v/>
      </c>
      <c r="CD84" s="83" t="str">
        <f t="shared" si="21"/>
        <v/>
      </c>
      <c r="CE84" s="83" t="str">
        <f t="shared" si="22"/>
        <v/>
      </c>
      <c r="CF84" s="83"/>
      <c r="CG84" s="83"/>
      <c r="CI84" s="84">
        <f t="shared" si="23"/>
        <v>0</v>
      </c>
      <c r="CJ84" s="84">
        <f t="shared" si="24"/>
        <v>0</v>
      </c>
      <c r="CK84" s="84">
        <f t="shared" si="25"/>
        <v>0</v>
      </c>
      <c r="CL84" s="84">
        <f t="shared" si="26"/>
        <v>0</v>
      </c>
    </row>
    <row r="85" spans="1:90" s="19" customFormat="1" ht="15" customHeight="1" x14ac:dyDescent="0.2">
      <c r="A85" s="5222" t="s">
        <v>77</v>
      </c>
      <c r="B85" s="5255">
        <f>SUM(B71:B84)</f>
        <v>0</v>
      </c>
      <c r="C85" s="4861">
        <f>SUM(D85:E85)</f>
        <v>0</v>
      </c>
      <c r="D85" s="1127">
        <f t="shared" ref="D85:S85" si="27">SUM(D71:D84)</f>
        <v>0</v>
      </c>
      <c r="E85" s="1127">
        <f t="shared" si="27"/>
        <v>0</v>
      </c>
      <c r="F85" s="4987">
        <f>SUM(F71:F84)</f>
        <v>0</v>
      </c>
      <c r="G85" s="1129">
        <f t="shared" si="27"/>
        <v>0</v>
      </c>
      <c r="H85" s="1127">
        <f t="shared" si="27"/>
        <v>0</v>
      </c>
      <c r="I85" s="1129">
        <f t="shared" si="27"/>
        <v>0</v>
      </c>
      <c r="J85" s="1127">
        <f t="shared" si="27"/>
        <v>0</v>
      </c>
      <c r="K85" s="1129">
        <f t="shared" si="27"/>
        <v>0</v>
      </c>
      <c r="L85" s="1127">
        <f t="shared" si="27"/>
        <v>0</v>
      </c>
      <c r="M85" s="1131">
        <f t="shared" si="27"/>
        <v>0</v>
      </c>
      <c r="N85" s="4861">
        <f t="shared" si="27"/>
        <v>0</v>
      </c>
      <c r="O85" s="1141">
        <f t="shared" si="27"/>
        <v>0</v>
      </c>
      <c r="P85" s="1141">
        <f t="shared" si="27"/>
        <v>0</v>
      </c>
      <c r="Q85" s="1141">
        <f t="shared" si="27"/>
        <v>0</v>
      </c>
      <c r="R85" s="1141">
        <f t="shared" si="27"/>
        <v>0</v>
      </c>
      <c r="S85" s="1141">
        <f t="shared" si="27"/>
        <v>0</v>
      </c>
      <c r="T85" s="5161">
        <f>SUM(T71:T84)</f>
        <v>0</v>
      </c>
    </row>
    <row r="86" spans="1:90" s="25" customFormat="1" ht="17.100000000000001" customHeight="1" x14ac:dyDescent="0.2">
      <c r="A86" s="7515" t="s">
        <v>3960</v>
      </c>
      <c r="B86" s="7515"/>
      <c r="C86" s="7515"/>
      <c r="D86" s="7515"/>
      <c r="E86" s="7515"/>
      <c r="F86" s="7515"/>
    </row>
    <row r="87" spans="1:90" s="19" customFormat="1" ht="15" customHeight="1" x14ac:dyDescent="0.2">
      <c r="A87" s="7455" t="s">
        <v>3399</v>
      </c>
      <c r="B87" s="7516" t="s">
        <v>192</v>
      </c>
      <c r="C87" s="7023" t="s">
        <v>29</v>
      </c>
      <c r="D87" s="7475"/>
      <c r="E87" s="7475"/>
      <c r="F87" s="7475"/>
      <c r="G87" s="7475"/>
      <c r="H87" s="7475"/>
      <c r="I87" s="7475"/>
      <c r="J87" s="7475"/>
      <c r="K87" s="7475"/>
      <c r="L87" s="7475"/>
      <c r="M87" s="7475"/>
      <c r="N87" s="7475"/>
      <c r="O87" s="7475"/>
      <c r="P87" s="7475"/>
      <c r="Q87" s="7475"/>
      <c r="R87" s="7475"/>
      <c r="S87" s="7457"/>
      <c r="CB87" s="83"/>
      <c r="CC87" s="83"/>
      <c r="CD87" s="83"/>
      <c r="CE87" s="83"/>
      <c r="CF87" s="83"/>
      <c r="CG87" s="83"/>
      <c r="CI87" s="84"/>
      <c r="CJ87" s="84"/>
      <c r="CK87" s="84"/>
    </row>
    <row r="88" spans="1:90" s="19" customFormat="1" ht="20.399999999999999" x14ac:dyDescent="0.2">
      <c r="A88" s="6910"/>
      <c r="B88" s="7517"/>
      <c r="C88" s="1313" t="s">
        <v>343</v>
      </c>
      <c r="D88" s="1238" t="s">
        <v>326</v>
      </c>
      <c r="E88" s="1238" t="s">
        <v>94</v>
      </c>
      <c r="F88" s="1238" t="s">
        <v>44</v>
      </c>
      <c r="G88" s="1238" t="s">
        <v>45</v>
      </c>
      <c r="H88" s="1238" t="s">
        <v>46</v>
      </c>
      <c r="I88" s="1238" t="s">
        <v>47</v>
      </c>
      <c r="J88" s="1238" t="s">
        <v>48</v>
      </c>
      <c r="K88" s="1238" t="s">
        <v>49</v>
      </c>
      <c r="L88" s="1238" t="s">
        <v>50</v>
      </c>
      <c r="M88" s="1238" t="s">
        <v>51</v>
      </c>
      <c r="N88" s="1238" t="s">
        <v>52</v>
      </c>
      <c r="O88" s="1238" t="s">
        <v>53</v>
      </c>
      <c r="P88" s="1238" t="s">
        <v>54</v>
      </c>
      <c r="Q88" s="1238" t="s">
        <v>55</v>
      </c>
      <c r="R88" s="1238" t="s">
        <v>56</v>
      </c>
      <c r="S88" s="1460" t="s">
        <v>57</v>
      </c>
      <c r="CB88" s="83"/>
      <c r="CC88" s="83"/>
      <c r="CD88" s="83"/>
      <c r="CE88" s="83"/>
      <c r="CF88" s="83"/>
      <c r="CG88" s="83"/>
      <c r="CI88" s="84"/>
      <c r="CJ88" s="84"/>
      <c r="CK88" s="84"/>
    </row>
    <row r="89" spans="1:90" s="19" customFormat="1" ht="15" customHeight="1" x14ac:dyDescent="0.2">
      <c r="A89" s="4804" t="s">
        <v>2937</v>
      </c>
      <c r="B89" s="1187">
        <f>SUM(C89:S89)</f>
        <v>0</v>
      </c>
      <c r="C89" s="4674"/>
      <c r="D89" s="5256"/>
      <c r="E89" s="5256"/>
      <c r="F89" s="5256"/>
      <c r="G89" s="5256"/>
      <c r="H89" s="5256"/>
      <c r="I89" s="5256"/>
      <c r="J89" s="5256"/>
      <c r="K89" s="5256"/>
      <c r="L89" s="5256"/>
      <c r="M89" s="5256"/>
      <c r="N89" s="5256"/>
      <c r="O89" s="5256"/>
      <c r="P89" s="5256"/>
      <c r="Q89" s="5256"/>
      <c r="R89" s="5256"/>
      <c r="S89" s="4676"/>
      <c r="CB89" s="83"/>
      <c r="CC89" s="83"/>
      <c r="CD89" s="83"/>
      <c r="CE89" s="83"/>
      <c r="CF89" s="83"/>
      <c r="CG89" s="83"/>
      <c r="CI89" s="84"/>
      <c r="CJ89" s="84"/>
      <c r="CK89" s="84"/>
    </row>
    <row r="90" spans="1:90" s="19" customFormat="1" ht="15" customHeight="1" x14ac:dyDescent="0.2">
      <c r="A90" s="4804" t="s">
        <v>3961</v>
      </c>
      <c r="B90" s="1187">
        <f>SUM(C90:S90)</f>
        <v>0</v>
      </c>
      <c r="C90" s="4674"/>
      <c r="D90" s="5256"/>
      <c r="E90" s="5256"/>
      <c r="F90" s="5256"/>
      <c r="G90" s="5256"/>
      <c r="H90" s="5256"/>
      <c r="I90" s="5256"/>
      <c r="J90" s="5256"/>
      <c r="K90" s="5256"/>
      <c r="L90" s="5256"/>
      <c r="M90" s="5256"/>
      <c r="N90" s="5256"/>
      <c r="O90" s="5256"/>
      <c r="P90" s="5256"/>
      <c r="Q90" s="5256"/>
      <c r="R90" s="5256"/>
      <c r="S90" s="4676"/>
      <c r="CB90" s="83"/>
      <c r="CC90" s="83"/>
      <c r="CD90" s="83"/>
      <c r="CE90" s="83"/>
      <c r="CF90" s="83"/>
      <c r="CG90" s="83"/>
      <c r="CI90" s="84"/>
      <c r="CJ90" s="84"/>
      <c r="CK90" s="84"/>
    </row>
    <row r="91" spans="1:90" s="19" customFormat="1" ht="15" customHeight="1" x14ac:dyDescent="0.2">
      <c r="A91" s="1704" t="s">
        <v>3882</v>
      </c>
      <c r="B91" s="3190">
        <f>SUM(C91:S91)</f>
        <v>0</v>
      </c>
      <c r="C91" s="4680"/>
      <c r="D91" s="5257"/>
      <c r="E91" s="5257"/>
      <c r="F91" s="5257"/>
      <c r="G91" s="5257"/>
      <c r="H91" s="5257"/>
      <c r="I91" s="5257"/>
      <c r="J91" s="5257"/>
      <c r="K91" s="5257"/>
      <c r="L91" s="5257"/>
      <c r="M91" s="5257"/>
      <c r="N91" s="5257"/>
      <c r="O91" s="5257"/>
      <c r="P91" s="5257"/>
      <c r="Q91" s="5257"/>
      <c r="R91" s="5257"/>
      <c r="S91" s="4683"/>
      <c r="CB91" s="83"/>
      <c r="CC91" s="83"/>
      <c r="CD91" s="83"/>
      <c r="CE91" s="83"/>
      <c r="CF91" s="83"/>
      <c r="CG91" s="83"/>
      <c r="CI91" s="84"/>
      <c r="CJ91" s="84"/>
      <c r="CK91" s="84"/>
    </row>
    <row r="130" spans="1:2" hidden="1" x14ac:dyDescent="0.3">
      <c r="A130" s="4580">
        <f>SUM(C12:C28,B32:B46,B50:B66,C71:C85,B89:B91)</f>
        <v>0</v>
      </c>
      <c r="B130" s="4581">
        <f>SUM(CI12:CM91)</f>
        <v>0</v>
      </c>
    </row>
  </sheetData>
  <sheetProtection algorithmName="SHA-512" hashValue="GkE7BQ7M6EueTr5IuI1BnJa4AwGaZTz71++a2O6uiFeJ4M4z/K9ML4XQQ+OiUUiu+Luxj0F5r9t7/Z5n7J2cMg==" saltValue="gR3UkXwGbVoeMiRpvUw4Mg==" spinCount="100000" sheet="1" objects="1" scenarios="1"/>
  <mergeCells count="69">
    <mergeCell ref="AT9:AT11"/>
    <mergeCell ref="A6:T6"/>
    <mergeCell ref="A8:J8"/>
    <mergeCell ref="A9:B11"/>
    <mergeCell ref="C9:E10"/>
    <mergeCell ref="F9:AM9"/>
    <mergeCell ref="AN9:AN11"/>
    <mergeCell ref="T10:U10"/>
    <mergeCell ref="V10:W10"/>
    <mergeCell ref="X10:Y10"/>
    <mergeCell ref="Z10:AA10"/>
    <mergeCell ref="AL10:AM10"/>
    <mergeCell ref="AD10:AE10"/>
    <mergeCell ref="AF10:AG10"/>
    <mergeCell ref="AH10:AI10"/>
    <mergeCell ref="AJ10:AK10"/>
    <mergeCell ref="AU9:AU11"/>
    <mergeCell ref="AV9:AV11"/>
    <mergeCell ref="AW9:AW11"/>
    <mergeCell ref="F10:G10"/>
    <mergeCell ref="H10:I10"/>
    <mergeCell ref="J10:K10"/>
    <mergeCell ref="L10:M10"/>
    <mergeCell ref="N10:O10"/>
    <mergeCell ref="P10:Q10"/>
    <mergeCell ref="R10:S10"/>
    <mergeCell ref="AO9:AO11"/>
    <mergeCell ref="AP9:AP11"/>
    <mergeCell ref="AQ9:AQ11"/>
    <mergeCell ref="AR9:AR11"/>
    <mergeCell ref="AS9:AS11"/>
    <mergeCell ref="AB10:AC10"/>
    <mergeCell ref="A12:A14"/>
    <mergeCell ref="A15:A27"/>
    <mergeCell ref="A28:B28"/>
    <mergeCell ref="A29:L29"/>
    <mergeCell ref="A30:A31"/>
    <mergeCell ref="B30:B31"/>
    <mergeCell ref="C30:C31"/>
    <mergeCell ref="D30:D31"/>
    <mergeCell ref="E30:E31"/>
    <mergeCell ref="F30:AF30"/>
    <mergeCell ref="A47:M47"/>
    <mergeCell ref="A48:A49"/>
    <mergeCell ref="B48:B49"/>
    <mergeCell ref="C48:C49"/>
    <mergeCell ref="D48:D49"/>
    <mergeCell ref="E48:E49"/>
    <mergeCell ref="F48:AF48"/>
    <mergeCell ref="T68:T70"/>
    <mergeCell ref="A67:M67"/>
    <mergeCell ref="A68:A70"/>
    <mergeCell ref="B68:B70"/>
    <mergeCell ref="C68:E69"/>
    <mergeCell ref="F68:M68"/>
    <mergeCell ref="N68:N70"/>
    <mergeCell ref="F69:G69"/>
    <mergeCell ref="H69:I69"/>
    <mergeCell ref="J69:K69"/>
    <mergeCell ref="L69:M69"/>
    <mergeCell ref="A86:F86"/>
    <mergeCell ref="A87:A88"/>
    <mergeCell ref="B87:B88"/>
    <mergeCell ref="C87:S87"/>
    <mergeCell ref="O68:O70"/>
    <mergeCell ref="P68:P70"/>
    <mergeCell ref="Q68:Q70"/>
    <mergeCell ref="R68:R70"/>
    <mergeCell ref="S68:S70"/>
  </mergeCells>
  <dataValidations count="2">
    <dataValidation type="whole" operator="greaterThanOrEqual" allowBlank="1" showInputMessage="1" showErrorMessage="1" error="Valor no Permitido" sqref="F71:T84 F12:AW27 C32:AF45 B71:B84 C50:AF65 C89:S91" xr:uid="{00000000-0002-0000-1800-000000000000}">
      <formula1>0</formula1>
    </dataValidation>
    <dataValidation allowBlank="1" showInputMessage="1" showErrorMessage="1" error="Valor no Permitido" sqref="A6:T6 A8 A9:E28 F28:AW28 F9:AM11 A87:B91 C87:S88 A29 A30:B46 C46:AF46 C30:AF31 C66:AF66 C48:AF49 B48:B66 A47:A48 B68:B70 F85:T85 F68:T70 C68:E85 B85 A50:A68 A71:A86 AO9:AW11 AN9" xr:uid="{00000000-0002-0000-1800-000001000000}"/>
  </dataValidation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CS236"/>
  <sheetViews>
    <sheetView showGridLines="0" zoomScaleNormal="100" workbookViewId="0"/>
  </sheetViews>
  <sheetFormatPr baseColWidth="10" defaultColWidth="11.44140625" defaultRowHeight="14.4" x14ac:dyDescent="0.3"/>
  <cols>
    <col min="1" max="1" width="67.33203125" style="1971" customWidth="1"/>
    <col min="2" max="2" width="25.44140625" style="1971" customWidth="1"/>
    <col min="3" max="3" width="16" style="1971" customWidth="1"/>
    <col min="4" max="4" width="14.5546875" style="1971" customWidth="1"/>
    <col min="5" max="5" width="14.44140625" style="1971" bestFit="1" customWidth="1"/>
    <col min="6" max="6" width="12.6640625" style="1971" customWidth="1"/>
    <col min="7" max="7" width="12.109375" style="1971" customWidth="1"/>
    <col min="8" max="9" width="11.44140625" style="1971"/>
    <col min="10" max="10" width="12.88671875" style="1971" customWidth="1"/>
    <col min="11" max="12" width="11.44140625" style="1971"/>
    <col min="13" max="13" width="12.88671875" style="1971" customWidth="1"/>
    <col min="14" max="14" width="12.6640625" style="1971" customWidth="1"/>
    <col min="15" max="15" width="11.44140625" style="1971"/>
    <col min="16" max="16" width="12.33203125" style="1971" customWidth="1"/>
    <col min="17" max="17" width="14.6640625" style="1971" customWidth="1"/>
    <col min="18" max="18" width="14" style="1971" customWidth="1"/>
    <col min="19" max="19" width="14.5546875" style="1971" customWidth="1"/>
    <col min="20" max="20" width="13.109375" style="1971" customWidth="1"/>
    <col min="21" max="21" width="12.88671875" style="1971" customWidth="1"/>
    <col min="22" max="26" width="12.5546875" style="1971" customWidth="1"/>
    <col min="27" max="38" width="11.44140625" style="1971"/>
    <col min="39" max="39" width="20.6640625" style="1971" customWidth="1"/>
    <col min="40" max="40" width="17.109375" style="1971" customWidth="1"/>
    <col min="41" max="42" width="11.44140625" style="1971"/>
    <col min="43" max="43" width="12" style="1971" customWidth="1"/>
    <col min="44" max="44" width="11.44140625" style="1971"/>
    <col min="45" max="45" width="12.109375" style="1971" customWidth="1"/>
    <col min="46" max="46" width="21.33203125" style="1971" customWidth="1"/>
    <col min="47" max="75" width="11.44140625" style="1971"/>
    <col min="76" max="78" width="0" style="1971" hidden="1" customWidth="1"/>
    <col min="79" max="94" width="11.44140625" style="1971" hidden="1" customWidth="1"/>
    <col min="95" max="96" width="11.5546875" style="1971" hidden="1" customWidth="1"/>
    <col min="97" max="97" width="11.44140625" style="1971" hidden="1" customWidth="1"/>
    <col min="98" max="16384" width="11.44140625" style="1971"/>
  </cols>
  <sheetData>
    <row r="1" spans="1:94" x14ac:dyDescent="0.2">
      <c r="A1" s="50" t="s">
        <v>23</v>
      </c>
    </row>
    <row r="2" spans="1:94" x14ac:dyDescent="0.2">
      <c r="A2" s="50" t="str">
        <f>CONCATENATE("COMUNA: ",NOMBRE!B2, " (",NOMBRE!C2,NOMBRE!D2,NOMBRE!E2,NOMBRE!F2,NOMBRE!G2,")")</f>
        <v>COMUNA:  ()</v>
      </c>
    </row>
    <row r="3" spans="1:94" x14ac:dyDescent="0.2">
      <c r="A3" s="50" t="str">
        <f>CONCATENATE("ESTABLECIMIENTO/ESTRATEGIA: ", NOMBRE!B3, " (",NOMBRE!C3,NOMBRE!D3,NOMBRE!E3,NOMBRE!F3,NOMBRE!G3,NOMBRE!H3,")")</f>
        <v>ESTABLECIMIENTO/ESTRATEGIA:  ()</v>
      </c>
    </row>
    <row r="4" spans="1:94" x14ac:dyDescent="0.2">
      <c r="A4" s="50" t="str">
        <f>CONCATENATE("MES: ",NOMBRE!B6, " (",NOMBRE!C6,NOMBRE!D6,")")</f>
        <v>MES:  ()</v>
      </c>
    </row>
    <row r="5" spans="1:94" x14ac:dyDescent="0.3">
      <c r="A5" s="4985" t="str">
        <f>CONCATENATE("AÑO: ",NOMBRE!B7)</f>
        <v>AÑO: 2025</v>
      </c>
    </row>
    <row r="6" spans="1:94" ht="18" customHeight="1" x14ac:dyDescent="0.3">
      <c r="A6" s="6115" t="s">
        <v>3962</v>
      </c>
      <c r="B6" s="6115"/>
      <c r="C6" s="6115"/>
      <c r="D6" s="6115"/>
      <c r="E6" s="6115"/>
      <c r="F6" s="6115"/>
      <c r="G6" s="6115"/>
      <c r="H6" s="6115"/>
      <c r="I6" s="6115"/>
      <c r="J6" s="6115"/>
      <c r="K6" s="6115"/>
      <c r="L6" s="6115"/>
      <c r="M6" s="6115"/>
      <c r="N6" s="6115"/>
      <c r="O6" s="6115"/>
      <c r="P6" s="6115"/>
      <c r="Q6" s="6115"/>
      <c r="R6" s="6115"/>
      <c r="S6" s="6115"/>
    </row>
    <row r="8" spans="1:94" s="160" customFormat="1" ht="18" customHeight="1" x14ac:dyDescent="0.3">
      <c r="A8" s="7610" t="s">
        <v>3963</v>
      </c>
      <c r="B8" s="7569"/>
      <c r="C8" s="7569"/>
    </row>
    <row r="9" spans="1:94" s="161" customFormat="1" ht="15" customHeight="1" x14ac:dyDescent="0.3">
      <c r="A9" s="7611" t="s">
        <v>27</v>
      </c>
      <c r="B9" s="7600" t="s">
        <v>77</v>
      </c>
      <c r="C9" s="7612" t="s">
        <v>29</v>
      </c>
      <c r="D9" s="7613"/>
      <c r="E9" s="7613"/>
      <c r="F9" s="7613"/>
      <c r="G9" s="7613"/>
      <c r="H9" s="7613"/>
      <c r="I9" s="7613"/>
      <c r="J9" s="7613"/>
      <c r="K9" s="7613"/>
      <c r="L9" s="7613"/>
      <c r="M9" s="7613"/>
      <c r="N9" s="7613"/>
      <c r="O9" s="7613"/>
      <c r="P9" s="7613"/>
      <c r="Q9" s="7613"/>
      <c r="R9" s="7613"/>
      <c r="S9" s="7614"/>
      <c r="T9" s="7594" t="s">
        <v>3964</v>
      </c>
      <c r="U9" s="7595"/>
      <c r="V9" s="7455" t="s">
        <v>1575</v>
      </c>
      <c r="W9" s="7455" t="s">
        <v>1576</v>
      </c>
      <c r="X9" s="6518" t="s">
        <v>36</v>
      </c>
      <c r="Y9" s="7567" t="s">
        <v>37</v>
      </c>
      <c r="Z9" s="7567" t="s">
        <v>3965</v>
      </c>
    </row>
    <row r="10" spans="1:94" s="161" customFormat="1" ht="39" customHeight="1" x14ac:dyDescent="0.3">
      <c r="A10" s="7611"/>
      <c r="B10" s="7602"/>
      <c r="C10" s="1313" t="s">
        <v>343</v>
      </c>
      <c r="D10" s="1238" t="s">
        <v>326</v>
      </c>
      <c r="E10" s="1135" t="s">
        <v>43</v>
      </c>
      <c r="F10" s="1238" t="s">
        <v>44</v>
      </c>
      <c r="G10" s="1007" t="s">
        <v>45</v>
      </c>
      <c r="H10" s="1007" t="s">
        <v>46</v>
      </c>
      <c r="I10" s="1007" t="s">
        <v>47</v>
      </c>
      <c r="J10" s="1007" t="s">
        <v>48</v>
      </c>
      <c r="K10" s="1007" t="s">
        <v>49</v>
      </c>
      <c r="L10" s="1007" t="s">
        <v>50</v>
      </c>
      <c r="M10" s="1007" t="s">
        <v>51</v>
      </c>
      <c r="N10" s="1007" t="s">
        <v>52</v>
      </c>
      <c r="O10" s="1007" t="s">
        <v>53</v>
      </c>
      <c r="P10" s="1007" t="s">
        <v>54</v>
      </c>
      <c r="Q10" s="1007" t="s">
        <v>55</v>
      </c>
      <c r="R10" s="1007" t="s">
        <v>56</v>
      </c>
      <c r="S10" s="1203" t="s">
        <v>57</v>
      </c>
      <c r="T10" s="1491" t="s">
        <v>58</v>
      </c>
      <c r="U10" s="1492" t="s">
        <v>59</v>
      </c>
      <c r="V10" s="6910"/>
      <c r="W10" s="6910"/>
      <c r="X10" s="6687"/>
      <c r="Y10" s="6471"/>
      <c r="Z10" s="6471"/>
    </row>
    <row r="11" spans="1:94" s="161" customFormat="1" ht="15" customHeight="1" x14ac:dyDescent="0.3">
      <c r="A11" s="1493" t="s">
        <v>64</v>
      </c>
      <c r="B11" s="406">
        <f>SUM(C11:S11)</f>
        <v>0</v>
      </c>
      <c r="C11" s="1494"/>
      <c r="D11" s="1495"/>
      <c r="E11" s="1496"/>
      <c r="F11" s="1497"/>
      <c r="G11" s="1497"/>
      <c r="H11" s="1497"/>
      <c r="I11" s="1497"/>
      <c r="J11" s="1497"/>
      <c r="K11" s="1497"/>
      <c r="L11" s="1497"/>
      <c r="M11" s="1497"/>
      <c r="N11" s="1497"/>
      <c r="O11" s="1497"/>
      <c r="P11" s="1497"/>
      <c r="Q11" s="1497"/>
      <c r="R11" s="1497"/>
      <c r="S11" s="1498"/>
      <c r="T11" s="1499"/>
      <c r="U11" s="1500"/>
      <c r="V11" s="219"/>
      <c r="W11" s="219"/>
      <c r="X11" s="1501"/>
      <c r="Y11" s="1501"/>
      <c r="Z11" s="1501"/>
      <c r="AA11" s="161" t="str">
        <f>CA11&amp;CB11&amp;CC11&amp;CD11&amp;CE11&amp;CF11</f>
        <v/>
      </c>
      <c r="CA11" s="162" t="str">
        <f>IF((T11+U11)&lt;&gt;B11," * El desglose por Sexo No puede ser distinto al Total.","")</f>
        <v/>
      </c>
      <c r="CB11" s="162" t="str">
        <f>IF(AND(B11&gt;0,V11="")," * No olvide digitar Niños, niñas, adolescentes y jóvenes en Serv. Nac. Reinserción Social Juvenil. Digite cero si no tiene.",IF(V11&gt;B11," * La variable Niños, Niñas, adolescentes y jóvenes en Serv. Nac. Reinserción Social Juvenil no puede ser mayor al Total.",""))</f>
        <v/>
      </c>
      <c r="CC11" s="162" t="str">
        <f>IF(AND(B11&gt;0,W11="")," * No olvide digitar Niños, niñas, adolescentes y Jóvenes en Serv. Nac. Protección Especializada a la Niñez y Adolescencia. Digite cero si no tiene.",IF(W11&gt;B11," * La variable Niños, Niñas, adolescentes y jóvenes enServ. Nac. Protección Especializada a la Niñez y Adolescencia no puede ser mayor al Total.",""))</f>
        <v/>
      </c>
      <c r="CD11" s="162" t="str">
        <f>IF(AND(B11&gt;0,X11="")," * No olvide digitar Pueblos Originarios. Digite cero si no tiene.",IF(X11&gt;B11," * La variable Pueblos Originarios no puede ser mayor al Total.",""))</f>
        <v/>
      </c>
      <c r="CE11" s="162" t="str">
        <f>IF(AND(B11&gt;0,Y11="")," * No olvide digitar Migrantes. Digite cero si no tiene.",IF(Y11&gt;B11," * La variable Migrantes no puede ser mayor al Total.",""))</f>
        <v/>
      </c>
      <c r="CF11" s="162" t="str">
        <f>IF(AND(B11&gt;0,Z11="")," * No olvide digitar Espacios amigables/Adolescentes. Digite cero si no tiene.",IF(Z11&gt;B11," * La variable Espacios amigables/Adolescentes no puede ser mayor al Total.",""))</f>
        <v/>
      </c>
      <c r="CK11" s="163">
        <f>IF((T11+U11)&lt;&gt;B11,1,0)</f>
        <v>0</v>
      </c>
      <c r="CL11" s="163">
        <f>IF(AND(B11&gt;0,V11=""),1,IF(V11&gt;B11,1,0))</f>
        <v>0</v>
      </c>
      <c r="CM11" s="163">
        <f>IF(AND(B11&gt;0,W11=""),1,IF(W11&gt;B11,1,0))</f>
        <v>0</v>
      </c>
      <c r="CN11" s="163">
        <f>IF(AND(B11&gt;0,X11=""),1,IF(X11&gt;B11,1,0))</f>
        <v>0</v>
      </c>
      <c r="CO11" s="163">
        <f>IF(AND(B11&gt;0,Y11=""),1,IF(Y11&gt;B11,1,0))</f>
        <v>0</v>
      </c>
      <c r="CP11" s="163">
        <f>IF(AND(B11&gt;0,Z11=""),1,IF(Z11&gt;B11,1,0))</f>
        <v>0</v>
      </c>
    </row>
    <row r="12" spans="1:94" s="161" customFormat="1" ht="15" customHeight="1" x14ac:dyDescent="0.3">
      <c r="A12" s="1493" t="s">
        <v>98</v>
      </c>
      <c r="B12" s="406">
        <f>SUM(C12:S12)</f>
        <v>0</v>
      </c>
      <c r="C12" s="1494"/>
      <c r="D12" s="1495"/>
      <c r="E12" s="1502"/>
      <c r="F12" s="1495"/>
      <c r="G12" s="1495"/>
      <c r="H12" s="1495"/>
      <c r="I12" s="1495"/>
      <c r="J12" s="1495"/>
      <c r="K12" s="1495"/>
      <c r="L12" s="1495"/>
      <c r="M12" s="1495"/>
      <c r="N12" s="1495"/>
      <c r="O12" s="1495"/>
      <c r="P12" s="1495"/>
      <c r="Q12" s="1495"/>
      <c r="R12" s="1495"/>
      <c r="S12" s="1503"/>
      <c r="T12" s="1504"/>
      <c r="U12" s="1505"/>
      <c r="V12" s="1506"/>
      <c r="W12" s="1506"/>
      <c r="X12" s="1506"/>
      <c r="Y12" s="1506"/>
      <c r="Z12" s="1506"/>
      <c r="AA12" s="161" t="str">
        <f t="shared" ref="AA12:AA14" si="0">CA12&amp;CB12&amp;CC12&amp;CD12&amp;CE12&amp;CF12</f>
        <v/>
      </c>
      <c r="CA12" s="162" t="str">
        <f t="shared" ref="CA12:CA15" si="1">IF((T12+U12)&lt;&gt;B12," * El desglose por Sexo No puede ser distinto al Total.","")</f>
        <v/>
      </c>
      <c r="CB12" s="162" t="str">
        <f t="shared" ref="CB12:CB15" si="2">IF(AND(B12&gt;0,V12="")," * No olvide digitar Niños, niñas, adolescentes y jóvenes en Serv. Nac. Reinserción Social Juvenil. Digite cero si no tiene.",IF(V12&gt;B12," * La variable Niños, Niñas, adolescentes y jóvenes en Serv. Nac. Reinserción Social Juvenil no puede ser mayor al Total.",""))</f>
        <v/>
      </c>
      <c r="CC12" s="162" t="str">
        <f t="shared" ref="CC12:CC15" si="3">IF(AND(B12&gt;0,W12="")," * No olvide digitar Niños, niñas, adolescentes y Jóvenes en Serv. Nac. Protección Especializada a la Niñez y Adolescencia. Digite cero si no tiene.",IF(W12&gt;B12," * La variable Niños, Niñas, adolescentes y jóvenes enServ. Nac. Protección Especializada a la Niñez y Adolescencia no puede ser mayor al Total.",""))</f>
        <v/>
      </c>
      <c r="CD12" s="162" t="str">
        <f t="shared" ref="CD12:CD15" si="4">IF(AND(B12&gt;0,X12="")," * No olvide digitar Pueblos Originarios. Digite cero si no tiene.",IF(X12&gt;B12," * La variable Pueblos Originarios no puede ser mayor al Total.",""))</f>
        <v/>
      </c>
      <c r="CE12" s="162" t="str">
        <f t="shared" ref="CE12:CE15" si="5">IF(AND(B12&gt;0,Y12="")," * No olvide digitar Migrantes. Digite cero si no tiene.",IF(Y12&gt;B12," * La variable Migrantes no puede ser mayor al Total.",""))</f>
        <v/>
      </c>
      <c r="CF12" s="162" t="str">
        <f t="shared" ref="CF12:CF15" si="6">IF(AND(B12&gt;0,Z12="")," * No olvide digitar Espacios amigables/Adolescentes. Digite cero si no tiene.",IF(Z12&gt;B12," * La variable Espacios amigables/Adolescentes no puede ser mayor al Total.",""))</f>
        <v/>
      </c>
      <c r="CK12" s="163">
        <f>IF((T12+U12)&lt;&gt;B12,1,0)</f>
        <v>0</v>
      </c>
      <c r="CL12" s="163">
        <f>IF(AND(B12&gt;0,V12=""),1,IF(V12&gt;B12,1,0))</f>
        <v>0</v>
      </c>
      <c r="CM12" s="163">
        <f>IF(AND(B12&gt;0,W12=""),1,IF(W12&gt;B12,1,0))</f>
        <v>0</v>
      </c>
      <c r="CN12" s="163">
        <f>IF(AND(B12&gt;0,X12=""),1,IF(X12&gt;B12,1,0))</f>
        <v>0</v>
      </c>
      <c r="CO12" s="163">
        <f>IF(AND(B12&gt;0,Y12=""),1,IF(Y12&gt;B12,1,0))</f>
        <v>0</v>
      </c>
      <c r="CP12" s="163">
        <f>IF(AND(B12&gt;0,Z12=""),1,IF(Z12&gt;B12,1,0))</f>
        <v>0</v>
      </c>
    </row>
    <row r="13" spans="1:94" s="161" customFormat="1" ht="15" customHeight="1" x14ac:dyDescent="0.3">
      <c r="A13" s="1493" t="s">
        <v>2745</v>
      </c>
      <c r="B13" s="406">
        <f>SUM(E13:S13)</f>
        <v>0</v>
      </c>
      <c r="C13" s="1507"/>
      <c r="D13" s="1508"/>
      <c r="E13" s="1502"/>
      <c r="F13" s="1495"/>
      <c r="G13" s="1495"/>
      <c r="H13" s="1495"/>
      <c r="I13" s="1495"/>
      <c r="J13" s="1495"/>
      <c r="K13" s="1495"/>
      <c r="L13" s="1495"/>
      <c r="M13" s="1495"/>
      <c r="N13" s="1495"/>
      <c r="O13" s="1495"/>
      <c r="P13" s="1495"/>
      <c r="Q13" s="1495"/>
      <c r="R13" s="1495"/>
      <c r="S13" s="1503"/>
      <c r="T13" s="1504"/>
      <c r="U13" s="1505"/>
      <c r="V13" s="1506"/>
      <c r="W13" s="1506"/>
      <c r="X13" s="1506"/>
      <c r="Y13" s="1506"/>
      <c r="Z13" s="1506"/>
      <c r="AA13" s="161" t="str">
        <f t="shared" si="0"/>
        <v/>
      </c>
      <c r="AD13" s="160"/>
      <c r="AE13" s="160"/>
      <c r="AF13" s="160"/>
      <c r="CA13" s="162" t="str">
        <f t="shared" si="1"/>
        <v/>
      </c>
      <c r="CB13" s="162" t="str">
        <f t="shared" si="2"/>
        <v/>
      </c>
      <c r="CC13" s="162" t="str">
        <f t="shared" si="3"/>
        <v/>
      </c>
      <c r="CD13" s="162" t="str">
        <f t="shared" si="4"/>
        <v/>
      </c>
      <c r="CE13" s="162" t="str">
        <f t="shared" si="5"/>
        <v/>
      </c>
      <c r="CF13" s="162" t="str">
        <f t="shared" si="6"/>
        <v/>
      </c>
      <c r="CK13" s="163">
        <f>IF((T13+U13)&lt;&gt;B13,1,0)</f>
        <v>0</v>
      </c>
      <c r="CL13" s="163">
        <f>IF(AND(B13&gt;0,V13=""),1,IF(V13&gt;B13,1,0))</f>
        <v>0</v>
      </c>
      <c r="CM13" s="163">
        <f>IF(AND(B13&gt;0,W13=""),1,IF(W13&gt;B13,1,0))</f>
        <v>0</v>
      </c>
      <c r="CN13" s="163">
        <f>IF(AND(B13&gt;0,X13=""),1,IF(X13&gt;B13,1,0))</f>
        <v>0</v>
      </c>
      <c r="CO13" s="163">
        <f>IF(AND(B13&gt;0,Y13=""),1,IF(Y13&gt;B13,1,0))</f>
        <v>0</v>
      </c>
      <c r="CP13" s="163">
        <f>IF(AND(B13&gt;0,Z13=""),1,IF(Z13&gt;B13,1,0))</f>
        <v>0</v>
      </c>
    </row>
    <row r="14" spans="1:94" s="161" customFormat="1" ht="15" customHeight="1" x14ac:dyDescent="0.3">
      <c r="A14" s="1493" t="s">
        <v>105</v>
      </c>
      <c r="B14" s="406">
        <f>SUM(C14:S14)</f>
        <v>0</v>
      </c>
      <c r="C14" s="1494"/>
      <c r="D14" s="1495"/>
      <c r="E14" s="1502"/>
      <c r="F14" s="1495"/>
      <c r="G14" s="1495"/>
      <c r="H14" s="1495"/>
      <c r="I14" s="1495"/>
      <c r="J14" s="1495"/>
      <c r="K14" s="1495"/>
      <c r="L14" s="1495"/>
      <c r="M14" s="1495"/>
      <c r="N14" s="1495"/>
      <c r="O14" s="1495"/>
      <c r="P14" s="1495"/>
      <c r="Q14" s="1495"/>
      <c r="R14" s="1495"/>
      <c r="S14" s="1503"/>
      <c r="T14" s="1504"/>
      <c r="U14" s="1505"/>
      <c r="V14" s="1506"/>
      <c r="W14" s="1506"/>
      <c r="X14" s="1506"/>
      <c r="Y14" s="1506"/>
      <c r="Z14" s="1506"/>
      <c r="AA14" s="161" t="str">
        <f t="shared" si="0"/>
        <v/>
      </c>
      <c r="CA14" s="162" t="str">
        <f t="shared" si="1"/>
        <v/>
      </c>
      <c r="CB14" s="162" t="str">
        <f t="shared" si="2"/>
        <v/>
      </c>
      <c r="CC14" s="162" t="str">
        <f t="shared" si="3"/>
        <v/>
      </c>
      <c r="CD14" s="162" t="str">
        <f t="shared" si="4"/>
        <v/>
      </c>
      <c r="CE14" s="162" t="str">
        <f t="shared" si="5"/>
        <v/>
      </c>
      <c r="CF14" s="162" t="str">
        <f t="shared" si="6"/>
        <v/>
      </c>
      <c r="CK14" s="163">
        <f>IF((T14+U14)&lt;&gt;B14,1,0)</f>
        <v>0</v>
      </c>
      <c r="CL14" s="163">
        <f>IF(AND(B14&gt;0,V14=""),1,IF(V14&gt;B14,1,0))</f>
        <v>0</v>
      </c>
      <c r="CM14" s="163">
        <f>IF(AND(B14&gt;0,W14=""),1,IF(W14&gt;B14,1,0))</f>
        <v>0</v>
      </c>
      <c r="CN14" s="163">
        <f>IF(AND(B14&gt;0,X14=""),1,IF(X14&gt;B14,1,0))</f>
        <v>0</v>
      </c>
      <c r="CO14" s="163">
        <f>IF(AND(B14&gt;0,Y14=""),1,IF(Y14&gt;B14,1,0))</f>
        <v>0</v>
      </c>
      <c r="CP14" s="163">
        <f>IF(AND(B14&gt;0,Z14=""),1,IF(Z14&gt;B14,1,0))</f>
        <v>0</v>
      </c>
    </row>
    <row r="15" spans="1:94" s="161" customFormat="1" ht="15" customHeight="1" x14ac:dyDescent="0.3">
      <c r="A15" s="1493" t="s">
        <v>1075</v>
      </c>
      <c r="B15" s="406">
        <f>SUM(C15:S15)</f>
        <v>0</v>
      </c>
      <c r="C15" s="1494"/>
      <c r="D15" s="1495"/>
      <c r="E15" s="1502"/>
      <c r="F15" s="1495"/>
      <c r="G15" s="1495"/>
      <c r="H15" s="1495"/>
      <c r="I15" s="1495"/>
      <c r="J15" s="1495"/>
      <c r="K15" s="1495"/>
      <c r="L15" s="1495"/>
      <c r="M15" s="1495"/>
      <c r="N15" s="1495"/>
      <c r="O15" s="1495"/>
      <c r="P15" s="1495"/>
      <c r="Q15" s="1495"/>
      <c r="R15" s="1495"/>
      <c r="S15" s="1503"/>
      <c r="T15" s="1504"/>
      <c r="U15" s="1505"/>
      <c r="V15" s="1506"/>
      <c r="W15" s="1506"/>
      <c r="X15" s="1506"/>
      <c r="Y15" s="1506"/>
      <c r="Z15" s="1506"/>
      <c r="AA15" s="161" t="str">
        <f>CA15&amp;CB15&amp;CC15&amp;CD15&amp;CE15&amp;CF15</f>
        <v/>
      </c>
      <c r="AD15" s="160"/>
      <c r="AE15" s="160"/>
      <c r="AF15" s="160"/>
      <c r="CA15" s="162" t="str">
        <f t="shared" si="1"/>
        <v/>
      </c>
      <c r="CB15" s="162" t="str">
        <f t="shared" si="2"/>
        <v/>
      </c>
      <c r="CC15" s="162" t="str">
        <f t="shared" si="3"/>
        <v/>
      </c>
      <c r="CD15" s="162" t="str">
        <f t="shared" si="4"/>
        <v/>
      </c>
      <c r="CE15" s="162" t="str">
        <f t="shared" si="5"/>
        <v/>
      </c>
      <c r="CF15" s="162" t="str">
        <f t="shared" si="6"/>
        <v/>
      </c>
      <c r="CK15" s="163">
        <f>IF((T15+U15)&lt;&gt;B15,1,0)</f>
        <v>0</v>
      </c>
      <c r="CL15" s="163">
        <f>IF(AND(B15&gt;0,V15=""),1,IF(V15&gt;B15,1,0))</f>
        <v>0</v>
      </c>
      <c r="CM15" s="163">
        <f>IF(AND(B15&gt;0,W15=""),1,IF(W15&gt;B15,1,0))</f>
        <v>0</v>
      </c>
      <c r="CN15" s="163">
        <f>IF(AND(B15&gt;0,X15=""),1,IF(X15&gt;B15,1,0))</f>
        <v>0</v>
      </c>
      <c r="CO15" s="163">
        <f>IF(AND(B15&gt;0,Y15=""),1,IF(Y15&gt;B15,1,0))</f>
        <v>0</v>
      </c>
      <c r="CP15" s="163">
        <f>IF(AND(B15&gt;0,Z15=""),1,IF(Z15&gt;B15,1,0))</f>
        <v>0</v>
      </c>
    </row>
    <row r="16" spans="1:94" s="161" customFormat="1" ht="15" customHeight="1" x14ac:dyDescent="0.3">
      <c r="A16" s="1509" t="s">
        <v>192</v>
      </c>
      <c r="B16" s="1510">
        <f>SUM(C16:S16)</f>
        <v>0</v>
      </c>
      <c r="C16" s="1511">
        <f t="shared" ref="C16:Z16" si="7">SUM(C11:C15)</f>
        <v>0</v>
      </c>
      <c r="D16" s="1512">
        <f t="shared" si="7"/>
        <v>0</v>
      </c>
      <c r="E16" s="1512">
        <f t="shared" si="7"/>
        <v>0</v>
      </c>
      <c r="F16" s="1513">
        <f t="shared" si="7"/>
        <v>0</v>
      </c>
      <c r="G16" s="1513">
        <f t="shared" si="7"/>
        <v>0</v>
      </c>
      <c r="H16" s="1513">
        <f t="shared" si="7"/>
        <v>0</v>
      </c>
      <c r="I16" s="1513">
        <f t="shared" si="7"/>
        <v>0</v>
      </c>
      <c r="J16" s="1513">
        <f t="shared" si="7"/>
        <v>0</v>
      </c>
      <c r="K16" s="1513">
        <f t="shared" si="7"/>
        <v>0</v>
      </c>
      <c r="L16" s="1513">
        <f t="shared" si="7"/>
        <v>0</v>
      </c>
      <c r="M16" s="1513">
        <f t="shared" si="7"/>
        <v>0</v>
      </c>
      <c r="N16" s="1513">
        <f t="shared" si="7"/>
        <v>0</v>
      </c>
      <c r="O16" s="1513">
        <f t="shared" si="7"/>
        <v>0</v>
      </c>
      <c r="P16" s="1513">
        <f t="shared" si="7"/>
        <v>0</v>
      </c>
      <c r="Q16" s="1513">
        <f t="shared" si="7"/>
        <v>0</v>
      </c>
      <c r="R16" s="1513">
        <f t="shared" si="7"/>
        <v>0</v>
      </c>
      <c r="S16" s="1514">
        <f t="shared" si="7"/>
        <v>0</v>
      </c>
      <c r="T16" s="1510">
        <f t="shared" si="7"/>
        <v>0</v>
      </c>
      <c r="U16" s="1515">
        <f t="shared" si="7"/>
        <v>0</v>
      </c>
      <c r="V16" s="1516">
        <f t="shared" si="7"/>
        <v>0</v>
      </c>
      <c r="W16" s="1516">
        <f t="shared" si="7"/>
        <v>0</v>
      </c>
      <c r="X16" s="1516">
        <f t="shared" si="7"/>
        <v>0</v>
      </c>
      <c r="Y16" s="1516">
        <f t="shared" si="7"/>
        <v>0</v>
      </c>
      <c r="Z16" s="1516">
        <f t="shared" si="7"/>
        <v>0</v>
      </c>
    </row>
    <row r="17" spans="1:91" s="160" customFormat="1" ht="17.100000000000001" customHeight="1" x14ac:dyDescent="0.3">
      <c r="A17" s="7615" t="s">
        <v>4401</v>
      </c>
      <c r="B17" s="7574"/>
      <c r="C17" s="7574"/>
      <c r="D17" s="7574"/>
      <c r="E17" s="5258"/>
      <c r="F17" s="5259"/>
      <c r="G17" s="5259"/>
      <c r="H17" s="5259"/>
      <c r="I17" s="5259"/>
      <c r="J17" s="5259"/>
      <c r="K17" s="5259"/>
      <c r="L17" s="5259"/>
    </row>
    <row r="18" spans="1:91" s="161" customFormat="1" ht="31.5" customHeight="1" x14ac:dyDescent="0.3">
      <c r="A18" s="5260" t="s">
        <v>1592</v>
      </c>
      <c r="B18" s="5261" t="s">
        <v>77</v>
      </c>
      <c r="C18" s="1517" t="s">
        <v>64</v>
      </c>
      <c r="D18" s="1518" t="s">
        <v>3966</v>
      </c>
      <c r="E18" s="1519" t="s">
        <v>3298</v>
      </c>
      <c r="F18" s="164"/>
      <c r="G18" s="164"/>
      <c r="H18" s="164"/>
      <c r="I18" s="164"/>
      <c r="J18" s="164"/>
      <c r="K18" s="164"/>
      <c r="L18" s="164"/>
    </row>
    <row r="19" spans="1:91" s="161" customFormat="1" ht="15" customHeight="1" x14ac:dyDescent="0.3">
      <c r="A19" s="5262" t="s">
        <v>3967</v>
      </c>
      <c r="B19" s="5263">
        <f>SUM(C19:E19)</f>
        <v>0</v>
      </c>
      <c r="C19" s="5264"/>
      <c r="D19" s="5265"/>
      <c r="E19" s="5266"/>
      <c r="F19" s="164"/>
      <c r="G19" s="164"/>
      <c r="H19" s="164"/>
      <c r="I19" s="164"/>
      <c r="J19" s="164"/>
      <c r="K19" s="164"/>
      <c r="L19" s="164"/>
      <c r="BU19" s="164"/>
      <c r="BV19" s="164"/>
      <c r="BW19" s="164"/>
      <c r="BX19" s="164"/>
    </row>
    <row r="20" spans="1:91" s="161" customFormat="1" ht="15" customHeight="1" x14ac:dyDescent="0.3">
      <c r="A20" s="1493" t="s">
        <v>3968</v>
      </c>
      <c r="B20" s="5267">
        <f t="shared" ref="B20:B23" si="8">SUM(C20:E20)</f>
        <v>0</v>
      </c>
      <c r="C20" s="5268"/>
      <c r="D20" s="5269"/>
      <c r="E20" s="5270"/>
      <c r="F20" s="164"/>
      <c r="G20" s="164"/>
      <c r="H20" s="164"/>
      <c r="I20" s="164"/>
      <c r="J20" s="164"/>
      <c r="K20" s="164"/>
      <c r="L20" s="164"/>
      <c r="BU20" s="164"/>
      <c r="BV20" s="164"/>
      <c r="BW20" s="164"/>
      <c r="BX20" s="164"/>
      <c r="BY20" s="164"/>
      <c r="BZ20" s="164"/>
      <c r="CA20" s="164"/>
      <c r="CB20" s="164"/>
      <c r="CF20" s="164"/>
      <c r="CG20" s="164"/>
      <c r="CH20" s="164"/>
    </row>
    <row r="21" spans="1:91" s="161" customFormat="1" ht="15" customHeight="1" x14ac:dyDescent="0.3">
      <c r="A21" s="1493" t="s">
        <v>3969</v>
      </c>
      <c r="B21" s="5267">
        <f t="shared" si="8"/>
        <v>0</v>
      </c>
      <c r="C21" s="5268"/>
      <c r="D21" s="5269"/>
      <c r="E21" s="5270"/>
      <c r="F21" s="164"/>
      <c r="G21" s="164"/>
      <c r="H21" s="164"/>
      <c r="I21" s="164"/>
      <c r="J21" s="164"/>
      <c r="K21" s="164"/>
      <c r="L21" s="164"/>
      <c r="BU21" s="164"/>
      <c r="BV21" s="164"/>
      <c r="BW21" s="164"/>
      <c r="BX21" s="164"/>
      <c r="BY21" s="164"/>
      <c r="BZ21" s="164"/>
      <c r="CA21" s="164"/>
      <c r="CB21" s="164"/>
      <c r="CF21" s="164"/>
      <c r="CG21" s="164"/>
      <c r="CH21" s="164"/>
    </row>
    <row r="22" spans="1:91" s="161" customFormat="1" ht="15" customHeight="1" x14ac:dyDescent="0.3">
      <c r="A22" s="5271" t="s">
        <v>3970</v>
      </c>
      <c r="B22" s="5267">
        <f t="shared" si="8"/>
        <v>0</v>
      </c>
      <c r="C22" s="5268"/>
      <c r="D22" s="5269"/>
      <c r="E22" s="5270"/>
      <c r="G22" s="164"/>
      <c r="H22" s="164"/>
      <c r="I22" s="164"/>
      <c r="J22" s="164"/>
      <c r="K22" s="164"/>
      <c r="L22" s="164"/>
      <c r="BU22" s="164"/>
      <c r="BV22" s="164"/>
      <c r="BW22" s="164"/>
      <c r="BX22" s="164"/>
      <c r="BY22" s="164"/>
      <c r="BZ22" s="164"/>
      <c r="CA22" s="164"/>
      <c r="CB22" s="164"/>
      <c r="CF22" s="164"/>
      <c r="CG22" s="164"/>
      <c r="CH22" s="164"/>
    </row>
    <row r="23" spans="1:91" s="161" customFormat="1" ht="15" customHeight="1" x14ac:dyDescent="0.3">
      <c r="A23" s="5272" t="s">
        <v>3971</v>
      </c>
      <c r="B23" s="5273">
        <f t="shared" si="8"/>
        <v>0</v>
      </c>
      <c r="C23" s="5274"/>
      <c r="D23" s="5275"/>
      <c r="E23" s="5276"/>
      <c r="F23" s="164"/>
      <c r="G23" s="164"/>
      <c r="H23" s="164"/>
      <c r="I23" s="164"/>
      <c r="J23" s="164"/>
      <c r="K23" s="164"/>
      <c r="L23" s="164"/>
      <c r="BU23" s="164"/>
      <c r="BV23" s="164"/>
      <c r="BW23" s="164"/>
      <c r="BX23" s="164"/>
      <c r="BY23" s="164"/>
      <c r="BZ23" s="164"/>
      <c r="CA23" s="164"/>
      <c r="CB23" s="164"/>
      <c r="CF23" s="164"/>
      <c r="CG23" s="164"/>
      <c r="CH23" s="164"/>
    </row>
    <row r="24" spans="1:91" s="161" customFormat="1" ht="15" customHeight="1" x14ac:dyDescent="0.3">
      <c r="A24" s="5277" t="s">
        <v>77</v>
      </c>
      <c r="B24" s="5278">
        <f>SUM(B19:B23)</f>
        <v>0</v>
      </c>
      <c r="C24" s="5279">
        <f>SUM(C19:C23)</f>
        <v>0</v>
      </c>
      <c r="D24" s="5280">
        <f t="shared" ref="D24:E24" si="9">SUM(D19:D23)</f>
        <v>0</v>
      </c>
      <c r="E24" s="5281">
        <f t="shared" si="9"/>
        <v>0</v>
      </c>
      <c r="F24" s="164"/>
      <c r="G24" s="164"/>
      <c r="H24" s="164"/>
      <c r="I24" s="164"/>
      <c r="J24" s="164"/>
      <c r="K24" s="164"/>
      <c r="L24" s="164"/>
      <c r="BU24" s="164"/>
      <c r="BV24" s="164"/>
      <c r="BW24" s="164"/>
      <c r="BX24" s="164"/>
    </row>
    <row r="25" spans="1:91" s="160" customFormat="1" ht="17.100000000000001" customHeight="1" x14ac:dyDescent="0.3">
      <c r="A25" s="7610" t="s">
        <v>3972</v>
      </c>
      <c r="B25" s="7569"/>
      <c r="C25" s="7569"/>
      <c r="D25" s="7569"/>
      <c r="E25" s="7569"/>
      <c r="F25" s="7569"/>
      <c r="G25" s="7569"/>
      <c r="H25" s="7569"/>
      <c r="I25" s="7569"/>
      <c r="J25" s="7569"/>
      <c r="K25" s="7569"/>
      <c r="L25" s="7569"/>
    </row>
    <row r="26" spans="1:91" ht="25.5" customHeight="1" x14ac:dyDescent="0.3">
      <c r="A26" s="7600" t="s">
        <v>3973</v>
      </c>
      <c r="B26" s="7600" t="s">
        <v>77</v>
      </c>
      <c r="C26" s="7303" t="s">
        <v>29</v>
      </c>
      <c r="D26" s="7570"/>
      <c r="E26" s="7570"/>
      <c r="F26" s="7570"/>
      <c r="G26" s="7570"/>
      <c r="H26" s="7570"/>
      <c r="I26" s="7570"/>
      <c r="J26" s="7570"/>
      <c r="K26" s="7570"/>
      <c r="L26" s="7570"/>
      <c r="M26" s="7570"/>
      <c r="N26" s="7570"/>
      <c r="O26" s="7570"/>
      <c r="P26" s="7570"/>
      <c r="Q26" s="7570"/>
      <c r="R26" s="7570"/>
      <c r="S26" s="7571"/>
      <c r="T26" s="7594" t="s">
        <v>2409</v>
      </c>
      <c r="U26" s="7595"/>
      <c r="V26" s="7568" t="s">
        <v>36</v>
      </c>
      <c r="W26" s="7567" t="s">
        <v>37</v>
      </c>
      <c r="X26" s="6989" t="s">
        <v>3974</v>
      </c>
      <c r="Y26" s="7489"/>
      <c r="Z26" s="165"/>
      <c r="AA26" s="165"/>
      <c r="AB26" s="165"/>
      <c r="AC26" s="165"/>
      <c r="AD26" s="165"/>
      <c r="AE26" s="165"/>
      <c r="AF26" s="165"/>
      <c r="AG26" s="165"/>
      <c r="AH26" s="165"/>
      <c r="AI26" s="165"/>
      <c r="AJ26" s="165"/>
      <c r="AK26" s="165"/>
      <c r="AL26" s="165"/>
      <c r="AM26" s="165"/>
      <c r="AN26" s="165"/>
      <c r="AO26" s="165"/>
      <c r="AP26" s="165"/>
      <c r="AQ26" s="165"/>
      <c r="AR26" s="165"/>
      <c r="AS26" s="165"/>
      <c r="AT26" s="165"/>
      <c r="AU26" s="165"/>
      <c r="AV26" s="165"/>
      <c r="AW26" s="165"/>
      <c r="AX26" s="165"/>
      <c r="AY26" s="165"/>
      <c r="AZ26" s="165"/>
      <c r="BA26" s="165"/>
      <c r="BB26" s="165"/>
      <c r="BC26" s="165"/>
      <c r="BD26" s="165"/>
      <c r="BE26" s="165"/>
      <c r="BF26" s="165"/>
      <c r="BG26" s="165"/>
      <c r="BH26" s="165"/>
      <c r="BI26" s="165"/>
      <c r="BJ26" s="165"/>
      <c r="BK26" s="165"/>
      <c r="BL26" s="165"/>
      <c r="BM26" s="165"/>
      <c r="BN26" s="165"/>
      <c r="BO26" s="165"/>
      <c r="BP26" s="165"/>
      <c r="BQ26" s="165"/>
      <c r="BR26" s="165"/>
      <c r="BS26" s="165"/>
      <c r="BT26" s="165"/>
      <c r="BU26" s="165"/>
      <c r="BV26" s="165"/>
      <c r="BW26" s="165"/>
      <c r="BX26" s="165"/>
      <c r="BY26" s="165"/>
      <c r="BZ26" s="165"/>
      <c r="CA26" s="161"/>
      <c r="CB26" s="161"/>
      <c r="CC26" s="161"/>
      <c r="CD26" s="161"/>
      <c r="CE26" s="161"/>
      <c r="CF26" s="161"/>
      <c r="CG26" s="161"/>
      <c r="CH26" s="161"/>
      <c r="CI26" s="161"/>
      <c r="CJ26" s="161"/>
      <c r="CK26" s="161"/>
      <c r="CL26" s="161"/>
      <c r="CM26" s="161"/>
    </row>
    <row r="27" spans="1:91" ht="25.5" customHeight="1" x14ac:dyDescent="0.3">
      <c r="A27" s="7602"/>
      <c r="B27" s="7602"/>
      <c r="C27" s="1313" t="s">
        <v>343</v>
      </c>
      <c r="D27" s="1238" t="s">
        <v>326</v>
      </c>
      <c r="E27" s="1135" t="s">
        <v>43</v>
      </c>
      <c r="F27" s="1238" t="s">
        <v>44</v>
      </c>
      <c r="G27" s="1007" t="s">
        <v>45</v>
      </c>
      <c r="H27" s="1007" t="s">
        <v>46</v>
      </c>
      <c r="I27" s="1007" t="s">
        <v>47</v>
      </c>
      <c r="J27" s="1007" t="s">
        <v>48</v>
      </c>
      <c r="K27" s="1007" t="s">
        <v>49</v>
      </c>
      <c r="L27" s="1007" t="s">
        <v>50</v>
      </c>
      <c r="M27" s="1007" t="s">
        <v>51</v>
      </c>
      <c r="N27" s="1007" t="s">
        <v>52</v>
      </c>
      <c r="O27" s="1007" t="s">
        <v>53</v>
      </c>
      <c r="P27" s="1007" t="s">
        <v>54</v>
      </c>
      <c r="Q27" s="1007" t="s">
        <v>55</v>
      </c>
      <c r="R27" s="1007" t="s">
        <v>56</v>
      </c>
      <c r="S27" s="1203" t="s">
        <v>57</v>
      </c>
      <c r="T27" s="1520" t="s">
        <v>58</v>
      </c>
      <c r="U27" s="1492" t="s">
        <v>59</v>
      </c>
      <c r="V27" s="6669"/>
      <c r="W27" s="6471"/>
      <c r="X27" s="5282" t="s">
        <v>3975</v>
      </c>
      <c r="Y27" s="1829" t="s">
        <v>3976</v>
      </c>
      <c r="Z27" s="165"/>
      <c r="AA27" s="165"/>
      <c r="AB27" s="165"/>
      <c r="AC27" s="165"/>
      <c r="AD27" s="165"/>
      <c r="AE27" s="165"/>
      <c r="AF27" s="165"/>
      <c r="AG27" s="165"/>
      <c r="AH27" s="165"/>
      <c r="AI27" s="165"/>
      <c r="AJ27" s="165"/>
      <c r="AK27" s="165"/>
      <c r="AL27" s="165"/>
      <c r="AM27" s="165"/>
      <c r="AN27" s="165"/>
      <c r="AO27" s="165"/>
      <c r="AP27" s="165"/>
      <c r="AQ27" s="165"/>
      <c r="AR27" s="165"/>
      <c r="AS27" s="165"/>
      <c r="AT27" s="165"/>
      <c r="AU27" s="165"/>
      <c r="AV27" s="165"/>
      <c r="AW27" s="165"/>
      <c r="AX27" s="165"/>
      <c r="AY27" s="165"/>
      <c r="AZ27" s="165"/>
      <c r="BA27" s="165"/>
      <c r="BB27" s="165"/>
      <c r="BC27" s="165"/>
      <c r="BD27" s="165"/>
      <c r="BE27" s="165"/>
      <c r="BF27" s="165"/>
      <c r="BG27" s="165"/>
      <c r="BH27" s="165"/>
      <c r="BI27" s="165"/>
      <c r="BJ27" s="165"/>
      <c r="BK27" s="165"/>
      <c r="BL27" s="165"/>
      <c r="BM27" s="165"/>
      <c r="BN27" s="165"/>
      <c r="BO27" s="165"/>
      <c r="BP27" s="165"/>
      <c r="BQ27" s="165"/>
      <c r="BR27" s="165"/>
      <c r="BS27" s="165"/>
      <c r="BT27" s="165"/>
      <c r="BU27" s="165"/>
      <c r="BV27" s="165"/>
      <c r="BW27" s="165"/>
      <c r="BX27" s="165"/>
      <c r="BY27" s="165"/>
      <c r="BZ27" s="165"/>
      <c r="CA27" s="166"/>
      <c r="CB27" s="166"/>
      <c r="CC27" s="166"/>
      <c r="CD27" s="161"/>
      <c r="CE27" s="166"/>
      <c r="CF27" s="161"/>
      <c r="CG27" s="161"/>
      <c r="CH27" s="161"/>
      <c r="CI27" s="161"/>
      <c r="CJ27" s="161"/>
      <c r="CK27" s="53"/>
      <c r="CL27" s="166"/>
      <c r="CM27" s="166"/>
    </row>
    <row r="28" spans="1:91" x14ac:dyDescent="0.3">
      <c r="A28" s="1521" t="s">
        <v>3977</v>
      </c>
      <c r="B28" s="1522">
        <f>SUM(C28:S28)</f>
        <v>0</v>
      </c>
      <c r="C28" s="1523"/>
      <c r="D28" s="1497"/>
      <c r="E28" s="1497"/>
      <c r="F28" s="1497"/>
      <c r="G28" s="1497"/>
      <c r="H28" s="1497"/>
      <c r="I28" s="1497"/>
      <c r="J28" s="1497"/>
      <c r="K28" s="1497"/>
      <c r="L28" s="1497"/>
      <c r="M28" s="1497"/>
      <c r="N28" s="1497"/>
      <c r="O28" s="1497"/>
      <c r="P28" s="1497"/>
      <c r="Q28" s="1497"/>
      <c r="R28" s="1497"/>
      <c r="S28" s="1498"/>
      <c r="T28" s="1523"/>
      <c r="U28" s="1500"/>
      <c r="V28" s="1501"/>
      <c r="W28" s="1499"/>
      <c r="X28" s="1523"/>
      <c r="Y28" s="1501"/>
      <c r="Z28" s="161" t="str">
        <f>CA28&amp;CB28&amp;CC28</f>
        <v/>
      </c>
      <c r="AA28" s="165"/>
      <c r="AB28" s="165"/>
      <c r="AC28" s="165"/>
      <c r="AD28" s="165"/>
      <c r="AE28" s="165"/>
      <c r="AF28" s="165"/>
      <c r="AG28" s="165"/>
      <c r="AH28" s="165"/>
      <c r="AI28" s="165"/>
      <c r="AJ28" s="165"/>
      <c r="AK28" s="165"/>
      <c r="AL28" s="165"/>
      <c r="AM28" s="165"/>
      <c r="AN28" s="165"/>
      <c r="AO28" s="165"/>
      <c r="AP28" s="165"/>
      <c r="AQ28" s="165"/>
      <c r="AR28" s="165"/>
      <c r="AS28" s="165"/>
      <c r="AT28" s="165"/>
      <c r="AU28" s="165"/>
      <c r="AV28" s="165"/>
      <c r="AW28" s="165"/>
      <c r="AX28" s="165"/>
      <c r="AY28" s="165"/>
      <c r="AZ28" s="165"/>
      <c r="BA28" s="165"/>
      <c r="BB28" s="165"/>
      <c r="BC28" s="165"/>
      <c r="BD28" s="165"/>
      <c r="BE28" s="165"/>
      <c r="BF28" s="165"/>
      <c r="BG28" s="165"/>
      <c r="BH28" s="165"/>
      <c r="BI28" s="165"/>
      <c r="BJ28" s="165"/>
      <c r="BK28" s="165"/>
      <c r="BL28" s="165"/>
      <c r="BM28" s="165"/>
      <c r="BN28" s="165"/>
      <c r="BO28" s="165"/>
      <c r="BP28" s="165"/>
      <c r="BQ28" s="165"/>
      <c r="BR28" s="165"/>
      <c r="BS28" s="165"/>
      <c r="BT28" s="165"/>
      <c r="BU28" s="165"/>
      <c r="BV28" s="165"/>
      <c r="BW28" s="165"/>
      <c r="BX28" s="165"/>
      <c r="BY28" s="165"/>
      <c r="BZ28" s="165"/>
      <c r="CA28" s="162" t="str">
        <f>IF(AND($B28&gt;0,V28=""),"No olvide digitar Pueblos Originarios, digite cero si no tiene. ",IF(V28&gt;$B28," * La variable Pueblos Originarios no puede ser mayor al Total. ",""))</f>
        <v/>
      </c>
      <c r="CB28" s="162" t="str">
        <f>IF(AND($B28&gt;0,W28=""),"No olvide digitar Migrantes, digite cero si no tiene. ",IF(W28&gt;$B28," * La variable Migrantes no puede ser mayor al Total. ",""))</f>
        <v/>
      </c>
      <c r="CC28" s="162" t="str">
        <f>IF((X28+Y28)&lt;&gt;B28," *El desglose de Videollamada + Llamada Telefónica debe ser igual al Total.","")</f>
        <v/>
      </c>
      <c r="CD28" s="161"/>
      <c r="CE28" s="167"/>
      <c r="CF28" s="161"/>
      <c r="CG28" s="161"/>
      <c r="CH28" s="161"/>
      <c r="CI28" s="161"/>
      <c r="CJ28" s="161"/>
      <c r="CK28" s="163">
        <f>IF(AND(V28&gt;0,$B28=""),1,IF(V28&gt;$B28,1,0))</f>
        <v>0</v>
      </c>
      <c r="CL28" s="163">
        <f>IF(AND(W28&gt;0,$B28=""),1,IF(W28&gt;$B28,1,0))</f>
        <v>0</v>
      </c>
      <c r="CM28" s="168">
        <f>IF((X28+Y28)&lt;&gt;B28,1,0)</f>
        <v>0</v>
      </c>
    </row>
    <row r="29" spans="1:91" x14ac:dyDescent="0.3">
      <c r="A29" s="5283" t="s">
        <v>3978</v>
      </c>
      <c r="B29" s="1524">
        <f>SUM(C29:S29)</f>
        <v>0</v>
      </c>
      <c r="C29" s="1525"/>
      <c r="D29" s="267"/>
      <c r="E29" s="267"/>
      <c r="F29" s="267"/>
      <c r="G29" s="267"/>
      <c r="H29" s="267"/>
      <c r="I29" s="267"/>
      <c r="J29" s="267"/>
      <c r="K29" s="267"/>
      <c r="L29" s="267"/>
      <c r="M29" s="267"/>
      <c r="N29" s="267"/>
      <c r="O29" s="267"/>
      <c r="P29" s="267"/>
      <c r="Q29" s="267"/>
      <c r="R29" s="267"/>
      <c r="S29" s="268"/>
      <c r="T29" s="1525"/>
      <c r="U29" s="1526"/>
      <c r="V29" s="1527"/>
      <c r="W29" s="1528"/>
      <c r="X29" s="1525"/>
      <c r="Y29" s="1527"/>
      <c r="Z29" s="161" t="str">
        <f>CA29&amp;CB29&amp;CC29</f>
        <v/>
      </c>
      <c r="AA29" s="165"/>
      <c r="AB29" s="165"/>
      <c r="AC29" s="165"/>
      <c r="AD29" s="165"/>
      <c r="AE29" s="165"/>
      <c r="AF29" s="165"/>
      <c r="AG29" s="165"/>
      <c r="AH29" s="165"/>
      <c r="AI29" s="165"/>
      <c r="AJ29" s="165"/>
      <c r="AK29" s="165"/>
      <c r="AL29" s="165"/>
      <c r="AM29" s="165"/>
      <c r="AN29" s="165"/>
      <c r="AO29" s="165"/>
      <c r="AP29" s="165"/>
      <c r="AQ29" s="165"/>
      <c r="AR29" s="165"/>
      <c r="AS29" s="165"/>
      <c r="AT29" s="165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5"/>
      <c r="BJ29" s="165"/>
      <c r="BK29" s="165"/>
      <c r="BL29" s="165"/>
      <c r="BM29" s="165"/>
      <c r="BN29" s="165"/>
      <c r="BO29" s="165"/>
      <c r="BP29" s="165"/>
      <c r="BQ29" s="165"/>
      <c r="BR29" s="165"/>
      <c r="BS29" s="165"/>
      <c r="BT29" s="165"/>
      <c r="BU29" s="165"/>
      <c r="BV29" s="165"/>
      <c r="BW29" s="165"/>
      <c r="BX29" s="165"/>
      <c r="BY29" s="165"/>
      <c r="BZ29" s="165"/>
      <c r="CA29" s="162" t="str">
        <f>IF(AND($B29&gt;0,V29=""),"No olvide digitar pueblos originarios, digite cero si no tiene. ",IF(V29&gt;$B29," * La variable Pueblos originarios no puede ser mayor al Total. ",""))</f>
        <v/>
      </c>
      <c r="CB29" s="162" t="str">
        <f>IF(AND($B29&gt;0,W29=""),"No olvide digitar Migrantes, digite cero si no tiene. ",IF(W29&gt;$B29," * La variable Migrantes no puede ser mayor al Total. ",""))</f>
        <v/>
      </c>
      <c r="CC29" s="162" t="str">
        <f>IF((X29+Y29)&lt;&gt;B29," *El desglose de Videollamada + Llamada Telefónica debe ser igual al Total.","")</f>
        <v/>
      </c>
      <c r="CD29" s="161"/>
      <c r="CE29" s="167"/>
      <c r="CF29" s="161"/>
      <c r="CG29" s="161"/>
      <c r="CH29" s="161"/>
      <c r="CI29" s="161"/>
      <c r="CJ29" s="161"/>
      <c r="CK29" s="163">
        <f>IF(AND(V29&gt;0,$B29=""),1,IF(V29&gt;$B29,1,0))</f>
        <v>0</v>
      </c>
      <c r="CL29" s="163">
        <f>IF(AND(W29&gt;0,$B29=""),1,IF(W29&gt;$B29,1,0))</f>
        <v>0</v>
      </c>
      <c r="CM29" s="168">
        <f>IF((X29+Y29)&lt;&gt;B29,1,0)</f>
        <v>0</v>
      </c>
    </row>
    <row r="30" spans="1:91" s="160" customFormat="1" ht="17.100000000000001" customHeight="1" x14ac:dyDescent="0.3">
      <c r="A30" s="7596" t="s">
        <v>3979</v>
      </c>
      <c r="B30" s="7596"/>
      <c r="C30" s="7596"/>
      <c r="D30" s="7596"/>
      <c r="E30" s="7596"/>
      <c r="F30" s="7596"/>
      <c r="G30" s="7596"/>
      <c r="H30" s="7596"/>
      <c r="I30" s="7596"/>
      <c r="J30" s="7596"/>
      <c r="K30" s="7596"/>
      <c r="L30" s="7596"/>
    </row>
    <row r="31" spans="1:91" s="160" customFormat="1" ht="17.100000000000001" customHeight="1" x14ac:dyDescent="0.3">
      <c r="A31" s="7569" t="s">
        <v>3980</v>
      </c>
      <c r="B31" s="7569"/>
      <c r="C31" s="7569"/>
      <c r="D31" s="7569"/>
      <c r="E31" s="7569"/>
      <c r="F31" s="7569"/>
      <c r="G31" s="7569"/>
      <c r="H31" s="7569"/>
      <c r="I31" s="7569"/>
      <c r="J31" s="7569"/>
      <c r="K31" s="7569"/>
      <c r="L31" s="7569"/>
    </row>
    <row r="32" spans="1:91" s="161" customFormat="1" ht="15" customHeight="1" x14ac:dyDescent="0.3">
      <c r="A32" s="7403" t="s">
        <v>3981</v>
      </c>
      <c r="B32" s="7600" t="s">
        <v>77</v>
      </c>
      <c r="C32" s="7603" t="s">
        <v>3982</v>
      </c>
      <c r="D32" s="7604"/>
      <c r="E32" s="7604"/>
      <c r="F32" s="7604"/>
      <c r="G32" s="7604"/>
      <c r="H32" s="7604"/>
      <c r="I32" s="7604"/>
      <c r="J32" s="7604"/>
      <c r="K32" s="7604"/>
      <c r="L32" s="7604"/>
      <c r="M32" s="7604"/>
      <c r="N32" s="7604"/>
      <c r="O32" s="7604"/>
      <c r="P32" s="7604"/>
      <c r="Q32" s="7604"/>
      <c r="R32" s="7604"/>
      <c r="S32" s="7604"/>
      <c r="T32" s="7604"/>
      <c r="U32" s="7605"/>
      <c r="V32" s="7606" t="s">
        <v>3983</v>
      </c>
      <c r="W32" s="7607"/>
      <c r="X32" s="7403" t="s">
        <v>3984</v>
      </c>
      <c r="Y32" s="6518"/>
      <c r="Z32" s="6989" t="s">
        <v>3985</v>
      </c>
      <c r="AA32" s="7476"/>
      <c r="AB32" s="7476"/>
      <c r="AC32" s="7476"/>
      <c r="AD32" s="7476"/>
      <c r="AE32" s="7476"/>
      <c r="AF32" s="7476"/>
      <c r="AG32" s="7476"/>
      <c r="AH32" s="7476"/>
      <c r="AI32" s="7489"/>
      <c r="AJ32" s="7502" t="s">
        <v>3986</v>
      </c>
      <c r="AK32" s="7404"/>
      <c r="AL32" s="6518"/>
      <c r="AM32" s="7567" t="s">
        <v>3987</v>
      </c>
      <c r="AN32" s="6518" t="s">
        <v>3988</v>
      </c>
      <c r="AO32" s="7567" t="s">
        <v>36</v>
      </c>
      <c r="AP32" s="6518" t="s">
        <v>37</v>
      </c>
      <c r="AQ32" s="6518" t="s">
        <v>3989</v>
      </c>
      <c r="AR32" s="7452" t="s">
        <v>1575</v>
      </c>
      <c r="AS32" s="7452" t="s">
        <v>1576</v>
      </c>
    </row>
    <row r="33" spans="1:95" s="161" customFormat="1" ht="15" customHeight="1" x14ac:dyDescent="0.3">
      <c r="A33" s="5945"/>
      <c r="B33" s="7601"/>
      <c r="C33" s="7303" t="s">
        <v>29</v>
      </c>
      <c r="D33" s="7570"/>
      <c r="E33" s="7570"/>
      <c r="F33" s="7570"/>
      <c r="G33" s="7570"/>
      <c r="H33" s="7570"/>
      <c r="I33" s="7570"/>
      <c r="J33" s="7570"/>
      <c r="K33" s="7570"/>
      <c r="L33" s="7570"/>
      <c r="M33" s="7570"/>
      <c r="N33" s="7570"/>
      <c r="O33" s="7570"/>
      <c r="P33" s="7570"/>
      <c r="Q33" s="7570"/>
      <c r="R33" s="7570"/>
      <c r="S33" s="7571"/>
      <c r="T33" s="7572" t="s">
        <v>2409</v>
      </c>
      <c r="U33" s="7573"/>
      <c r="V33" s="7608"/>
      <c r="W33" s="7609"/>
      <c r="X33" s="6466"/>
      <c r="Y33" s="6687"/>
      <c r="Z33" s="7023" t="s">
        <v>3534</v>
      </c>
      <c r="AA33" s="7475"/>
      <c r="AB33" s="7475"/>
      <c r="AC33" s="7475"/>
      <c r="AD33" s="7457"/>
      <c r="AE33" s="7023" t="s">
        <v>3990</v>
      </c>
      <c r="AF33" s="7475"/>
      <c r="AG33" s="7475"/>
      <c r="AH33" s="7475"/>
      <c r="AI33" s="7457"/>
      <c r="AJ33" s="7512"/>
      <c r="AK33" s="5777"/>
      <c r="AL33" s="5759"/>
      <c r="AM33" s="5851"/>
      <c r="AN33" s="5759"/>
      <c r="AO33" s="5851"/>
      <c r="AP33" s="5759"/>
      <c r="AQ33" s="5759"/>
      <c r="AR33" s="7452"/>
      <c r="AS33" s="7452"/>
    </row>
    <row r="34" spans="1:95" s="161" customFormat="1" ht="30.6" x14ac:dyDescent="0.3">
      <c r="A34" s="6466"/>
      <c r="B34" s="7602"/>
      <c r="C34" s="1313" t="s">
        <v>343</v>
      </c>
      <c r="D34" s="1238" t="s">
        <v>326</v>
      </c>
      <c r="E34" s="1135" t="s">
        <v>43</v>
      </c>
      <c r="F34" s="1238" t="s">
        <v>44</v>
      </c>
      <c r="G34" s="1007" t="s">
        <v>45</v>
      </c>
      <c r="H34" s="1007" t="s">
        <v>46</v>
      </c>
      <c r="I34" s="1007" t="s">
        <v>47</v>
      </c>
      <c r="J34" s="1007" t="s">
        <v>48</v>
      </c>
      <c r="K34" s="1007" t="s">
        <v>49</v>
      </c>
      <c r="L34" s="1007" t="s">
        <v>50</v>
      </c>
      <c r="M34" s="1007" t="s">
        <v>51</v>
      </c>
      <c r="N34" s="1007" t="s">
        <v>52</v>
      </c>
      <c r="O34" s="1007" t="s">
        <v>53</v>
      </c>
      <c r="P34" s="1007" t="s">
        <v>54</v>
      </c>
      <c r="Q34" s="1007" t="s">
        <v>55</v>
      </c>
      <c r="R34" s="1007" t="s">
        <v>56</v>
      </c>
      <c r="S34" s="1203" t="s">
        <v>57</v>
      </c>
      <c r="T34" s="1520" t="s">
        <v>58</v>
      </c>
      <c r="U34" s="1529" t="s">
        <v>59</v>
      </c>
      <c r="V34" s="1313" t="s">
        <v>3991</v>
      </c>
      <c r="W34" s="1460" t="s">
        <v>1265</v>
      </c>
      <c r="X34" s="1313" t="s">
        <v>3992</v>
      </c>
      <c r="Y34" s="1252" t="s">
        <v>3993</v>
      </c>
      <c r="Z34" s="1051" t="s">
        <v>77</v>
      </c>
      <c r="AA34" s="1314" t="s">
        <v>1007</v>
      </c>
      <c r="AB34" s="1238" t="s">
        <v>1321</v>
      </c>
      <c r="AC34" s="1238" t="s">
        <v>554</v>
      </c>
      <c r="AD34" s="1460" t="s">
        <v>3994</v>
      </c>
      <c r="AE34" s="1531" t="s">
        <v>919</v>
      </c>
      <c r="AF34" s="1314" t="s">
        <v>1007</v>
      </c>
      <c r="AG34" s="1238" t="s">
        <v>1321</v>
      </c>
      <c r="AH34" s="1238" t="s">
        <v>554</v>
      </c>
      <c r="AI34" s="1460" t="s">
        <v>3994</v>
      </c>
      <c r="AJ34" s="1271" t="s">
        <v>3995</v>
      </c>
      <c r="AK34" s="1444" t="s">
        <v>3996</v>
      </c>
      <c r="AL34" s="1444" t="s">
        <v>3997</v>
      </c>
      <c r="AM34" s="6471"/>
      <c r="AN34" s="6687"/>
      <c r="AO34" s="6471"/>
      <c r="AP34" s="6687"/>
      <c r="AQ34" s="6687"/>
      <c r="AR34" s="7452"/>
      <c r="AS34" s="7452"/>
    </row>
    <row r="35" spans="1:95" s="161" customFormat="1" ht="15" customHeight="1" x14ac:dyDescent="0.3">
      <c r="A35" s="253" t="s">
        <v>1208</v>
      </c>
      <c r="B35" s="406">
        <f>SUM(C35:S35)</f>
        <v>0</v>
      </c>
      <c r="C35" s="1523"/>
      <c r="D35" s="1497"/>
      <c r="E35" s="1497"/>
      <c r="F35" s="1497"/>
      <c r="G35" s="1532"/>
      <c r="H35" s="1532"/>
      <c r="I35" s="1532"/>
      <c r="J35" s="1532"/>
      <c r="K35" s="1532"/>
      <c r="L35" s="1532"/>
      <c r="M35" s="1532"/>
      <c r="N35" s="1532"/>
      <c r="O35" s="1532"/>
      <c r="P35" s="1532"/>
      <c r="Q35" s="1532"/>
      <c r="R35" s="1532"/>
      <c r="S35" s="1533"/>
      <c r="T35" s="1523"/>
      <c r="U35" s="1498"/>
      <c r="V35" s="1523"/>
      <c r="W35" s="1498"/>
      <c r="X35" s="1523"/>
      <c r="Y35" s="1498"/>
      <c r="Z35" s="961">
        <f t="shared" ref="Z35:Z65" si="10">SUM(AA35+AB35+AC35+AD35)</f>
        <v>0</v>
      </c>
      <c r="AA35" s="1523"/>
      <c r="AB35" s="1497"/>
      <c r="AC35" s="1497"/>
      <c r="AD35" s="1498"/>
      <c r="AE35" s="961">
        <f t="shared" ref="AE35:AE65" si="11">SUM(AF35+AG35+AH35+AI35)</f>
        <v>0</v>
      </c>
      <c r="AF35" s="1523"/>
      <c r="AG35" s="1497"/>
      <c r="AH35" s="1497"/>
      <c r="AI35" s="1534"/>
      <c r="AJ35" s="1506"/>
      <c r="AK35" s="1506"/>
      <c r="AL35" s="1506"/>
      <c r="AM35" s="1506"/>
      <c r="AN35" s="1506"/>
      <c r="AO35" s="1506"/>
      <c r="AP35" s="1506"/>
      <c r="AQ35" s="1506"/>
      <c r="AR35" s="219"/>
      <c r="AS35" s="219"/>
      <c r="AT35" s="161" t="str">
        <f>CA35&amp;CB35&amp;CC35&amp;CD35&amp;CE35&amp;CF35&amp;CG35</f>
        <v/>
      </c>
      <c r="CA35" s="162" t="str">
        <f>IF((T35+U35)&lt;&gt;B35,"* El número de atenciones remotas según Sexo debe ser igual al Total.","")</f>
        <v/>
      </c>
      <c r="CB35" s="162" t="str">
        <f>IF((AE35+Z35)&gt;B35," * El Total de Teleconsultas Nuevas no debe ser mayor que el Total","")</f>
        <v/>
      </c>
      <c r="CC35" s="162" t="str">
        <f>IF(AND(B35&gt;0,AO35="")," * No olvide digitar la variable Pueblos Originarios. Digite cero si no tiene.",IF(AO35&gt;B35," * La variable Pueblos Originarios no puede ser mayor al Total.",""))</f>
        <v/>
      </c>
      <c r="CD35" s="162" t="str">
        <f>IF(AND(B35&gt;0,AP35="")," * No olvide digitar la variable Migrantes. Digite cero si no tiene.",IF(AP35&gt;B35," * La variable Migrantes no puede ser mayor al Total.",""))</f>
        <v/>
      </c>
      <c r="CE35" s="162" t="str">
        <f>IF(AND($B35&gt;0,AQ35="")," * No olvide digitar la variable Teleconsulta de especialidad resueltas por Médicos Generales. Digite cero si no tiene.",IF(AQ35&gt;$B35," * La variable Teleconsulta de especialidad resueltas por Médicos Generales no puede ser mayor al Total.",""))</f>
        <v/>
      </c>
      <c r="CF35" s="162" t="str">
        <f>IF(AND($B35&gt;0,AR35="")," * No olvide digitar la variable Serv. Nac. Reinserción Social Juvenil. Digite cero si no tiene.",IF(AR35&gt;$B35," * La variable Serv. Nac. Reinserción Social Juvenil no puede ser mayor al Total.",""))</f>
        <v/>
      </c>
      <c r="CG35" s="162" t="str">
        <f>IF(AND($B35&gt;0,AS35="")," * No olvide digitar la variable Serv. Nac. Protección Especializada a la Niñez y Adolescencia. Digite cero si no tiene.",IF(AS35&gt;$B35," * La variable Serv. Nac. Protección Especializada a la Niñez y Adolescencia no puede ser mayor al Total.",""))</f>
        <v/>
      </c>
      <c r="CK35" s="163">
        <f t="shared" ref="CK35:CK89" si="12">IF((T35+U35)&lt;&gt;B35,1,0)</f>
        <v>0</v>
      </c>
      <c r="CL35" s="163">
        <f t="shared" ref="CL35:CL89" si="13">IF((AE35+Z35)&gt;B35,1,0)</f>
        <v>0</v>
      </c>
      <c r="CM35" s="163">
        <f t="shared" ref="CM35:CM89" si="14">IF(AND(B35&gt;0,AO35=""),1,IF(AO35&gt;B35,1,0))</f>
        <v>0</v>
      </c>
      <c r="CN35" s="163">
        <f>IF(AND($B35&gt;0,AP35=""),1,IF(AP35&gt;$B35,1,0))</f>
        <v>0</v>
      </c>
      <c r="CO35" s="163">
        <f>IF(AND($B35&gt;0,AQ35=""),1,IF(AQ35&gt;$B35,1,0))</f>
        <v>0</v>
      </c>
      <c r="CP35" s="163">
        <f>IF(AND($B35&gt;0,AR35=""),1,IF(AR35&gt;$B35,1,0))</f>
        <v>0</v>
      </c>
      <c r="CQ35" s="163">
        <f>IF(AND($B35&gt;0,AS35=""),1,IF(AS35&gt;$B35,1,0))</f>
        <v>0</v>
      </c>
    </row>
    <row r="36" spans="1:95" s="161" customFormat="1" ht="15" customHeight="1" x14ac:dyDescent="0.3">
      <c r="A36" s="961" t="s">
        <v>3697</v>
      </c>
      <c r="B36" s="406">
        <f>SUM(C36:S36)</f>
        <v>0</v>
      </c>
      <c r="C36" s="1494"/>
      <c r="D36" s="1495"/>
      <c r="E36" s="1495"/>
      <c r="F36" s="1495"/>
      <c r="G36" s="1495"/>
      <c r="H36" s="1495"/>
      <c r="I36" s="1495"/>
      <c r="J36" s="1495"/>
      <c r="K36" s="1495"/>
      <c r="L36" s="1495"/>
      <c r="M36" s="1495"/>
      <c r="N36" s="1495"/>
      <c r="O36" s="1495"/>
      <c r="P36" s="1495"/>
      <c r="Q36" s="1495"/>
      <c r="R36" s="1495"/>
      <c r="S36" s="1503"/>
      <c r="T36" s="407"/>
      <c r="U36" s="1535"/>
      <c r="V36" s="407"/>
      <c r="W36" s="1535"/>
      <c r="X36" s="407"/>
      <c r="Y36" s="1535"/>
      <c r="Z36" s="961">
        <f t="shared" si="10"/>
        <v>0</v>
      </c>
      <c r="AA36" s="407"/>
      <c r="AB36" s="1536"/>
      <c r="AC36" s="1536"/>
      <c r="AD36" s="1535"/>
      <c r="AE36" s="961">
        <f t="shared" si="11"/>
        <v>0</v>
      </c>
      <c r="AF36" s="407"/>
      <c r="AG36" s="1536"/>
      <c r="AH36" s="1536"/>
      <c r="AI36" s="1537"/>
      <c r="AJ36" s="1506"/>
      <c r="AK36" s="1506"/>
      <c r="AL36" s="1506"/>
      <c r="AM36" s="1506"/>
      <c r="AN36" s="1506"/>
      <c r="AO36" s="1506"/>
      <c r="AP36" s="1506"/>
      <c r="AQ36" s="1506"/>
      <c r="AR36" s="1506"/>
      <c r="AS36" s="1506"/>
      <c r="AT36" s="161" t="str">
        <f t="shared" ref="AT36:AT89" si="15">CA36&amp;CB36&amp;CC36&amp;CD36&amp;CE36&amp;CF36&amp;CG36</f>
        <v/>
      </c>
      <c r="CA36" s="162" t="str">
        <f t="shared" ref="CA36:CA89" si="16">IF((T36+U36)&lt;&gt;B36,"* El número de atenciones remotas según Sexo debe ser igual al Total.","")</f>
        <v/>
      </c>
      <c r="CB36" s="162" t="str">
        <f t="shared" ref="CB36:CB89" si="17">IF((AE36+Z36)&gt;B36," * El Total de Teleconsultas Nuevas no debe ser mayor que el Total","")</f>
        <v/>
      </c>
      <c r="CC36" s="162" t="str">
        <f t="shared" ref="CC36:CC89" si="18">IF(AND(B36&gt;0,AO36="")," * No olvide digitar la variable Pueblos Originarios. Digite cero si no tiene.",IF(AO36&gt;B36," * La variable Pueblos Originarios no puede ser mayor al Total.",""))</f>
        <v/>
      </c>
      <c r="CD36" s="162" t="str">
        <f t="shared" ref="CD36:CD89" si="19">IF(AND(B36&gt;0,AP36="")," * No olvide digitar la variable Migrantes. Digite cero si no tiene.",IF(AP36&gt;B36," * La variable Migrantes no puede ser mayor al Total.",""))</f>
        <v/>
      </c>
      <c r="CE36" s="162" t="str">
        <f t="shared" ref="CE36:CE89" si="20">IF(AND($B36&gt;0,AQ36="")," * No olvide digitar la variable Teleconsulta de especialidad resueltas por Médicos Generales. Digite cero si no tiene.",IF(AQ36&gt;$B36," * La variable Teleconsulta de especialidad resueltas por Médicos Generales no puede ser mayor al Total.",""))</f>
        <v/>
      </c>
      <c r="CF36" s="162" t="str">
        <f t="shared" ref="CF36:CF88" si="21">IF(AND($B36&gt;0,AR36="")," * No olvide digitar la variable Serv. Nac. Reinserción Social Juvenil. Digite cero si no tiene.",IF(AR36&gt;$B36," * La variable Serv. Nac. Reinserción Social Juvenil no puede ser mayor al Total.",""))</f>
        <v/>
      </c>
      <c r="CG36" s="162" t="str">
        <f t="shared" ref="CG36:CG89" si="22">IF(AND($B36&gt;0,AS36="")," * No olvide digitar la variable Serv. Nac. Protección Especializada a la Niñez y Adolescencia. Digite cero si no tiene.",IF(AS36&gt;$B36," * La variable Serv. Nac. Protección Especializada a la Niñez y Adolescencia no puede ser mayor al Total.",""))</f>
        <v/>
      </c>
      <c r="CK36" s="163">
        <f t="shared" si="12"/>
        <v>0</v>
      </c>
      <c r="CL36" s="163">
        <f t="shared" si="13"/>
        <v>0</v>
      </c>
      <c r="CM36" s="163">
        <f t="shared" si="14"/>
        <v>0</v>
      </c>
      <c r="CN36" s="163">
        <f t="shared" ref="CN36:CN89" si="23">IF(AND(B36&gt;0,AP36=""),1,IF(AP36&gt;B36,1,0))</f>
        <v>0</v>
      </c>
      <c r="CO36" s="163">
        <f t="shared" ref="CO36:CQ66" si="24">IF(AND($B36&gt;0,AQ36=""),1,IF(AQ36&gt;$B36,1,0))</f>
        <v>0</v>
      </c>
      <c r="CP36" s="163">
        <f t="shared" si="24"/>
        <v>0</v>
      </c>
      <c r="CQ36" s="163">
        <f t="shared" si="24"/>
        <v>0</v>
      </c>
    </row>
    <row r="37" spans="1:95" s="161" customFormat="1" ht="15" customHeight="1" x14ac:dyDescent="0.3">
      <c r="A37" s="961" t="s">
        <v>1210</v>
      </c>
      <c r="B37" s="406">
        <f>SUM(C37:D37)</f>
        <v>0</v>
      </c>
      <c r="C37" s="1494"/>
      <c r="D37" s="1495"/>
      <c r="E37" s="1538"/>
      <c r="F37" s="1538"/>
      <c r="G37" s="1538"/>
      <c r="H37" s="1538"/>
      <c r="I37" s="1538"/>
      <c r="J37" s="1538"/>
      <c r="K37" s="1538"/>
      <c r="L37" s="1538"/>
      <c r="M37" s="1538"/>
      <c r="N37" s="1538"/>
      <c r="O37" s="1538"/>
      <c r="P37" s="1538"/>
      <c r="Q37" s="1538"/>
      <c r="R37" s="1538"/>
      <c r="S37" s="1539"/>
      <c r="T37" s="407"/>
      <c r="U37" s="1535"/>
      <c r="V37" s="407"/>
      <c r="W37" s="1535"/>
      <c r="X37" s="407"/>
      <c r="Y37" s="1535"/>
      <c r="Z37" s="961">
        <f t="shared" si="10"/>
        <v>0</v>
      </c>
      <c r="AA37" s="407"/>
      <c r="AB37" s="1536"/>
      <c r="AC37" s="1536"/>
      <c r="AD37" s="1535"/>
      <c r="AE37" s="961">
        <f t="shared" si="11"/>
        <v>0</v>
      </c>
      <c r="AF37" s="407"/>
      <c r="AG37" s="1536"/>
      <c r="AH37" s="1536"/>
      <c r="AI37" s="1537"/>
      <c r="AJ37" s="1506"/>
      <c r="AK37" s="1506"/>
      <c r="AL37" s="1506"/>
      <c r="AM37" s="1506"/>
      <c r="AN37" s="1506"/>
      <c r="AO37" s="1506"/>
      <c r="AP37" s="1506"/>
      <c r="AQ37" s="1506"/>
      <c r="AR37" s="1506"/>
      <c r="AS37" s="1506"/>
      <c r="AT37" s="161" t="str">
        <f t="shared" si="15"/>
        <v/>
      </c>
      <c r="CA37" s="162" t="str">
        <f t="shared" si="16"/>
        <v/>
      </c>
      <c r="CB37" s="162" t="str">
        <f t="shared" si="17"/>
        <v/>
      </c>
      <c r="CC37" s="162" t="str">
        <f t="shared" si="18"/>
        <v/>
      </c>
      <c r="CD37" s="162" t="str">
        <f t="shared" si="19"/>
        <v/>
      </c>
      <c r="CE37" s="162" t="str">
        <f t="shared" si="20"/>
        <v/>
      </c>
      <c r="CF37" s="162" t="str">
        <f t="shared" si="21"/>
        <v/>
      </c>
      <c r="CG37" s="162" t="str">
        <f t="shared" si="22"/>
        <v/>
      </c>
      <c r="CK37" s="163">
        <f t="shared" si="12"/>
        <v>0</v>
      </c>
      <c r="CL37" s="163">
        <f t="shared" si="13"/>
        <v>0</v>
      </c>
      <c r="CM37" s="163">
        <f t="shared" si="14"/>
        <v>0</v>
      </c>
      <c r="CN37" s="163">
        <f t="shared" si="23"/>
        <v>0</v>
      </c>
      <c r="CO37" s="163">
        <f t="shared" si="24"/>
        <v>0</v>
      </c>
      <c r="CP37" s="163">
        <f t="shared" si="24"/>
        <v>0</v>
      </c>
      <c r="CQ37" s="163">
        <f t="shared" si="24"/>
        <v>0</v>
      </c>
    </row>
    <row r="38" spans="1:95" s="161" customFormat="1" ht="15" customHeight="1" x14ac:dyDescent="0.3">
      <c r="A38" s="961" t="s">
        <v>3998</v>
      </c>
      <c r="B38" s="406">
        <f t="shared" ref="B38:B90" si="25">SUM(C38:S38)</f>
        <v>0</v>
      </c>
      <c r="C38" s="1494"/>
      <c r="D38" s="1495"/>
      <c r="E38" s="1495"/>
      <c r="F38" s="1495"/>
      <c r="G38" s="1495"/>
      <c r="H38" s="1495"/>
      <c r="I38" s="1495"/>
      <c r="J38" s="1495"/>
      <c r="K38" s="1495"/>
      <c r="L38" s="1495"/>
      <c r="M38" s="1495"/>
      <c r="N38" s="1495"/>
      <c r="O38" s="1495"/>
      <c r="P38" s="1495"/>
      <c r="Q38" s="1495"/>
      <c r="R38" s="1495"/>
      <c r="S38" s="1503"/>
      <c r="T38" s="407"/>
      <c r="U38" s="1535"/>
      <c r="V38" s="407"/>
      <c r="W38" s="1535"/>
      <c r="X38" s="407"/>
      <c r="Y38" s="1535"/>
      <c r="Z38" s="961">
        <f t="shared" si="10"/>
        <v>0</v>
      </c>
      <c r="AA38" s="407"/>
      <c r="AB38" s="1536"/>
      <c r="AC38" s="1536"/>
      <c r="AD38" s="1535"/>
      <c r="AE38" s="961">
        <f t="shared" si="11"/>
        <v>0</v>
      </c>
      <c r="AF38" s="407"/>
      <c r="AG38" s="1536"/>
      <c r="AH38" s="1536"/>
      <c r="AI38" s="1537"/>
      <c r="AJ38" s="1506"/>
      <c r="AK38" s="1506"/>
      <c r="AL38" s="1506"/>
      <c r="AM38" s="1506"/>
      <c r="AN38" s="1506"/>
      <c r="AO38" s="1506"/>
      <c r="AP38" s="1506"/>
      <c r="AQ38" s="1506"/>
      <c r="AR38" s="1506"/>
      <c r="AS38" s="1506"/>
      <c r="AT38" s="161" t="str">
        <f t="shared" si="15"/>
        <v/>
      </c>
      <c r="CA38" s="162" t="str">
        <f t="shared" si="16"/>
        <v/>
      </c>
      <c r="CB38" s="162" t="str">
        <f t="shared" si="17"/>
        <v/>
      </c>
      <c r="CC38" s="162" t="str">
        <f t="shared" si="18"/>
        <v/>
      </c>
      <c r="CD38" s="162" t="str">
        <f t="shared" si="19"/>
        <v/>
      </c>
      <c r="CE38" s="162" t="str">
        <f t="shared" si="20"/>
        <v/>
      </c>
      <c r="CF38" s="162" t="str">
        <f t="shared" si="21"/>
        <v/>
      </c>
      <c r="CG38" s="162" t="str">
        <f t="shared" si="22"/>
        <v/>
      </c>
      <c r="CK38" s="163">
        <f t="shared" si="12"/>
        <v>0</v>
      </c>
      <c r="CL38" s="163">
        <f t="shared" si="13"/>
        <v>0</v>
      </c>
      <c r="CM38" s="163">
        <f t="shared" si="14"/>
        <v>0</v>
      </c>
      <c r="CN38" s="163">
        <f t="shared" si="23"/>
        <v>0</v>
      </c>
      <c r="CO38" s="163">
        <f t="shared" si="24"/>
        <v>0</v>
      </c>
      <c r="CP38" s="163">
        <f t="shared" si="24"/>
        <v>0</v>
      </c>
      <c r="CQ38" s="163">
        <f t="shared" si="24"/>
        <v>0</v>
      </c>
    </row>
    <row r="39" spans="1:95" s="161" customFormat="1" ht="15" customHeight="1" x14ac:dyDescent="0.3">
      <c r="A39" s="961" t="s">
        <v>3999</v>
      </c>
      <c r="B39" s="406">
        <f t="shared" si="25"/>
        <v>0</v>
      </c>
      <c r="C39" s="1494"/>
      <c r="D39" s="1495"/>
      <c r="E39" s="1495"/>
      <c r="F39" s="1495"/>
      <c r="G39" s="1495"/>
      <c r="H39" s="1495"/>
      <c r="I39" s="1495"/>
      <c r="J39" s="1495"/>
      <c r="K39" s="1495"/>
      <c r="L39" s="1495"/>
      <c r="M39" s="1495"/>
      <c r="N39" s="1495"/>
      <c r="O39" s="1495"/>
      <c r="P39" s="1495"/>
      <c r="Q39" s="1495"/>
      <c r="R39" s="1495"/>
      <c r="S39" s="1503"/>
      <c r="T39" s="407"/>
      <c r="U39" s="1535"/>
      <c r="V39" s="407"/>
      <c r="W39" s="1535"/>
      <c r="X39" s="407"/>
      <c r="Y39" s="1535"/>
      <c r="Z39" s="961">
        <f t="shared" si="10"/>
        <v>0</v>
      </c>
      <c r="AA39" s="407"/>
      <c r="AB39" s="1536"/>
      <c r="AC39" s="1536"/>
      <c r="AD39" s="1535"/>
      <c r="AE39" s="961">
        <f t="shared" si="11"/>
        <v>0</v>
      </c>
      <c r="AF39" s="407"/>
      <c r="AG39" s="1536"/>
      <c r="AH39" s="1536"/>
      <c r="AI39" s="1537"/>
      <c r="AJ39" s="1506"/>
      <c r="AK39" s="1506"/>
      <c r="AL39" s="1506"/>
      <c r="AM39" s="1506"/>
      <c r="AN39" s="1506"/>
      <c r="AO39" s="1506"/>
      <c r="AP39" s="1506"/>
      <c r="AQ39" s="1506"/>
      <c r="AR39" s="1506"/>
      <c r="AS39" s="1506"/>
      <c r="AT39" s="161" t="str">
        <f t="shared" si="15"/>
        <v/>
      </c>
      <c r="CA39" s="162" t="str">
        <f t="shared" si="16"/>
        <v/>
      </c>
      <c r="CB39" s="162" t="str">
        <f t="shared" si="17"/>
        <v/>
      </c>
      <c r="CC39" s="162" t="str">
        <f t="shared" si="18"/>
        <v/>
      </c>
      <c r="CD39" s="162" t="str">
        <f t="shared" si="19"/>
        <v/>
      </c>
      <c r="CE39" s="162" t="str">
        <f t="shared" si="20"/>
        <v/>
      </c>
      <c r="CF39" s="162" t="str">
        <f t="shared" si="21"/>
        <v/>
      </c>
      <c r="CG39" s="162" t="str">
        <f t="shared" si="22"/>
        <v/>
      </c>
      <c r="CK39" s="163">
        <f t="shared" si="12"/>
        <v>0</v>
      </c>
      <c r="CL39" s="163">
        <f t="shared" si="13"/>
        <v>0</v>
      </c>
      <c r="CM39" s="163">
        <f t="shared" si="14"/>
        <v>0</v>
      </c>
      <c r="CN39" s="163">
        <f t="shared" si="23"/>
        <v>0</v>
      </c>
      <c r="CO39" s="163">
        <f t="shared" si="24"/>
        <v>0</v>
      </c>
      <c r="CP39" s="163">
        <f t="shared" si="24"/>
        <v>0</v>
      </c>
      <c r="CQ39" s="163">
        <f t="shared" si="24"/>
        <v>0</v>
      </c>
    </row>
    <row r="40" spans="1:95" s="161" customFormat="1" ht="15" customHeight="1" x14ac:dyDescent="0.2">
      <c r="A40" s="1112" t="s">
        <v>4305</v>
      </c>
      <c r="B40" s="406">
        <f t="shared" si="25"/>
        <v>0</v>
      </c>
      <c r="C40" s="1494"/>
      <c r="D40" s="1495"/>
      <c r="E40" s="1495"/>
      <c r="F40" s="1495"/>
      <c r="G40" s="1495"/>
      <c r="H40" s="1495"/>
      <c r="I40" s="1495"/>
      <c r="J40" s="1495"/>
      <c r="K40" s="1495"/>
      <c r="L40" s="1495"/>
      <c r="M40" s="1495"/>
      <c r="N40" s="1495"/>
      <c r="O40" s="1495"/>
      <c r="P40" s="1495"/>
      <c r="Q40" s="1495"/>
      <c r="R40" s="1495"/>
      <c r="S40" s="1503"/>
      <c r="T40" s="407"/>
      <c r="U40" s="1535"/>
      <c r="V40" s="407"/>
      <c r="W40" s="1535"/>
      <c r="X40" s="407"/>
      <c r="Y40" s="1535"/>
      <c r="Z40" s="961">
        <f t="shared" si="10"/>
        <v>0</v>
      </c>
      <c r="AA40" s="407"/>
      <c r="AB40" s="1536"/>
      <c r="AC40" s="1536"/>
      <c r="AD40" s="1535"/>
      <c r="AE40" s="961">
        <f t="shared" si="11"/>
        <v>0</v>
      </c>
      <c r="AF40" s="407"/>
      <c r="AG40" s="1536"/>
      <c r="AH40" s="1536"/>
      <c r="AI40" s="1537"/>
      <c r="AJ40" s="1506"/>
      <c r="AK40" s="1506"/>
      <c r="AL40" s="1506"/>
      <c r="AM40" s="1506"/>
      <c r="AN40" s="1506"/>
      <c r="AO40" s="1506"/>
      <c r="AP40" s="1506"/>
      <c r="AQ40" s="1506"/>
      <c r="AR40" s="1506"/>
      <c r="AS40" s="1506"/>
      <c r="AT40" s="161" t="str">
        <f t="shared" si="15"/>
        <v/>
      </c>
      <c r="CA40" s="162" t="str">
        <f t="shared" si="16"/>
        <v/>
      </c>
      <c r="CB40" s="162" t="str">
        <f t="shared" si="17"/>
        <v/>
      </c>
      <c r="CC40" s="162" t="str">
        <f t="shared" si="18"/>
        <v/>
      </c>
      <c r="CD40" s="162" t="str">
        <f t="shared" si="19"/>
        <v/>
      </c>
      <c r="CE40" s="162" t="str">
        <f t="shared" si="20"/>
        <v/>
      </c>
      <c r="CF40" s="162" t="str">
        <f t="shared" si="21"/>
        <v/>
      </c>
      <c r="CG40" s="162" t="str">
        <f t="shared" si="22"/>
        <v/>
      </c>
      <c r="CK40" s="163">
        <f t="shared" si="12"/>
        <v>0</v>
      </c>
      <c r="CL40" s="163">
        <f t="shared" si="13"/>
        <v>0</v>
      </c>
      <c r="CM40" s="163">
        <f t="shared" si="14"/>
        <v>0</v>
      </c>
      <c r="CN40" s="163">
        <f t="shared" si="23"/>
        <v>0</v>
      </c>
      <c r="CO40" s="163">
        <f t="shared" si="24"/>
        <v>0</v>
      </c>
      <c r="CP40" s="163">
        <f t="shared" si="24"/>
        <v>0</v>
      </c>
      <c r="CQ40" s="163">
        <f t="shared" si="24"/>
        <v>0</v>
      </c>
    </row>
    <row r="41" spans="1:95" s="161" customFormat="1" ht="15" customHeight="1" x14ac:dyDescent="0.3">
      <c r="A41" s="3150" t="s">
        <v>4308</v>
      </c>
      <c r="B41" s="406">
        <f t="shared" si="25"/>
        <v>0</v>
      </c>
      <c r="C41" s="1494"/>
      <c r="D41" s="1495"/>
      <c r="E41" s="1495"/>
      <c r="F41" s="1495"/>
      <c r="G41" s="1495"/>
      <c r="H41" s="1495"/>
      <c r="I41" s="1495"/>
      <c r="J41" s="1495"/>
      <c r="K41" s="1495"/>
      <c r="L41" s="1495"/>
      <c r="M41" s="1495"/>
      <c r="N41" s="1495"/>
      <c r="O41" s="1495"/>
      <c r="P41" s="1495"/>
      <c r="Q41" s="1495"/>
      <c r="R41" s="1495"/>
      <c r="S41" s="1503"/>
      <c r="T41" s="407"/>
      <c r="U41" s="1535"/>
      <c r="V41" s="407"/>
      <c r="W41" s="1535"/>
      <c r="X41" s="407"/>
      <c r="Y41" s="1535"/>
      <c r="Z41" s="961">
        <f t="shared" si="10"/>
        <v>0</v>
      </c>
      <c r="AA41" s="407"/>
      <c r="AB41" s="1536"/>
      <c r="AC41" s="1536"/>
      <c r="AD41" s="1535"/>
      <c r="AE41" s="961">
        <f t="shared" si="11"/>
        <v>0</v>
      </c>
      <c r="AF41" s="407"/>
      <c r="AG41" s="1536"/>
      <c r="AH41" s="1536"/>
      <c r="AI41" s="1537"/>
      <c r="AJ41" s="1506"/>
      <c r="AK41" s="1506"/>
      <c r="AL41" s="1506"/>
      <c r="AM41" s="1506"/>
      <c r="AN41" s="1506"/>
      <c r="AO41" s="1506"/>
      <c r="AP41" s="1506"/>
      <c r="AQ41" s="1506"/>
      <c r="AR41" s="1506"/>
      <c r="AS41" s="1506"/>
      <c r="AT41" s="161" t="str">
        <f t="shared" si="15"/>
        <v/>
      </c>
      <c r="CA41" s="162" t="str">
        <f t="shared" si="16"/>
        <v/>
      </c>
      <c r="CB41" s="162" t="str">
        <f t="shared" si="17"/>
        <v/>
      </c>
      <c r="CC41" s="162" t="str">
        <f t="shared" si="18"/>
        <v/>
      </c>
      <c r="CD41" s="162" t="str">
        <f t="shared" si="19"/>
        <v/>
      </c>
      <c r="CE41" s="162" t="str">
        <f t="shared" si="20"/>
        <v/>
      </c>
      <c r="CF41" s="162" t="str">
        <f t="shared" si="21"/>
        <v/>
      </c>
      <c r="CG41" s="162" t="str">
        <f t="shared" si="22"/>
        <v/>
      </c>
      <c r="CK41" s="163">
        <f t="shared" si="12"/>
        <v>0</v>
      </c>
      <c r="CL41" s="163">
        <f t="shared" si="13"/>
        <v>0</v>
      </c>
      <c r="CM41" s="163">
        <f t="shared" si="14"/>
        <v>0</v>
      </c>
      <c r="CN41" s="163">
        <f t="shared" si="23"/>
        <v>0</v>
      </c>
      <c r="CO41" s="163">
        <f t="shared" si="24"/>
        <v>0</v>
      </c>
      <c r="CP41" s="163">
        <f t="shared" si="24"/>
        <v>0</v>
      </c>
      <c r="CQ41" s="163">
        <f t="shared" si="24"/>
        <v>0</v>
      </c>
    </row>
    <row r="42" spans="1:95" s="161" customFormat="1" ht="15" customHeight="1" x14ac:dyDescent="0.3">
      <c r="A42" s="961" t="s">
        <v>3699</v>
      </c>
      <c r="B42" s="406">
        <f t="shared" si="25"/>
        <v>0</v>
      </c>
      <c r="C42" s="1494"/>
      <c r="D42" s="1495"/>
      <c r="E42" s="1495"/>
      <c r="F42" s="1495"/>
      <c r="G42" s="1495"/>
      <c r="H42" s="1495"/>
      <c r="I42" s="1495"/>
      <c r="J42" s="1495"/>
      <c r="K42" s="1495"/>
      <c r="L42" s="1495"/>
      <c r="M42" s="1495"/>
      <c r="N42" s="1495"/>
      <c r="O42" s="1495"/>
      <c r="P42" s="1495"/>
      <c r="Q42" s="1495"/>
      <c r="R42" s="1495"/>
      <c r="S42" s="1503"/>
      <c r="T42" s="407"/>
      <c r="U42" s="1535"/>
      <c r="V42" s="407"/>
      <c r="W42" s="1535"/>
      <c r="X42" s="407"/>
      <c r="Y42" s="1535"/>
      <c r="Z42" s="961">
        <f t="shared" si="10"/>
        <v>0</v>
      </c>
      <c r="AA42" s="407"/>
      <c r="AB42" s="1536"/>
      <c r="AC42" s="1536"/>
      <c r="AD42" s="1535"/>
      <c r="AE42" s="961">
        <f t="shared" si="11"/>
        <v>0</v>
      </c>
      <c r="AF42" s="407"/>
      <c r="AG42" s="1536"/>
      <c r="AH42" s="1536"/>
      <c r="AI42" s="1537"/>
      <c r="AJ42" s="1506"/>
      <c r="AK42" s="1506"/>
      <c r="AL42" s="1506"/>
      <c r="AM42" s="1506"/>
      <c r="AN42" s="1506"/>
      <c r="AO42" s="1506"/>
      <c r="AP42" s="1506"/>
      <c r="AQ42" s="1506"/>
      <c r="AR42" s="1506"/>
      <c r="AS42" s="1506"/>
      <c r="AT42" s="161" t="str">
        <f t="shared" si="15"/>
        <v/>
      </c>
      <c r="CA42" s="162" t="str">
        <f t="shared" si="16"/>
        <v/>
      </c>
      <c r="CB42" s="162" t="str">
        <f t="shared" si="17"/>
        <v/>
      </c>
      <c r="CC42" s="162" t="str">
        <f t="shared" si="18"/>
        <v/>
      </c>
      <c r="CD42" s="162" t="str">
        <f t="shared" si="19"/>
        <v/>
      </c>
      <c r="CE42" s="162" t="str">
        <f t="shared" si="20"/>
        <v/>
      </c>
      <c r="CF42" s="162" t="str">
        <f t="shared" si="21"/>
        <v/>
      </c>
      <c r="CG42" s="162" t="str">
        <f t="shared" si="22"/>
        <v/>
      </c>
      <c r="CK42" s="163">
        <f t="shared" si="12"/>
        <v>0</v>
      </c>
      <c r="CL42" s="163">
        <f t="shared" si="13"/>
        <v>0</v>
      </c>
      <c r="CM42" s="163">
        <f t="shared" si="14"/>
        <v>0</v>
      </c>
      <c r="CN42" s="163">
        <f t="shared" si="23"/>
        <v>0</v>
      </c>
      <c r="CO42" s="163">
        <f t="shared" si="24"/>
        <v>0</v>
      </c>
      <c r="CP42" s="163">
        <f t="shared" si="24"/>
        <v>0</v>
      </c>
      <c r="CQ42" s="163">
        <f t="shared" si="24"/>
        <v>0</v>
      </c>
    </row>
    <row r="43" spans="1:95" s="161" customFormat="1" ht="15" customHeight="1" x14ac:dyDescent="0.3">
      <c r="A43" s="961" t="s">
        <v>3133</v>
      </c>
      <c r="B43" s="406">
        <f t="shared" si="25"/>
        <v>0</v>
      </c>
      <c r="C43" s="1494"/>
      <c r="D43" s="1495"/>
      <c r="E43" s="1495"/>
      <c r="F43" s="1495"/>
      <c r="G43" s="1495"/>
      <c r="H43" s="1495"/>
      <c r="I43" s="1495"/>
      <c r="J43" s="1495"/>
      <c r="K43" s="1495"/>
      <c r="L43" s="1495"/>
      <c r="M43" s="1495"/>
      <c r="N43" s="1495"/>
      <c r="O43" s="1495"/>
      <c r="P43" s="1495"/>
      <c r="Q43" s="1495"/>
      <c r="R43" s="1495"/>
      <c r="S43" s="1503"/>
      <c r="T43" s="407"/>
      <c r="U43" s="1535"/>
      <c r="V43" s="407"/>
      <c r="W43" s="1535"/>
      <c r="X43" s="407"/>
      <c r="Y43" s="1535"/>
      <c r="Z43" s="961">
        <f t="shared" si="10"/>
        <v>0</v>
      </c>
      <c r="AA43" s="407"/>
      <c r="AB43" s="1536"/>
      <c r="AC43" s="1536"/>
      <c r="AD43" s="1535"/>
      <c r="AE43" s="961">
        <f t="shared" si="11"/>
        <v>0</v>
      </c>
      <c r="AF43" s="407"/>
      <c r="AG43" s="1536"/>
      <c r="AH43" s="1536"/>
      <c r="AI43" s="1537"/>
      <c r="AJ43" s="1506"/>
      <c r="AK43" s="1506"/>
      <c r="AL43" s="1506"/>
      <c r="AM43" s="1506"/>
      <c r="AN43" s="1506"/>
      <c r="AO43" s="1506"/>
      <c r="AP43" s="1506"/>
      <c r="AQ43" s="1506"/>
      <c r="AR43" s="1506"/>
      <c r="AS43" s="1506"/>
      <c r="AT43" s="161" t="str">
        <f t="shared" si="15"/>
        <v/>
      </c>
      <c r="CA43" s="162" t="str">
        <f t="shared" si="16"/>
        <v/>
      </c>
      <c r="CB43" s="162" t="str">
        <f t="shared" si="17"/>
        <v/>
      </c>
      <c r="CC43" s="162" t="str">
        <f t="shared" si="18"/>
        <v/>
      </c>
      <c r="CD43" s="162" t="str">
        <f t="shared" si="19"/>
        <v/>
      </c>
      <c r="CE43" s="162" t="str">
        <f t="shared" si="20"/>
        <v/>
      </c>
      <c r="CF43" s="162" t="str">
        <f t="shared" si="21"/>
        <v/>
      </c>
      <c r="CG43" s="162" t="str">
        <f t="shared" si="22"/>
        <v/>
      </c>
      <c r="CK43" s="163">
        <f t="shared" si="12"/>
        <v>0</v>
      </c>
      <c r="CL43" s="163">
        <f t="shared" si="13"/>
        <v>0</v>
      </c>
      <c r="CM43" s="163">
        <f t="shared" si="14"/>
        <v>0</v>
      </c>
      <c r="CN43" s="163">
        <f t="shared" si="23"/>
        <v>0</v>
      </c>
      <c r="CO43" s="163">
        <f t="shared" si="24"/>
        <v>0</v>
      </c>
      <c r="CP43" s="163">
        <f t="shared" si="24"/>
        <v>0</v>
      </c>
      <c r="CQ43" s="163">
        <f t="shared" si="24"/>
        <v>0</v>
      </c>
    </row>
    <row r="44" spans="1:95" s="161" customFormat="1" ht="15" customHeight="1" x14ac:dyDescent="0.3">
      <c r="A44" s="961" t="s">
        <v>3700</v>
      </c>
      <c r="B44" s="406">
        <f t="shared" si="25"/>
        <v>0</v>
      </c>
      <c r="C44" s="1494"/>
      <c r="D44" s="1495"/>
      <c r="E44" s="1495"/>
      <c r="F44" s="1495"/>
      <c r="G44" s="1495"/>
      <c r="H44" s="1495"/>
      <c r="I44" s="1495"/>
      <c r="J44" s="1495"/>
      <c r="K44" s="1495"/>
      <c r="L44" s="1495"/>
      <c r="M44" s="1495"/>
      <c r="N44" s="1495"/>
      <c r="O44" s="1495"/>
      <c r="P44" s="1495"/>
      <c r="Q44" s="1495"/>
      <c r="R44" s="1495"/>
      <c r="S44" s="1503"/>
      <c r="T44" s="407"/>
      <c r="U44" s="1535"/>
      <c r="V44" s="407"/>
      <c r="W44" s="1535"/>
      <c r="X44" s="407"/>
      <c r="Y44" s="1535"/>
      <c r="Z44" s="961">
        <f t="shared" si="10"/>
        <v>0</v>
      </c>
      <c r="AA44" s="407"/>
      <c r="AB44" s="1536"/>
      <c r="AC44" s="1536"/>
      <c r="AD44" s="1535"/>
      <c r="AE44" s="961">
        <f t="shared" si="11"/>
        <v>0</v>
      </c>
      <c r="AF44" s="407"/>
      <c r="AG44" s="1536"/>
      <c r="AH44" s="1536"/>
      <c r="AI44" s="1537"/>
      <c r="AJ44" s="1506"/>
      <c r="AK44" s="1506"/>
      <c r="AL44" s="1506"/>
      <c r="AM44" s="1506"/>
      <c r="AN44" s="1506"/>
      <c r="AO44" s="1506"/>
      <c r="AP44" s="1506"/>
      <c r="AQ44" s="1506"/>
      <c r="AR44" s="1506"/>
      <c r="AS44" s="1506"/>
      <c r="AT44" s="161" t="str">
        <f t="shared" si="15"/>
        <v/>
      </c>
      <c r="CA44" s="162" t="str">
        <f t="shared" si="16"/>
        <v/>
      </c>
      <c r="CB44" s="162" t="str">
        <f t="shared" si="17"/>
        <v/>
      </c>
      <c r="CC44" s="162" t="str">
        <f t="shared" si="18"/>
        <v/>
      </c>
      <c r="CD44" s="162" t="str">
        <f t="shared" si="19"/>
        <v/>
      </c>
      <c r="CE44" s="162" t="str">
        <f t="shared" si="20"/>
        <v/>
      </c>
      <c r="CF44" s="162" t="str">
        <f t="shared" si="21"/>
        <v/>
      </c>
      <c r="CG44" s="162" t="str">
        <f t="shared" si="22"/>
        <v/>
      </c>
      <c r="CK44" s="163">
        <f t="shared" si="12"/>
        <v>0</v>
      </c>
      <c r="CL44" s="163">
        <f t="shared" si="13"/>
        <v>0</v>
      </c>
      <c r="CM44" s="163">
        <f t="shared" si="14"/>
        <v>0</v>
      </c>
      <c r="CN44" s="163">
        <f t="shared" si="23"/>
        <v>0</v>
      </c>
      <c r="CO44" s="163">
        <f t="shared" si="24"/>
        <v>0</v>
      </c>
      <c r="CP44" s="163">
        <f t="shared" si="24"/>
        <v>0</v>
      </c>
      <c r="CQ44" s="163">
        <f t="shared" si="24"/>
        <v>0</v>
      </c>
    </row>
    <row r="45" spans="1:95" s="161" customFormat="1" ht="15" customHeight="1" x14ac:dyDescent="0.3">
      <c r="A45" s="961" t="s">
        <v>3701</v>
      </c>
      <c r="B45" s="406">
        <f t="shared" si="25"/>
        <v>0</v>
      </c>
      <c r="C45" s="1494"/>
      <c r="D45" s="1495"/>
      <c r="E45" s="1495"/>
      <c r="F45" s="1495"/>
      <c r="G45" s="1495"/>
      <c r="H45" s="1495"/>
      <c r="I45" s="1495"/>
      <c r="J45" s="1495"/>
      <c r="K45" s="1495"/>
      <c r="L45" s="1495"/>
      <c r="M45" s="1495"/>
      <c r="N45" s="1495"/>
      <c r="O45" s="1495"/>
      <c r="P45" s="1495"/>
      <c r="Q45" s="1495"/>
      <c r="R45" s="1495"/>
      <c r="S45" s="1503"/>
      <c r="T45" s="407"/>
      <c r="U45" s="1535"/>
      <c r="V45" s="407"/>
      <c r="W45" s="1535"/>
      <c r="X45" s="407"/>
      <c r="Y45" s="1535"/>
      <c r="Z45" s="961">
        <f t="shared" si="10"/>
        <v>0</v>
      </c>
      <c r="AA45" s="407"/>
      <c r="AB45" s="1536"/>
      <c r="AC45" s="1536"/>
      <c r="AD45" s="1535"/>
      <c r="AE45" s="961">
        <f t="shared" si="11"/>
        <v>0</v>
      </c>
      <c r="AF45" s="407"/>
      <c r="AG45" s="1536"/>
      <c r="AH45" s="1536"/>
      <c r="AI45" s="1537"/>
      <c r="AJ45" s="1506"/>
      <c r="AK45" s="1506"/>
      <c r="AL45" s="1506"/>
      <c r="AM45" s="1506"/>
      <c r="AN45" s="1506"/>
      <c r="AO45" s="1506"/>
      <c r="AP45" s="1506"/>
      <c r="AQ45" s="1506"/>
      <c r="AR45" s="1506"/>
      <c r="AS45" s="1506"/>
      <c r="AT45" s="161" t="str">
        <f t="shared" si="15"/>
        <v/>
      </c>
      <c r="CA45" s="162" t="str">
        <f t="shared" si="16"/>
        <v/>
      </c>
      <c r="CB45" s="162" t="str">
        <f t="shared" si="17"/>
        <v/>
      </c>
      <c r="CC45" s="162" t="str">
        <f t="shared" si="18"/>
        <v/>
      </c>
      <c r="CD45" s="162" t="str">
        <f t="shared" si="19"/>
        <v/>
      </c>
      <c r="CE45" s="162" t="str">
        <f t="shared" si="20"/>
        <v/>
      </c>
      <c r="CF45" s="162" t="str">
        <f t="shared" si="21"/>
        <v/>
      </c>
      <c r="CG45" s="162" t="str">
        <f t="shared" si="22"/>
        <v/>
      </c>
      <c r="CK45" s="163">
        <f t="shared" si="12"/>
        <v>0</v>
      </c>
      <c r="CL45" s="163">
        <f t="shared" si="13"/>
        <v>0</v>
      </c>
      <c r="CM45" s="163">
        <f t="shared" si="14"/>
        <v>0</v>
      </c>
      <c r="CN45" s="163">
        <f t="shared" si="23"/>
        <v>0</v>
      </c>
      <c r="CO45" s="163">
        <f t="shared" si="24"/>
        <v>0</v>
      </c>
      <c r="CP45" s="163">
        <f t="shared" si="24"/>
        <v>0</v>
      </c>
      <c r="CQ45" s="163">
        <f t="shared" si="24"/>
        <v>0</v>
      </c>
    </row>
    <row r="46" spans="1:95" s="161" customFormat="1" ht="15" customHeight="1" x14ac:dyDescent="0.3">
      <c r="A46" s="961" t="s">
        <v>3702</v>
      </c>
      <c r="B46" s="406">
        <f t="shared" si="25"/>
        <v>0</v>
      </c>
      <c r="C46" s="1494"/>
      <c r="D46" s="1495"/>
      <c r="E46" s="1495"/>
      <c r="F46" s="1495"/>
      <c r="G46" s="1495"/>
      <c r="H46" s="1495"/>
      <c r="I46" s="1495"/>
      <c r="J46" s="1495"/>
      <c r="K46" s="1495"/>
      <c r="L46" s="1495"/>
      <c r="M46" s="1495"/>
      <c r="N46" s="1495"/>
      <c r="O46" s="1495"/>
      <c r="P46" s="1495"/>
      <c r="Q46" s="1495"/>
      <c r="R46" s="1495"/>
      <c r="S46" s="1503"/>
      <c r="T46" s="407"/>
      <c r="U46" s="1535"/>
      <c r="V46" s="407"/>
      <c r="W46" s="1535"/>
      <c r="X46" s="407"/>
      <c r="Y46" s="1535"/>
      <c r="Z46" s="961">
        <f t="shared" si="10"/>
        <v>0</v>
      </c>
      <c r="AA46" s="407"/>
      <c r="AB46" s="1536"/>
      <c r="AC46" s="1536"/>
      <c r="AD46" s="1535"/>
      <c r="AE46" s="961">
        <f t="shared" si="11"/>
        <v>0</v>
      </c>
      <c r="AF46" s="407"/>
      <c r="AG46" s="1536"/>
      <c r="AH46" s="1536"/>
      <c r="AI46" s="1537"/>
      <c r="AJ46" s="1506"/>
      <c r="AK46" s="1506"/>
      <c r="AL46" s="1506"/>
      <c r="AM46" s="1506"/>
      <c r="AN46" s="1506"/>
      <c r="AO46" s="1506"/>
      <c r="AP46" s="1506"/>
      <c r="AQ46" s="1506"/>
      <c r="AR46" s="1506"/>
      <c r="AS46" s="1506"/>
      <c r="AT46" s="161" t="str">
        <f t="shared" si="15"/>
        <v/>
      </c>
      <c r="CA46" s="162" t="str">
        <f t="shared" si="16"/>
        <v/>
      </c>
      <c r="CB46" s="162" t="str">
        <f t="shared" si="17"/>
        <v/>
      </c>
      <c r="CC46" s="162" t="str">
        <f t="shared" si="18"/>
        <v/>
      </c>
      <c r="CD46" s="162" t="str">
        <f t="shared" si="19"/>
        <v/>
      </c>
      <c r="CE46" s="162" t="str">
        <f t="shared" si="20"/>
        <v/>
      </c>
      <c r="CF46" s="162" t="str">
        <f t="shared" si="21"/>
        <v/>
      </c>
      <c r="CG46" s="162" t="str">
        <f t="shared" si="22"/>
        <v/>
      </c>
      <c r="CK46" s="163">
        <f t="shared" si="12"/>
        <v>0</v>
      </c>
      <c r="CL46" s="163">
        <f t="shared" si="13"/>
        <v>0</v>
      </c>
      <c r="CM46" s="163">
        <f t="shared" si="14"/>
        <v>0</v>
      </c>
      <c r="CN46" s="163">
        <f t="shared" si="23"/>
        <v>0</v>
      </c>
      <c r="CO46" s="163">
        <f t="shared" si="24"/>
        <v>0</v>
      </c>
      <c r="CP46" s="163">
        <f t="shared" si="24"/>
        <v>0</v>
      </c>
      <c r="CQ46" s="163">
        <f t="shared" si="24"/>
        <v>0</v>
      </c>
    </row>
    <row r="47" spans="1:95" s="161" customFormat="1" ht="15" customHeight="1" x14ac:dyDescent="0.2">
      <c r="A47" s="1112" t="s">
        <v>4409</v>
      </c>
      <c r="B47" s="406">
        <f t="shared" si="25"/>
        <v>0</v>
      </c>
      <c r="C47" s="1494"/>
      <c r="D47" s="1495"/>
      <c r="E47" s="1495"/>
      <c r="F47" s="1495"/>
      <c r="G47" s="1495"/>
      <c r="H47" s="1495"/>
      <c r="I47" s="1495"/>
      <c r="J47" s="1495"/>
      <c r="K47" s="1495"/>
      <c r="L47" s="1495"/>
      <c r="M47" s="1495"/>
      <c r="N47" s="1495"/>
      <c r="O47" s="1495"/>
      <c r="P47" s="1495"/>
      <c r="Q47" s="1495"/>
      <c r="R47" s="1495"/>
      <c r="S47" s="1503"/>
      <c r="T47" s="407"/>
      <c r="U47" s="1535"/>
      <c r="V47" s="407"/>
      <c r="W47" s="1535"/>
      <c r="X47" s="407"/>
      <c r="Y47" s="1535"/>
      <c r="Z47" s="961">
        <f t="shared" si="10"/>
        <v>0</v>
      </c>
      <c r="AA47" s="407"/>
      <c r="AB47" s="1536"/>
      <c r="AC47" s="1536"/>
      <c r="AD47" s="1535"/>
      <c r="AE47" s="961">
        <f t="shared" si="11"/>
        <v>0</v>
      </c>
      <c r="AF47" s="407"/>
      <c r="AG47" s="1536"/>
      <c r="AH47" s="1536"/>
      <c r="AI47" s="1537"/>
      <c r="AJ47" s="1506"/>
      <c r="AK47" s="1506"/>
      <c r="AL47" s="1506"/>
      <c r="AM47" s="1506"/>
      <c r="AN47" s="1506"/>
      <c r="AO47" s="1506"/>
      <c r="AP47" s="1506"/>
      <c r="AQ47" s="1506"/>
      <c r="AR47" s="1506"/>
      <c r="AS47" s="1506"/>
      <c r="AT47" s="161" t="str">
        <f t="shared" si="15"/>
        <v/>
      </c>
      <c r="CA47" s="162" t="str">
        <f t="shared" si="16"/>
        <v/>
      </c>
      <c r="CB47" s="162" t="str">
        <f t="shared" si="17"/>
        <v/>
      </c>
      <c r="CC47" s="162" t="str">
        <f t="shared" si="18"/>
        <v/>
      </c>
      <c r="CD47" s="162" t="str">
        <f t="shared" si="19"/>
        <v/>
      </c>
      <c r="CE47" s="162" t="str">
        <f t="shared" si="20"/>
        <v/>
      </c>
      <c r="CF47" s="162" t="str">
        <f t="shared" si="21"/>
        <v/>
      </c>
      <c r="CG47" s="162" t="str">
        <f t="shared" si="22"/>
        <v/>
      </c>
      <c r="CK47" s="163">
        <f t="shared" si="12"/>
        <v>0</v>
      </c>
      <c r="CL47" s="163">
        <f t="shared" si="13"/>
        <v>0</v>
      </c>
      <c r="CM47" s="163">
        <f t="shared" si="14"/>
        <v>0</v>
      </c>
      <c r="CN47" s="163">
        <f t="shared" si="23"/>
        <v>0</v>
      </c>
      <c r="CO47" s="163">
        <f t="shared" si="24"/>
        <v>0</v>
      </c>
      <c r="CP47" s="163">
        <f t="shared" si="24"/>
        <v>0</v>
      </c>
      <c r="CQ47" s="163">
        <f t="shared" si="24"/>
        <v>0</v>
      </c>
    </row>
    <row r="48" spans="1:95" s="161" customFormat="1" ht="15" customHeight="1" x14ac:dyDescent="0.2">
      <c r="A48" s="3149" t="s">
        <v>4314</v>
      </c>
      <c r="B48" s="406">
        <f t="shared" si="25"/>
        <v>0</v>
      </c>
      <c r="C48" s="1494"/>
      <c r="D48" s="1495"/>
      <c r="E48" s="1495"/>
      <c r="F48" s="1495"/>
      <c r="G48" s="1495"/>
      <c r="H48" s="1495"/>
      <c r="I48" s="1495"/>
      <c r="J48" s="1495"/>
      <c r="K48" s="1495"/>
      <c r="L48" s="1495"/>
      <c r="M48" s="1495"/>
      <c r="N48" s="1495"/>
      <c r="O48" s="1495"/>
      <c r="P48" s="1495"/>
      <c r="Q48" s="1495"/>
      <c r="R48" s="1495"/>
      <c r="S48" s="1503"/>
      <c r="T48" s="407"/>
      <c r="U48" s="1535"/>
      <c r="V48" s="407"/>
      <c r="W48" s="1535"/>
      <c r="X48" s="407"/>
      <c r="Y48" s="1535"/>
      <c r="Z48" s="961">
        <f t="shared" si="10"/>
        <v>0</v>
      </c>
      <c r="AA48" s="407"/>
      <c r="AB48" s="1536"/>
      <c r="AC48" s="1536"/>
      <c r="AD48" s="1535"/>
      <c r="AE48" s="961">
        <f t="shared" si="11"/>
        <v>0</v>
      </c>
      <c r="AF48" s="407"/>
      <c r="AG48" s="1536"/>
      <c r="AH48" s="1536"/>
      <c r="AI48" s="1537"/>
      <c r="AJ48" s="1506"/>
      <c r="AK48" s="1506"/>
      <c r="AL48" s="1506"/>
      <c r="AM48" s="1506"/>
      <c r="AN48" s="1506"/>
      <c r="AO48" s="1506"/>
      <c r="AP48" s="1506"/>
      <c r="AQ48" s="1506"/>
      <c r="AR48" s="1506"/>
      <c r="AS48" s="1506"/>
      <c r="AT48" s="161" t="str">
        <f t="shared" si="15"/>
        <v/>
      </c>
      <c r="CA48" s="162" t="str">
        <f t="shared" si="16"/>
        <v/>
      </c>
      <c r="CB48" s="162" t="str">
        <f t="shared" si="17"/>
        <v/>
      </c>
      <c r="CC48" s="162" t="str">
        <f t="shared" si="18"/>
        <v/>
      </c>
      <c r="CD48" s="162" t="str">
        <f t="shared" si="19"/>
        <v/>
      </c>
      <c r="CE48" s="162" t="str">
        <f t="shared" si="20"/>
        <v/>
      </c>
      <c r="CF48" s="162" t="str">
        <f t="shared" si="21"/>
        <v/>
      </c>
      <c r="CG48" s="162" t="str">
        <f t="shared" si="22"/>
        <v/>
      </c>
      <c r="CK48" s="163">
        <f t="shared" si="12"/>
        <v>0</v>
      </c>
      <c r="CL48" s="163">
        <f t="shared" si="13"/>
        <v>0</v>
      </c>
      <c r="CM48" s="163">
        <f t="shared" si="14"/>
        <v>0</v>
      </c>
      <c r="CN48" s="163">
        <f t="shared" si="23"/>
        <v>0</v>
      </c>
      <c r="CO48" s="163">
        <f t="shared" si="24"/>
        <v>0</v>
      </c>
      <c r="CP48" s="163">
        <f t="shared" si="24"/>
        <v>0</v>
      </c>
      <c r="CQ48" s="163">
        <f t="shared" si="24"/>
        <v>0</v>
      </c>
    </row>
    <row r="49" spans="1:95" s="161" customFormat="1" ht="15" customHeight="1" x14ac:dyDescent="0.3">
      <c r="A49" s="961" t="s">
        <v>3703</v>
      </c>
      <c r="B49" s="406">
        <f t="shared" si="25"/>
        <v>0</v>
      </c>
      <c r="C49" s="1494"/>
      <c r="D49" s="1495"/>
      <c r="E49" s="1495"/>
      <c r="F49" s="1495"/>
      <c r="G49" s="1495"/>
      <c r="H49" s="1495"/>
      <c r="I49" s="1495"/>
      <c r="J49" s="1495"/>
      <c r="K49" s="1495"/>
      <c r="L49" s="1495"/>
      <c r="M49" s="1495"/>
      <c r="N49" s="1495"/>
      <c r="O49" s="1495"/>
      <c r="P49" s="1495"/>
      <c r="Q49" s="1495"/>
      <c r="R49" s="1495"/>
      <c r="S49" s="1503"/>
      <c r="T49" s="407"/>
      <c r="U49" s="1535"/>
      <c r="V49" s="407"/>
      <c r="W49" s="1535"/>
      <c r="X49" s="407"/>
      <c r="Y49" s="1535"/>
      <c r="Z49" s="961">
        <f t="shared" si="10"/>
        <v>0</v>
      </c>
      <c r="AA49" s="407"/>
      <c r="AB49" s="1536"/>
      <c r="AC49" s="1536"/>
      <c r="AD49" s="1535"/>
      <c r="AE49" s="961">
        <f t="shared" si="11"/>
        <v>0</v>
      </c>
      <c r="AF49" s="407"/>
      <c r="AG49" s="1536"/>
      <c r="AH49" s="1536"/>
      <c r="AI49" s="1537"/>
      <c r="AJ49" s="1506"/>
      <c r="AK49" s="1506"/>
      <c r="AL49" s="1506"/>
      <c r="AM49" s="1506"/>
      <c r="AN49" s="1506"/>
      <c r="AO49" s="1506"/>
      <c r="AP49" s="1506"/>
      <c r="AQ49" s="1506"/>
      <c r="AR49" s="1506"/>
      <c r="AS49" s="1506"/>
      <c r="AT49" s="161" t="str">
        <f t="shared" si="15"/>
        <v/>
      </c>
      <c r="CA49" s="162" t="str">
        <f t="shared" si="16"/>
        <v/>
      </c>
      <c r="CB49" s="162" t="str">
        <f t="shared" si="17"/>
        <v/>
      </c>
      <c r="CC49" s="162" t="str">
        <f t="shared" si="18"/>
        <v/>
      </c>
      <c r="CD49" s="162" t="str">
        <f t="shared" si="19"/>
        <v/>
      </c>
      <c r="CE49" s="162" t="str">
        <f t="shared" si="20"/>
        <v/>
      </c>
      <c r="CF49" s="162" t="str">
        <f t="shared" si="21"/>
        <v/>
      </c>
      <c r="CG49" s="162" t="str">
        <f t="shared" si="22"/>
        <v/>
      </c>
      <c r="CK49" s="163">
        <f t="shared" si="12"/>
        <v>0</v>
      </c>
      <c r="CL49" s="163">
        <f t="shared" si="13"/>
        <v>0</v>
      </c>
      <c r="CM49" s="163">
        <f t="shared" si="14"/>
        <v>0</v>
      </c>
      <c r="CN49" s="163">
        <f t="shared" si="23"/>
        <v>0</v>
      </c>
      <c r="CO49" s="163">
        <f t="shared" si="24"/>
        <v>0</v>
      </c>
      <c r="CP49" s="163">
        <f t="shared" si="24"/>
        <v>0</v>
      </c>
      <c r="CQ49" s="163">
        <f t="shared" si="24"/>
        <v>0</v>
      </c>
    </row>
    <row r="50" spans="1:95" s="161" customFormat="1" ht="15" customHeight="1" x14ac:dyDescent="0.3">
      <c r="A50" s="961" t="s">
        <v>3704</v>
      </c>
      <c r="B50" s="406">
        <f t="shared" si="25"/>
        <v>0</v>
      </c>
      <c r="C50" s="1494"/>
      <c r="D50" s="1495"/>
      <c r="E50" s="1495"/>
      <c r="F50" s="1495"/>
      <c r="G50" s="1495"/>
      <c r="H50" s="1495"/>
      <c r="I50" s="1495"/>
      <c r="J50" s="1495"/>
      <c r="K50" s="1495"/>
      <c r="L50" s="1495"/>
      <c r="M50" s="1495"/>
      <c r="N50" s="1495"/>
      <c r="O50" s="1495"/>
      <c r="P50" s="1495"/>
      <c r="Q50" s="1495"/>
      <c r="R50" s="1495"/>
      <c r="S50" s="1503"/>
      <c r="T50" s="407"/>
      <c r="U50" s="1535"/>
      <c r="V50" s="407"/>
      <c r="W50" s="1535"/>
      <c r="X50" s="407"/>
      <c r="Y50" s="1535"/>
      <c r="Z50" s="961">
        <f t="shared" si="10"/>
        <v>0</v>
      </c>
      <c r="AA50" s="407"/>
      <c r="AB50" s="1536"/>
      <c r="AC50" s="1536"/>
      <c r="AD50" s="1535"/>
      <c r="AE50" s="961">
        <f t="shared" si="11"/>
        <v>0</v>
      </c>
      <c r="AF50" s="407"/>
      <c r="AG50" s="1536"/>
      <c r="AH50" s="1536"/>
      <c r="AI50" s="1537"/>
      <c r="AJ50" s="1506"/>
      <c r="AK50" s="1506"/>
      <c r="AL50" s="1506"/>
      <c r="AM50" s="1506"/>
      <c r="AN50" s="1506"/>
      <c r="AO50" s="1506"/>
      <c r="AP50" s="1506"/>
      <c r="AQ50" s="1506"/>
      <c r="AR50" s="1506"/>
      <c r="AS50" s="1506"/>
      <c r="AT50" s="161" t="str">
        <f t="shared" si="15"/>
        <v/>
      </c>
      <c r="CA50" s="162" t="str">
        <f t="shared" si="16"/>
        <v/>
      </c>
      <c r="CB50" s="162" t="str">
        <f t="shared" si="17"/>
        <v/>
      </c>
      <c r="CC50" s="162" t="str">
        <f t="shared" si="18"/>
        <v/>
      </c>
      <c r="CD50" s="162" t="str">
        <f t="shared" si="19"/>
        <v/>
      </c>
      <c r="CE50" s="162" t="str">
        <f t="shared" si="20"/>
        <v/>
      </c>
      <c r="CF50" s="162" t="str">
        <f t="shared" si="21"/>
        <v/>
      </c>
      <c r="CG50" s="162" t="str">
        <f t="shared" si="22"/>
        <v/>
      </c>
      <c r="CK50" s="163">
        <f t="shared" si="12"/>
        <v>0</v>
      </c>
      <c r="CL50" s="163">
        <f t="shared" si="13"/>
        <v>0</v>
      </c>
      <c r="CM50" s="163">
        <f t="shared" si="14"/>
        <v>0</v>
      </c>
      <c r="CN50" s="163">
        <f t="shared" si="23"/>
        <v>0</v>
      </c>
      <c r="CO50" s="163">
        <f t="shared" si="24"/>
        <v>0</v>
      </c>
      <c r="CP50" s="163">
        <f t="shared" si="24"/>
        <v>0</v>
      </c>
      <c r="CQ50" s="163">
        <f t="shared" si="24"/>
        <v>0</v>
      </c>
    </row>
    <row r="51" spans="1:95" s="161" customFormat="1" ht="15" customHeight="1" x14ac:dyDescent="0.2">
      <c r="A51" s="1112" t="s">
        <v>4307</v>
      </c>
      <c r="B51" s="406">
        <f t="shared" si="25"/>
        <v>0</v>
      </c>
      <c r="C51" s="1494"/>
      <c r="D51" s="1495"/>
      <c r="E51" s="1495"/>
      <c r="F51" s="1495"/>
      <c r="G51" s="1495"/>
      <c r="H51" s="1495"/>
      <c r="I51" s="1495"/>
      <c r="J51" s="1495"/>
      <c r="K51" s="1495"/>
      <c r="L51" s="1495"/>
      <c r="M51" s="1495"/>
      <c r="N51" s="1495"/>
      <c r="O51" s="1495"/>
      <c r="P51" s="1495"/>
      <c r="Q51" s="1495"/>
      <c r="R51" s="1495"/>
      <c r="S51" s="1503"/>
      <c r="T51" s="407"/>
      <c r="U51" s="1535"/>
      <c r="V51" s="407"/>
      <c r="W51" s="1535"/>
      <c r="X51" s="407"/>
      <c r="Y51" s="1535"/>
      <c r="Z51" s="961">
        <f t="shared" si="10"/>
        <v>0</v>
      </c>
      <c r="AA51" s="407"/>
      <c r="AB51" s="1536"/>
      <c r="AC51" s="1536"/>
      <c r="AD51" s="1535"/>
      <c r="AE51" s="961">
        <f t="shared" si="11"/>
        <v>0</v>
      </c>
      <c r="AF51" s="407"/>
      <c r="AG51" s="1536"/>
      <c r="AH51" s="1536"/>
      <c r="AI51" s="1537"/>
      <c r="AJ51" s="1506"/>
      <c r="AK51" s="1506"/>
      <c r="AL51" s="1506"/>
      <c r="AM51" s="1506"/>
      <c r="AN51" s="1506"/>
      <c r="AO51" s="1506"/>
      <c r="AP51" s="1506"/>
      <c r="AQ51" s="1506"/>
      <c r="AR51" s="1506"/>
      <c r="AS51" s="1506"/>
      <c r="AT51" s="161" t="str">
        <f t="shared" si="15"/>
        <v/>
      </c>
      <c r="CA51" s="162" t="str">
        <f t="shared" si="16"/>
        <v/>
      </c>
      <c r="CB51" s="162" t="str">
        <f t="shared" si="17"/>
        <v/>
      </c>
      <c r="CC51" s="162" t="str">
        <f t="shared" si="18"/>
        <v/>
      </c>
      <c r="CD51" s="162" t="str">
        <f t="shared" si="19"/>
        <v/>
      </c>
      <c r="CE51" s="162" t="str">
        <f t="shared" si="20"/>
        <v/>
      </c>
      <c r="CF51" s="162" t="str">
        <f t="shared" si="21"/>
        <v/>
      </c>
      <c r="CG51" s="162" t="str">
        <f t="shared" si="22"/>
        <v/>
      </c>
      <c r="CK51" s="163">
        <f t="shared" si="12"/>
        <v>0</v>
      </c>
      <c r="CL51" s="163">
        <f t="shared" si="13"/>
        <v>0</v>
      </c>
      <c r="CM51" s="163">
        <f t="shared" si="14"/>
        <v>0</v>
      </c>
      <c r="CN51" s="163">
        <f t="shared" si="23"/>
        <v>0</v>
      </c>
      <c r="CO51" s="163">
        <f t="shared" si="24"/>
        <v>0</v>
      </c>
      <c r="CP51" s="163">
        <f t="shared" si="24"/>
        <v>0</v>
      </c>
      <c r="CQ51" s="163">
        <f t="shared" si="24"/>
        <v>0</v>
      </c>
    </row>
    <row r="52" spans="1:95" s="161" customFormat="1" ht="15" customHeight="1" x14ac:dyDescent="0.3">
      <c r="A52" s="3150" t="s">
        <v>4309</v>
      </c>
      <c r="B52" s="406">
        <f t="shared" si="25"/>
        <v>0</v>
      </c>
      <c r="C52" s="1494"/>
      <c r="D52" s="1495"/>
      <c r="E52" s="1495"/>
      <c r="F52" s="1495"/>
      <c r="G52" s="1495"/>
      <c r="H52" s="1495"/>
      <c r="I52" s="1495"/>
      <c r="J52" s="1495"/>
      <c r="K52" s="1495"/>
      <c r="L52" s="1495"/>
      <c r="M52" s="1495"/>
      <c r="N52" s="1495"/>
      <c r="O52" s="1495"/>
      <c r="P52" s="1495"/>
      <c r="Q52" s="1495"/>
      <c r="R52" s="1495"/>
      <c r="S52" s="1503"/>
      <c r="T52" s="407"/>
      <c r="U52" s="1535"/>
      <c r="V52" s="407"/>
      <c r="W52" s="1535"/>
      <c r="X52" s="407"/>
      <c r="Y52" s="1535"/>
      <c r="Z52" s="961">
        <f t="shared" si="10"/>
        <v>0</v>
      </c>
      <c r="AA52" s="407"/>
      <c r="AB52" s="1536"/>
      <c r="AC52" s="1536"/>
      <c r="AD52" s="1535"/>
      <c r="AE52" s="961">
        <f t="shared" si="11"/>
        <v>0</v>
      </c>
      <c r="AF52" s="407"/>
      <c r="AG52" s="1536"/>
      <c r="AH52" s="1536"/>
      <c r="AI52" s="1537"/>
      <c r="AJ52" s="1506"/>
      <c r="AK52" s="1506"/>
      <c r="AL52" s="1506"/>
      <c r="AM52" s="1506"/>
      <c r="AN52" s="1506"/>
      <c r="AO52" s="1506"/>
      <c r="AP52" s="1506"/>
      <c r="AQ52" s="1506"/>
      <c r="AR52" s="1506"/>
      <c r="AS52" s="1506"/>
      <c r="AT52" s="161" t="str">
        <f t="shared" si="15"/>
        <v/>
      </c>
      <c r="CA52" s="162" t="str">
        <f t="shared" si="16"/>
        <v/>
      </c>
      <c r="CB52" s="162" t="str">
        <f t="shared" si="17"/>
        <v/>
      </c>
      <c r="CC52" s="162" t="str">
        <f t="shared" si="18"/>
        <v/>
      </c>
      <c r="CD52" s="162" t="str">
        <f t="shared" si="19"/>
        <v/>
      </c>
      <c r="CE52" s="162" t="str">
        <f t="shared" si="20"/>
        <v/>
      </c>
      <c r="CF52" s="162" t="str">
        <f t="shared" si="21"/>
        <v/>
      </c>
      <c r="CG52" s="162" t="str">
        <f t="shared" si="22"/>
        <v/>
      </c>
      <c r="CK52" s="163">
        <f t="shared" si="12"/>
        <v>0</v>
      </c>
      <c r="CL52" s="163">
        <f t="shared" si="13"/>
        <v>0</v>
      </c>
      <c r="CM52" s="163">
        <f t="shared" si="14"/>
        <v>0</v>
      </c>
      <c r="CN52" s="163">
        <f t="shared" si="23"/>
        <v>0</v>
      </c>
      <c r="CO52" s="163">
        <f t="shared" si="24"/>
        <v>0</v>
      </c>
      <c r="CP52" s="163">
        <f t="shared" si="24"/>
        <v>0</v>
      </c>
      <c r="CQ52" s="163">
        <f t="shared" si="24"/>
        <v>0</v>
      </c>
    </row>
    <row r="53" spans="1:95" s="161" customFormat="1" ht="15" customHeight="1" x14ac:dyDescent="0.2">
      <c r="A53" s="1112" t="s">
        <v>4310</v>
      </c>
      <c r="B53" s="406">
        <f t="shared" si="25"/>
        <v>0</v>
      </c>
      <c r="C53" s="1494"/>
      <c r="D53" s="1495"/>
      <c r="E53" s="1495"/>
      <c r="F53" s="1495"/>
      <c r="G53" s="1495"/>
      <c r="H53" s="1495"/>
      <c r="I53" s="1495"/>
      <c r="J53" s="1495"/>
      <c r="K53" s="1495"/>
      <c r="L53" s="1495"/>
      <c r="M53" s="1495"/>
      <c r="N53" s="1495"/>
      <c r="O53" s="1495"/>
      <c r="P53" s="1495"/>
      <c r="Q53" s="1495"/>
      <c r="R53" s="1495"/>
      <c r="S53" s="1503"/>
      <c r="T53" s="407"/>
      <c r="U53" s="1535"/>
      <c r="V53" s="407"/>
      <c r="W53" s="1535"/>
      <c r="X53" s="407"/>
      <c r="Y53" s="1535"/>
      <c r="Z53" s="961">
        <f t="shared" si="10"/>
        <v>0</v>
      </c>
      <c r="AA53" s="407"/>
      <c r="AB53" s="1536"/>
      <c r="AC53" s="1536"/>
      <c r="AD53" s="1535"/>
      <c r="AE53" s="961">
        <f t="shared" si="11"/>
        <v>0</v>
      </c>
      <c r="AF53" s="407"/>
      <c r="AG53" s="1536"/>
      <c r="AH53" s="1536"/>
      <c r="AI53" s="1537"/>
      <c r="AJ53" s="1506"/>
      <c r="AK53" s="1506"/>
      <c r="AL53" s="1506"/>
      <c r="AM53" s="1506"/>
      <c r="AN53" s="1506"/>
      <c r="AO53" s="1506"/>
      <c r="AP53" s="1506"/>
      <c r="AQ53" s="1506"/>
      <c r="AR53" s="1506"/>
      <c r="AS53" s="1506"/>
      <c r="AT53" s="161" t="str">
        <f t="shared" si="15"/>
        <v/>
      </c>
      <c r="CA53" s="162" t="str">
        <f t="shared" si="16"/>
        <v/>
      </c>
      <c r="CB53" s="162" t="str">
        <f t="shared" si="17"/>
        <v/>
      </c>
      <c r="CC53" s="162" t="str">
        <f t="shared" si="18"/>
        <v/>
      </c>
      <c r="CD53" s="162" t="str">
        <f t="shared" si="19"/>
        <v/>
      </c>
      <c r="CE53" s="162" t="str">
        <f t="shared" si="20"/>
        <v/>
      </c>
      <c r="CF53" s="162" t="str">
        <f t="shared" si="21"/>
        <v/>
      </c>
      <c r="CG53" s="162" t="str">
        <f t="shared" si="22"/>
        <v/>
      </c>
      <c r="CK53" s="163">
        <f t="shared" si="12"/>
        <v>0</v>
      </c>
      <c r="CL53" s="163">
        <f t="shared" si="13"/>
        <v>0</v>
      </c>
      <c r="CM53" s="163">
        <f t="shared" si="14"/>
        <v>0</v>
      </c>
      <c r="CN53" s="163">
        <f t="shared" si="23"/>
        <v>0</v>
      </c>
      <c r="CO53" s="163">
        <f t="shared" si="24"/>
        <v>0</v>
      </c>
      <c r="CP53" s="163">
        <f t="shared" si="24"/>
        <v>0</v>
      </c>
      <c r="CQ53" s="163">
        <f t="shared" si="24"/>
        <v>0</v>
      </c>
    </row>
    <row r="54" spans="1:95" s="161" customFormat="1" ht="15" customHeight="1" x14ac:dyDescent="0.2">
      <c r="A54" s="1112" t="s">
        <v>4412</v>
      </c>
      <c r="B54" s="406">
        <f t="shared" si="25"/>
        <v>0</v>
      </c>
      <c r="C54" s="1494"/>
      <c r="D54" s="1495"/>
      <c r="E54" s="1495"/>
      <c r="F54" s="1495"/>
      <c r="G54" s="1495"/>
      <c r="H54" s="1495"/>
      <c r="I54" s="1495"/>
      <c r="J54" s="1495"/>
      <c r="K54" s="1495"/>
      <c r="L54" s="1495"/>
      <c r="M54" s="1495"/>
      <c r="N54" s="1495"/>
      <c r="O54" s="1495"/>
      <c r="P54" s="1495"/>
      <c r="Q54" s="1495"/>
      <c r="R54" s="1495"/>
      <c r="S54" s="1503"/>
      <c r="T54" s="407"/>
      <c r="U54" s="1535"/>
      <c r="V54" s="407"/>
      <c r="W54" s="1535"/>
      <c r="X54" s="407"/>
      <c r="Y54" s="1535"/>
      <c r="Z54" s="961">
        <f t="shared" si="10"/>
        <v>0</v>
      </c>
      <c r="AA54" s="407"/>
      <c r="AB54" s="1536"/>
      <c r="AC54" s="1536"/>
      <c r="AD54" s="1535"/>
      <c r="AE54" s="961">
        <f t="shared" si="11"/>
        <v>0</v>
      </c>
      <c r="AF54" s="407"/>
      <c r="AG54" s="1536"/>
      <c r="AH54" s="1536"/>
      <c r="AI54" s="1537"/>
      <c r="AJ54" s="1506"/>
      <c r="AK54" s="1506"/>
      <c r="AL54" s="1506"/>
      <c r="AM54" s="1506"/>
      <c r="AN54" s="1506"/>
      <c r="AO54" s="1506"/>
      <c r="AP54" s="1506"/>
      <c r="AQ54" s="1506"/>
      <c r="AR54" s="1506"/>
      <c r="AS54" s="1506"/>
      <c r="AT54" s="161" t="str">
        <f t="shared" si="15"/>
        <v/>
      </c>
      <c r="CA54" s="162" t="str">
        <f t="shared" si="16"/>
        <v/>
      </c>
      <c r="CB54" s="162" t="str">
        <f t="shared" si="17"/>
        <v/>
      </c>
      <c r="CC54" s="162" t="str">
        <f t="shared" si="18"/>
        <v/>
      </c>
      <c r="CD54" s="162" t="str">
        <f t="shared" si="19"/>
        <v/>
      </c>
      <c r="CE54" s="162" t="str">
        <f t="shared" si="20"/>
        <v/>
      </c>
      <c r="CF54" s="162" t="str">
        <f t="shared" si="21"/>
        <v/>
      </c>
      <c r="CG54" s="162" t="str">
        <f t="shared" si="22"/>
        <v/>
      </c>
      <c r="CK54" s="163">
        <f t="shared" si="12"/>
        <v>0</v>
      </c>
      <c r="CL54" s="163">
        <f t="shared" si="13"/>
        <v>0</v>
      </c>
      <c r="CM54" s="163">
        <f t="shared" si="14"/>
        <v>0</v>
      </c>
      <c r="CN54" s="163">
        <f t="shared" si="23"/>
        <v>0</v>
      </c>
      <c r="CO54" s="163">
        <f t="shared" si="24"/>
        <v>0</v>
      </c>
      <c r="CP54" s="163">
        <f t="shared" si="24"/>
        <v>0</v>
      </c>
      <c r="CQ54" s="163">
        <f t="shared" si="24"/>
        <v>0</v>
      </c>
    </row>
    <row r="55" spans="1:95" s="161" customFormat="1" ht="15" customHeight="1" x14ac:dyDescent="0.3">
      <c r="A55" s="961" t="s">
        <v>1220</v>
      </c>
      <c r="B55" s="406">
        <f t="shared" si="25"/>
        <v>0</v>
      </c>
      <c r="C55" s="1494"/>
      <c r="D55" s="1495"/>
      <c r="E55" s="1495"/>
      <c r="F55" s="1495"/>
      <c r="G55" s="1495"/>
      <c r="H55" s="1495"/>
      <c r="I55" s="1495"/>
      <c r="J55" s="1495"/>
      <c r="K55" s="1495"/>
      <c r="L55" s="1495"/>
      <c r="M55" s="1495"/>
      <c r="N55" s="1495"/>
      <c r="O55" s="1495"/>
      <c r="P55" s="1495"/>
      <c r="Q55" s="1495"/>
      <c r="R55" s="1495"/>
      <c r="S55" s="1503"/>
      <c r="T55" s="407"/>
      <c r="U55" s="1535"/>
      <c r="V55" s="407"/>
      <c r="W55" s="1535"/>
      <c r="X55" s="407"/>
      <c r="Y55" s="1535"/>
      <c r="Z55" s="961">
        <f t="shared" si="10"/>
        <v>0</v>
      </c>
      <c r="AA55" s="407"/>
      <c r="AB55" s="1536"/>
      <c r="AC55" s="1536"/>
      <c r="AD55" s="1535"/>
      <c r="AE55" s="961">
        <f t="shared" si="11"/>
        <v>0</v>
      </c>
      <c r="AF55" s="407"/>
      <c r="AG55" s="1536"/>
      <c r="AH55" s="1536"/>
      <c r="AI55" s="1537"/>
      <c r="AJ55" s="1506"/>
      <c r="AK55" s="1506"/>
      <c r="AL55" s="1506"/>
      <c r="AM55" s="1506"/>
      <c r="AN55" s="1506"/>
      <c r="AO55" s="1506"/>
      <c r="AP55" s="1506"/>
      <c r="AQ55" s="1506"/>
      <c r="AR55" s="1506"/>
      <c r="AS55" s="1506"/>
      <c r="AT55" s="161" t="str">
        <f t="shared" si="15"/>
        <v/>
      </c>
      <c r="CA55" s="162" t="str">
        <f t="shared" si="16"/>
        <v/>
      </c>
      <c r="CB55" s="162" t="str">
        <f t="shared" si="17"/>
        <v/>
      </c>
      <c r="CC55" s="162" t="str">
        <f t="shared" si="18"/>
        <v/>
      </c>
      <c r="CD55" s="162" t="str">
        <f t="shared" si="19"/>
        <v/>
      </c>
      <c r="CE55" s="162" t="str">
        <f t="shared" si="20"/>
        <v/>
      </c>
      <c r="CF55" s="162" t="str">
        <f t="shared" si="21"/>
        <v/>
      </c>
      <c r="CG55" s="162" t="str">
        <f t="shared" si="22"/>
        <v/>
      </c>
      <c r="CK55" s="163">
        <f t="shared" si="12"/>
        <v>0</v>
      </c>
      <c r="CL55" s="163">
        <f t="shared" si="13"/>
        <v>0</v>
      </c>
      <c r="CM55" s="163">
        <f t="shared" si="14"/>
        <v>0</v>
      </c>
      <c r="CN55" s="163">
        <f t="shared" si="23"/>
        <v>0</v>
      </c>
      <c r="CO55" s="163">
        <f t="shared" si="24"/>
        <v>0</v>
      </c>
      <c r="CP55" s="163">
        <f t="shared" si="24"/>
        <v>0</v>
      </c>
      <c r="CQ55" s="163">
        <f t="shared" si="24"/>
        <v>0</v>
      </c>
    </row>
    <row r="56" spans="1:95" s="161" customFormat="1" ht="15" customHeight="1" x14ac:dyDescent="0.3">
      <c r="A56" s="961" t="s">
        <v>4417</v>
      </c>
      <c r="B56" s="406">
        <f t="shared" si="25"/>
        <v>0</v>
      </c>
      <c r="C56" s="1494"/>
      <c r="D56" s="1495"/>
      <c r="E56" s="1495"/>
      <c r="F56" s="1495"/>
      <c r="G56" s="1495"/>
      <c r="H56" s="1495"/>
      <c r="I56" s="1495"/>
      <c r="J56" s="1495"/>
      <c r="K56" s="1495"/>
      <c r="L56" s="1495"/>
      <c r="M56" s="1495"/>
      <c r="N56" s="1495"/>
      <c r="O56" s="1495"/>
      <c r="P56" s="1495"/>
      <c r="Q56" s="1495"/>
      <c r="R56" s="1495"/>
      <c r="S56" s="1503"/>
      <c r="T56" s="407"/>
      <c r="U56" s="1535"/>
      <c r="V56" s="407"/>
      <c r="W56" s="1535"/>
      <c r="X56" s="407"/>
      <c r="Y56" s="1535"/>
      <c r="Z56" s="961">
        <f t="shared" si="10"/>
        <v>0</v>
      </c>
      <c r="AA56" s="407"/>
      <c r="AB56" s="1536"/>
      <c r="AC56" s="1536"/>
      <c r="AD56" s="1535"/>
      <c r="AE56" s="961">
        <f t="shared" si="11"/>
        <v>0</v>
      </c>
      <c r="AF56" s="407"/>
      <c r="AG56" s="1536"/>
      <c r="AH56" s="1536"/>
      <c r="AI56" s="1537"/>
      <c r="AJ56" s="1506"/>
      <c r="AK56" s="1506"/>
      <c r="AL56" s="1506"/>
      <c r="AM56" s="1506"/>
      <c r="AN56" s="1506"/>
      <c r="AO56" s="1506"/>
      <c r="AP56" s="1506"/>
      <c r="AQ56" s="1506"/>
      <c r="AR56" s="1506"/>
      <c r="AS56" s="1506"/>
      <c r="AT56" s="161" t="str">
        <f t="shared" si="15"/>
        <v/>
      </c>
      <c r="CA56" s="162" t="str">
        <f t="shared" si="16"/>
        <v/>
      </c>
      <c r="CB56" s="162" t="str">
        <f t="shared" si="17"/>
        <v/>
      </c>
      <c r="CC56" s="162" t="str">
        <f t="shared" si="18"/>
        <v/>
      </c>
      <c r="CD56" s="162" t="str">
        <f t="shared" si="19"/>
        <v/>
      </c>
      <c r="CE56" s="162" t="str">
        <f t="shared" si="20"/>
        <v/>
      </c>
      <c r="CF56" s="162" t="str">
        <f t="shared" si="21"/>
        <v/>
      </c>
      <c r="CG56" s="162" t="str">
        <f t="shared" si="22"/>
        <v/>
      </c>
      <c r="CK56" s="163">
        <f t="shared" si="12"/>
        <v>0</v>
      </c>
      <c r="CL56" s="163">
        <f t="shared" si="13"/>
        <v>0</v>
      </c>
      <c r="CM56" s="163">
        <f t="shared" si="14"/>
        <v>0</v>
      </c>
      <c r="CN56" s="163">
        <f t="shared" si="23"/>
        <v>0</v>
      </c>
      <c r="CO56" s="163">
        <f t="shared" si="24"/>
        <v>0</v>
      </c>
      <c r="CP56" s="163">
        <f t="shared" si="24"/>
        <v>0</v>
      </c>
      <c r="CQ56" s="163">
        <f t="shared" si="24"/>
        <v>0</v>
      </c>
    </row>
    <row r="57" spans="1:95" s="161" customFormat="1" ht="15" customHeight="1" x14ac:dyDescent="0.3">
      <c r="A57" s="961" t="s">
        <v>1221</v>
      </c>
      <c r="B57" s="406">
        <f t="shared" si="25"/>
        <v>0</v>
      </c>
      <c r="C57" s="1494"/>
      <c r="D57" s="1495"/>
      <c r="E57" s="1495"/>
      <c r="F57" s="1495"/>
      <c r="G57" s="1495"/>
      <c r="H57" s="1495"/>
      <c r="I57" s="1495"/>
      <c r="J57" s="1495"/>
      <c r="K57" s="1495"/>
      <c r="L57" s="1495"/>
      <c r="M57" s="1495"/>
      <c r="N57" s="1495"/>
      <c r="O57" s="1495"/>
      <c r="P57" s="1495"/>
      <c r="Q57" s="1495"/>
      <c r="R57" s="1495"/>
      <c r="S57" s="1503"/>
      <c r="T57" s="407"/>
      <c r="U57" s="1535"/>
      <c r="V57" s="407"/>
      <c r="W57" s="1535"/>
      <c r="X57" s="407"/>
      <c r="Y57" s="1535"/>
      <c r="Z57" s="961">
        <f t="shared" si="10"/>
        <v>0</v>
      </c>
      <c r="AA57" s="407"/>
      <c r="AB57" s="1536"/>
      <c r="AC57" s="1536"/>
      <c r="AD57" s="1535"/>
      <c r="AE57" s="961">
        <f t="shared" si="11"/>
        <v>0</v>
      </c>
      <c r="AF57" s="407"/>
      <c r="AG57" s="1536"/>
      <c r="AH57" s="1536"/>
      <c r="AI57" s="1537"/>
      <c r="AJ57" s="1506"/>
      <c r="AK57" s="1506"/>
      <c r="AL57" s="1506"/>
      <c r="AM57" s="1506"/>
      <c r="AN57" s="1506"/>
      <c r="AO57" s="1506"/>
      <c r="AP57" s="1506"/>
      <c r="AQ57" s="1506"/>
      <c r="AR57" s="1506"/>
      <c r="AS57" s="1506"/>
      <c r="AT57" s="161" t="str">
        <f t="shared" si="15"/>
        <v/>
      </c>
      <c r="CA57" s="162" t="str">
        <f t="shared" si="16"/>
        <v/>
      </c>
      <c r="CB57" s="162" t="str">
        <f t="shared" si="17"/>
        <v/>
      </c>
      <c r="CC57" s="162" t="str">
        <f t="shared" si="18"/>
        <v/>
      </c>
      <c r="CD57" s="162" t="str">
        <f t="shared" si="19"/>
        <v/>
      </c>
      <c r="CE57" s="162" t="str">
        <f t="shared" si="20"/>
        <v/>
      </c>
      <c r="CF57" s="162" t="str">
        <f t="shared" si="21"/>
        <v/>
      </c>
      <c r="CG57" s="162" t="str">
        <f t="shared" si="22"/>
        <v/>
      </c>
      <c r="CK57" s="163">
        <f t="shared" si="12"/>
        <v>0</v>
      </c>
      <c r="CL57" s="163">
        <f t="shared" si="13"/>
        <v>0</v>
      </c>
      <c r="CM57" s="163">
        <f t="shared" si="14"/>
        <v>0</v>
      </c>
      <c r="CN57" s="163">
        <f t="shared" si="23"/>
        <v>0</v>
      </c>
      <c r="CO57" s="163">
        <f t="shared" si="24"/>
        <v>0</v>
      </c>
      <c r="CP57" s="163">
        <f t="shared" si="24"/>
        <v>0</v>
      </c>
      <c r="CQ57" s="163">
        <f t="shared" si="24"/>
        <v>0</v>
      </c>
    </row>
    <row r="58" spans="1:95" s="161" customFormat="1" ht="15" customHeight="1" x14ac:dyDescent="0.3">
      <c r="A58" s="961" t="s">
        <v>1222</v>
      </c>
      <c r="B58" s="406">
        <f t="shared" si="25"/>
        <v>0</v>
      </c>
      <c r="C58" s="1540"/>
      <c r="D58" s="1538"/>
      <c r="E58" s="1538"/>
      <c r="F58" s="1538"/>
      <c r="G58" s="1538"/>
      <c r="H58" s="1538"/>
      <c r="I58" s="1538"/>
      <c r="J58" s="1538"/>
      <c r="K58" s="1538"/>
      <c r="L58" s="1538"/>
      <c r="M58" s="1538"/>
      <c r="N58" s="1538"/>
      <c r="O58" s="1495"/>
      <c r="P58" s="1495"/>
      <c r="Q58" s="1495"/>
      <c r="R58" s="1495"/>
      <c r="S58" s="1503"/>
      <c r="T58" s="407"/>
      <c r="U58" s="1535"/>
      <c r="V58" s="407"/>
      <c r="W58" s="1535"/>
      <c r="X58" s="407"/>
      <c r="Y58" s="1535"/>
      <c r="Z58" s="961">
        <f t="shared" si="10"/>
        <v>0</v>
      </c>
      <c r="AA58" s="407"/>
      <c r="AB58" s="1536"/>
      <c r="AC58" s="1536"/>
      <c r="AD58" s="1535"/>
      <c r="AE58" s="961">
        <f t="shared" si="11"/>
        <v>0</v>
      </c>
      <c r="AF58" s="407"/>
      <c r="AG58" s="1536"/>
      <c r="AH58" s="1536"/>
      <c r="AI58" s="1537"/>
      <c r="AJ58" s="1506"/>
      <c r="AK58" s="1506"/>
      <c r="AL58" s="1506"/>
      <c r="AM58" s="1506"/>
      <c r="AN58" s="1506"/>
      <c r="AO58" s="1506"/>
      <c r="AP58" s="1506"/>
      <c r="AQ58" s="1506"/>
      <c r="AR58" s="1506"/>
      <c r="AS58" s="1506"/>
      <c r="AT58" s="161" t="str">
        <f t="shared" si="15"/>
        <v/>
      </c>
      <c r="CA58" s="162" t="str">
        <f t="shared" si="16"/>
        <v/>
      </c>
      <c r="CB58" s="162" t="str">
        <f t="shared" si="17"/>
        <v/>
      </c>
      <c r="CC58" s="162" t="str">
        <f t="shared" si="18"/>
        <v/>
      </c>
      <c r="CD58" s="162" t="str">
        <f t="shared" si="19"/>
        <v/>
      </c>
      <c r="CE58" s="162" t="str">
        <f t="shared" si="20"/>
        <v/>
      </c>
      <c r="CF58" s="162" t="str">
        <f t="shared" si="21"/>
        <v/>
      </c>
      <c r="CG58" s="162" t="str">
        <f t="shared" si="22"/>
        <v/>
      </c>
      <c r="CK58" s="163">
        <f t="shared" si="12"/>
        <v>0</v>
      </c>
      <c r="CL58" s="163">
        <f t="shared" si="13"/>
        <v>0</v>
      </c>
      <c r="CM58" s="163">
        <f t="shared" si="14"/>
        <v>0</v>
      </c>
      <c r="CN58" s="163">
        <f t="shared" si="23"/>
        <v>0</v>
      </c>
      <c r="CO58" s="163">
        <f t="shared" si="24"/>
        <v>0</v>
      </c>
      <c r="CP58" s="163">
        <f t="shared" si="24"/>
        <v>0</v>
      </c>
      <c r="CQ58" s="163">
        <f t="shared" si="24"/>
        <v>0</v>
      </c>
    </row>
    <row r="59" spans="1:95" s="161" customFormat="1" ht="15" customHeight="1" x14ac:dyDescent="0.2">
      <c r="A59" s="1112" t="s">
        <v>4311</v>
      </c>
      <c r="B59" s="406">
        <f t="shared" si="25"/>
        <v>0</v>
      </c>
      <c r="C59" s="1494"/>
      <c r="D59" s="1495"/>
      <c r="E59" s="1495"/>
      <c r="F59" s="1541"/>
      <c r="G59" s="1541"/>
      <c r="H59" s="1541"/>
      <c r="I59" s="1541"/>
      <c r="J59" s="1541"/>
      <c r="K59" s="1541"/>
      <c r="L59" s="1495"/>
      <c r="M59" s="1495"/>
      <c r="N59" s="1495"/>
      <c r="O59" s="1495"/>
      <c r="P59" s="1495"/>
      <c r="Q59" s="1495"/>
      <c r="R59" s="1495"/>
      <c r="S59" s="1503"/>
      <c r="T59" s="407"/>
      <c r="U59" s="1535"/>
      <c r="V59" s="407"/>
      <c r="W59" s="1535"/>
      <c r="X59" s="407"/>
      <c r="Y59" s="1535"/>
      <c r="Z59" s="961">
        <f t="shared" si="10"/>
        <v>0</v>
      </c>
      <c r="AA59" s="407"/>
      <c r="AB59" s="1536"/>
      <c r="AC59" s="1536"/>
      <c r="AD59" s="1535"/>
      <c r="AE59" s="961">
        <f t="shared" si="11"/>
        <v>0</v>
      </c>
      <c r="AF59" s="407"/>
      <c r="AG59" s="1536"/>
      <c r="AH59" s="1536"/>
      <c r="AI59" s="1537"/>
      <c r="AJ59" s="1506"/>
      <c r="AK59" s="1506"/>
      <c r="AL59" s="1506"/>
      <c r="AM59" s="1506"/>
      <c r="AN59" s="1506"/>
      <c r="AO59" s="1506"/>
      <c r="AP59" s="1506"/>
      <c r="AQ59" s="1506"/>
      <c r="AR59" s="1506"/>
      <c r="AS59" s="1506"/>
      <c r="AT59" s="161" t="str">
        <f t="shared" si="15"/>
        <v/>
      </c>
      <c r="CA59" s="162" t="str">
        <f t="shared" si="16"/>
        <v/>
      </c>
      <c r="CB59" s="162" t="str">
        <f t="shared" si="17"/>
        <v/>
      </c>
      <c r="CC59" s="162" t="str">
        <f t="shared" si="18"/>
        <v/>
      </c>
      <c r="CD59" s="162" t="str">
        <f t="shared" si="19"/>
        <v/>
      </c>
      <c r="CE59" s="162" t="str">
        <f t="shared" si="20"/>
        <v/>
      </c>
      <c r="CF59" s="162" t="str">
        <f t="shared" si="21"/>
        <v/>
      </c>
      <c r="CG59" s="162" t="str">
        <f t="shared" si="22"/>
        <v/>
      </c>
      <c r="CK59" s="163">
        <f t="shared" si="12"/>
        <v>0</v>
      </c>
      <c r="CL59" s="163">
        <f t="shared" si="13"/>
        <v>0</v>
      </c>
      <c r="CM59" s="163">
        <f t="shared" si="14"/>
        <v>0</v>
      </c>
      <c r="CN59" s="163">
        <f t="shared" si="23"/>
        <v>0</v>
      </c>
      <c r="CO59" s="163">
        <f t="shared" si="24"/>
        <v>0</v>
      </c>
      <c r="CP59" s="163">
        <f t="shared" si="24"/>
        <v>0</v>
      </c>
      <c r="CQ59" s="163">
        <f t="shared" si="24"/>
        <v>0</v>
      </c>
    </row>
    <row r="60" spans="1:95" s="161" customFormat="1" ht="15" customHeight="1" x14ac:dyDescent="0.3">
      <c r="A60" s="3150" t="s">
        <v>4411</v>
      </c>
      <c r="B60" s="406">
        <f t="shared" si="25"/>
        <v>0</v>
      </c>
      <c r="C60" s="1542"/>
      <c r="D60" s="1541"/>
      <c r="E60" s="1541"/>
      <c r="F60" s="1541"/>
      <c r="G60" s="1495"/>
      <c r="H60" s="1495"/>
      <c r="I60" s="1495"/>
      <c r="J60" s="1495"/>
      <c r="K60" s="1495"/>
      <c r="L60" s="1495"/>
      <c r="M60" s="1495"/>
      <c r="N60" s="1495"/>
      <c r="O60" s="1495"/>
      <c r="P60" s="1495"/>
      <c r="Q60" s="1495"/>
      <c r="R60" s="1495"/>
      <c r="S60" s="1503"/>
      <c r="T60" s="407"/>
      <c r="U60" s="1535"/>
      <c r="V60" s="407"/>
      <c r="W60" s="1535"/>
      <c r="X60" s="407"/>
      <c r="Y60" s="1535"/>
      <c r="Z60" s="961">
        <f t="shared" si="10"/>
        <v>0</v>
      </c>
      <c r="AA60" s="407"/>
      <c r="AB60" s="1536"/>
      <c r="AC60" s="1536"/>
      <c r="AD60" s="1535"/>
      <c r="AE60" s="961">
        <f t="shared" si="11"/>
        <v>0</v>
      </c>
      <c r="AF60" s="407"/>
      <c r="AG60" s="1536"/>
      <c r="AH60" s="1536"/>
      <c r="AI60" s="1537"/>
      <c r="AJ60" s="1506"/>
      <c r="AK60" s="1506"/>
      <c r="AL60" s="1506"/>
      <c r="AM60" s="1506"/>
      <c r="AN60" s="1506"/>
      <c r="AO60" s="1506"/>
      <c r="AP60" s="1506"/>
      <c r="AQ60" s="1506"/>
      <c r="AR60" s="1506"/>
      <c r="AS60" s="1506"/>
      <c r="AT60" s="161" t="str">
        <f t="shared" si="15"/>
        <v/>
      </c>
      <c r="CA60" s="162" t="str">
        <f t="shared" si="16"/>
        <v/>
      </c>
      <c r="CB60" s="162" t="str">
        <f t="shared" si="17"/>
        <v/>
      </c>
      <c r="CC60" s="162" t="str">
        <f t="shared" si="18"/>
        <v/>
      </c>
      <c r="CD60" s="162" t="str">
        <f t="shared" si="19"/>
        <v/>
      </c>
      <c r="CE60" s="162" t="str">
        <f t="shared" si="20"/>
        <v/>
      </c>
      <c r="CF60" s="162" t="str">
        <f t="shared" si="21"/>
        <v/>
      </c>
      <c r="CG60" s="162" t="str">
        <f t="shared" si="22"/>
        <v/>
      </c>
      <c r="CK60" s="163">
        <f t="shared" si="12"/>
        <v>0</v>
      </c>
      <c r="CL60" s="163">
        <f t="shared" si="13"/>
        <v>0</v>
      </c>
      <c r="CM60" s="163">
        <f t="shared" si="14"/>
        <v>0</v>
      </c>
      <c r="CN60" s="163">
        <f t="shared" si="23"/>
        <v>0</v>
      </c>
      <c r="CO60" s="163">
        <f t="shared" si="24"/>
        <v>0</v>
      </c>
      <c r="CP60" s="163">
        <f t="shared" si="24"/>
        <v>0</v>
      </c>
      <c r="CQ60" s="163">
        <f t="shared" si="24"/>
        <v>0</v>
      </c>
    </row>
    <row r="61" spans="1:95" s="161" customFormat="1" ht="15" customHeight="1" x14ac:dyDescent="0.3">
      <c r="A61" s="961" t="s">
        <v>3705</v>
      </c>
      <c r="B61" s="406">
        <f t="shared" si="25"/>
        <v>0</v>
      </c>
      <c r="C61" s="1542"/>
      <c r="D61" s="1541"/>
      <c r="E61" s="1541"/>
      <c r="F61" s="1541"/>
      <c r="G61" s="1541"/>
      <c r="H61" s="1541"/>
      <c r="I61" s="1541"/>
      <c r="J61" s="1541"/>
      <c r="K61" s="1541"/>
      <c r="L61" s="1495"/>
      <c r="M61" s="1495"/>
      <c r="N61" s="1495"/>
      <c r="O61" s="1495"/>
      <c r="P61" s="1495"/>
      <c r="Q61" s="1495"/>
      <c r="R61" s="1495"/>
      <c r="S61" s="1503"/>
      <c r="T61" s="407"/>
      <c r="U61" s="1535"/>
      <c r="V61" s="407"/>
      <c r="W61" s="1535"/>
      <c r="X61" s="407"/>
      <c r="Y61" s="1535"/>
      <c r="Z61" s="961">
        <f t="shared" si="10"/>
        <v>0</v>
      </c>
      <c r="AA61" s="407"/>
      <c r="AB61" s="1536"/>
      <c r="AC61" s="1536"/>
      <c r="AD61" s="1535"/>
      <c r="AE61" s="961">
        <f t="shared" si="11"/>
        <v>0</v>
      </c>
      <c r="AF61" s="407"/>
      <c r="AG61" s="1536"/>
      <c r="AH61" s="1536"/>
      <c r="AI61" s="1537"/>
      <c r="AJ61" s="1506"/>
      <c r="AK61" s="1506"/>
      <c r="AL61" s="1506"/>
      <c r="AM61" s="1506"/>
      <c r="AN61" s="1506"/>
      <c r="AO61" s="1506"/>
      <c r="AP61" s="1506"/>
      <c r="AQ61" s="1506"/>
      <c r="AR61" s="1506"/>
      <c r="AS61" s="1506"/>
      <c r="AT61" s="161" t="str">
        <f t="shared" si="15"/>
        <v/>
      </c>
      <c r="CA61" s="162" t="str">
        <f t="shared" si="16"/>
        <v/>
      </c>
      <c r="CB61" s="162" t="str">
        <f t="shared" si="17"/>
        <v/>
      </c>
      <c r="CC61" s="162" t="str">
        <f t="shared" si="18"/>
        <v/>
      </c>
      <c r="CD61" s="162" t="str">
        <f t="shared" si="19"/>
        <v/>
      </c>
      <c r="CE61" s="162" t="str">
        <f t="shared" si="20"/>
        <v/>
      </c>
      <c r="CF61" s="162" t="str">
        <f t="shared" si="21"/>
        <v/>
      </c>
      <c r="CG61" s="162" t="str">
        <f t="shared" si="22"/>
        <v/>
      </c>
      <c r="CK61" s="163">
        <f t="shared" si="12"/>
        <v>0</v>
      </c>
      <c r="CL61" s="163">
        <f t="shared" si="13"/>
        <v>0</v>
      </c>
      <c r="CM61" s="163">
        <f t="shared" si="14"/>
        <v>0</v>
      </c>
      <c r="CN61" s="163">
        <f t="shared" si="23"/>
        <v>0</v>
      </c>
      <c r="CO61" s="163">
        <f t="shared" si="24"/>
        <v>0</v>
      </c>
      <c r="CP61" s="163">
        <f t="shared" si="24"/>
        <v>0</v>
      </c>
      <c r="CQ61" s="163">
        <f t="shared" si="24"/>
        <v>0</v>
      </c>
    </row>
    <row r="62" spans="1:95" s="161" customFormat="1" ht="15" customHeight="1" x14ac:dyDescent="0.3">
      <c r="A62" s="961" t="s">
        <v>3706</v>
      </c>
      <c r="B62" s="406">
        <f t="shared" si="25"/>
        <v>0</v>
      </c>
      <c r="C62" s="1542"/>
      <c r="D62" s="1541"/>
      <c r="E62" s="1541"/>
      <c r="F62" s="1495"/>
      <c r="G62" s="1495"/>
      <c r="H62" s="1495"/>
      <c r="I62" s="1495"/>
      <c r="J62" s="1495"/>
      <c r="K62" s="1495"/>
      <c r="L62" s="1495"/>
      <c r="M62" s="1495"/>
      <c r="N62" s="1495"/>
      <c r="O62" s="1495"/>
      <c r="P62" s="1495"/>
      <c r="Q62" s="1495"/>
      <c r="R62" s="1495"/>
      <c r="S62" s="1503"/>
      <c r="T62" s="407"/>
      <c r="U62" s="1535"/>
      <c r="V62" s="407"/>
      <c r="W62" s="1535"/>
      <c r="X62" s="407"/>
      <c r="Y62" s="1535"/>
      <c r="Z62" s="961">
        <f t="shared" si="10"/>
        <v>0</v>
      </c>
      <c r="AA62" s="407"/>
      <c r="AB62" s="1536"/>
      <c r="AC62" s="1536"/>
      <c r="AD62" s="1535"/>
      <c r="AE62" s="961">
        <f t="shared" si="11"/>
        <v>0</v>
      </c>
      <c r="AF62" s="407"/>
      <c r="AG62" s="1536"/>
      <c r="AH62" s="1536"/>
      <c r="AI62" s="1537"/>
      <c r="AJ62" s="1506"/>
      <c r="AK62" s="1506"/>
      <c r="AL62" s="1506"/>
      <c r="AM62" s="1506"/>
      <c r="AN62" s="1506"/>
      <c r="AO62" s="1506"/>
      <c r="AP62" s="1506"/>
      <c r="AQ62" s="1506"/>
      <c r="AR62" s="1506"/>
      <c r="AS62" s="1506"/>
      <c r="AT62" s="161" t="str">
        <f t="shared" si="15"/>
        <v/>
      </c>
      <c r="CA62" s="162" t="str">
        <f t="shared" si="16"/>
        <v/>
      </c>
      <c r="CB62" s="162" t="str">
        <f t="shared" si="17"/>
        <v/>
      </c>
      <c r="CC62" s="162" t="str">
        <f t="shared" si="18"/>
        <v/>
      </c>
      <c r="CD62" s="162" t="str">
        <f t="shared" si="19"/>
        <v/>
      </c>
      <c r="CE62" s="162" t="str">
        <f t="shared" si="20"/>
        <v/>
      </c>
      <c r="CF62" s="162" t="str">
        <f t="shared" si="21"/>
        <v/>
      </c>
      <c r="CG62" s="162" t="str">
        <f t="shared" si="22"/>
        <v/>
      </c>
      <c r="CK62" s="163">
        <f t="shared" si="12"/>
        <v>0</v>
      </c>
      <c r="CL62" s="163">
        <f t="shared" si="13"/>
        <v>0</v>
      </c>
      <c r="CM62" s="163">
        <f t="shared" si="14"/>
        <v>0</v>
      </c>
      <c r="CN62" s="163">
        <f t="shared" si="23"/>
        <v>0</v>
      </c>
      <c r="CO62" s="163">
        <f t="shared" si="24"/>
        <v>0</v>
      </c>
      <c r="CP62" s="163">
        <f t="shared" si="24"/>
        <v>0</v>
      </c>
      <c r="CQ62" s="163">
        <f t="shared" si="24"/>
        <v>0</v>
      </c>
    </row>
    <row r="63" spans="1:95" s="161" customFormat="1" ht="15" customHeight="1" x14ac:dyDescent="0.3">
      <c r="A63" s="961" t="s">
        <v>3707</v>
      </c>
      <c r="B63" s="406">
        <f t="shared" si="25"/>
        <v>0</v>
      </c>
      <c r="C63" s="1542"/>
      <c r="D63" s="1541"/>
      <c r="E63" s="1541"/>
      <c r="F63" s="1495"/>
      <c r="G63" s="1495"/>
      <c r="H63" s="1495"/>
      <c r="I63" s="1495"/>
      <c r="J63" s="1495"/>
      <c r="K63" s="1495"/>
      <c r="L63" s="1495"/>
      <c r="M63" s="1495"/>
      <c r="N63" s="1495"/>
      <c r="O63" s="1495"/>
      <c r="P63" s="1495"/>
      <c r="Q63" s="1495"/>
      <c r="R63" s="1495"/>
      <c r="S63" s="1503"/>
      <c r="T63" s="407"/>
      <c r="U63" s="1535"/>
      <c r="V63" s="407"/>
      <c r="W63" s="1535"/>
      <c r="X63" s="407"/>
      <c r="Y63" s="1535"/>
      <c r="Z63" s="961">
        <f t="shared" si="10"/>
        <v>0</v>
      </c>
      <c r="AA63" s="407"/>
      <c r="AB63" s="1536"/>
      <c r="AC63" s="1536"/>
      <c r="AD63" s="1535"/>
      <c r="AE63" s="961">
        <f t="shared" si="11"/>
        <v>0</v>
      </c>
      <c r="AF63" s="407"/>
      <c r="AG63" s="1536"/>
      <c r="AH63" s="1536"/>
      <c r="AI63" s="1537"/>
      <c r="AJ63" s="1506"/>
      <c r="AK63" s="1506"/>
      <c r="AL63" s="1506"/>
      <c r="AM63" s="1506"/>
      <c r="AN63" s="1506"/>
      <c r="AO63" s="1506"/>
      <c r="AP63" s="1506"/>
      <c r="AQ63" s="1506"/>
      <c r="AR63" s="1506"/>
      <c r="AS63" s="1506"/>
      <c r="AT63" s="161" t="str">
        <f t="shared" si="15"/>
        <v/>
      </c>
      <c r="CA63" s="162" t="str">
        <f t="shared" si="16"/>
        <v/>
      </c>
      <c r="CB63" s="162" t="str">
        <f t="shared" si="17"/>
        <v/>
      </c>
      <c r="CC63" s="162" t="str">
        <f t="shared" si="18"/>
        <v/>
      </c>
      <c r="CD63" s="162" t="str">
        <f t="shared" si="19"/>
        <v/>
      </c>
      <c r="CE63" s="162" t="str">
        <f t="shared" si="20"/>
        <v/>
      </c>
      <c r="CF63" s="162" t="str">
        <f t="shared" si="21"/>
        <v/>
      </c>
      <c r="CG63" s="162" t="str">
        <f t="shared" si="22"/>
        <v/>
      </c>
      <c r="CK63" s="163">
        <f t="shared" si="12"/>
        <v>0</v>
      </c>
      <c r="CL63" s="163">
        <f t="shared" si="13"/>
        <v>0</v>
      </c>
      <c r="CM63" s="163">
        <f t="shared" si="14"/>
        <v>0</v>
      </c>
      <c r="CN63" s="163">
        <f t="shared" si="23"/>
        <v>0</v>
      </c>
      <c r="CO63" s="163">
        <f t="shared" si="24"/>
        <v>0</v>
      </c>
      <c r="CP63" s="163">
        <f t="shared" si="24"/>
        <v>0</v>
      </c>
      <c r="CQ63" s="163">
        <f t="shared" si="24"/>
        <v>0</v>
      </c>
    </row>
    <row r="64" spans="1:95" s="161" customFormat="1" ht="15" customHeight="1" x14ac:dyDescent="0.3">
      <c r="A64" s="961" t="s">
        <v>3708</v>
      </c>
      <c r="B64" s="406">
        <f t="shared" si="25"/>
        <v>0</v>
      </c>
      <c r="C64" s="1542"/>
      <c r="D64" s="1541"/>
      <c r="E64" s="1541"/>
      <c r="F64" s="1495"/>
      <c r="G64" s="1495"/>
      <c r="H64" s="1495"/>
      <c r="I64" s="1495"/>
      <c r="J64" s="1495"/>
      <c r="K64" s="1495"/>
      <c r="L64" s="1495"/>
      <c r="M64" s="1495"/>
      <c r="N64" s="1495"/>
      <c r="O64" s="1495"/>
      <c r="P64" s="1495"/>
      <c r="Q64" s="1495"/>
      <c r="R64" s="1495"/>
      <c r="S64" s="1503"/>
      <c r="T64" s="407"/>
      <c r="U64" s="1535"/>
      <c r="V64" s="407"/>
      <c r="W64" s="1535"/>
      <c r="X64" s="407"/>
      <c r="Y64" s="1535"/>
      <c r="Z64" s="961">
        <f t="shared" si="10"/>
        <v>0</v>
      </c>
      <c r="AA64" s="407"/>
      <c r="AB64" s="1536"/>
      <c r="AC64" s="1536"/>
      <c r="AD64" s="1535"/>
      <c r="AE64" s="961">
        <f t="shared" si="11"/>
        <v>0</v>
      </c>
      <c r="AF64" s="407"/>
      <c r="AG64" s="1536"/>
      <c r="AH64" s="1536"/>
      <c r="AI64" s="1537"/>
      <c r="AJ64" s="1506"/>
      <c r="AK64" s="1506"/>
      <c r="AL64" s="1506"/>
      <c r="AM64" s="1506"/>
      <c r="AN64" s="1506"/>
      <c r="AO64" s="1506"/>
      <c r="AP64" s="1506"/>
      <c r="AQ64" s="1506"/>
      <c r="AR64" s="1506"/>
      <c r="AS64" s="1506"/>
      <c r="AT64" s="161" t="str">
        <f t="shared" si="15"/>
        <v/>
      </c>
      <c r="CA64" s="162" t="str">
        <f t="shared" si="16"/>
        <v/>
      </c>
      <c r="CB64" s="162" t="str">
        <f t="shared" si="17"/>
        <v/>
      </c>
      <c r="CC64" s="162" t="str">
        <f t="shared" si="18"/>
        <v/>
      </c>
      <c r="CD64" s="162" t="str">
        <f t="shared" si="19"/>
        <v/>
      </c>
      <c r="CE64" s="162" t="str">
        <f t="shared" si="20"/>
        <v/>
      </c>
      <c r="CF64" s="162" t="str">
        <f t="shared" si="21"/>
        <v/>
      </c>
      <c r="CG64" s="162" t="str">
        <f t="shared" si="22"/>
        <v/>
      </c>
      <c r="CK64" s="163">
        <f t="shared" si="12"/>
        <v>0</v>
      </c>
      <c r="CL64" s="163">
        <f t="shared" si="13"/>
        <v>0</v>
      </c>
      <c r="CM64" s="163">
        <f t="shared" si="14"/>
        <v>0</v>
      </c>
      <c r="CN64" s="163">
        <f t="shared" si="23"/>
        <v>0</v>
      </c>
      <c r="CO64" s="163">
        <f t="shared" si="24"/>
        <v>0</v>
      </c>
      <c r="CP64" s="163">
        <f t="shared" si="24"/>
        <v>0</v>
      </c>
      <c r="CQ64" s="163">
        <f t="shared" si="24"/>
        <v>0</v>
      </c>
    </row>
    <row r="65" spans="1:95" s="161" customFormat="1" ht="15" customHeight="1" x14ac:dyDescent="0.3">
      <c r="A65" s="961" t="s">
        <v>3709</v>
      </c>
      <c r="B65" s="406">
        <f t="shared" si="25"/>
        <v>0</v>
      </c>
      <c r="C65" s="1494"/>
      <c r="D65" s="1495"/>
      <c r="E65" s="1495"/>
      <c r="F65" s="1495"/>
      <c r="G65" s="1495"/>
      <c r="H65" s="1495"/>
      <c r="I65" s="1495"/>
      <c r="J65" s="1495"/>
      <c r="K65" s="1495"/>
      <c r="L65" s="1495"/>
      <c r="M65" s="1495"/>
      <c r="N65" s="1495"/>
      <c r="O65" s="1495"/>
      <c r="P65" s="1495"/>
      <c r="Q65" s="1495"/>
      <c r="R65" s="1495"/>
      <c r="S65" s="1503"/>
      <c r="T65" s="407"/>
      <c r="U65" s="1535"/>
      <c r="V65" s="407"/>
      <c r="W65" s="1535"/>
      <c r="X65" s="407"/>
      <c r="Y65" s="1535"/>
      <c r="Z65" s="961">
        <f t="shared" si="10"/>
        <v>0</v>
      </c>
      <c r="AA65" s="407"/>
      <c r="AB65" s="1536"/>
      <c r="AC65" s="1536"/>
      <c r="AD65" s="1535"/>
      <c r="AE65" s="961">
        <f t="shared" si="11"/>
        <v>0</v>
      </c>
      <c r="AF65" s="407"/>
      <c r="AG65" s="1536"/>
      <c r="AH65" s="1536"/>
      <c r="AI65" s="1537"/>
      <c r="AJ65" s="1506"/>
      <c r="AK65" s="1506"/>
      <c r="AL65" s="1506"/>
      <c r="AM65" s="1506"/>
      <c r="AN65" s="1506"/>
      <c r="AO65" s="1506"/>
      <c r="AP65" s="1506"/>
      <c r="AQ65" s="1506"/>
      <c r="AR65" s="1506"/>
      <c r="AS65" s="1506"/>
      <c r="AT65" s="161" t="str">
        <f t="shared" si="15"/>
        <v/>
      </c>
      <c r="CA65" s="162" t="str">
        <f t="shared" si="16"/>
        <v/>
      </c>
      <c r="CB65" s="162" t="str">
        <f t="shared" si="17"/>
        <v/>
      </c>
      <c r="CC65" s="162" t="str">
        <f t="shared" si="18"/>
        <v/>
      </c>
      <c r="CD65" s="162" t="str">
        <f t="shared" si="19"/>
        <v/>
      </c>
      <c r="CE65" s="162" t="str">
        <f t="shared" si="20"/>
        <v/>
      </c>
      <c r="CF65" s="162" t="str">
        <f t="shared" si="21"/>
        <v/>
      </c>
      <c r="CG65" s="162" t="str">
        <f t="shared" si="22"/>
        <v/>
      </c>
      <c r="CK65" s="163">
        <f t="shared" si="12"/>
        <v>0</v>
      </c>
      <c r="CL65" s="163">
        <f t="shared" si="13"/>
        <v>0</v>
      </c>
      <c r="CM65" s="163">
        <f t="shared" si="14"/>
        <v>0</v>
      </c>
      <c r="CN65" s="163">
        <f t="shared" si="23"/>
        <v>0</v>
      </c>
      <c r="CO65" s="163">
        <f t="shared" si="24"/>
        <v>0</v>
      </c>
      <c r="CP65" s="163">
        <f t="shared" si="24"/>
        <v>0</v>
      </c>
      <c r="CQ65" s="163">
        <f t="shared" si="24"/>
        <v>0</v>
      </c>
    </row>
    <row r="66" spans="1:95" s="161" customFormat="1" ht="15" customHeight="1" x14ac:dyDescent="0.3">
      <c r="A66" s="961" t="s">
        <v>3710</v>
      </c>
      <c r="B66" s="406">
        <f t="shared" si="25"/>
        <v>0</v>
      </c>
      <c r="C66" s="1494"/>
      <c r="D66" s="1495"/>
      <c r="E66" s="1495"/>
      <c r="F66" s="1495"/>
      <c r="G66" s="1495"/>
      <c r="H66" s="1495"/>
      <c r="I66" s="1495"/>
      <c r="J66" s="1495"/>
      <c r="K66" s="1495"/>
      <c r="L66" s="1495"/>
      <c r="M66" s="1495"/>
      <c r="N66" s="1495"/>
      <c r="O66" s="1495"/>
      <c r="P66" s="1495"/>
      <c r="Q66" s="1495"/>
      <c r="R66" s="1495"/>
      <c r="S66" s="1503"/>
      <c r="T66" s="407"/>
      <c r="U66" s="1535"/>
      <c r="V66" s="407"/>
      <c r="W66" s="1535"/>
      <c r="X66" s="407"/>
      <c r="Y66" s="1535"/>
      <c r="Z66" s="961">
        <f t="shared" ref="Z66:Z89" si="26">SUM(AA66+AB66+AC66+AD66)</f>
        <v>0</v>
      </c>
      <c r="AA66" s="407"/>
      <c r="AB66" s="1536"/>
      <c r="AC66" s="1536"/>
      <c r="AD66" s="1535"/>
      <c r="AE66" s="961">
        <f t="shared" ref="AE66:AE89" si="27">SUM(AF66+AG66+AH66+AI66)</f>
        <v>0</v>
      </c>
      <c r="AF66" s="407"/>
      <c r="AG66" s="1536"/>
      <c r="AH66" s="1536"/>
      <c r="AI66" s="1537"/>
      <c r="AJ66" s="1506"/>
      <c r="AK66" s="1506"/>
      <c r="AL66" s="1506"/>
      <c r="AM66" s="1506"/>
      <c r="AN66" s="1506"/>
      <c r="AO66" s="1506"/>
      <c r="AP66" s="1506"/>
      <c r="AQ66" s="1506"/>
      <c r="AR66" s="1506"/>
      <c r="AS66" s="1506"/>
      <c r="AT66" s="161" t="str">
        <f t="shared" si="15"/>
        <v/>
      </c>
      <c r="CA66" s="162" t="str">
        <f t="shared" si="16"/>
        <v/>
      </c>
      <c r="CB66" s="162" t="str">
        <f t="shared" si="17"/>
        <v/>
      </c>
      <c r="CC66" s="162" t="str">
        <f t="shared" si="18"/>
        <v/>
      </c>
      <c r="CD66" s="162" t="str">
        <f t="shared" si="19"/>
        <v/>
      </c>
      <c r="CE66" s="162" t="str">
        <f t="shared" si="20"/>
        <v/>
      </c>
      <c r="CF66" s="162" t="str">
        <f t="shared" si="21"/>
        <v/>
      </c>
      <c r="CG66" s="162" t="str">
        <f t="shared" si="22"/>
        <v/>
      </c>
      <c r="CK66" s="163">
        <f t="shared" si="12"/>
        <v>0</v>
      </c>
      <c r="CL66" s="163">
        <f t="shared" si="13"/>
        <v>0</v>
      </c>
      <c r="CM66" s="163">
        <f t="shared" si="14"/>
        <v>0</v>
      </c>
      <c r="CN66" s="163">
        <f t="shared" si="23"/>
        <v>0</v>
      </c>
      <c r="CO66" s="163">
        <f t="shared" si="24"/>
        <v>0</v>
      </c>
      <c r="CP66" s="163">
        <f t="shared" si="24"/>
        <v>0</v>
      </c>
      <c r="CQ66" s="163">
        <f t="shared" si="24"/>
        <v>0</v>
      </c>
    </row>
    <row r="67" spans="1:95" s="161" customFormat="1" ht="15" customHeight="1" x14ac:dyDescent="0.2">
      <c r="A67" s="1112" t="s">
        <v>1433</v>
      </c>
      <c r="B67" s="406">
        <f t="shared" si="25"/>
        <v>0</v>
      </c>
      <c r="C67" s="1494"/>
      <c r="D67" s="1495"/>
      <c r="E67" s="1495"/>
      <c r="F67" s="1495"/>
      <c r="G67" s="1495"/>
      <c r="H67" s="1495"/>
      <c r="I67" s="1495"/>
      <c r="J67" s="1495"/>
      <c r="K67" s="1495"/>
      <c r="L67" s="1495"/>
      <c r="M67" s="1495"/>
      <c r="N67" s="1495"/>
      <c r="O67" s="1495"/>
      <c r="P67" s="1495"/>
      <c r="Q67" s="1495"/>
      <c r="R67" s="1495"/>
      <c r="S67" s="1503"/>
      <c r="T67" s="407"/>
      <c r="U67" s="1535"/>
      <c r="V67" s="407"/>
      <c r="W67" s="1535"/>
      <c r="X67" s="407"/>
      <c r="Y67" s="1535"/>
      <c r="Z67" s="961">
        <f t="shared" si="26"/>
        <v>0</v>
      </c>
      <c r="AA67" s="407"/>
      <c r="AB67" s="1536"/>
      <c r="AC67" s="1536"/>
      <c r="AD67" s="1535"/>
      <c r="AE67" s="961">
        <f t="shared" si="27"/>
        <v>0</v>
      </c>
      <c r="AF67" s="407"/>
      <c r="AG67" s="1536"/>
      <c r="AH67" s="1536"/>
      <c r="AI67" s="1537"/>
      <c r="AJ67" s="1506"/>
      <c r="AK67" s="1506"/>
      <c r="AL67" s="1506"/>
      <c r="AM67" s="1506"/>
      <c r="AN67" s="1506"/>
      <c r="AO67" s="1506"/>
      <c r="AP67" s="1506"/>
      <c r="AQ67" s="1506"/>
      <c r="AR67" s="1506"/>
      <c r="AS67" s="1506"/>
      <c r="AT67" s="161" t="str">
        <f t="shared" si="15"/>
        <v/>
      </c>
      <c r="CA67" s="162" t="str">
        <f t="shared" si="16"/>
        <v/>
      </c>
      <c r="CB67" s="162" t="str">
        <f t="shared" si="17"/>
        <v/>
      </c>
      <c r="CC67" s="162" t="str">
        <f t="shared" si="18"/>
        <v/>
      </c>
      <c r="CD67" s="162" t="str">
        <f t="shared" si="19"/>
        <v/>
      </c>
      <c r="CE67" s="162" t="str">
        <f t="shared" si="20"/>
        <v/>
      </c>
      <c r="CF67" s="162" t="str">
        <f t="shared" si="21"/>
        <v/>
      </c>
      <c r="CG67" s="162" t="str">
        <f t="shared" si="22"/>
        <v/>
      </c>
      <c r="CK67" s="163">
        <f t="shared" si="12"/>
        <v>0</v>
      </c>
      <c r="CL67" s="163">
        <f t="shared" si="13"/>
        <v>0</v>
      </c>
      <c r="CM67" s="163">
        <f t="shared" si="14"/>
        <v>0</v>
      </c>
      <c r="CN67" s="163">
        <f t="shared" si="23"/>
        <v>0</v>
      </c>
      <c r="CO67" s="163">
        <f t="shared" ref="CO67:CQ89" si="28">IF(AND($B67&gt;0,AQ67=""),1,IF(AQ67&gt;$B67,1,0))</f>
        <v>0</v>
      </c>
      <c r="CP67" s="163">
        <f t="shared" si="28"/>
        <v>0</v>
      </c>
      <c r="CQ67" s="163">
        <f t="shared" si="28"/>
        <v>0</v>
      </c>
    </row>
    <row r="68" spans="1:95" s="161" customFormat="1" ht="15" customHeight="1" x14ac:dyDescent="0.3">
      <c r="A68" s="167" t="s">
        <v>3711</v>
      </c>
      <c r="B68" s="406">
        <f t="shared" si="25"/>
        <v>0</v>
      </c>
      <c r="C68" s="1542"/>
      <c r="D68" s="1541"/>
      <c r="E68" s="1541"/>
      <c r="F68" s="1541"/>
      <c r="G68" s="1495"/>
      <c r="H68" s="1495"/>
      <c r="I68" s="1495"/>
      <c r="J68" s="1495"/>
      <c r="K68" s="1495"/>
      <c r="L68" s="1495"/>
      <c r="M68" s="1495"/>
      <c r="N68" s="1495"/>
      <c r="O68" s="1495"/>
      <c r="P68" s="1495"/>
      <c r="Q68" s="1495"/>
      <c r="R68" s="1495"/>
      <c r="S68" s="1503"/>
      <c r="T68" s="407"/>
      <c r="U68" s="1535"/>
      <c r="V68" s="407"/>
      <c r="W68" s="1535"/>
      <c r="X68" s="407"/>
      <c r="Y68" s="1535"/>
      <c r="Z68" s="961">
        <f t="shared" si="26"/>
        <v>0</v>
      </c>
      <c r="AA68" s="407"/>
      <c r="AB68" s="1536"/>
      <c r="AC68" s="1536"/>
      <c r="AD68" s="1535"/>
      <c r="AE68" s="961">
        <f t="shared" si="27"/>
        <v>0</v>
      </c>
      <c r="AF68" s="407"/>
      <c r="AG68" s="1536"/>
      <c r="AH68" s="1536"/>
      <c r="AI68" s="1537"/>
      <c r="AJ68" s="1506"/>
      <c r="AK68" s="1506"/>
      <c r="AL68" s="1506"/>
      <c r="AM68" s="1506"/>
      <c r="AN68" s="1506"/>
      <c r="AO68" s="1506"/>
      <c r="AP68" s="1506"/>
      <c r="AQ68" s="1506"/>
      <c r="AR68" s="1506"/>
      <c r="AS68" s="1506"/>
      <c r="AT68" s="161" t="str">
        <f t="shared" si="15"/>
        <v/>
      </c>
      <c r="CA68" s="162" t="str">
        <f t="shared" si="16"/>
        <v/>
      </c>
      <c r="CB68" s="162" t="str">
        <f t="shared" si="17"/>
        <v/>
      </c>
      <c r="CC68" s="162" t="str">
        <f t="shared" si="18"/>
        <v/>
      </c>
      <c r="CD68" s="162" t="str">
        <f t="shared" si="19"/>
        <v/>
      </c>
      <c r="CE68" s="162" t="str">
        <f t="shared" si="20"/>
        <v/>
      </c>
      <c r="CF68" s="162" t="str">
        <f t="shared" si="21"/>
        <v/>
      </c>
      <c r="CG68" s="162" t="str">
        <f t="shared" si="22"/>
        <v/>
      </c>
      <c r="CK68" s="163">
        <f t="shared" si="12"/>
        <v>0</v>
      </c>
      <c r="CL68" s="163">
        <f t="shared" si="13"/>
        <v>0</v>
      </c>
      <c r="CM68" s="163">
        <f t="shared" si="14"/>
        <v>0</v>
      </c>
      <c r="CN68" s="163">
        <f t="shared" si="23"/>
        <v>0</v>
      </c>
      <c r="CO68" s="163">
        <f t="shared" si="28"/>
        <v>0</v>
      </c>
      <c r="CP68" s="163">
        <f t="shared" si="28"/>
        <v>0</v>
      </c>
      <c r="CQ68" s="163">
        <f t="shared" si="28"/>
        <v>0</v>
      </c>
    </row>
    <row r="69" spans="1:95" s="161" customFormat="1" ht="15" customHeight="1" x14ac:dyDescent="0.3">
      <c r="A69" s="974" t="s">
        <v>3712</v>
      </c>
      <c r="B69" s="406">
        <f t="shared" si="25"/>
        <v>0</v>
      </c>
      <c r="C69" s="1542"/>
      <c r="D69" s="1541"/>
      <c r="E69" s="1541"/>
      <c r="F69" s="1541"/>
      <c r="G69" s="1495"/>
      <c r="H69" s="1495"/>
      <c r="I69" s="1495"/>
      <c r="J69" s="1495"/>
      <c r="K69" s="1495"/>
      <c r="L69" s="1495"/>
      <c r="M69" s="1495"/>
      <c r="N69" s="1495"/>
      <c r="O69" s="1495"/>
      <c r="P69" s="1495"/>
      <c r="Q69" s="1495"/>
      <c r="R69" s="1495"/>
      <c r="S69" s="1503"/>
      <c r="T69" s="407"/>
      <c r="U69" s="1535"/>
      <c r="V69" s="407"/>
      <c r="W69" s="1535"/>
      <c r="X69" s="407"/>
      <c r="Y69" s="1535"/>
      <c r="Z69" s="961">
        <f t="shared" si="26"/>
        <v>0</v>
      </c>
      <c r="AA69" s="407"/>
      <c r="AB69" s="1536"/>
      <c r="AC69" s="1536"/>
      <c r="AD69" s="1535"/>
      <c r="AE69" s="961">
        <f t="shared" si="27"/>
        <v>0</v>
      </c>
      <c r="AF69" s="407"/>
      <c r="AG69" s="1536"/>
      <c r="AH69" s="1536"/>
      <c r="AI69" s="1537"/>
      <c r="AJ69" s="1506"/>
      <c r="AK69" s="1506"/>
      <c r="AL69" s="1506"/>
      <c r="AM69" s="1506"/>
      <c r="AN69" s="1506"/>
      <c r="AO69" s="1506"/>
      <c r="AP69" s="1506"/>
      <c r="AQ69" s="1506"/>
      <c r="AR69" s="1506"/>
      <c r="AS69" s="1506"/>
      <c r="AT69" s="161" t="str">
        <f t="shared" si="15"/>
        <v/>
      </c>
      <c r="CA69" s="162" t="str">
        <f t="shared" si="16"/>
        <v/>
      </c>
      <c r="CB69" s="162" t="str">
        <f t="shared" si="17"/>
        <v/>
      </c>
      <c r="CC69" s="162" t="str">
        <f t="shared" si="18"/>
        <v/>
      </c>
      <c r="CD69" s="162" t="str">
        <f t="shared" si="19"/>
        <v/>
      </c>
      <c r="CE69" s="162" t="str">
        <f t="shared" si="20"/>
        <v/>
      </c>
      <c r="CF69" s="162" t="str">
        <f t="shared" si="21"/>
        <v/>
      </c>
      <c r="CG69" s="162" t="str">
        <f t="shared" si="22"/>
        <v/>
      </c>
      <c r="CK69" s="163">
        <f t="shared" si="12"/>
        <v>0</v>
      </c>
      <c r="CL69" s="163">
        <f t="shared" si="13"/>
        <v>0</v>
      </c>
      <c r="CM69" s="163">
        <f t="shared" si="14"/>
        <v>0</v>
      </c>
      <c r="CN69" s="163">
        <f t="shared" si="23"/>
        <v>0</v>
      </c>
      <c r="CO69" s="163">
        <f t="shared" si="28"/>
        <v>0</v>
      </c>
      <c r="CP69" s="163">
        <f t="shared" si="28"/>
        <v>0</v>
      </c>
      <c r="CQ69" s="163">
        <f t="shared" si="28"/>
        <v>0</v>
      </c>
    </row>
    <row r="70" spans="1:95" s="161" customFormat="1" ht="15" customHeight="1" x14ac:dyDescent="0.2">
      <c r="A70" s="1112" t="s">
        <v>4313</v>
      </c>
      <c r="B70" s="406">
        <f>SUM(C70:S70)</f>
        <v>0</v>
      </c>
      <c r="C70" s="1542"/>
      <c r="D70" s="1541"/>
      <c r="E70" s="1541"/>
      <c r="F70" s="1541"/>
      <c r="G70" s="1541"/>
      <c r="H70" s="1541"/>
      <c r="I70" s="1541"/>
      <c r="J70" s="1541"/>
      <c r="K70" s="1541"/>
      <c r="L70" s="1495"/>
      <c r="M70" s="1495"/>
      <c r="N70" s="1495"/>
      <c r="O70" s="1495"/>
      <c r="P70" s="1495"/>
      <c r="Q70" s="1495"/>
      <c r="R70" s="1495"/>
      <c r="S70" s="1503"/>
      <c r="T70" s="407"/>
      <c r="U70" s="1535"/>
      <c r="V70" s="407"/>
      <c r="W70" s="1535"/>
      <c r="X70" s="407"/>
      <c r="Y70" s="1535"/>
      <c r="Z70" s="961">
        <f t="shared" si="26"/>
        <v>0</v>
      </c>
      <c r="AA70" s="407"/>
      <c r="AB70" s="1536"/>
      <c r="AC70" s="1536"/>
      <c r="AD70" s="1535"/>
      <c r="AE70" s="961">
        <f t="shared" si="27"/>
        <v>0</v>
      </c>
      <c r="AF70" s="407"/>
      <c r="AG70" s="1536"/>
      <c r="AH70" s="1536"/>
      <c r="AI70" s="1537"/>
      <c r="AJ70" s="1506"/>
      <c r="AK70" s="1506"/>
      <c r="AL70" s="1506"/>
      <c r="AM70" s="1506"/>
      <c r="AN70" s="1506"/>
      <c r="AO70" s="1506"/>
      <c r="AP70" s="1506"/>
      <c r="AQ70" s="1506"/>
      <c r="AR70" s="1506"/>
      <c r="AS70" s="1506"/>
      <c r="AT70" s="161" t="str">
        <f t="shared" si="15"/>
        <v/>
      </c>
      <c r="CA70" s="162" t="str">
        <f t="shared" si="16"/>
        <v/>
      </c>
      <c r="CB70" s="162" t="str">
        <f t="shared" si="17"/>
        <v/>
      </c>
      <c r="CC70" s="162" t="str">
        <f t="shared" si="18"/>
        <v/>
      </c>
      <c r="CD70" s="162" t="str">
        <f t="shared" si="19"/>
        <v/>
      </c>
      <c r="CE70" s="162" t="str">
        <f t="shared" si="20"/>
        <v/>
      </c>
      <c r="CF70" s="162" t="str">
        <f t="shared" si="21"/>
        <v/>
      </c>
      <c r="CG70" s="162" t="str">
        <f t="shared" si="22"/>
        <v/>
      </c>
      <c r="CK70" s="163">
        <f t="shared" si="12"/>
        <v>0</v>
      </c>
      <c r="CL70" s="163">
        <f t="shared" si="13"/>
        <v>0</v>
      </c>
      <c r="CM70" s="163">
        <f t="shared" si="14"/>
        <v>0</v>
      </c>
      <c r="CN70" s="163">
        <f t="shared" si="23"/>
        <v>0</v>
      </c>
      <c r="CO70" s="163">
        <f t="shared" si="28"/>
        <v>0</v>
      </c>
      <c r="CP70" s="163">
        <f t="shared" si="28"/>
        <v>0</v>
      </c>
      <c r="CQ70" s="163">
        <f t="shared" si="28"/>
        <v>0</v>
      </c>
    </row>
    <row r="71" spans="1:95" s="161" customFormat="1" ht="15" customHeight="1" x14ac:dyDescent="0.2">
      <c r="A71" s="1112" t="s">
        <v>4315</v>
      </c>
      <c r="B71" s="406">
        <f t="shared" si="25"/>
        <v>0</v>
      </c>
      <c r="C71" s="1542"/>
      <c r="D71" s="1541"/>
      <c r="E71" s="1541"/>
      <c r="F71" s="1541"/>
      <c r="G71" s="1495"/>
      <c r="H71" s="1495"/>
      <c r="I71" s="1495"/>
      <c r="J71" s="1495"/>
      <c r="K71" s="1495"/>
      <c r="L71" s="1495"/>
      <c r="M71" s="1495"/>
      <c r="N71" s="1495"/>
      <c r="O71" s="1495"/>
      <c r="P71" s="1495"/>
      <c r="Q71" s="1495"/>
      <c r="R71" s="1495"/>
      <c r="S71" s="1503"/>
      <c r="T71" s="407"/>
      <c r="U71" s="1535"/>
      <c r="V71" s="407"/>
      <c r="W71" s="1535"/>
      <c r="X71" s="407"/>
      <c r="Y71" s="1535"/>
      <c r="Z71" s="961">
        <f t="shared" si="26"/>
        <v>0</v>
      </c>
      <c r="AA71" s="407"/>
      <c r="AB71" s="1536"/>
      <c r="AC71" s="1536"/>
      <c r="AD71" s="1535"/>
      <c r="AE71" s="961">
        <f t="shared" si="27"/>
        <v>0</v>
      </c>
      <c r="AF71" s="407"/>
      <c r="AG71" s="1536"/>
      <c r="AH71" s="1536"/>
      <c r="AI71" s="1537"/>
      <c r="AJ71" s="1506"/>
      <c r="AK71" s="1506"/>
      <c r="AL71" s="1506"/>
      <c r="AM71" s="1506"/>
      <c r="AN71" s="1506"/>
      <c r="AO71" s="1506"/>
      <c r="AP71" s="1506"/>
      <c r="AQ71" s="1506"/>
      <c r="AR71" s="1506"/>
      <c r="AS71" s="1506"/>
      <c r="AT71" s="161" t="str">
        <f t="shared" si="15"/>
        <v/>
      </c>
      <c r="CA71" s="162" t="str">
        <f t="shared" si="16"/>
        <v/>
      </c>
      <c r="CB71" s="162" t="str">
        <f t="shared" si="17"/>
        <v/>
      </c>
      <c r="CC71" s="162" t="str">
        <f t="shared" si="18"/>
        <v/>
      </c>
      <c r="CD71" s="162" t="str">
        <f t="shared" si="19"/>
        <v/>
      </c>
      <c r="CE71" s="162" t="str">
        <f t="shared" si="20"/>
        <v/>
      </c>
      <c r="CF71" s="162" t="str">
        <f t="shared" si="21"/>
        <v/>
      </c>
      <c r="CG71" s="162" t="str">
        <f t="shared" si="22"/>
        <v/>
      </c>
      <c r="CK71" s="163">
        <f t="shared" si="12"/>
        <v>0</v>
      </c>
      <c r="CL71" s="163">
        <f t="shared" si="13"/>
        <v>0</v>
      </c>
      <c r="CM71" s="163">
        <f t="shared" si="14"/>
        <v>0</v>
      </c>
      <c r="CN71" s="163">
        <f t="shared" si="23"/>
        <v>0</v>
      </c>
      <c r="CO71" s="163">
        <f t="shared" si="28"/>
        <v>0</v>
      </c>
      <c r="CP71" s="163">
        <f t="shared" si="28"/>
        <v>0</v>
      </c>
      <c r="CQ71" s="163">
        <f t="shared" si="28"/>
        <v>0</v>
      </c>
    </row>
    <row r="72" spans="1:95" s="161" customFormat="1" ht="15" customHeight="1" x14ac:dyDescent="0.3">
      <c r="A72" s="961" t="s">
        <v>4000</v>
      </c>
      <c r="B72" s="406">
        <f t="shared" si="25"/>
        <v>0</v>
      </c>
      <c r="C72" s="1494"/>
      <c r="D72" s="1495"/>
      <c r="E72" s="1495"/>
      <c r="F72" s="1495"/>
      <c r="G72" s="1495"/>
      <c r="H72" s="1495"/>
      <c r="I72" s="1495"/>
      <c r="J72" s="1495"/>
      <c r="K72" s="1495"/>
      <c r="L72" s="1495"/>
      <c r="M72" s="1495"/>
      <c r="N72" s="1495"/>
      <c r="O72" s="1495"/>
      <c r="P72" s="1495"/>
      <c r="Q72" s="1495"/>
      <c r="R72" s="1495"/>
      <c r="S72" s="1503"/>
      <c r="T72" s="407"/>
      <c r="U72" s="1535"/>
      <c r="V72" s="407"/>
      <c r="W72" s="1535"/>
      <c r="X72" s="407"/>
      <c r="Y72" s="1535"/>
      <c r="Z72" s="961">
        <f t="shared" si="26"/>
        <v>0</v>
      </c>
      <c r="AA72" s="407"/>
      <c r="AB72" s="1536"/>
      <c r="AC72" s="1536"/>
      <c r="AD72" s="1535"/>
      <c r="AE72" s="961">
        <f t="shared" si="27"/>
        <v>0</v>
      </c>
      <c r="AF72" s="407"/>
      <c r="AG72" s="1536"/>
      <c r="AH72" s="1536"/>
      <c r="AI72" s="1537"/>
      <c r="AJ72" s="1506"/>
      <c r="AK72" s="1506"/>
      <c r="AL72" s="1506"/>
      <c r="AM72" s="1506"/>
      <c r="AN72" s="1506"/>
      <c r="AO72" s="1506"/>
      <c r="AP72" s="1506"/>
      <c r="AQ72" s="1506"/>
      <c r="AR72" s="1506"/>
      <c r="AS72" s="1506"/>
      <c r="AT72" s="161" t="str">
        <f t="shared" si="15"/>
        <v/>
      </c>
      <c r="CA72" s="162" t="str">
        <f t="shared" si="16"/>
        <v/>
      </c>
      <c r="CB72" s="162" t="str">
        <f t="shared" si="17"/>
        <v/>
      </c>
      <c r="CC72" s="162" t="str">
        <f t="shared" si="18"/>
        <v/>
      </c>
      <c r="CD72" s="162" t="str">
        <f t="shared" si="19"/>
        <v/>
      </c>
      <c r="CE72" s="162" t="str">
        <f t="shared" si="20"/>
        <v/>
      </c>
      <c r="CF72" s="162" t="str">
        <f t="shared" si="21"/>
        <v/>
      </c>
      <c r="CG72" s="162" t="str">
        <f t="shared" si="22"/>
        <v/>
      </c>
      <c r="CK72" s="163">
        <f t="shared" si="12"/>
        <v>0</v>
      </c>
      <c r="CL72" s="163">
        <f t="shared" si="13"/>
        <v>0</v>
      </c>
      <c r="CM72" s="163">
        <f t="shared" si="14"/>
        <v>0</v>
      </c>
      <c r="CN72" s="163">
        <f t="shared" si="23"/>
        <v>0</v>
      </c>
      <c r="CO72" s="163">
        <f t="shared" si="28"/>
        <v>0</v>
      </c>
      <c r="CP72" s="163">
        <f t="shared" si="28"/>
        <v>0</v>
      </c>
      <c r="CQ72" s="163">
        <f t="shared" si="28"/>
        <v>0</v>
      </c>
    </row>
    <row r="73" spans="1:95" s="161" customFormat="1" ht="15" customHeight="1" x14ac:dyDescent="0.3">
      <c r="A73" s="961" t="s">
        <v>3714</v>
      </c>
      <c r="B73" s="406">
        <f t="shared" si="25"/>
        <v>0</v>
      </c>
      <c r="C73" s="1494"/>
      <c r="D73" s="1495"/>
      <c r="E73" s="1495"/>
      <c r="F73" s="1495"/>
      <c r="G73" s="1495"/>
      <c r="H73" s="1495"/>
      <c r="I73" s="1495"/>
      <c r="J73" s="1495"/>
      <c r="K73" s="1495"/>
      <c r="L73" s="1495"/>
      <c r="M73" s="1495"/>
      <c r="N73" s="1495"/>
      <c r="O73" s="1495"/>
      <c r="P73" s="1495"/>
      <c r="Q73" s="1495"/>
      <c r="R73" s="1495"/>
      <c r="S73" s="1503"/>
      <c r="T73" s="407"/>
      <c r="U73" s="1535"/>
      <c r="V73" s="407"/>
      <c r="W73" s="1535"/>
      <c r="X73" s="407"/>
      <c r="Y73" s="1535"/>
      <c r="Z73" s="961">
        <f t="shared" si="26"/>
        <v>0</v>
      </c>
      <c r="AA73" s="407"/>
      <c r="AB73" s="1536"/>
      <c r="AC73" s="1536"/>
      <c r="AD73" s="1535"/>
      <c r="AE73" s="961">
        <f t="shared" si="27"/>
        <v>0</v>
      </c>
      <c r="AF73" s="407"/>
      <c r="AG73" s="1536"/>
      <c r="AH73" s="1536"/>
      <c r="AI73" s="1537"/>
      <c r="AJ73" s="1506"/>
      <c r="AK73" s="1506"/>
      <c r="AL73" s="1506"/>
      <c r="AM73" s="1506"/>
      <c r="AN73" s="1506"/>
      <c r="AO73" s="1506"/>
      <c r="AP73" s="1506"/>
      <c r="AQ73" s="1506"/>
      <c r="AR73" s="1506"/>
      <c r="AS73" s="1506"/>
      <c r="AT73" s="161" t="str">
        <f t="shared" si="15"/>
        <v/>
      </c>
      <c r="CA73" s="162" t="str">
        <f t="shared" si="16"/>
        <v/>
      </c>
      <c r="CB73" s="162" t="str">
        <f t="shared" si="17"/>
        <v/>
      </c>
      <c r="CC73" s="162" t="str">
        <f t="shared" si="18"/>
        <v/>
      </c>
      <c r="CD73" s="162" t="str">
        <f t="shared" si="19"/>
        <v/>
      </c>
      <c r="CE73" s="162" t="str">
        <f t="shared" si="20"/>
        <v/>
      </c>
      <c r="CF73" s="162" t="str">
        <f t="shared" si="21"/>
        <v/>
      </c>
      <c r="CG73" s="162" t="str">
        <f t="shared" si="22"/>
        <v/>
      </c>
      <c r="CK73" s="163">
        <f t="shared" si="12"/>
        <v>0</v>
      </c>
      <c r="CL73" s="163">
        <f t="shared" si="13"/>
        <v>0</v>
      </c>
      <c r="CM73" s="163">
        <f t="shared" si="14"/>
        <v>0</v>
      </c>
      <c r="CN73" s="163">
        <f t="shared" si="23"/>
        <v>0</v>
      </c>
      <c r="CO73" s="163">
        <f t="shared" si="28"/>
        <v>0</v>
      </c>
      <c r="CP73" s="163">
        <f t="shared" si="28"/>
        <v>0</v>
      </c>
      <c r="CQ73" s="163">
        <f t="shared" si="28"/>
        <v>0</v>
      </c>
    </row>
    <row r="74" spans="1:95" s="161" customFormat="1" ht="15" customHeight="1" x14ac:dyDescent="0.3">
      <c r="A74" s="961" t="s">
        <v>4001</v>
      </c>
      <c r="B74" s="406">
        <f t="shared" si="25"/>
        <v>0</v>
      </c>
      <c r="C74" s="1494"/>
      <c r="D74" s="1495"/>
      <c r="E74" s="1495"/>
      <c r="F74" s="1495"/>
      <c r="G74" s="1495"/>
      <c r="H74" s="1495"/>
      <c r="I74" s="1495"/>
      <c r="J74" s="1495"/>
      <c r="K74" s="1495"/>
      <c r="L74" s="1495"/>
      <c r="M74" s="1495"/>
      <c r="N74" s="1495"/>
      <c r="O74" s="1495"/>
      <c r="P74" s="1495"/>
      <c r="Q74" s="1495"/>
      <c r="R74" s="1495"/>
      <c r="S74" s="1503"/>
      <c r="T74" s="407"/>
      <c r="U74" s="1535"/>
      <c r="V74" s="407"/>
      <c r="W74" s="1535"/>
      <c r="X74" s="407"/>
      <c r="Y74" s="1535"/>
      <c r="Z74" s="961">
        <f t="shared" si="26"/>
        <v>0</v>
      </c>
      <c r="AA74" s="407"/>
      <c r="AB74" s="1536"/>
      <c r="AC74" s="1536"/>
      <c r="AD74" s="1535"/>
      <c r="AE74" s="961">
        <f t="shared" si="27"/>
        <v>0</v>
      </c>
      <c r="AF74" s="407"/>
      <c r="AG74" s="1536"/>
      <c r="AH74" s="1536"/>
      <c r="AI74" s="1537"/>
      <c r="AJ74" s="1506"/>
      <c r="AK74" s="1506"/>
      <c r="AL74" s="1506"/>
      <c r="AM74" s="1506"/>
      <c r="AN74" s="1506"/>
      <c r="AO74" s="1506"/>
      <c r="AP74" s="1506"/>
      <c r="AQ74" s="1506"/>
      <c r="AR74" s="1506"/>
      <c r="AS74" s="1506"/>
      <c r="AT74" s="161" t="str">
        <f t="shared" si="15"/>
        <v/>
      </c>
      <c r="CA74" s="162" t="str">
        <f t="shared" si="16"/>
        <v/>
      </c>
      <c r="CB74" s="162" t="str">
        <f t="shared" si="17"/>
        <v/>
      </c>
      <c r="CC74" s="162" t="str">
        <f t="shared" si="18"/>
        <v/>
      </c>
      <c r="CD74" s="162" t="str">
        <f t="shared" si="19"/>
        <v/>
      </c>
      <c r="CE74" s="162" t="str">
        <f t="shared" si="20"/>
        <v/>
      </c>
      <c r="CF74" s="162" t="str">
        <f t="shared" si="21"/>
        <v/>
      </c>
      <c r="CG74" s="162" t="str">
        <f t="shared" si="22"/>
        <v/>
      </c>
      <c r="CK74" s="163">
        <f t="shared" si="12"/>
        <v>0</v>
      </c>
      <c r="CL74" s="163">
        <f t="shared" si="13"/>
        <v>0</v>
      </c>
      <c r="CM74" s="163">
        <f t="shared" si="14"/>
        <v>0</v>
      </c>
      <c r="CN74" s="163">
        <f t="shared" si="23"/>
        <v>0</v>
      </c>
      <c r="CO74" s="163">
        <f t="shared" si="28"/>
        <v>0</v>
      </c>
      <c r="CP74" s="163">
        <f t="shared" si="28"/>
        <v>0</v>
      </c>
      <c r="CQ74" s="163">
        <f t="shared" si="28"/>
        <v>0</v>
      </c>
    </row>
    <row r="75" spans="1:95" s="161" customFormat="1" ht="15" customHeight="1" x14ac:dyDescent="0.3">
      <c r="A75" s="961" t="s">
        <v>1234</v>
      </c>
      <c r="B75" s="406">
        <f t="shared" si="25"/>
        <v>0</v>
      </c>
      <c r="C75" s="1494"/>
      <c r="D75" s="1495"/>
      <c r="E75" s="1495"/>
      <c r="F75" s="1495"/>
      <c r="G75" s="1495"/>
      <c r="H75" s="1495"/>
      <c r="I75" s="1495"/>
      <c r="J75" s="1495"/>
      <c r="K75" s="1495"/>
      <c r="L75" s="1495"/>
      <c r="M75" s="1495"/>
      <c r="N75" s="1495"/>
      <c r="O75" s="1495"/>
      <c r="P75" s="1495"/>
      <c r="Q75" s="1495"/>
      <c r="R75" s="1495"/>
      <c r="S75" s="1503"/>
      <c r="T75" s="1494"/>
      <c r="U75" s="1503"/>
      <c r="V75" s="1494"/>
      <c r="W75" s="1503"/>
      <c r="X75" s="1494"/>
      <c r="Y75" s="1503"/>
      <c r="Z75" s="961">
        <f t="shared" si="26"/>
        <v>0</v>
      </c>
      <c r="AA75" s="1494"/>
      <c r="AB75" s="1495"/>
      <c r="AC75" s="1495"/>
      <c r="AD75" s="1503"/>
      <c r="AE75" s="961">
        <f t="shared" si="27"/>
        <v>0</v>
      </c>
      <c r="AF75" s="1494"/>
      <c r="AG75" s="1495"/>
      <c r="AH75" s="1495"/>
      <c r="AI75" s="1543"/>
      <c r="AJ75" s="1506"/>
      <c r="AK75" s="1506"/>
      <c r="AL75" s="1506"/>
      <c r="AM75" s="1506"/>
      <c r="AN75" s="1506"/>
      <c r="AO75" s="1506"/>
      <c r="AP75" s="1506"/>
      <c r="AQ75" s="1506"/>
      <c r="AR75" s="1506"/>
      <c r="AS75" s="1506"/>
      <c r="AT75" s="161" t="str">
        <f t="shared" si="15"/>
        <v/>
      </c>
      <c r="CA75" s="162" t="str">
        <f t="shared" si="16"/>
        <v/>
      </c>
      <c r="CB75" s="162" t="str">
        <f t="shared" si="17"/>
        <v/>
      </c>
      <c r="CC75" s="162" t="str">
        <f t="shared" si="18"/>
        <v/>
      </c>
      <c r="CD75" s="162" t="str">
        <f t="shared" si="19"/>
        <v/>
      </c>
      <c r="CE75" s="162" t="str">
        <f t="shared" si="20"/>
        <v/>
      </c>
      <c r="CF75" s="162" t="str">
        <f t="shared" si="21"/>
        <v/>
      </c>
      <c r="CG75" s="162" t="str">
        <f t="shared" si="22"/>
        <v/>
      </c>
      <c r="CK75" s="163">
        <f t="shared" si="12"/>
        <v>0</v>
      </c>
      <c r="CL75" s="163">
        <f t="shared" si="13"/>
        <v>0</v>
      </c>
      <c r="CM75" s="163">
        <f t="shared" si="14"/>
        <v>0</v>
      </c>
      <c r="CN75" s="163">
        <f t="shared" si="23"/>
        <v>0</v>
      </c>
      <c r="CO75" s="163">
        <f t="shared" si="28"/>
        <v>0</v>
      </c>
      <c r="CP75" s="163">
        <f t="shared" si="28"/>
        <v>0</v>
      </c>
      <c r="CQ75" s="163">
        <f t="shared" si="28"/>
        <v>0</v>
      </c>
    </row>
    <row r="76" spans="1:95" s="161" customFormat="1" ht="15" customHeight="1" x14ac:dyDescent="0.3">
      <c r="A76" s="961" t="s">
        <v>3716</v>
      </c>
      <c r="B76" s="406">
        <f t="shared" si="25"/>
        <v>0</v>
      </c>
      <c r="C76" s="1494"/>
      <c r="D76" s="1495"/>
      <c r="E76" s="1495"/>
      <c r="F76" s="1495"/>
      <c r="G76" s="1495"/>
      <c r="H76" s="1495"/>
      <c r="I76" s="1495"/>
      <c r="J76" s="1495"/>
      <c r="K76" s="1495"/>
      <c r="L76" s="1495"/>
      <c r="M76" s="1495"/>
      <c r="N76" s="1495"/>
      <c r="O76" s="1495"/>
      <c r="P76" s="1495"/>
      <c r="Q76" s="1495"/>
      <c r="R76" s="1495"/>
      <c r="S76" s="1503"/>
      <c r="T76" s="1494"/>
      <c r="U76" s="1503"/>
      <c r="V76" s="1494"/>
      <c r="W76" s="1503"/>
      <c r="X76" s="1494"/>
      <c r="Y76" s="1503"/>
      <c r="Z76" s="961">
        <f t="shared" si="26"/>
        <v>0</v>
      </c>
      <c r="AA76" s="1494"/>
      <c r="AB76" s="1495"/>
      <c r="AC76" s="1495"/>
      <c r="AD76" s="1503"/>
      <c r="AE76" s="961">
        <f t="shared" si="27"/>
        <v>0</v>
      </c>
      <c r="AF76" s="1494"/>
      <c r="AG76" s="1495"/>
      <c r="AH76" s="1495"/>
      <c r="AI76" s="1543"/>
      <c r="AJ76" s="1506"/>
      <c r="AK76" s="1506"/>
      <c r="AL76" s="1506"/>
      <c r="AM76" s="1506"/>
      <c r="AN76" s="1506"/>
      <c r="AO76" s="1506"/>
      <c r="AP76" s="1506"/>
      <c r="AQ76" s="1506"/>
      <c r="AR76" s="1506"/>
      <c r="AS76" s="1506"/>
      <c r="AT76" s="161" t="str">
        <f t="shared" si="15"/>
        <v/>
      </c>
      <c r="CA76" s="162" t="str">
        <f t="shared" si="16"/>
        <v/>
      </c>
      <c r="CB76" s="162" t="str">
        <f t="shared" si="17"/>
        <v/>
      </c>
      <c r="CC76" s="162" t="str">
        <f t="shared" si="18"/>
        <v/>
      </c>
      <c r="CD76" s="162" t="str">
        <f t="shared" si="19"/>
        <v/>
      </c>
      <c r="CE76" s="162" t="str">
        <f t="shared" si="20"/>
        <v/>
      </c>
      <c r="CF76" s="162" t="str">
        <f t="shared" si="21"/>
        <v/>
      </c>
      <c r="CG76" s="162" t="str">
        <f t="shared" si="22"/>
        <v/>
      </c>
      <c r="CK76" s="163">
        <f t="shared" si="12"/>
        <v>0</v>
      </c>
      <c r="CL76" s="163">
        <f t="shared" si="13"/>
        <v>0</v>
      </c>
      <c r="CM76" s="163">
        <f t="shared" si="14"/>
        <v>0</v>
      </c>
      <c r="CN76" s="163">
        <f t="shared" si="23"/>
        <v>0</v>
      </c>
      <c r="CO76" s="163">
        <f t="shared" si="28"/>
        <v>0</v>
      </c>
      <c r="CP76" s="163">
        <f t="shared" si="28"/>
        <v>0</v>
      </c>
      <c r="CQ76" s="163">
        <f t="shared" si="28"/>
        <v>0</v>
      </c>
    </row>
    <row r="77" spans="1:95" s="161" customFormat="1" ht="15" customHeight="1" x14ac:dyDescent="0.3">
      <c r="A77" s="253" t="s">
        <v>1236</v>
      </c>
      <c r="B77" s="406">
        <f t="shared" si="25"/>
        <v>0</v>
      </c>
      <c r="C77" s="1494"/>
      <c r="D77" s="1495"/>
      <c r="E77" s="1495"/>
      <c r="F77" s="1495"/>
      <c r="G77" s="1495"/>
      <c r="H77" s="1495"/>
      <c r="I77" s="1495"/>
      <c r="J77" s="1495"/>
      <c r="K77" s="1495"/>
      <c r="L77" s="1495"/>
      <c r="M77" s="1495"/>
      <c r="N77" s="1495"/>
      <c r="O77" s="1495"/>
      <c r="P77" s="1495"/>
      <c r="Q77" s="1495"/>
      <c r="R77" s="1495"/>
      <c r="S77" s="1503"/>
      <c r="T77" s="1494"/>
      <c r="U77" s="1503"/>
      <c r="V77" s="1494"/>
      <c r="W77" s="1503"/>
      <c r="X77" s="1494"/>
      <c r="Y77" s="1503"/>
      <c r="Z77" s="961">
        <f t="shared" si="26"/>
        <v>0</v>
      </c>
      <c r="AA77" s="1494"/>
      <c r="AB77" s="1495"/>
      <c r="AC77" s="1495"/>
      <c r="AD77" s="1503"/>
      <c r="AE77" s="961">
        <f t="shared" si="27"/>
        <v>0</v>
      </c>
      <c r="AF77" s="1494"/>
      <c r="AG77" s="1495"/>
      <c r="AH77" s="1495"/>
      <c r="AI77" s="1543"/>
      <c r="AJ77" s="1506"/>
      <c r="AK77" s="1506"/>
      <c r="AL77" s="1506"/>
      <c r="AM77" s="1506"/>
      <c r="AN77" s="1506"/>
      <c r="AO77" s="1506"/>
      <c r="AP77" s="1506"/>
      <c r="AQ77" s="1506"/>
      <c r="AR77" s="1506"/>
      <c r="AS77" s="1506"/>
      <c r="AT77" s="161" t="str">
        <f t="shared" si="15"/>
        <v/>
      </c>
      <c r="CA77" s="162" t="str">
        <f t="shared" si="16"/>
        <v/>
      </c>
      <c r="CB77" s="162" t="str">
        <f t="shared" si="17"/>
        <v/>
      </c>
      <c r="CC77" s="162" t="str">
        <f t="shared" si="18"/>
        <v/>
      </c>
      <c r="CD77" s="162" t="str">
        <f t="shared" si="19"/>
        <v/>
      </c>
      <c r="CE77" s="162" t="str">
        <f t="shared" si="20"/>
        <v/>
      </c>
      <c r="CF77" s="162" t="str">
        <f t="shared" si="21"/>
        <v/>
      </c>
      <c r="CG77" s="162" t="str">
        <f t="shared" si="22"/>
        <v/>
      </c>
      <c r="CK77" s="163">
        <f t="shared" si="12"/>
        <v>0</v>
      </c>
      <c r="CL77" s="163">
        <f t="shared" si="13"/>
        <v>0</v>
      </c>
      <c r="CM77" s="163">
        <f t="shared" si="14"/>
        <v>0</v>
      </c>
      <c r="CN77" s="163">
        <f t="shared" si="23"/>
        <v>0</v>
      </c>
      <c r="CO77" s="163">
        <f t="shared" si="28"/>
        <v>0</v>
      </c>
      <c r="CP77" s="163">
        <f t="shared" si="28"/>
        <v>0</v>
      </c>
      <c r="CQ77" s="163">
        <f t="shared" si="28"/>
        <v>0</v>
      </c>
    </row>
    <row r="78" spans="1:95" s="161" customFormat="1" ht="15" customHeight="1" x14ac:dyDescent="0.2">
      <c r="A78" s="5127" t="s">
        <v>1427</v>
      </c>
      <c r="B78" s="406">
        <f t="shared" si="25"/>
        <v>0</v>
      </c>
      <c r="C78" s="1494"/>
      <c r="D78" s="1495"/>
      <c r="E78" s="1495"/>
      <c r="F78" s="1495"/>
      <c r="G78" s="1495"/>
      <c r="H78" s="1495"/>
      <c r="I78" s="1495"/>
      <c r="J78" s="1495"/>
      <c r="K78" s="1495"/>
      <c r="L78" s="1495"/>
      <c r="M78" s="1495"/>
      <c r="N78" s="1495"/>
      <c r="O78" s="1495"/>
      <c r="P78" s="1495"/>
      <c r="Q78" s="1495"/>
      <c r="R78" s="1495"/>
      <c r="S78" s="1503"/>
      <c r="T78" s="1494"/>
      <c r="U78" s="1503"/>
      <c r="V78" s="1494"/>
      <c r="W78" s="1503"/>
      <c r="X78" s="1494"/>
      <c r="Y78" s="1503"/>
      <c r="Z78" s="961">
        <f t="shared" si="26"/>
        <v>0</v>
      </c>
      <c r="AA78" s="1494"/>
      <c r="AB78" s="1495"/>
      <c r="AC78" s="1495"/>
      <c r="AD78" s="1503"/>
      <c r="AE78" s="961">
        <f t="shared" si="27"/>
        <v>0</v>
      </c>
      <c r="AF78" s="1494"/>
      <c r="AG78" s="1495"/>
      <c r="AH78" s="1495"/>
      <c r="AI78" s="1543"/>
      <c r="AJ78" s="1506"/>
      <c r="AK78" s="1506"/>
      <c r="AL78" s="1506"/>
      <c r="AM78" s="1506"/>
      <c r="AN78" s="1506"/>
      <c r="AO78" s="1506"/>
      <c r="AP78" s="1506"/>
      <c r="AQ78" s="1506"/>
      <c r="AR78" s="1506"/>
      <c r="AS78" s="1506"/>
      <c r="AT78" s="161" t="str">
        <f t="shared" si="15"/>
        <v/>
      </c>
      <c r="CA78" s="162" t="str">
        <f t="shared" si="16"/>
        <v/>
      </c>
      <c r="CB78" s="162" t="str">
        <f t="shared" si="17"/>
        <v/>
      </c>
      <c r="CC78" s="162" t="str">
        <f t="shared" si="18"/>
        <v/>
      </c>
      <c r="CD78" s="162" t="str">
        <f t="shared" si="19"/>
        <v/>
      </c>
      <c r="CE78" s="162" t="str">
        <f t="shared" si="20"/>
        <v/>
      </c>
      <c r="CF78" s="162" t="str">
        <f t="shared" si="21"/>
        <v/>
      </c>
      <c r="CG78" s="162" t="str">
        <f t="shared" si="22"/>
        <v/>
      </c>
      <c r="CK78" s="163">
        <f t="shared" si="12"/>
        <v>0</v>
      </c>
      <c r="CL78" s="163">
        <f t="shared" si="13"/>
        <v>0</v>
      </c>
      <c r="CM78" s="163">
        <f t="shared" si="14"/>
        <v>0</v>
      </c>
      <c r="CN78" s="163">
        <f t="shared" si="23"/>
        <v>0</v>
      </c>
      <c r="CO78" s="163">
        <f t="shared" si="28"/>
        <v>0</v>
      </c>
      <c r="CP78" s="163">
        <f t="shared" si="28"/>
        <v>0</v>
      </c>
      <c r="CQ78" s="163">
        <f t="shared" si="28"/>
        <v>0</v>
      </c>
    </row>
    <row r="79" spans="1:95" s="161" customFormat="1" ht="15" customHeight="1" x14ac:dyDescent="0.2">
      <c r="A79" s="5127" t="s">
        <v>4306</v>
      </c>
      <c r="B79" s="406">
        <f t="shared" si="25"/>
        <v>0</v>
      </c>
      <c r="C79" s="1494"/>
      <c r="D79" s="1495"/>
      <c r="E79" s="1495"/>
      <c r="F79" s="1495"/>
      <c r="G79" s="1495"/>
      <c r="H79" s="1495"/>
      <c r="I79" s="1495"/>
      <c r="J79" s="1495"/>
      <c r="K79" s="1495"/>
      <c r="L79" s="1495"/>
      <c r="M79" s="1495"/>
      <c r="N79" s="1495"/>
      <c r="O79" s="1495"/>
      <c r="P79" s="1495"/>
      <c r="Q79" s="1495"/>
      <c r="R79" s="1495"/>
      <c r="S79" s="1503"/>
      <c r="T79" s="1494"/>
      <c r="U79" s="1503"/>
      <c r="V79" s="1494"/>
      <c r="W79" s="1503"/>
      <c r="X79" s="1494"/>
      <c r="Y79" s="1503"/>
      <c r="Z79" s="961">
        <f t="shared" si="26"/>
        <v>0</v>
      </c>
      <c r="AA79" s="1494"/>
      <c r="AB79" s="1495"/>
      <c r="AC79" s="1495"/>
      <c r="AD79" s="1503"/>
      <c r="AE79" s="961">
        <f t="shared" si="27"/>
        <v>0</v>
      </c>
      <c r="AF79" s="1494"/>
      <c r="AG79" s="1495"/>
      <c r="AH79" s="1495"/>
      <c r="AI79" s="1543"/>
      <c r="AJ79" s="1506"/>
      <c r="AK79" s="1506"/>
      <c r="AL79" s="1506"/>
      <c r="AM79" s="1506"/>
      <c r="AN79" s="1506"/>
      <c r="AO79" s="1506"/>
      <c r="AP79" s="1506"/>
      <c r="AQ79" s="1506"/>
      <c r="AR79" s="1506"/>
      <c r="AS79" s="1506"/>
      <c r="AT79" s="161" t="str">
        <f t="shared" si="15"/>
        <v/>
      </c>
      <c r="CA79" s="162" t="str">
        <f t="shared" si="16"/>
        <v/>
      </c>
      <c r="CB79" s="162" t="str">
        <f t="shared" si="17"/>
        <v/>
      </c>
      <c r="CC79" s="162" t="str">
        <f t="shared" si="18"/>
        <v/>
      </c>
      <c r="CD79" s="162" t="str">
        <f t="shared" si="19"/>
        <v/>
      </c>
      <c r="CE79" s="162" t="str">
        <f t="shared" si="20"/>
        <v/>
      </c>
      <c r="CF79" s="162" t="str">
        <f t="shared" si="21"/>
        <v/>
      </c>
      <c r="CG79" s="162" t="str">
        <f t="shared" si="22"/>
        <v/>
      </c>
      <c r="CK79" s="163">
        <f t="shared" si="12"/>
        <v>0</v>
      </c>
      <c r="CL79" s="163">
        <f t="shared" si="13"/>
        <v>0</v>
      </c>
      <c r="CM79" s="163">
        <f t="shared" si="14"/>
        <v>0</v>
      </c>
      <c r="CN79" s="163">
        <f t="shared" si="23"/>
        <v>0</v>
      </c>
      <c r="CO79" s="163">
        <f t="shared" si="28"/>
        <v>0</v>
      </c>
      <c r="CP79" s="163">
        <f t="shared" si="28"/>
        <v>0</v>
      </c>
      <c r="CQ79" s="163">
        <f t="shared" si="28"/>
        <v>0</v>
      </c>
    </row>
    <row r="80" spans="1:95" s="161" customFormat="1" ht="15" customHeight="1" x14ac:dyDescent="0.2">
      <c r="A80" s="5127" t="s">
        <v>4316</v>
      </c>
      <c r="B80" s="406">
        <f t="shared" si="25"/>
        <v>0</v>
      </c>
      <c r="C80" s="1494"/>
      <c r="D80" s="1495"/>
      <c r="E80" s="1495"/>
      <c r="F80" s="1495"/>
      <c r="G80" s="1495"/>
      <c r="H80" s="1495"/>
      <c r="I80" s="1495"/>
      <c r="J80" s="1495"/>
      <c r="K80" s="1495"/>
      <c r="L80" s="1495"/>
      <c r="M80" s="1495"/>
      <c r="N80" s="1495"/>
      <c r="O80" s="1495"/>
      <c r="P80" s="1495"/>
      <c r="Q80" s="1495"/>
      <c r="R80" s="1495"/>
      <c r="S80" s="1503"/>
      <c r="T80" s="1494"/>
      <c r="U80" s="1503"/>
      <c r="V80" s="1494"/>
      <c r="W80" s="1503"/>
      <c r="X80" s="1494"/>
      <c r="Y80" s="1503"/>
      <c r="Z80" s="961">
        <f t="shared" si="26"/>
        <v>0</v>
      </c>
      <c r="AA80" s="1494"/>
      <c r="AB80" s="1495"/>
      <c r="AC80" s="1495"/>
      <c r="AD80" s="1503"/>
      <c r="AE80" s="961">
        <f t="shared" si="27"/>
        <v>0</v>
      </c>
      <c r="AF80" s="1494"/>
      <c r="AG80" s="1495"/>
      <c r="AH80" s="1495"/>
      <c r="AI80" s="1543"/>
      <c r="AJ80" s="1506"/>
      <c r="AK80" s="1506"/>
      <c r="AL80" s="1506"/>
      <c r="AM80" s="1506"/>
      <c r="AN80" s="1506"/>
      <c r="AO80" s="1506"/>
      <c r="AP80" s="1506"/>
      <c r="AQ80" s="1506"/>
      <c r="AR80" s="1506"/>
      <c r="AS80" s="1506"/>
      <c r="AT80" s="161" t="str">
        <f t="shared" si="15"/>
        <v/>
      </c>
      <c r="CA80" s="162" t="str">
        <f t="shared" si="16"/>
        <v/>
      </c>
      <c r="CB80" s="162" t="str">
        <f t="shared" si="17"/>
        <v/>
      </c>
      <c r="CC80" s="162" t="str">
        <f t="shared" si="18"/>
        <v/>
      </c>
      <c r="CD80" s="162" t="str">
        <f t="shared" si="19"/>
        <v/>
      </c>
      <c r="CE80" s="162" t="str">
        <f t="shared" si="20"/>
        <v/>
      </c>
      <c r="CF80" s="162" t="str">
        <f t="shared" si="21"/>
        <v/>
      </c>
      <c r="CG80" s="162" t="str">
        <f t="shared" si="22"/>
        <v/>
      </c>
      <c r="CK80" s="163">
        <f t="shared" si="12"/>
        <v>0</v>
      </c>
      <c r="CL80" s="163">
        <f t="shared" si="13"/>
        <v>0</v>
      </c>
      <c r="CM80" s="163">
        <f t="shared" si="14"/>
        <v>0</v>
      </c>
      <c r="CN80" s="163">
        <f t="shared" si="23"/>
        <v>0</v>
      </c>
      <c r="CO80" s="163">
        <f t="shared" si="28"/>
        <v>0</v>
      </c>
      <c r="CP80" s="163">
        <f t="shared" si="28"/>
        <v>0</v>
      </c>
      <c r="CQ80" s="163">
        <f t="shared" si="28"/>
        <v>0</v>
      </c>
    </row>
    <row r="81" spans="1:95" s="161" customFormat="1" ht="15" customHeight="1" x14ac:dyDescent="0.3">
      <c r="A81" s="961" t="s">
        <v>1237</v>
      </c>
      <c r="B81" s="406">
        <f t="shared" si="25"/>
        <v>0</v>
      </c>
      <c r="C81" s="1494"/>
      <c r="D81" s="1495"/>
      <c r="E81" s="1495"/>
      <c r="F81" s="1495"/>
      <c r="G81" s="1495"/>
      <c r="H81" s="1495"/>
      <c r="I81" s="1495"/>
      <c r="J81" s="1495"/>
      <c r="K81" s="1495"/>
      <c r="L81" s="1495"/>
      <c r="M81" s="1495"/>
      <c r="N81" s="1495"/>
      <c r="O81" s="1495"/>
      <c r="P81" s="1495"/>
      <c r="Q81" s="1495"/>
      <c r="R81" s="1495"/>
      <c r="S81" s="1503"/>
      <c r="T81" s="1494"/>
      <c r="U81" s="1503"/>
      <c r="V81" s="1494"/>
      <c r="W81" s="1503"/>
      <c r="X81" s="1494"/>
      <c r="Y81" s="1503"/>
      <c r="Z81" s="961">
        <f t="shared" si="26"/>
        <v>0</v>
      </c>
      <c r="AA81" s="1494"/>
      <c r="AB81" s="1495"/>
      <c r="AC81" s="1495"/>
      <c r="AD81" s="1503"/>
      <c r="AE81" s="961">
        <f t="shared" si="27"/>
        <v>0</v>
      </c>
      <c r="AF81" s="1494"/>
      <c r="AG81" s="1495"/>
      <c r="AH81" s="1495"/>
      <c r="AI81" s="1543"/>
      <c r="AJ81" s="1506"/>
      <c r="AK81" s="1506"/>
      <c r="AL81" s="1506"/>
      <c r="AM81" s="1506"/>
      <c r="AN81" s="1506"/>
      <c r="AO81" s="1506"/>
      <c r="AP81" s="1506"/>
      <c r="AQ81" s="1506"/>
      <c r="AR81" s="1506"/>
      <c r="AS81" s="1506"/>
      <c r="AT81" s="161" t="str">
        <f t="shared" si="15"/>
        <v/>
      </c>
      <c r="CA81" s="162" t="str">
        <f t="shared" si="16"/>
        <v/>
      </c>
      <c r="CB81" s="162" t="str">
        <f t="shared" si="17"/>
        <v/>
      </c>
      <c r="CC81" s="162" t="str">
        <f t="shared" si="18"/>
        <v/>
      </c>
      <c r="CD81" s="162" t="str">
        <f t="shared" si="19"/>
        <v/>
      </c>
      <c r="CE81" s="162" t="str">
        <f t="shared" si="20"/>
        <v/>
      </c>
      <c r="CF81" s="162" t="str">
        <f t="shared" si="21"/>
        <v/>
      </c>
      <c r="CG81" s="162" t="str">
        <f t="shared" si="22"/>
        <v/>
      </c>
      <c r="CK81" s="163">
        <f t="shared" si="12"/>
        <v>0</v>
      </c>
      <c r="CL81" s="163">
        <f t="shared" si="13"/>
        <v>0</v>
      </c>
      <c r="CM81" s="163">
        <f t="shared" si="14"/>
        <v>0</v>
      </c>
      <c r="CN81" s="163">
        <f t="shared" si="23"/>
        <v>0</v>
      </c>
      <c r="CO81" s="163">
        <f t="shared" si="28"/>
        <v>0</v>
      </c>
      <c r="CP81" s="163">
        <f t="shared" si="28"/>
        <v>0</v>
      </c>
      <c r="CQ81" s="163">
        <f t="shared" si="28"/>
        <v>0</v>
      </c>
    </row>
    <row r="82" spans="1:95" s="161" customFormat="1" ht="15" customHeight="1" x14ac:dyDescent="0.3">
      <c r="A82" s="961" t="s">
        <v>1238</v>
      </c>
      <c r="B82" s="406">
        <f t="shared" si="25"/>
        <v>0</v>
      </c>
      <c r="C82" s="1494"/>
      <c r="D82" s="1495"/>
      <c r="E82" s="1495"/>
      <c r="F82" s="1495"/>
      <c r="G82" s="1495"/>
      <c r="H82" s="1495"/>
      <c r="I82" s="1495"/>
      <c r="J82" s="1495"/>
      <c r="K82" s="1495"/>
      <c r="L82" s="1495"/>
      <c r="M82" s="1495"/>
      <c r="N82" s="1495"/>
      <c r="O82" s="1495"/>
      <c r="P82" s="1495"/>
      <c r="Q82" s="1495"/>
      <c r="R82" s="1495"/>
      <c r="S82" s="1503"/>
      <c r="T82" s="1494"/>
      <c r="U82" s="1503"/>
      <c r="V82" s="1494"/>
      <c r="W82" s="1503"/>
      <c r="X82" s="1494"/>
      <c r="Y82" s="1503"/>
      <c r="Z82" s="961">
        <f t="shared" si="26"/>
        <v>0</v>
      </c>
      <c r="AA82" s="1494"/>
      <c r="AB82" s="1495"/>
      <c r="AC82" s="1495"/>
      <c r="AD82" s="1503"/>
      <c r="AE82" s="961">
        <f t="shared" si="27"/>
        <v>0</v>
      </c>
      <c r="AF82" s="1494"/>
      <c r="AG82" s="1495"/>
      <c r="AH82" s="1495"/>
      <c r="AI82" s="1543"/>
      <c r="AJ82" s="1506"/>
      <c r="AK82" s="1506"/>
      <c r="AL82" s="1506"/>
      <c r="AM82" s="1506"/>
      <c r="AN82" s="1506"/>
      <c r="AO82" s="1506"/>
      <c r="AP82" s="1506"/>
      <c r="AQ82" s="1506"/>
      <c r="AR82" s="1506"/>
      <c r="AS82" s="1506"/>
      <c r="AT82" s="161" t="str">
        <f t="shared" si="15"/>
        <v/>
      </c>
      <c r="CA82" s="162" t="str">
        <f t="shared" si="16"/>
        <v/>
      </c>
      <c r="CB82" s="162" t="str">
        <f t="shared" si="17"/>
        <v/>
      </c>
      <c r="CC82" s="162" t="str">
        <f t="shared" si="18"/>
        <v/>
      </c>
      <c r="CD82" s="162" t="str">
        <f t="shared" si="19"/>
        <v/>
      </c>
      <c r="CE82" s="162" t="str">
        <f t="shared" si="20"/>
        <v/>
      </c>
      <c r="CF82" s="162" t="str">
        <f t="shared" si="21"/>
        <v/>
      </c>
      <c r="CG82" s="162" t="str">
        <f t="shared" si="22"/>
        <v/>
      </c>
      <c r="CK82" s="163">
        <f t="shared" si="12"/>
        <v>0</v>
      </c>
      <c r="CL82" s="163">
        <f t="shared" si="13"/>
        <v>0</v>
      </c>
      <c r="CM82" s="163">
        <f t="shared" si="14"/>
        <v>0</v>
      </c>
      <c r="CN82" s="163">
        <f t="shared" si="23"/>
        <v>0</v>
      </c>
      <c r="CO82" s="163">
        <f t="shared" si="28"/>
        <v>0</v>
      </c>
      <c r="CP82" s="163">
        <f t="shared" si="28"/>
        <v>0</v>
      </c>
      <c r="CQ82" s="163">
        <f t="shared" si="28"/>
        <v>0</v>
      </c>
    </row>
    <row r="83" spans="1:95" s="161" customFormat="1" ht="15" customHeight="1" x14ac:dyDescent="0.2">
      <c r="A83" s="1112" t="s">
        <v>4317</v>
      </c>
      <c r="B83" s="406">
        <f t="shared" si="25"/>
        <v>0</v>
      </c>
      <c r="C83" s="1494"/>
      <c r="D83" s="1495"/>
      <c r="E83" s="1495"/>
      <c r="F83" s="1495"/>
      <c r="G83" s="1495"/>
      <c r="H83" s="1495"/>
      <c r="I83" s="1495"/>
      <c r="J83" s="1495"/>
      <c r="K83" s="1495"/>
      <c r="L83" s="1495"/>
      <c r="M83" s="1495"/>
      <c r="N83" s="1495"/>
      <c r="O83" s="1495"/>
      <c r="P83" s="1495"/>
      <c r="Q83" s="1495"/>
      <c r="R83" s="1495"/>
      <c r="S83" s="1503"/>
      <c r="T83" s="1494"/>
      <c r="U83" s="1503"/>
      <c r="V83" s="1494"/>
      <c r="W83" s="1503"/>
      <c r="X83" s="1494"/>
      <c r="Y83" s="1503"/>
      <c r="Z83" s="961">
        <f t="shared" si="26"/>
        <v>0</v>
      </c>
      <c r="AA83" s="1494"/>
      <c r="AB83" s="1495"/>
      <c r="AC83" s="1495"/>
      <c r="AD83" s="1503"/>
      <c r="AE83" s="961">
        <f t="shared" si="27"/>
        <v>0</v>
      </c>
      <c r="AF83" s="1494"/>
      <c r="AG83" s="1495"/>
      <c r="AH83" s="1495"/>
      <c r="AI83" s="1543"/>
      <c r="AJ83" s="1506"/>
      <c r="AK83" s="1506"/>
      <c r="AL83" s="1506"/>
      <c r="AM83" s="1506"/>
      <c r="AN83" s="1506"/>
      <c r="AO83" s="1506"/>
      <c r="AP83" s="1506"/>
      <c r="AQ83" s="1506"/>
      <c r="AR83" s="1506"/>
      <c r="AS83" s="1506"/>
      <c r="AT83" s="161" t="str">
        <f t="shared" si="15"/>
        <v/>
      </c>
      <c r="CA83" s="162" t="str">
        <f t="shared" si="16"/>
        <v/>
      </c>
      <c r="CB83" s="162" t="str">
        <f t="shared" si="17"/>
        <v/>
      </c>
      <c r="CC83" s="162" t="str">
        <f t="shared" si="18"/>
        <v/>
      </c>
      <c r="CD83" s="162" t="str">
        <f t="shared" si="19"/>
        <v/>
      </c>
      <c r="CE83" s="162" t="str">
        <f t="shared" si="20"/>
        <v/>
      </c>
      <c r="CF83" s="162" t="str">
        <f t="shared" si="21"/>
        <v/>
      </c>
      <c r="CG83" s="162" t="str">
        <f t="shared" si="22"/>
        <v/>
      </c>
      <c r="CK83" s="163">
        <f t="shared" si="12"/>
        <v>0</v>
      </c>
      <c r="CL83" s="163">
        <f t="shared" si="13"/>
        <v>0</v>
      </c>
      <c r="CM83" s="163">
        <f t="shared" si="14"/>
        <v>0</v>
      </c>
      <c r="CN83" s="163">
        <f t="shared" si="23"/>
        <v>0</v>
      </c>
      <c r="CO83" s="163">
        <f t="shared" si="28"/>
        <v>0</v>
      </c>
      <c r="CP83" s="163">
        <f t="shared" si="28"/>
        <v>0</v>
      </c>
      <c r="CQ83" s="163">
        <f t="shared" si="28"/>
        <v>0</v>
      </c>
    </row>
    <row r="84" spans="1:95" s="161" customFormat="1" ht="15" customHeight="1" x14ac:dyDescent="0.2">
      <c r="A84" s="1112" t="s">
        <v>4318</v>
      </c>
      <c r="B84" s="406">
        <f t="shared" si="25"/>
        <v>0</v>
      </c>
      <c r="C84" s="1494"/>
      <c r="D84" s="1495"/>
      <c r="E84" s="1495"/>
      <c r="F84" s="1495"/>
      <c r="G84" s="1495"/>
      <c r="H84" s="1495"/>
      <c r="I84" s="1495"/>
      <c r="J84" s="1495"/>
      <c r="K84" s="1495"/>
      <c r="L84" s="1495"/>
      <c r="M84" s="1495"/>
      <c r="N84" s="1495"/>
      <c r="O84" s="1495"/>
      <c r="P84" s="1495"/>
      <c r="Q84" s="1495"/>
      <c r="R84" s="1495"/>
      <c r="S84" s="1503"/>
      <c r="T84" s="1494"/>
      <c r="U84" s="1503"/>
      <c r="V84" s="1494"/>
      <c r="W84" s="1503"/>
      <c r="X84" s="1494"/>
      <c r="Y84" s="1503"/>
      <c r="Z84" s="961">
        <f t="shared" si="26"/>
        <v>0</v>
      </c>
      <c r="AA84" s="1494"/>
      <c r="AB84" s="1495"/>
      <c r="AC84" s="1495"/>
      <c r="AD84" s="1503"/>
      <c r="AE84" s="961">
        <f t="shared" si="27"/>
        <v>0</v>
      </c>
      <c r="AF84" s="1494"/>
      <c r="AG84" s="1495"/>
      <c r="AH84" s="1495"/>
      <c r="AI84" s="1543"/>
      <c r="AJ84" s="1506"/>
      <c r="AK84" s="1506"/>
      <c r="AL84" s="1506"/>
      <c r="AM84" s="1506"/>
      <c r="AN84" s="1506"/>
      <c r="AO84" s="1506"/>
      <c r="AP84" s="1506"/>
      <c r="AQ84" s="1506"/>
      <c r="AR84" s="1506"/>
      <c r="AS84" s="1506"/>
      <c r="AT84" s="161" t="str">
        <f t="shared" si="15"/>
        <v/>
      </c>
      <c r="CA84" s="162" t="str">
        <f t="shared" si="16"/>
        <v/>
      </c>
      <c r="CB84" s="162" t="str">
        <f t="shared" si="17"/>
        <v/>
      </c>
      <c r="CC84" s="162" t="str">
        <f t="shared" si="18"/>
        <v/>
      </c>
      <c r="CD84" s="162" t="str">
        <f t="shared" si="19"/>
        <v/>
      </c>
      <c r="CE84" s="162" t="str">
        <f t="shared" si="20"/>
        <v/>
      </c>
      <c r="CF84" s="162" t="str">
        <f t="shared" si="21"/>
        <v/>
      </c>
      <c r="CG84" s="162" t="str">
        <f t="shared" si="22"/>
        <v/>
      </c>
      <c r="CK84" s="163">
        <f t="shared" si="12"/>
        <v>0</v>
      </c>
      <c r="CL84" s="163">
        <f t="shared" si="13"/>
        <v>0</v>
      </c>
      <c r="CM84" s="163">
        <f t="shared" si="14"/>
        <v>0</v>
      </c>
      <c r="CN84" s="163">
        <f t="shared" si="23"/>
        <v>0</v>
      </c>
      <c r="CO84" s="163">
        <f t="shared" si="28"/>
        <v>0</v>
      </c>
      <c r="CP84" s="163">
        <f t="shared" si="28"/>
        <v>0</v>
      </c>
      <c r="CQ84" s="163">
        <f t="shared" si="28"/>
        <v>0</v>
      </c>
    </row>
    <row r="85" spans="1:95" s="161" customFormat="1" ht="15" customHeight="1" x14ac:dyDescent="0.2">
      <c r="A85" s="1112" t="s">
        <v>1239</v>
      </c>
      <c r="B85" s="406">
        <f t="shared" si="25"/>
        <v>0</v>
      </c>
      <c r="C85" s="1494"/>
      <c r="D85" s="1495"/>
      <c r="E85" s="1495"/>
      <c r="F85" s="1495"/>
      <c r="G85" s="1495"/>
      <c r="H85" s="1495"/>
      <c r="I85" s="1495"/>
      <c r="J85" s="1495"/>
      <c r="K85" s="1495"/>
      <c r="L85" s="1495"/>
      <c r="M85" s="1495"/>
      <c r="N85" s="1495"/>
      <c r="O85" s="1495"/>
      <c r="P85" s="1495"/>
      <c r="Q85" s="1495"/>
      <c r="R85" s="1495"/>
      <c r="S85" s="1503"/>
      <c r="T85" s="1494"/>
      <c r="U85" s="1503"/>
      <c r="V85" s="1494"/>
      <c r="W85" s="1503"/>
      <c r="X85" s="1494"/>
      <c r="Y85" s="1503"/>
      <c r="Z85" s="961">
        <f t="shared" si="26"/>
        <v>0</v>
      </c>
      <c r="AA85" s="1494"/>
      <c r="AB85" s="1495"/>
      <c r="AC85" s="1495"/>
      <c r="AD85" s="1503"/>
      <c r="AE85" s="961">
        <f t="shared" si="27"/>
        <v>0</v>
      </c>
      <c r="AF85" s="1494"/>
      <c r="AG85" s="1495"/>
      <c r="AH85" s="1495"/>
      <c r="AI85" s="1543"/>
      <c r="AJ85" s="1506"/>
      <c r="AK85" s="1506"/>
      <c r="AL85" s="1506"/>
      <c r="AM85" s="1506"/>
      <c r="AN85" s="1506"/>
      <c r="AO85" s="1506"/>
      <c r="AP85" s="1506"/>
      <c r="AQ85" s="1506"/>
      <c r="AR85" s="1506"/>
      <c r="AS85" s="1506"/>
      <c r="AT85" s="161" t="str">
        <f t="shared" si="15"/>
        <v/>
      </c>
      <c r="CA85" s="162" t="str">
        <f t="shared" si="16"/>
        <v/>
      </c>
      <c r="CB85" s="162" t="str">
        <f t="shared" si="17"/>
        <v/>
      </c>
      <c r="CC85" s="162" t="str">
        <f t="shared" si="18"/>
        <v/>
      </c>
      <c r="CD85" s="162" t="str">
        <f t="shared" si="19"/>
        <v/>
      </c>
      <c r="CE85" s="162" t="str">
        <f t="shared" si="20"/>
        <v/>
      </c>
      <c r="CF85" s="162" t="str">
        <f t="shared" si="21"/>
        <v/>
      </c>
      <c r="CG85" s="162" t="str">
        <f t="shared" si="22"/>
        <v/>
      </c>
      <c r="CK85" s="163">
        <f t="shared" si="12"/>
        <v>0</v>
      </c>
      <c r="CL85" s="163">
        <f t="shared" si="13"/>
        <v>0</v>
      </c>
      <c r="CM85" s="163">
        <f t="shared" si="14"/>
        <v>0</v>
      </c>
      <c r="CN85" s="163">
        <f t="shared" si="23"/>
        <v>0</v>
      </c>
      <c r="CO85" s="163">
        <f t="shared" si="28"/>
        <v>0</v>
      </c>
      <c r="CP85" s="163">
        <f t="shared" si="28"/>
        <v>0</v>
      </c>
      <c r="CQ85" s="163">
        <f t="shared" si="28"/>
        <v>0</v>
      </c>
    </row>
    <row r="86" spans="1:95" s="161" customFormat="1" ht="15" customHeight="1" x14ac:dyDescent="0.3">
      <c r="A86" s="961" t="s">
        <v>1240</v>
      </c>
      <c r="B86" s="406">
        <f t="shared" si="25"/>
        <v>0</v>
      </c>
      <c r="C86" s="1494"/>
      <c r="D86" s="1495"/>
      <c r="E86" s="1495"/>
      <c r="F86" s="1495"/>
      <c r="G86" s="1495"/>
      <c r="H86" s="1495"/>
      <c r="I86" s="1495"/>
      <c r="J86" s="1495"/>
      <c r="K86" s="1495"/>
      <c r="L86" s="1495"/>
      <c r="M86" s="1495"/>
      <c r="N86" s="1495"/>
      <c r="O86" s="1495"/>
      <c r="P86" s="1495"/>
      <c r="Q86" s="1495"/>
      <c r="R86" s="1495"/>
      <c r="S86" s="1503"/>
      <c r="T86" s="1494"/>
      <c r="U86" s="1503"/>
      <c r="V86" s="1494"/>
      <c r="W86" s="1503"/>
      <c r="X86" s="1494"/>
      <c r="Y86" s="1503"/>
      <c r="Z86" s="961">
        <f t="shared" si="26"/>
        <v>0</v>
      </c>
      <c r="AA86" s="1494"/>
      <c r="AB86" s="1495"/>
      <c r="AC86" s="1495"/>
      <c r="AD86" s="1503"/>
      <c r="AE86" s="961">
        <f t="shared" si="27"/>
        <v>0</v>
      </c>
      <c r="AF86" s="1494"/>
      <c r="AG86" s="1495"/>
      <c r="AH86" s="1495"/>
      <c r="AI86" s="1543"/>
      <c r="AJ86" s="1506"/>
      <c r="AK86" s="1506"/>
      <c r="AL86" s="1506"/>
      <c r="AM86" s="1506"/>
      <c r="AN86" s="1506"/>
      <c r="AO86" s="1506"/>
      <c r="AP86" s="1506"/>
      <c r="AQ86" s="1506"/>
      <c r="AR86" s="1506"/>
      <c r="AS86" s="1506"/>
      <c r="AT86" s="161" t="str">
        <f t="shared" si="15"/>
        <v/>
      </c>
      <c r="CA86" s="162" t="str">
        <f t="shared" si="16"/>
        <v/>
      </c>
      <c r="CB86" s="162" t="str">
        <f t="shared" si="17"/>
        <v/>
      </c>
      <c r="CC86" s="162" t="str">
        <f t="shared" si="18"/>
        <v/>
      </c>
      <c r="CD86" s="162" t="str">
        <f t="shared" si="19"/>
        <v/>
      </c>
      <c r="CE86" s="162" t="str">
        <f t="shared" si="20"/>
        <v/>
      </c>
      <c r="CF86" s="162" t="str">
        <f t="shared" si="21"/>
        <v/>
      </c>
      <c r="CG86" s="162" t="str">
        <f t="shared" si="22"/>
        <v/>
      </c>
      <c r="CK86" s="163">
        <f t="shared" si="12"/>
        <v>0</v>
      </c>
      <c r="CL86" s="163">
        <f t="shared" si="13"/>
        <v>0</v>
      </c>
      <c r="CM86" s="163">
        <f t="shared" si="14"/>
        <v>0</v>
      </c>
      <c r="CN86" s="163">
        <f t="shared" si="23"/>
        <v>0</v>
      </c>
      <c r="CO86" s="163">
        <f t="shared" si="28"/>
        <v>0</v>
      </c>
      <c r="CP86" s="163">
        <f t="shared" si="28"/>
        <v>0</v>
      </c>
      <c r="CQ86" s="163">
        <f t="shared" si="28"/>
        <v>0</v>
      </c>
    </row>
    <row r="87" spans="1:95" s="161" customFormat="1" ht="15" customHeight="1" x14ac:dyDescent="0.3">
      <c r="A87" s="961" t="s">
        <v>4002</v>
      </c>
      <c r="B87" s="406">
        <f t="shared" si="25"/>
        <v>0</v>
      </c>
      <c r="C87" s="1494"/>
      <c r="D87" s="1495"/>
      <c r="E87" s="1495"/>
      <c r="F87" s="1495"/>
      <c r="G87" s="1495"/>
      <c r="H87" s="1495"/>
      <c r="I87" s="1495"/>
      <c r="J87" s="1495"/>
      <c r="K87" s="1495"/>
      <c r="L87" s="1495"/>
      <c r="M87" s="1495"/>
      <c r="N87" s="1495"/>
      <c r="O87" s="1495"/>
      <c r="P87" s="1495"/>
      <c r="Q87" s="1495"/>
      <c r="R87" s="1495"/>
      <c r="S87" s="1503"/>
      <c r="T87" s="1494"/>
      <c r="U87" s="1503"/>
      <c r="V87" s="1494"/>
      <c r="W87" s="1503"/>
      <c r="X87" s="1494"/>
      <c r="Y87" s="1503"/>
      <c r="Z87" s="961">
        <f t="shared" si="26"/>
        <v>0</v>
      </c>
      <c r="AA87" s="1494"/>
      <c r="AB87" s="1495"/>
      <c r="AC87" s="1495"/>
      <c r="AD87" s="1503"/>
      <c r="AE87" s="961">
        <f t="shared" si="27"/>
        <v>0</v>
      </c>
      <c r="AF87" s="1494"/>
      <c r="AG87" s="1495"/>
      <c r="AH87" s="1495"/>
      <c r="AI87" s="1543"/>
      <c r="AJ87" s="1506"/>
      <c r="AK87" s="1506"/>
      <c r="AL87" s="1506"/>
      <c r="AM87" s="1506"/>
      <c r="AN87" s="1506"/>
      <c r="AO87" s="1506"/>
      <c r="AP87" s="1506"/>
      <c r="AQ87" s="1506"/>
      <c r="AR87" s="1506"/>
      <c r="AS87" s="1506"/>
      <c r="AT87" s="161" t="str">
        <f t="shared" si="15"/>
        <v/>
      </c>
      <c r="CA87" s="162" t="str">
        <f t="shared" si="16"/>
        <v/>
      </c>
      <c r="CB87" s="162" t="str">
        <f t="shared" si="17"/>
        <v/>
      </c>
      <c r="CC87" s="162" t="str">
        <f t="shared" si="18"/>
        <v/>
      </c>
      <c r="CD87" s="162" t="str">
        <f t="shared" si="19"/>
        <v/>
      </c>
      <c r="CE87" s="162" t="str">
        <f t="shared" si="20"/>
        <v/>
      </c>
      <c r="CF87" s="162" t="str">
        <f t="shared" si="21"/>
        <v/>
      </c>
      <c r="CG87" s="162" t="str">
        <f t="shared" si="22"/>
        <v/>
      </c>
      <c r="CK87" s="163">
        <f t="shared" si="12"/>
        <v>0</v>
      </c>
      <c r="CL87" s="163">
        <f t="shared" si="13"/>
        <v>0</v>
      </c>
      <c r="CM87" s="163">
        <f t="shared" si="14"/>
        <v>0</v>
      </c>
      <c r="CN87" s="163">
        <f t="shared" si="23"/>
        <v>0</v>
      </c>
      <c r="CO87" s="163">
        <f t="shared" si="28"/>
        <v>0</v>
      </c>
      <c r="CP87" s="163">
        <f t="shared" si="28"/>
        <v>0</v>
      </c>
      <c r="CQ87" s="163">
        <f t="shared" si="28"/>
        <v>0</v>
      </c>
    </row>
    <row r="88" spans="1:95" s="161" customFormat="1" ht="15" customHeight="1" x14ac:dyDescent="0.3">
      <c r="A88" s="253" t="s">
        <v>1242</v>
      </c>
      <c r="B88" s="406">
        <f t="shared" si="25"/>
        <v>0</v>
      </c>
      <c r="C88" s="1494"/>
      <c r="D88" s="1495"/>
      <c r="E88" s="1495"/>
      <c r="F88" s="1495"/>
      <c r="G88" s="1495"/>
      <c r="H88" s="1495"/>
      <c r="I88" s="1495"/>
      <c r="J88" s="1495"/>
      <c r="K88" s="1495"/>
      <c r="L88" s="1495"/>
      <c r="M88" s="1495"/>
      <c r="N88" s="1495"/>
      <c r="O88" s="1495"/>
      <c r="P88" s="1495"/>
      <c r="Q88" s="1495"/>
      <c r="R88" s="1495"/>
      <c r="S88" s="1503"/>
      <c r="T88" s="1494"/>
      <c r="U88" s="1503"/>
      <c r="V88" s="1494"/>
      <c r="W88" s="1503"/>
      <c r="X88" s="1494"/>
      <c r="Y88" s="1503"/>
      <c r="Z88" s="961">
        <f t="shared" si="26"/>
        <v>0</v>
      </c>
      <c r="AA88" s="1494"/>
      <c r="AB88" s="1495"/>
      <c r="AC88" s="1495"/>
      <c r="AD88" s="1503"/>
      <c r="AE88" s="961">
        <f t="shared" si="27"/>
        <v>0</v>
      </c>
      <c r="AF88" s="1494"/>
      <c r="AG88" s="1495"/>
      <c r="AH88" s="1495"/>
      <c r="AI88" s="1543"/>
      <c r="AJ88" s="1506"/>
      <c r="AK88" s="1506"/>
      <c r="AL88" s="1506"/>
      <c r="AM88" s="1506"/>
      <c r="AN88" s="1506"/>
      <c r="AO88" s="1506"/>
      <c r="AP88" s="1506"/>
      <c r="AQ88" s="1506"/>
      <c r="AR88" s="1506"/>
      <c r="AS88" s="1506"/>
      <c r="AT88" s="161" t="str">
        <f t="shared" si="15"/>
        <v/>
      </c>
      <c r="CA88" s="162" t="str">
        <f t="shared" si="16"/>
        <v/>
      </c>
      <c r="CB88" s="162" t="str">
        <f t="shared" si="17"/>
        <v/>
      </c>
      <c r="CC88" s="162" t="str">
        <f t="shared" si="18"/>
        <v/>
      </c>
      <c r="CD88" s="162" t="str">
        <f t="shared" si="19"/>
        <v/>
      </c>
      <c r="CE88" s="162" t="str">
        <f t="shared" si="20"/>
        <v/>
      </c>
      <c r="CF88" s="162" t="str">
        <f t="shared" si="21"/>
        <v/>
      </c>
      <c r="CG88" s="162" t="str">
        <f t="shared" si="22"/>
        <v/>
      </c>
      <c r="CK88" s="163">
        <f t="shared" si="12"/>
        <v>0</v>
      </c>
      <c r="CL88" s="163">
        <f t="shared" si="13"/>
        <v>0</v>
      </c>
      <c r="CM88" s="163">
        <f t="shared" si="14"/>
        <v>0</v>
      </c>
      <c r="CN88" s="163">
        <f t="shared" si="23"/>
        <v>0</v>
      </c>
      <c r="CO88" s="163">
        <f t="shared" si="28"/>
        <v>0</v>
      </c>
      <c r="CP88" s="163">
        <f t="shared" si="28"/>
        <v>0</v>
      </c>
      <c r="CQ88" s="163">
        <f t="shared" si="28"/>
        <v>0</v>
      </c>
    </row>
    <row r="89" spans="1:95" s="161" customFormat="1" ht="15" customHeight="1" x14ac:dyDescent="0.3">
      <c r="A89" s="408" t="s">
        <v>3719</v>
      </c>
      <c r="B89" s="406">
        <f t="shared" si="25"/>
        <v>0</v>
      </c>
      <c r="C89" s="1544"/>
      <c r="D89" s="1545"/>
      <c r="E89" s="1545"/>
      <c r="F89" s="1545"/>
      <c r="G89" s="1545"/>
      <c r="H89" s="1545"/>
      <c r="I89" s="1545"/>
      <c r="J89" s="1545"/>
      <c r="K89" s="1545"/>
      <c r="L89" s="1545"/>
      <c r="M89" s="1545"/>
      <c r="N89" s="1545"/>
      <c r="O89" s="1545"/>
      <c r="P89" s="1545"/>
      <c r="Q89" s="1545"/>
      <c r="R89" s="1545"/>
      <c r="S89" s="1546"/>
      <c r="T89" s="1494"/>
      <c r="U89" s="1503"/>
      <c r="V89" s="1494"/>
      <c r="W89" s="1503"/>
      <c r="X89" s="1494"/>
      <c r="Y89" s="1503"/>
      <c r="Z89" s="961">
        <f t="shared" si="26"/>
        <v>0</v>
      </c>
      <c r="AA89" s="1494"/>
      <c r="AB89" s="1495"/>
      <c r="AC89" s="1495"/>
      <c r="AD89" s="1503"/>
      <c r="AE89" s="961">
        <f t="shared" si="27"/>
        <v>0</v>
      </c>
      <c r="AF89" s="1494"/>
      <c r="AG89" s="1495"/>
      <c r="AH89" s="1495"/>
      <c r="AI89" s="1543"/>
      <c r="AJ89" s="1506"/>
      <c r="AK89" s="1506"/>
      <c r="AL89" s="1506"/>
      <c r="AM89" s="1506"/>
      <c r="AN89" s="1506"/>
      <c r="AO89" s="1506"/>
      <c r="AP89" s="1506"/>
      <c r="AQ89" s="1506"/>
      <c r="AR89" s="1506"/>
      <c r="AS89" s="1506"/>
      <c r="AT89" s="161" t="str">
        <f t="shared" si="15"/>
        <v/>
      </c>
      <c r="CA89" s="162" t="str">
        <f t="shared" si="16"/>
        <v/>
      </c>
      <c r="CB89" s="162" t="str">
        <f t="shared" si="17"/>
        <v/>
      </c>
      <c r="CC89" s="162" t="str">
        <f t="shared" si="18"/>
        <v/>
      </c>
      <c r="CD89" s="162" t="str">
        <f t="shared" si="19"/>
        <v/>
      </c>
      <c r="CE89" s="162" t="str">
        <f t="shared" si="20"/>
        <v/>
      </c>
      <c r="CF89" s="162" t="str">
        <f>IF(AND($B89&gt;0,AR89="")," * No olvide digitar la variable Serv. Nac. Reinserción Social Juvenil. Digite cero si no tiene.",IF(AR89&gt;$B89," * La variable Serv. Nac. Reinserción Social Juvenil no puede ser mayor al Total.",""))</f>
        <v/>
      </c>
      <c r="CG89" s="162" t="str">
        <f t="shared" si="22"/>
        <v/>
      </c>
      <c r="CK89" s="163">
        <f t="shared" si="12"/>
        <v>0</v>
      </c>
      <c r="CL89" s="163">
        <f t="shared" si="13"/>
        <v>0</v>
      </c>
      <c r="CM89" s="163">
        <f t="shared" si="14"/>
        <v>0</v>
      </c>
      <c r="CN89" s="163">
        <f t="shared" si="23"/>
        <v>0</v>
      </c>
      <c r="CO89" s="163">
        <f t="shared" si="28"/>
        <v>0</v>
      </c>
      <c r="CP89" s="163">
        <f t="shared" si="28"/>
        <v>0</v>
      </c>
      <c r="CQ89" s="163">
        <f t="shared" si="28"/>
        <v>0</v>
      </c>
    </row>
    <row r="90" spans="1:95" s="161" customFormat="1" ht="15" customHeight="1" x14ac:dyDescent="0.3">
      <c r="A90" s="1303" t="s">
        <v>77</v>
      </c>
      <c r="B90" s="1547">
        <f t="shared" si="25"/>
        <v>0</v>
      </c>
      <c r="C90" s="1548">
        <f t="shared" ref="C90:AS90" si="29">SUM(C35:C89)</f>
        <v>0</v>
      </c>
      <c r="D90" s="1549">
        <f t="shared" si="29"/>
        <v>0</v>
      </c>
      <c r="E90" s="1549">
        <f t="shared" si="29"/>
        <v>0</v>
      </c>
      <c r="F90" s="1549">
        <f t="shared" si="29"/>
        <v>0</v>
      </c>
      <c r="G90" s="1549">
        <f t="shared" si="29"/>
        <v>0</v>
      </c>
      <c r="H90" s="1550">
        <f t="shared" si="29"/>
        <v>0</v>
      </c>
      <c r="I90" s="1549">
        <f t="shared" si="29"/>
        <v>0</v>
      </c>
      <c r="J90" s="1549">
        <f t="shared" si="29"/>
        <v>0</v>
      </c>
      <c r="K90" s="1549">
        <f t="shared" si="29"/>
        <v>0</v>
      </c>
      <c r="L90" s="1549">
        <f t="shared" si="29"/>
        <v>0</v>
      </c>
      <c r="M90" s="1549">
        <f t="shared" si="29"/>
        <v>0</v>
      </c>
      <c r="N90" s="1549">
        <f t="shared" si="29"/>
        <v>0</v>
      </c>
      <c r="O90" s="1549">
        <f t="shared" si="29"/>
        <v>0</v>
      </c>
      <c r="P90" s="1549">
        <f t="shared" si="29"/>
        <v>0</v>
      </c>
      <c r="Q90" s="1549">
        <f t="shared" si="29"/>
        <v>0</v>
      </c>
      <c r="R90" s="1549">
        <f t="shared" si="29"/>
        <v>0</v>
      </c>
      <c r="S90" s="1551">
        <f t="shared" si="29"/>
        <v>0</v>
      </c>
      <c r="T90" s="1548">
        <f t="shared" si="29"/>
        <v>0</v>
      </c>
      <c r="U90" s="1551">
        <f t="shared" si="29"/>
        <v>0</v>
      </c>
      <c r="V90" s="1548">
        <f t="shared" si="29"/>
        <v>0</v>
      </c>
      <c r="W90" s="1551">
        <f t="shared" si="29"/>
        <v>0</v>
      </c>
      <c r="X90" s="1548">
        <f t="shared" si="29"/>
        <v>0</v>
      </c>
      <c r="Y90" s="1551">
        <f t="shared" si="29"/>
        <v>0</v>
      </c>
      <c r="Z90" s="1547">
        <f t="shared" si="29"/>
        <v>0</v>
      </c>
      <c r="AA90" s="1548">
        <f t="shared" si="29"/>
        <v>0</v>
      </c>
      <c r="AB90" s="1549">
        <f t="shared" si="29"/>
        <v>0</v>
      </c>
      <c r="AC90" s="1549">
        <f t="shared" si="29"/>
        <v>0</v>
      </c>
      <c r="AD90" s="1550">
        <f t="shared" si="29"/>
        <v>0</v>
      </c>
      <c r="AE90" s="1547">
        <f t="shared" si="29"/>
        <v>0</v>
      </c>
      <c r="AF90" s="1548">
        <f t="shared" si="29"/>
        <v>0</v>
      </c>
      <c r="AG90" s="1549">
        <f t="shared" si="29"/>
        <v>0</v>
      </c>
      <c r="AH90" s="1549">
        <f t="shared" si="29"/>
        <v>0</v>
      </c>
      <c r="AI90" s="1552">
        <f t="shared" si="29"/>
        <v>0</v>
      </c>
      <c r="AJ90" s="1551">
        <f t="shared" si="29"/>
        <v>0</v>
      </c>
      <c r="AK90" s="1551">
        <f t="shared" si="29"/>
        <v>0</v>
      </c>
      <c r="AL90" s="1551">
        <f t="shared" si="29"/>
        <v>0</v>
      </c>
      <c r="AM90" s="1551">
        <f t="shared" si="29"/>
        <v>0</v>
      </c>
      <c r="AN90" s="1551">
        <f t="shared" si="29"/>
        <v>0</v>
      </c>
      <c r="AO90" s="1551">
        <f t="shared" si="29"/>
        <v>0</v>
      </c>
      <c r="AP90" s="1551">
        <f t="shared" si="29"/>
        <v>0</v>
      </c>
      <c r="AQ90" s="1551">
        <f t="shared" si="29"/>
        <v>0</v>
      </c>
      <c r="AR90" s="1551">
        <f t="shared" si="29"/>
        <v>0</v>
      </c>
      <c r="AS90" s="1551">
        <f t="shared" si="29"/>
        <v>0</v>
      </c>
    </row>
    <row r="91" spans="1:95" s="160" customFormat="1" ht="17.100000000000001" customHeight="1" x14ac:dyDescent="0.3">
      <c r="A91" s="7574" t="s">
        <v>4003</v>
      </c>
      <c r="B91" s="7574"/>
      <c r="C91" s="7574"/>
      <c r="D91" s="7574"/>
      <c r="E91" s="7574"/>
      <c r="CC91" s="161"/>
      <c r="CD91" s="161"/>
      <c r="CE91" s="161"/>
      <c r="CF91" s="161"/>
      <c r="CG91" s="161"/>
      <c r="CH91" s="161"/>
      <c r="CI91" s="161"/>
      <c r="CJ91" s="161"/>
      <c r="CK91" s="161"/>
      <c r="CL91" s="161"/>
      <c r="CM91" s="161"/>
    </row>
    <row r="92" spans="1:95" s="161" customFormat="1" ht="15" customHeight="1" x14ac:dyDescent="0.3">
      <c r="A92" s="7417" t="s">
        <v>27</v>
      </c>
      <c r="B92" s="7406"/>
      <c r="C92" s="7417" t="s">
        <v>192</v>
      </c>
      <c r="D92" s="7495"/>
      <c r="E92" s="7406"/>
      <c r="F92" s="7023" t="s">
        <v>101</v>
      </c>
      <c r="G92" s="7475"/>
      <c r="H92" s="7475"/>
      <c r="I92" s="7475"/>
      <c r="J92" s="7475"/>
      <c r="K92" s="7475"/>
      <c r="L92" s="7475"/>
      <c r="M92" s="7475"/>
      <c r="N92" s="7475"/>
      <c r="O92" s="7475"/>
      <c r="P92" s="7475"/>
      <c r="Q92" s="7475"/>
      <c r="R92" s="7475"/>
      <c r="S92" s="7475"/>
      <c r="T92" s="7475"/>
      <c r="U92" s="7475"/>
      <c r="V92" s="7475"/>
      <c r="W92" s="7475"/>
      <c r="X92" s="7475"/>
      <c r="Y92" s="7475"/>
      <c r="Z92" s="7475"/>
      <c r="AA92" s="7475"/>
      <c r="AB92" s="7475"/>
      <c r="AC92" s="7475"/>
      <c r="AD92" s="7475"/>
      <c r="AE92" s="7475"/>
      <c r="AF92" s="7475"/>
      <c r="AG92" s="7475"/>
      <c r="AH92" s="7475"/>
      <c r="AI92" s="7475"/>
      <c r="AJ92" s="7475"/>
      <c r="AK92" s="7475"/>
      <c r="AL92" s="7475"/>
      <c r="AM92" s="7071"/>
      <c r="AN92" s="7502" t="s">
        <v>4004</v>
      </c>
      <c r="AO92" s="7575"/>
      <c r="AP92" s="7565" t="s">
        <v>597</v>
      </c>
      <c r="AQ92" s="7492" t="s">
        <v>1297</v>
      </c>
      <c r="AR92" s="6509" t="s">
        <v>36</v>
      </c>
      <c r="AS92" s="6509" t="s">
        <v>37</v>
      </c>
      <c r="AT92" s="6509" t="s">
        <v>4005</v>
      </c>
      <c r="AU92" s="6518" t="s">
        <v>4006</v>
      </c>
    </row>
    <row r="93" spans="1:95" s="161" customFormat="1" ht="15" customHeight="1" x14ac:dyDescent="0.3">
      <c r="A93" s="6131"/>
      <c r="B93" s="6063"/>
      <c r="C93" s="6482"/>
      <c r="D93" s="6481"/>
      <c r="E93" s="6645"/>
      <c r="F93" s="6989" t="s">
        <v>343</v>
      </c>
      <c r="G93" s="7489"/>
      <c r="H93" s="6989" t="s">
        <v>326</v>
      </c>
      <c r="I93" s="7489"/>
      <c r="J93" s="6989" t="s">
        <v>94</v>
      </c>
      <c r="K93" s="7489"/>
      <c r="L93" s="6989" t="s">
        <v>44</v>
      </c>
      <c r="M93" s="7489"/>
      <c r="N93" s="6989" t="s">
        <v>45</v>
      </c>
      <c r="O93" s="7489"/>
      <c r="P93" s="7023" t="s">
        <v>46</v>
      </c>
      <c r="Q93" s="7457"/>
      <c r="R93" s="7023" t="s">
        <v>47</v>
      </c>
      <c r="S93" s="7457"/>
      <c r="T93" s="7023" t="s">
        <v>48</v>
      </c>
      <c r="U93" s="7457"/>
      <c r="V93" s="7023" t="s">
        <v>49</v>
      </c>
      <c r="W93" s="7457"/>
      <c r="X93" s="7023" t="s">
        <v>50</v>
      </c>
      <c r="Y93" s="7457"/>
      <c r="Z93" s="7023" t="s">
        <v>51</v>
      </c>
      <c r="AA93" s="7457"/>
      <c r="AB93" s="7023" t="s">
        <v>52</v>
      </c>
      <c r="AC93" s="7457"/>
      <c r="AD93" s="7023" t="s">
        <v>53</v>
      </c>
      <c r="AE93" s="7457"/>
      <c r="AF93" s="7023" t="s">
        <v>54</v>
      </c>
      <c r="AG93" s="7457"/>
      <c r="AH93" s="7023" t="s">
        <v>55</v>
      </c>
      <c r="AI93" s="7457"/>
      <c r="AJ93" s="7023" t="s">
        <v>56</v>
      </c>
      <c r="AK93" s="7457"/>
      <c r="AL93" s="7023" t="s">
        <v>57</v>
      </c>
      <c r="AM93" s="7071"/>
      <c r="AN93" s="6672"/>
      <c r="AO93" s="6491"/>
      <c r="AP93" s="5766"/>
      <c r="AQ93" s="6850"/>
      <c r="AR93" s="6118"/>
      <c r="AS93" s="6118"/>
      <c r="AT93" s="6118"/>
      <c r="AU93" s="5759"/>
    </row>
    <row r="94" spans="1:95" s="161" customFormat="1" ht="50.25" customHeight="1" x14ac:dyDescent="0.3">
      <c r="A94" s="6482"/>
      <c r="B94" s="6645"/>
      <c r="C94" s="1314" t="s">
        <v>79</v>
      </c>
      <c r="D94" s="1093" t="s">
        <v>58</v>
      </c>
      <c r="E94" s="1439" t="s">
        <v>59</v>
      </c>
      <c r="F94" s="1553" t="s">
        <v>58</v>
      </c>
      <c r="G94" s="1490" t="s">
        <v>59</v>
      </c>
      <c r="H94" s="1553" t="s">
        <v>58</v>
      </c>
      <c r="I94" s="1490" t="s">
        <v>59</v>
      </c>
      <c r="J94" s="1553" t="s">
        <v>58</v>
      </c>
      <c r="K94" s="1490" t="s">
        <v>59</v>
      </c>
      <c r="L94" s="1553" t="s">
        <v>58</v>
      </c>
      <c r="M94" s="1490" t="s">
        <v>59</v>
      </c>
      <c r="N94" s="1553" t="s">
        <v>58</v>
      </c>
      <c r="O94" s="1490" t="s">
        <v>59</v>
      </c>
      <c r="P94" s="1553" t="s">
        <v>58</v>
      </c>
      <c r="Q94" s="1490" t="s">
        <v>59</v>
      </c>
      <c r="R94" s="1553" t="s">
        <v>58</v>
      </c>
      <c r="S94" s="1490" t="s">
        <v>59</v>
      </c>
      <c r="T94" s="1553" t="s">
        <v>58</v>
      </c>
      <c r="U94" s="1490" t="s">
        <v>59</v>
      </c>
      <c r="V94" s="1553" t="s">
        <v>58</v>
      </c>
      <c r="W94" s="1490" t="s">
        <v>59</v>
      </c>
      <c r="X94" s="1553" t="s">
        <v>58</v>
      </c>
      <c r="Y94" s="1490" t="s">
        <v>59</v>
      </c>
      <c r="Z94" s="1553" t="s">
        <v>58</v>
      </c>
      <c r="AA94" s="1490" t="s">
        <v>59</v>
      </c>
      <c r="AB94" s="1553" t="s">
        <v>58</v>
      </c>
      <c r="AC94" s="1490" t="s">
        <v>59</v>
      </c>
      <c r="AD94" s="1553" t="s">
        <v>58</v>
      </c>
      <c r="AE94" s="1490" t="s">
        <v>59</v>
      </c>
      <c r="AF94" s="1553" t="s">
        <v>58</v>
      </c>
      <c r="AG94" s="1490" t="s">
        <v>59</v>
      </c>
      <c r="AH94" s="1553" t="s">
        <v>58</v>
      </c>
      <c r="AI94" s="1490" t="s">
        <v>59</v>
      </c>
      <c r="AJ94" s="1553" t="s">
        <v>58</v>
      </c>
      <c r="AK94" s="1490" t="s">
        <v>59</v>
      </c>
      <c r="AL94" s="1553" t="s">
        <v>58</v>
      </c>
      <c r="AM94" s="1353" t="s">
        <v>59</v>
      </c>
      <c r="AN94" s="1554" t="s">
        <v>4007</v>
      </c>
      <c r="AO94" s="1555" t="s">
        <v>4008</v>
      </c>
      <c r="AP94" s="5767"/>
      <c r="AQ94" s="7405"/>
      <c r="AR94" s="5818"/>
      <c r="AS94" s="5818"/>
      <c r="AT94" s="5818"/>
      <c r="AU94" s="6687"/>
    </row>
    <row r="95" spans="1:95" s="161" customFormat="1" ht="15" customHeight="1" x14ac:dyDescent="0.3">
      <c r="A95" s="1556" t="s">
        <v>98</v>
      </c>
      <c r="B95" s="1557"/>
      <c r="C95" s="1558">
        <f>SUM(D95+E95)</f>
        <v>0</v>
      </c>
      <c r="D95" s="1559">
        <f>SUM(F95+H95+J95+L95+N95+P95+R95+T95+V95+X95+Z95+AB95+AD95+AF95+AH95+AJ95+AL95)</f>
        <v>0</v>
      </c>
      <c r="E95" s="1560">
        <f>SUM(G95+I95+K95+M95+O95+Q95+S95+U95+W95+Y95+AA95+AC95+AE95+AG95+AI95+AK95+AM95)</f>
        <v>0</v>
      </c>
      <c r="F95" s="1561"/>
      <c r="G95" s="1562"/>
      <c r="H95" s="1561"/>
      <c r="I95" s="1562"/>
      <c r="J95" s="1561"/>
      <c r="K95" s="1562"/>
      <c r="L95" s="1561"/>
      <c r="M95" s="1562"/>
      <c r="N95" s="1561"/>
      <c r="O95" s="1562"/>
      <c r="P95" s="1561"/>
      <c r="Q95" s="1562"/>
      <c r="R95" s="1561"/>
      <c r="S95" s="1562"/>
      <c r="T95" s="1561"/>
      <c r="U95" s="1562"/>
      <c r="V95" s="1561"/>
      <c r="W95" s="1562"/>
      <c r="X95" s="1561"/>
      <c r="Y95" s="1562"/>
      <c r="Z95" s="1561"/>
      <c r="AA95" s="1562"/>
      <c r="AB95" s="1561"/>
      <c r="AC95" s="1562"/>
      <c r="AD95" s="1561"/>
      <c r="AE95" s="1562"/>
      <c r="AF95" s="1561"/>
      <c r="AG95" s="1562"/>
      <c r="AH95" s="1561"/>
      <c r="AI95" s="1562"/>
      <c r="AJ95" s="1561"/>
      <c r="AK95" s="1562"/>
      <c r="AL95" s="1561"/>
      <c r="AM95" s="1563"/>
      <c r="AN95" s="1564"/>
      <c r="AO95" s="1565"/>
      <c r="AP95" s="1564"/>
      <c r="AQ95" s="1566"/>
      <c r="AR95" s="1567"/>
      <c r="AS95" s="1567"/>
      <c r="AT95" s="1567"/>
      <c r="AU95" s="1568"/>
      <c r="AV95" s="161" t="str">
        <f>CA95&amp;CB95&amp;CC95&amp;CD95&amp;CE95&amp;CF95</f>
        <v/>
      </c>
      <c r="CA95" s="162" t="str">
        <f>IF(AND(AP95="",C95&gt;0)," * No olvide digitar la columna Beneficiarios. Digite cero si no tiene.",IF(AP95&gt;C95," * La variable Beneficiarios no puede ser mayor al Total.",""))</f>
        <v/>
      </c>
      <c r="CB95" s="162" t="str">
        <f>IF(AQ95&gt;C95," * El Total Controles no puede ser mayor que el Total Ambos Sexos.","")</f>
        <v/>
      </c>
      <c r="CC95" s="162" t="str">
        <f>IF(AND(C95&gt;0,AR95="")," * No olvide digitar la variable Pueblos originarios. Digite cero si no tiene.",IF(AR95&gt;C95," * La variable Pueblos originarios no puede ser mayor al Total.",""))</f>
        <v/>
      </c>
      <c r="CD95" s="162" t="str">
        <f>IF(AND(C95&gt;0,AS95="")," * No olvide digitar la variable Migrantes. Digite cero si no tiene.",IF(AS95&gt;C95," * La variable Migrantes no puede ser mayor al Total.",""))</f>
        <v/>
      </c>
      <c r="CE95" s="162" t="str">
        <f>IF(AT95&gt;C95," * El Total Atención Remota consulta abreviada PNM no puede ser mayor que el Total Ambos Sexos.","")</f>
        <v/>
      </c>
      <c r="CF95" s="162" t="str">
        <f>IF(AU95&gt;C95," * El Total Consultorías resueltas vía remota no puede ser mayor que el Total Ambos Sexos.","")</f>
        <v/>
      </c>
      <c r="CI95" s="164"/>
      <c r="CK95" s="163">
        <f t="shared" ref="CK95:CK103" si="30">IF(AND(AP95="",C95&gt;0),1,IF(AP95&gt;C95,1,0))</f>
        <v>0</v>
      </c>
      <c r="CL95" s="163">
        <f>IF(AQ95&gt;C95,1,0)</f>
        <v>0</v>
      </c>
      <c r="CM95" s="163">
        <f t="shared" ref="CM95:CM103" si="31">IF(AND(C95&gt;0,AR95=""),1,IF(AR95&gt;C95,1,0))</f>
        <v>0</v>
      </c>
      <c r="CN95" s="163">
        <f>IF(AND($C95&gt;0,AS95=""),1,IF(AS95&gt;$C95,1,0))</f>
        <v>0</v>
      </c>
      <c r="CO95" s="163">
        <f t="shared" ref="CO95:CP103" si="32">IF(AND($C95&gt;0,AT95=""),1,IF(AT95&gt;$C95,1,0))</f>
        <v>0</v>
      </c>
      <c r="CP95" s="163">
        <f>IF(AND($C95&gt;0,AU95=""),1,IF(AU95&gt;$C95,1,0))</f>
        <v>0</v>
      </c>
    </row>
    <row r="96" spans="1:95" s="161" customFormat="1" ht="15" customHeight="1" x14ac:dyDescent="0.3">
      <c r="A96" s="1569" t="s">
        <v>2745</v>
      </c>
      <c r="B96" s="1445" t="s">
        <v>1303</v>
      </c>
      <c r="C96" s="308">
        <f>SUM(D96:E96)</f>
        <v>0</v>
      </c>
      <c r="D96" s="1570"/>
      <c r="E96" s="1560">
        <f>SUM(K96+M96+O96+Q96+S96+U96+W96+Y96+AA96+AC96+AE96+AG96+AI96+AK96+AM96)</f>
        <v>0</v>
      </c>
      <c r="F96" s="1571"/>
      <c r="G96" s="1572"/>
      <c r="H96" s="1571"/>
      <c r="I96" s="1572"/>
      <c r="J96" s="1571"/>
      <c r="K96" s="1501"/>
      <c r="L96" s="1571"/>
      <c r="M96" s="1501"/>
      <c r="N96" s="1571"/>
      <c r="O96" s="1501"/>
      <c r="P96" s="1571"/>
      <c r="Q96" s="1501"/>
      <c r="R96" s="1571"/>
      <c r="S96" s="1501"/>
      <c r="T96" s="1571"/>
      <c r="U96" s="1501"/>
      <c r="V96" s="1571"/>
      <c r="W96" s="1501"/>
      <c r="X96" s="1571"/>
      <c r="Y96" s="1501"/>
      <c r="Z96" s="1571"/>
      <c r="AA96" s="1501"/>
      <c r="AB96" s="1571"/>
      <c r="AC96" s="1498"/>
      <c r="AD96" s="1571"/>
      <c r="AE96" s="1501"/>
      <c r="AF96" s="1571"/>
      <c r="AG96" s="1501"/>
      <c r="AH96" s="1571"/>
      <c r="AI96" s="1501"/>
      <c r="AJ96" s="1571"/>
      <c r="AK96" s="1501"/>
      <c r="AL96" s="1571"/>
      <c r="AM96" s="1534"/>
      <c r="AN96" s="409"/>
      <c r="AO96" s="1537"/>
      <c r="AP96" s="409"/>
      <c r="AQ96" s="235"/>
      <c r="AR96" s="1536"/>
      <c r="AS96" s="1536"/>
      <c r="AT96" s="1536"/>
      <c r="AU96" s="219"/>
      <c r="AV96" s="161" t="str">
        <f t="shared" ref="AV96:AV103" si="33">CA96&amp;CB96&amp;CC96&amp;CD96&amp;CE96&amp;CF96</f>
        <v/>
      </c>
      <c r="CA96" s="162" t="str">
        <f t="shared" ref="CA96:CA103" si="34">IF(AND(AP96="",C96&gt;0)," * No olvide digitar la columna Beneficiarios. Digite cero si no tiene.",IF(AP96&gt;C96," * La variable Beneficiarios no puede ser mayor al Total.",""))</f>
        <v/>
      </c>
      <c r="CB96" s="162" t="str">
        <f t="shared" ref="CB96:CB103" si="35">IF(AQ96&gt;C96," * El Total Controles no puede ser mayor que el Total Ambos Sexos.","")</f>
        <v/>
      </c>
      <c r="CC96" s="162" t="str">
        <f t="shared" ref="CC96:CC103" si="36">IF(AND(C96&gt;0,AR96="")," * No olvide digitar la variable Pueblos originarios. Digite cero si no tiene.",IF(AR96&gt;C96," * La variable Pueblos originarios no puede ser mayor al Total.",""))</f>
        <v/>
      </c>
      <c r="CD96" s="162" t="str">
        <f t="shared" ref="CD96:CD103" si="37">IF(AND(C96&gt;0,AS96="")," * No olvide digitar la variable Migrantes. Digite cero si no tiene.",IF(AS96&gt;C96," * La variable Migrantes no puede ser mayor al Total.",""))</f>
        <v/>
      </c>
      <c r="CE96" s="162" t="str">
        <f t="shared" ref="CE96:CE103" si="38">IF(AT96&gt;C96," * El Total Atención Remota consulta abreviada PNM no puede ser mayor que el Total Ambos Sexos.","")</f>
        <v/>
      </c>
      <c r="CF96" s="162" t="str">
        <f t="shared" ref="CF96:CF103" si="39">IF(AU96&gt;C96," * El Total Consultorías resueltas vía remota no puede ser mayor que el Total Ambos Sexos.","")</f>
        <v/>
      </c>
      <c r="CI96" s="164"/>
      <c r="CK96" s="163">
        <f t="shared" si="30"/>
        <v>0</v>
      </c>
      <c r="CL96" s="163">
        <f t="shared" ref="CL96:CL103" si="40">IF(AQ96&gt;C96,1,0)</f>
        <v>0</v>
      </c>
      <c r="CM96" s="163">
        <f t="shared" si="31"/>
        <v>0</v>
      </c>
      <c r="CN96" s="163">
        <f t="shared" ref="CN96:CN103" si="41">IF(AND(C96&gt;0,AS96=""),1,IF(AS96&gt;C96,1,0))</f>
        <v>0</v>
      </c>
      <c r="CO96" s="163">
        <f t="shared" si="32"/>
        <v>0</v>
      </c>
      <c r="CP96" s="163">
        <f t="shared" si="32"/>
        <v>0</v>
      </c>
    </row>
    <row r="97" spans="1:96" s="161" customFormat="1" ht="15" customHeight="1" x14ac:dyDescent="0.3">
      <c r="A97" s="170"/>
      <c r="B97" s="974" t="s">
        <v>4009</v>
      </c>
      <c r="C97" s="975">
        <f t="shared" ref="C97:C103" si="42">SUM(D97+E97)</f>
        <v>0</v>
      </c>
      <c r="D97" s="963">
        <f>SUM(F97+H97+J97+L97+N97+P97+R97+T97+V97+X97+Z97+AB97+AD97+AF97+AH97+AJ97+AL97)</f>
        <v>0</v>
      </c>
      <c r="E97" s="964">
        <f>SUM(G97+I97+K97+M97+O97+Q97+S97+U97+W97+Y97+AA97+AC97+AE97+AG97+AI97+AK97+AM97)</f>
        <v>0</v>
      </c>
      <c r="F97" s="1494"/>
      <c r="G97" s="1506"/>
      <c r="H97" s="1494"/>
      <c r="I97" s="1506"/>
      <c r="J97" s="1494"/>
      <c r="K97" s="1506"/>
      <c r="L97" s="1494"/>
      <c r="M97" s="1506"/>
      <c r="N97" s="1494"/>
      <c r="O97" s="1506"/>
      <c r="P97" s="1494"/>
      <c r="Q97" s="1503"/>
      <c r="R97" s="1494"/>
      <c r="S97" s="1503"/>
      <c r="T97" s="1494"/>
      <c r="U97" s="1503"/>
      <c r="V97" s="1494"/>
      <c r="W97" s="1503"/>
      <c r="X97" s="1494"/>
      <c r="Y97" s="1503"/>
      <c r="Z97" s="1494"/>
      <c r="AA97" s="1503"/>
      <c r="AB97" s="1494"/>
      <c r="AC97" s="1503"/>
      <c r="AD97" s="1494"/>
      <c r="AE97" s="1503"/>
      <c r="AF97" s="1494"/>
      <c r="AG97" s="1503"/>
      <c r="AH97" s="1494"/>
      <c r="AI97" s="1503"/>
      <c r="AJ97" s="1494"/>
      <c r="AK97" s="1503"/>
      <c r="AL97" s="1573"/>
      <c r="AM97" s="1543"/>
      <c r="AN97" s="1574"/>
      <c r="AO97" s="1543"/>
      <c r="AP97" s="1574"/>
      <c r="AQ97" s="1502"/>
      <c r="AR97" s="1495"/>
      <c r="AS97" s="1495"/>
      <c r="AT97" s="1495"/>
      <c r="AU97" s="1506"/>
      <c r="AV97" s="161" t="str">
        <f t="shared" si="33"/>
        <v/>
      </c>
      <c r="CA97" s="162" t="str">
        <f t="shared" si="34"/>
        <v/>
      </c>
      <c r="CB97" s="162" t="str">
        <f t="shared" si="35"/>
        <v/>
      </c>
      <c r="CC97" s="162" t="str">
        <f t="shared" si="36"/>
        <v/>
      </c>
      <c r="CD97" s="162" t="str">
        <f t="shared" si="37"/>
        <v/>
      </c>
      <c r="CE97" s="162" t="str">
        <f t="shared" si="38"/>
        <v/>
      </c>
      <c r="CF97" s="162" t="str">
        <f t="shared" si="39"/>
        <v/>
      </c>
      <c r="CI97" s="164"/>
      <c r="CK97" s="163">
        <f t="shared" si="30"/>
        <v>0</v>
      </c>
      <c r="CL97" s="163">
        <f t="shared" si="40"/>
        <v>0</v>
      </c>
      <c r="CM97" s="163">
        <f t="shared" si="31"/>
        <v>0</v>
      </c>
      <c r="CN97" s="163">
        <f t="shared" si="41"/>
        <v>0</v>
      </c>
      <c r="CO97" s="163">
        <f t="shared" si="32"/>
        <v>0</v>
      </c>
      <c r="CP97" s="163">
        <f t="shared" si="32"/>
        <v>0</v>
      </c>
    </row>
    <row r="98" spans="1:96" s="161" customFormat="1" ht="15" customHeight="1" x14ac:dyDescent="0.3">
      <c r="A98" s="1395"/>
      <c r="B98" s="1449" t="s">
        <v>1286</v>
      </c>
      <c r="C98" s="995">
        <f t="shared" si="42"/>
        <v>0</v>
      </c>
      <c r="D98" s="1575">
        <f>SUM(N98+P98+R98+T98+V98+X98+Z98+AB98)</f>
        <v>0</v>
      </c>
      <c r="E98" s="997">
        <f>SUM(O98+Q98+S98+U98+W98+Y98+AA98+AC98)</f>
        <v>0</v>
      </c>
      <c r="F98" s="1576"/>
      <c r="G98" s="410"/>
      <c r="H98" s="1576"/>
      <c r="I98" s="410"/>
      <c r="J98" s="1576"/>
      <c r="K98" s="410"/>
      <c r="L98" s="1576"/>
      <c r="M98" s="410"/>
      <c r="N98" s="1544"/>
      <c r="O98" s="1546"/>
      <c r="P98" s="1544"/>
      <c r="Q98" s="1546"/>
      <c r="R98" s="1544"/>
      <c r="S98" s="1546"/>
      <c r="T98" s="1544"/>
      <c r="U98" s="1546"/>
      <c r="V98" s="1544"/>
      <c r="W98" s="1546"/>
      <c r="X98" s="1544"/>
      <c r="Y98" s="1546"/>
      <c r="Z98" s="1544"/>
      <c r="AA98" s="411"/>
      <c r="AB98" s="1544"/>
      <c r="AC98" s="1546"/>
      <c r="AD98" s="1576"/>
      <c r="AE98" s="410"/>
      <c r="AF98" s="1576"/>
      <c r="AG98" s="410"/>
      <c r="AH98" s="1576"/>
      <c r="AI98" s="410"/>
      <c r="AJ98" s="1576"/>
      <c r="AK98" s="410"/>
      <c r="AL98" s="1576"/>
      <c r="AM98" s="412"/>
      <c r="AN98" s="1577"/>
      <c r="AO98" s="1578"/>
      <c r="AP98" s="1577"/>
      <c r="AQ98" s="1579"/>
      <c r="AR98" s="1545"/>
      <c r="AS98" s="1545"/>
      <c r="AT98" s="1545"/>
      <c r="AU98" s="411"/>
      <c r="AV98" s="161" t="str">
        <f t="shared" si="33"/>
        <v/>
      </c>
      <c r="CA98" s="162" t="str">
        <f t="shared" si="34"/>
        <v/>
      </c>
      <c r="CB98" s="162" t="str">
        <f t="shared" si="35"/>
        <v/>
      </c>
      <c r="CC98" s="162" t="str">
        <f t="shared" si="36"/>
        <v/>
      </c>
      <c r="CD98" s="162" t="str">
        <f t="shared" si="37"/>
        <v/>
      </c>
      <c r="CE98" s="162" t="str">
        <f t="shared" si="38"/>
        <v/>
      </c>
      <c r="CF98" s="162" t="str">
        <f t="shared" si="39"/>
        <v/>
      </c>
      <c r="CI98" s="164"/>
      <c r="CK98" s="163">
        <f t="shared" si="30"/>
        <v>0</v>
      </c>
      <c r="CL98" s="163">
        <f t="shared" si="40"/>
        <v>0</v>
      </c>
      <c r="CM98" s="163">
        <f t="shared" si="31"/>
        <v>0</v>
      </c>
      <c r="CN98" s="163">
        <f t="shared" si="41"/>
        <v>0</v>
      </c>
      <c r="CO98" s="163">
        <f t="shared" si="32"/>
        <v>0</v>
      </c>
      <c r="CP98" s="163">
        <f t="shared" si="32"/>
        <v>0</v>
      </c>
    </row>
    <row r="99" spans="1:96" s="161" customFormat="1" ht="15" customHeight="1" x14ac:dyDescent="0.3">
      <c r="A99" s="253" t="s">
        <v>105</v>
      </c>
      <c r="B99" s="220"/>
      <c r="C99" s="336">
        <f t="shared" si="42"/>
        <v>0</v>
      </c>
      <c r="D99" s="171">
        <f t="shared" ref="D99:E103" si="43">SUM(F99+H99+J99+L99+N99+P99+R99+T99+V99+X99+Z99+AB99+AD99+AF99+AH99+AJ99+AL99)</f>
        <v>0</v>
      </c>
      <c r="E99" s="204">
        <f t="shared" si="43"/>
        <v>0</v>
      </c>
      <c r="F99" s="407"/>
      <c r="G99" s="219"/>
      <c r="H99" s="407"/>
      <c r="I99" s="219"/>
      <c r="J99" s="407"/>
      <c r="K99" s="1535"/>
      <c r="L99" s="407"/>
      <c r="M99" s="1535"/>
      <c r="N99" s="407"/>
      <c r="O99" s="1535"/>
      <c r="P99" s="407"/>
      <c r="Q99" s="1535"/>
      <c r="R99" s="407"/>
      <c r="S99" s="1535"/>
      <c r="T99" s="407"/>
      <c r="U99" s="1535"/>
      <c r="V99" s="407"/>
      <c r="W99" s="1535"/>
      <c r="X99" s="407"/>
      <c r="Y99" s="1535"/>
      <c r="Z99" s="407"/>
      <c r="AA99" s="1535"/>
      <c r="AB99" s="407"/>
      <c r="AC99" s="1535"/>
      <c r="AD99" s="407"/>
      <c r="AE99" s="1535"/>
      <c r="AF99" s="407"/>
      <c r="AG99" s="1535"/>
      <c r="AH99" s="407"/>
      <c r="AI99" s="219"/>
      <c r="AJ99" s="407"/>
      <c r="AK99" s="219"/>
      <c r="AL99" s="269"/>
      <c r="AM99" s="1537"/>
      <c r="AN99" s="409"/>
      <c r="AO99" s="1537"/>
      <c r="AP99" s="409"/>
      <c r="AQ99" s="235"/>
      <c r="AR99" s="1536"/>
      <c r="AS99" s="1536"/>
      <c r="AT99" s="1536"/>
      <c r="AU99" s="219"/>
      <c r="AV99" s="161" t="str">
        <f t="shared" si="33"/>
        <v/>
      </c>
      <c r="CA99" s="162" t="str">
        <f t="shared" si="34"/>
        <v/>
      </c>
      <c r="CB99" s="162" t="str">
        <f t="shared" si="35"/>
        <v/>
      </c>
      <c r="CC99" s="162" t="str">
        <f t="shared" si="36"/>
        <v/>
      </c>
      <c r="CD99" s="162" t="str">
        <f t="shared" si="37"/>
        <v/>
      </c>
      <c r="CE99" s="162" t="str">
        <f t="shared" si="38"/>
        <v/>
      </c>
      <c r="CF99" s="162" t="str">
        <f t="shared" si="39"/>
        <v/>
      </c>
      <c r="CI99" s="164"/>
      <c r="CK99" s="163">
        <f t="shared" si="30"/>
        <v>0</v>
      </c>
      <c r="CL99" s="163">
        <f t="shared" si="40"/>
        <v>0</v>
      </c>
      <c r="CM99" s="163">
        <f t="shared" si="31"/>
        <v>0</v>
      </c>
      <c r="CN99" s="163">
        <f t="shared" si="41"/>
        <v>0</v>
      </c>
      <c r="CO99" s="163">
        <f t="shared" si="32"/>
        <v>0</v>
      </c>
      <c r="CP99" s="163">
        <f t="shared" si="32"/>
        <v>0</v>
      </c>
    </row>
    <row r="100" spans="1:96" s="161" customFormat="1" ht="15" customHeight="1" x14ac:dyDescent="0.3">
      <c r="A100" s="961" t="s">
        <v>1307</v>
      </c>
      <c r="B100" s="1580"/>
      <c r="C100" s="962">
        <f t="shared" si="42"/>
        <v>0</v>
      </c>
      <c r="D100" s="963">
        <f t="shared" si="43"/>
        <v>0</v>
      </c>
      <c r="E100" s="964">
        <f t="shared" si="43"/>
        <v>0</v>
      </c>
      <c r="F100" s="1494"/>
      <c r="G100" s="1506"/>
      <c r="H100" s="1494"/>
      <c r="I100" s="1506"/>
      <c r="J100" s="1494"/>
      <c r="K100" s="1503"/>
      <c r="L100" s="1494"/>
      <c r="M100" s="1503"/>
      <c r="N100" s="1494"/>
      <c r="O100" s="1503"/>
      <c r="P100" s="1494"/>
      <c r="Q100" s="1503"/>
      <c r="R100" s="1494"/>
      <c r="S100" s="1503"/>
      <c r="T100" s="1494"/>
      <c r="U100" s="1503"/>
      <c r="V100" s="1494"/>
      <c r="W100" s="1503"/>
      <c r="X100" s="1494"/>
      <c r="Y100" s="1503"/>
      <c r="Z100" s="1494"/>
      <c r="AA100" s="1503"/>
      <c r="AB100" s="1494"/>
      <c r="AC100" s="1506"/>
      <c r="AD100" s="1494"/>
      <c r="AE100" s="1506"/>
      <c r="AF100" s="1494"/>
      <c r="AG100" s="1506"/>
      <c r="AH100" s="1494"/>
      <c r="AI100" s="1506"/>
      <c r="AJ100" s="1494"/>
      <c r="AK100" s="1506"/>
      <c r="AL100" s="1573"/>
      <c r="AM100" s="1543"/>
      <c r="AN100" s="1574"/>
      <c r="AO100" s="1543"/>
      <c r="AP100" s="1574"/>
      <c r="AQ100" s="1502"/>
      <c r="AR100" s="1495"/>
      <c r="AS100" s="1495"/>
      <c r="AT100" s="1495"/>
      <c r="AU100" s="1506"/>
      <c r="AV100" s="161" t="str">
        <f t="shared" si="33"/>
        <v/>
      </c>
      <c r="CA100" s="162" t="str">
        <f t="shared" si="34"/>
        <v/>
      </c>
      <c r="CB100" s="162" t="str">
        <f t="shared" si="35"/>
        <v/>
      </c>
      <c r="CC100" s="162" t="str">
        <f t="shared" si="36"/>
        <v/>
      </c>
      <c r="CD100" s="162" t="str">
        <f t="shared" si="37"/>
        <v/>
      </c>
      <c r="CE100" s="162" t="str">
        <f t="shared" si="38"/>
        <v/>
      </c>
      <c r="CF100" s="162" t="str">
        <f t="shared" si="39"/>
        <v/>
      </c>
      <c r="CI100" s="164"/>
      <c r="CK100" s="163">
        <f t="shared" si="30"/>
        <v>0</v>
      </c>
      <c r="CL100" s="163">
        <f t="shared" si="40"/>
        <v>0</v>
      </c>
      <c r="CM100" s="163">
        <f t="shared" si="31"/>
        <v>0</v>
      </c>
      <c r="CN100" s="163">
        <f t="shared" si="41"/>
        <v>0</v>
      </c>
      <c r="CO100" s="163">
        <f t="shared" si="32"/>
        <v>0</v>
      </c>
      <c r="CP100" s="163">
        <f t="shared" si="32"/>
        <v>0</v>
      </c>
    </row>
    <row r="101" spans="1:96" s="161" customFormat="1" ht="15" customHeight="1" x14ac:dyDescent="0.3">
      <c r="A101" s="1581" t="s">
        <v>504</v>
      </c>
      <c r="B101" s="1582"/>
      <c r="C101" s="1583">
        <f t="shared" si="42"/>
        <v>0</v>
      </c>
      <c r="D101" s="1584">
        <f t="shared" si="43"/>
        <v>0</v>
      </c>
      <c r="E101" s="964">
        <f t="shared" si="43"/>
        <v>0</v>
      </c>
      <c r="F101" s="1494"/>
      <c r="G101" s="1506"/>
      <c r="H101" s="1494"/>
      <c r="I101" s="1506"/>
      <c r="J101" s="1494"/>
      <c r="K101" s="1503"/>
      <c r="L101" s="1494"/>
      <c r="M101" s="1503"/>
      <c r="N101" s="1494"/>
      <c r="O101" s="1503"/>
      <c r="P101" s="1494"/>
      <c r="Q101" s="1503"/>
      <c r="R101" s="1494"/>
      <c r="S101" s="1503"/>
      <c r="T101" s="1494"/>
      <c r="U101" s="1503"/>
      <c r="V101" s="1494"/>
      <c r="W101" s="1503"/>
      <c r="X101" s="1494"/>
      <c r="Y101" s="1503"/>
      <c r="Z101" s="1494"/>
      <c r="AA101" s="1503"/>
      <c r="AB101" s="1494"/>
      <c r="AC101" s="1506"/>
      <c r="AD101" s="1494"/>
      <c r="AE101" s="1506"/>
      <c r="AF101" s="1494"/>
      <c r="AG101" s="1506"/>
      <c r="AH101" s="1494"/>
      <c r="AI101" s="1506"/>
      <c r="AJ101" s="1494"/>
      <c r="AK101" s="1506"/>
      <c r="AL101" s="1573"/>
      <c r="AM101" s="1543"/>
      <c r="AN101" s="1574"/>
      <c r="AO101" s="1543"/>
      <c r="AP101" s="1574"/>
      <c r="AQ101" s="1502"/>
      <c r="AR101" s="1495"/>
      <c r="AS101" s="1495"/>
      <c r="AT101" s="1495"/>
      <c r="AU101" s="1506"/>
      <c r="AV101" s="161" t="str">
        <f t="shared" si="33"/>
        <v/>
      </c>
      <c r="CA101" s="162" t="str">
        <f t="shared" si="34"/>
        <v/>
      </c>
      <c r="CB101" s="162" t="str">
        <f t="shared" si="35"/>
        <v/>
      </c>
      <c r="CC101" s="162" t="str">
        <f t="shared" si="36"/>
        <v/>
      </c>
      <c r="CD101" s="162" t="str">
        <f t="shared" si="37"/>
        <v/>
      </c>
      <c r="CE101" s="162" t="str">
        <f t="shared" si="38"/>
        <v/>
      </c>
      <c r="CF101" s="162" t="str">
        <f t="shared" si="39"/>
        <v/>
      </c>
      <c r="CI101" s="164"/>
      <c r="CK101" s="163">
        <f t="shared" si="30"/>
        <v>0</v>
      </c>
      <c r="CL101" s="163">
        <f t="shared" si="40"/>
        <v>0</v>
      </c>
      <c r="CM101" s="163">
        <f t="shared" si="31"/>
        <v>0</v>
      </c>
      <c r="CN101" s="163">
        <f t="shared" si="41"/>
        <v>0</v>
      </c>
      <c r="CO101" s="163">
        <f t="shared" si="32"/>
        <v>0</v>
      </c>
      <c r="CP101" s="163">
        <f t="shared" si="32"/>
        <v>0</v>
      </c>
    </row>
    <row r="102" spans="1:96" s="161" customFormat="1" ht="15" customHeight="1" x14ac:dyDescent="0.3">
      <c r="A102" s="961" t="s">
        <v>4010</v>
      </c>
      <c r="B102" s="1580"/>
      <c r="C102" s="962">
        <f t="shared" si="42"/>
        <v>0</v>
      </c>
      <c r="D102" s="963">
        <f t="shared" si="43"/>
        <v>0</v>
      </c>
      <c r="E102" s="964">
        <f t="shared" si="43"/>
        <v>0</v>
      </c>
      <c r="F102" s="1494"/>
      <c r="G102" s="1506"/>
      <c r="H102" s="1494"/>
      <c r="I102" s="1506"/>
      <c r="J102" s="1494"/>
      <c r="K102" s="1503"/>
      <c r="L102" s="1494"/>
      <c r="M102" s="1503"/>
      <c r="N102" s="1494"/>
      <c r="O102" s="1503"/>
      <c r="P102" s="1494"/>
      <c r="Q102" s="1503"/>
      <c r="R102" s="1494"/>
      <c r="S102" s="1503"/>
      <c r="T102" s="1494"/>
      <c r="U102" s="1503"/>
      <c r="V102" s="1494"/>
      <c r="W102" s="1503"/>
      <c r="X102" s="1494"/>
      <c r="Y102" s="1503"/>
      <c r="Z102" s="1494"/>
      <c r="AA102" s="1503"/>
      <c r="AB102" s="1494"/>
      <c r="AC102" s="1503"/>
      <c r="AD102" s="1494"/>
      <c r="AE102" s="1503"/>
      <c r="AF102" s="1494"/>
      <c r="AG102" s="1503"/>
      <c r="AH102" s="1494"/>
      <c r="AI102" s="1506"/>
      <c r="AJ102" s="1494"/>
      <c r="AK102" s="1506"/>
      <c r="AL102" s="1573"/>
      <c r="AM102" s="1543"/>
      <c r="AN102" s="1574"/>
      <c r="AO102" s="1543"/>
      <c r="AP102" s="1574"/>
      <c r="AQ102" s="1502"/>
      <c r="AR102" s="1495"/>
      <c r="AS102" s="1495"/>
      <c r="AT102" s="1495"/>
      <c r="AU102" s="1506"/>
      <c r="AV102" s="161" t="str">
        <f t="shared" si="33"/>
        <v/>
      </c>
      <c r="CA102" s="162" t="str">
        <f t="shared" si="34"/>
        <v/>
      </c>
      <c r="CB102" s="162" t="str">
        <f t="shared" si="35"/>
        <v/>
      </c>
      <c r="CC102" s="162" t="str">
        <f t="shared" si="36"/>
        <v/>
      </c>
      <c r="CD102" s="162" t="str">
        <f t="shared" si="37"/>
        <v/>
      </c>
      <c r="CE102" s="162" t="str">
        <f t="shared" si="38"/>
        <v/>
      </c>
      <c r="CF102" s="162" t="str">
        <f t="shared" si="39"/>
        <v/>
      </c>
      <c r="CI102" s="164"/>
      <c r="CK102" s="163">
        <f t="shared" si="30"/>
        <v>0</v>
      </c>
      <c r="CL102" s="163">
        <f t="shared" si="40"/>
        <v>0</v>
      </c>
      <c r="CM102" s="163">
        <f t="shared" si="31"/>
        <v>0</v>
      </c>
      <c r="CN102" s="163">
        <f t="shared" si="41"/>
        <v>0</v>
      </c>
      <c r="CO102" s="163">
        <f t="shared" si="32"/>
        <v>0</v>
      </c>
      <c r="CP102" s="163">
        <f t="shared" si="32"/>
        <v>0</v>
      </c>
    </row>
    <row r="103" spans="1:96" s="161" customFormat="1" ht="15" customHeight="1" x14ac:dyDescent="0.3">
      <c r="A103" s="1442" t="s">
        <v>2067</v>
      </c>
      <c r="B103" s="413"/>
      <c r="C103" s="1045">
        <f t="shared" si="42"/>
        <v>0</v>
      </c>
      <c r="D103" s="1168">
        <f t="shared" si="43"/>
        <v>0</v>
      </c>
      <c r="E103" s="414">
        <f t="shared" si="43"/>
        <v>0</v>
      </c>
      <c r="F103" s="1544"/>
      <c r="G103" s="411"/>
      <c r="H103" s="1544"/>
      <c r="I103" s="411"/>
      <c r="J103" s="1544"/>
      <c r="K103" s="1546"/>
      <c r="L103" s="1544"/>
      <c r="M103" s="1546"/>
      <c r="N103" s="1544"/>
      <c r="O103" s="1546"/>
      <c r="P103" s="1544"/>
      <c r="Q103" s="1546"/>
      <c r="R103" s="1544"/>
      <c r="S103" s="1546"/>
      <c r="T103" s="1544"/>
      <c r="U103" s="1546"/>
      <c r="V103" s="1544"/>
      <c r="W103" s="1546"/>
      <c r="X103" s="1544"/>
      <c r="Y103" s="1546"/>
      <c r="Z103" s="1544"/>
      <c r="AA103" s="1546"/>
      <c r="AB103" s="1544"/>
      <c r="AC103" s="1546"/>
      <c r="AD103" s="1544"/>
      <c r="AE103" s="1546"/>
      <c r="AF103" s="1544"/>
      <c r="AG103" s="1546"/>
      <c r="AH103" s="1544"/>
      <c r="AI103" s="1546"/>
      <c r="AJ103" s="1544"/>
      <c r="AK103" s="1546"/>
      <c r="AL103" s="1585"/>
      <c r="AM103" s="1578"/>
      <c r="AN103" s="1577"/>
      <c r="AO103" s="1578"/>
      <c r="AP103" s="1577"/>
      <c r="AQ103" s="1579"/>
      <c r="AR103" s="1545"/>
      <c r="AS103" s="1545"/>
      <c r="AT103" s="1545"/>
      <c r="AU103" s="411"/>
      <c r="AV103" s="161" t="str">
        <f t="shared" si="33"/>
        <v/>
      </c>
      <c r="CA103" s="162" t="str">
        <f t="shared" si="34"/>
        <v/>
      </c>
      <c r="CB103" s="162" t="str">
        <f t="shared" si="35"/>
        <v/>
      </c>
      <c r="CC103" s="162" t="str">
        <f t="shared" si="36"/>
        <v/>
      </c>
      <c r="CD103" s="162" t="str">
        <f t="shared" si="37"/>
        <v/>
      </c>
      <c r="CE103" s="162" t="str">
        <f t="shared" si="38"/>
        <v/>
      </c>
      <c r="CF103" s="162" t="str">
        <f t="shared" si="39"/>
        <v/>
      </c>
      <c r="CI103" s="164"/>
      <c r="CK103" s="163">
        <f t="shared" si="30"/>
        <v>0</v>
      </c>
      <c r="CL103" s="163">
        <f t="shared" si="40"/>
        <v>0</v>
      </c>
      <c r="CM103" s="163">
        <f t="shared" si="31"/>
        <v>0</v>
      </c>
      <c r="CN103" s="163">
        <f t="shared" si="41"/>
        <v>0</v>
      </c>
      <c r="CO103" s="163">
        <f t="shared" si="32"/>
        <v>0</v>
      </c>
      <c r="CP103" s="163">
        <f t="shared" si="32"/>
        <v>0</v>
      </c>
    </row>
    <row r="104" spans="1:96" ht="15" customHeight="1" x14ac:dyDescent="0.3">
      <c r="A104" s="6989" t="s">
        <v>77</v>
      </c>
      <c r="B104" s="7489"/>
      <c r="C104" s="1586">
        <f t="shared" ref="C104:AU104" si="44">SUM(C95:C103)</f>
        <v>0</v>
      </c>
      <c r="D104" s="1587">
        <f t="shared" si="44"/>
        <v>0</v>
      </c>
      <c r="E104" s="997">
        <f t="shared" si="44"/>
        <v>0</v>
      </c>
      <c r="F104" s="1588">
        <f t="shared" si="44"/>
        <v>0</v>
      </c>
      <c r="G104" s="1589">
        <f t="shared" si="44"/>
        <v>0</v>
      </c>
      <c r="H104" s="1588">
        <f t="shared" si="44"/>
        <v>0</v>
      </c>
      <c r="I104" s="1589">
        <f t="shared" si="44"/>
        <v>0</v>
      </c>
      <c r="J104" s="1590">
        <f t="shared" si="44"/>
        <v>0</v>
      </c>
      <c r="K104" s="1591">
        <f t="shared" si="44"/>
        <v>0</v>
      </c>
      <c r="L104" s="1590">
        <f t="shared" si="44"/>
        <v>0</v>
      </c>
      <c r="M104" s="1591">
        <f t="shared" si="44"/>
        <v>0</v>
      </c>
      <c r="N104" s="1590">
        <f t="shared" si="44"/>
        <v>0</v>
      </c>
      <c r="O104" s="1591">
        <f t="shared" si="44"/>
        <v>0</v>
      </c>
      <c r="P104" s="1590">
        <f t="shared" si="44"/>
        <v>0</v>
      </c>
      <c r="Q104" s="1591">
        <f t="shared" si="44"/>
        <v>0</v>
      </c>
      <c r="R104" s="1590">
        <f t="shared" si="44"/>
        <v>0</v>
      </c>
      <c r="S104" s="1591">
        <f t="shared" si="44"/>
        <v>0</v>
      </c>
      <c r="T104" s="1590">
        <f t="shared" si="44"/>
        <v>0</v>
      </c>
      <c r="U104" s="1591">
        <f t="shared" si="44"/>
        <v>0</v>
      </c>
      <c r="V104" s="1590">
        <f t="shared" si="44"/>
        <v>0</v>
      </c>
      <c r="W104" s="1591">
        <f t="shared" si="44"/>
        <v>0</v>
      </c>
      <c r="X104" s="1590">
        <f t="shared" si="44"/>
        <v>0</v>
      </c>
      <c r="Y104" s="1591">
        <f t="shared" si="44"/>
        <v>0</v>
      </c>
      <c r="Z104" s="1590">
        <f t="shared" si="44"/>
        <v>0</v>
      </c>
      <c r="AA104" s="1591">
        <f t="shared" si="44"/>
        <v>0</v>
      </c>
      <c r="AB104" s="1590">
        <f t="shared" si="44"/>
        <v>0</v>
      </c>
      <c r="AC104" s="1591">
        <f t="shared" si="44"/>
        <v>0</v>
      </c>
      <c r="AD104" s="1590">
        <f t="shared" si="44"/>
        <v>0</v>
      </c>
      <c r="AE104" s="1591">
        <f t="shared" si="44"/>
        <v>0</v>
      </c>
      <c r="AF104" s="1590">
        <f t="shared" si="44"/>
        <v>0</v>
      </c>
      <c r="AG104" s="1591">
        <f t="shared" si="44"/>
        <v>0</v>
      </c>
      <c r="AH104" s="1590">
        <f t="shared" si="44"/>
        <v>0</v>
      </c>
      <c r="AI104" s="1591">
        <f t="shared" si="44"/>
        <v>0</v>
      </c>
      <c r="AJ104" s="1590">
        <f t="shared" si="44"/>
        <v>0</v>
      </c>
      <c r="AK104" s="1591">
        <f t="shared" si="44"/>
        <v>0</v>
      </c>
      <c r="AL104" s="1592">
        <f t="shared" si="44"/>
        <v>0</v>
      </c>
      <c r="AM104" s="1593">
        <f t="shared" si="44"/>
        <v>0</v>
      </c>
      <c r="AN104" s="1594">
        <f t="shared" si="44"/>
        <v>0</v>
      </c>
      <c r="AO104" s="1595">
        <f t="shared" si="44"/>
        <v>0</v>
      </c>
      <c r="AP104" s="1594">
        <f t="shared" si="44"/>
        <v>0</v>
      </c>
      <c r="AQ104" s="1596">
        <f t="shared" si="44"/>
        <v>0</v>
      </c>
      <c r="AR104" s="270">
        <f t="shared" si="44"/>
        <v>0</v>
      </c>
      <c r="AS104" s="270">
        <f t="shared" si="44"/>
        <v>0</v>
      </c>
      <c r="AT104" s="270">
        <f t="shared" si="44"/>
        <v>0</v>
      </c>
      <c r="AU104" s="1589">
        <f t="shared" si="44"/>
        <v>0</v>
      </c>
      <c r="CC104" s="161"/>
      <c r="CD104" s="161"/>
      <c r="CE104" s="161"/>
      <c r="CF104" s="161"/>
      <c r="CG104" s="161"/>
      <c r="CH104" s="161"/>
      <c r="CI104" s="161"/>
      <c r="CJ104" s="161"/>
      <c r="CK104" s="161"/>
      <c r="CL104" s="161"/>
      <c r="CM104" s="161"/>
    </row>
    <row r="105" spans="1:96" s="160" customFormat="1" ht="17.100000000000001" customHeight="1" x14ac:dyDescent="0.3">
      <c r="A105" s="172" t="s">
        <v>4011</v>
      </c>
      <c r="CC105" s="161"/>
      <c r="CD105" s="161"/>
      <c r="CE105" s="161"/>
      <c r="CF105" s="161"/>
      <c r="CG105" s="161"/>
      <c r="CH105" s="161"/>
      <c r="CI105" s="161"/>
      <c r="CJ105" s="161"/>
      <c r="CK105" s="161"/>
      <c r="CL105" s="161"/>
      <c r="CM105" s="161"/>
    </row>
    <row r="106" spans="1:96" s="160" customFormat="1" ht="17.100000000000001" customHeight="1" x14ac:dyDescent="0.3">
      <c r="A106" s="7569" t="s">
        <v>4012</v>
      </c>
      <c r="B106" s="7569"/>
      <c r="C106" s="7569"/>
      <c r="D106" s="7569"/>
      <c r="CC106" s="161"/>
      <c r="CD106" s="161"/>
      <c r="CE106" s="161"/>
      <c r="CF106" s="161"/>
      <c r="CG106" s="161"/>
      <c r="CH106" s="161"/>
      <c r="CI106" s="161"/>
      <c r="CJ106" s="161"/>
      <c r="CK106" s="161"/>
      <c r="CL106" s="161"/>
      <c r="CM106" s="161"/>
    </row>
    <row r="107" spans="1:96" s="161" customFormat="1" ht="15" customHeight="1" x14ac:dyDescent="0.3">
      <c r="A107" s="7567" t="s">
        <v>4013</v>
      </c>
      <c r="B107" s="6989" t="s">
        <v>77</v>
      </c>
      <c r="C107" s="7476"/>
      <c r="D107" s="7489"/>
      <c r="E107" s="6989" t="s">
        <v>29</v>
      </c>
      <c r="F107" s="7476"/>
      <c r="G107" s="7476"/>
      <c r="H107" s="7476"/>
      <c r="I107" s="7476"/>
      <c r="J107" s="7476"/>
      <c r="K107" s="7476"/>
      <c r="L107" s="7476"/>
      <c r="M107" s="7476"/>
      <c r="N107" s="7476"/>
      <c r="O107" s="7476"/>
      <c r="P107" s="6991"/>
      <c r="Q107" s="7568" t="s">
        <v>598</v>
      </c>
      <c r="R107" s="6518" t="s">
        <v>4014</v>
      </c>
      <c r="S107" s="6518" t="s">
        <v>4015</v>
      </c>
      <c r="T107" s="7557" t="s">
        <v>1575</v>
      </c>
      <c r="U107" s="7455" t="s">
        <v>1576</v>
      </c>
      <c r="V107" s="6518" t="s">
        <v>36</v>
      </c>
      <c r="W107" s="6518" t="s">
        <v>37</v>
      </c>
    </row>
    <row r="108" spans="1:96" s="161" customFormat="1" ht="39" customHeight="1" x14ac:dyDescent="0.3">
      <c r="A108" s="6471"/>
      <c r="B108" s="1313" t="s">
        <v>919</v>
      </c>
      <c r="C108" s="1530" t="s">
        <v>58</v>
      </c>
      <c r="D108" s="1252" t="s">
        <v>59</v>
      </c>
      <c r="E108" s="1313" t="s">
        <v>4016</v>
      </c>
      <c r="F108" s="1238" t="s">
        <v>4017</v>
      </c>
      <c r="G108" s="1238" t="s">
        <v>4018</v>
      </c>
      <c r="H108" s="1238" t="s">
        <v>4019</v>
      </c>
      <c r="I108" s="1238" t="s">
        <v>4020</v>
      </c>
      <c r="J108" s="1238" t="s">
        <v>4021</v>
      </c>
      <c r="K108" s="1238" t="s">
        <v>4022</v>
      </c>
      <c r="L108" s="1238" t="s">
        <v>4023</v>
      </c>
      <c r="M108" s="1238" t="s">
        <v>4024</v>
      </c>
      <c r="N108" s="1238" t="s">
        <v>4025</v>
      </c>
      <c r="O108" s="1238" t="s">
        <v>4026</v>
      </c>
      <c r="P108" s="1241" t="s">
        <v>4027</v>
      </c>
      <c r="Q108" s="6669"/>
      <c r="R108" s="6687"/>
      <c r="S108" s="6687"/>
      <c r="T108" s="6917"/>
      <c r="U108" s="6910"/>
      <c r="V108" s="6687"/>
      <c r="W108" s="6687"/>
    </row>
    <row r="109" spans="1:96" s="161" customFormat="1" ht="15" customHeight="1" x14ac:dyDescent="0.3">
      <c r="A109" s="961" t="s">
        <v>4028</v>
      </c>
      <c r="B109" s="951">
        <f>SUM(E109:P109)</f>
        <v>0</v>
      </c>
      <c r="C109" s="169"/>
      <c r="D109" s="1535"/>
      <c r="E109" s="407"/>
      <c r="F109" s="1536"/>
      <c r="G109" s="1536"/>
      <c r="H109" s="1536"/>
      <c r="I109" s="1536"/>
      <c r="J109" s="1536"/>
      <c r="K109" s="1536"/>
      <c r="L109" s="1536"/>
      <c r="M109" s="1536"/>
      <c r="N109" s="1536"/>
      <c r="O109" s="1536"/>
      <c r="P109" s="1537"/>
      <c r="Q109" s="415"/>
      <c r="R109" s="219"/>
      <c r="S109" s="219"/>
      <c r="T109" s="219"/>
      <c r="U109" s="219"/>
      <c r="V109" s="219"/>
      <c r="W109" s="219"/>
      <c r="X109" s="161" t="str">
        <f>BY109&amp;BZ109&amp;CA109&amp;CB109&amp;CC109&amp;CD109&amp;CE109&amp;CF109</f>
        <v/>
      </c>
      <c r="BY109" s="162" t="str">
        <f>IF((C109+D109)&lt;&gt;B109,"  * Las atenciones según Sexo (Hombres/Mujeres) deben ser igual al Total de atenciones","")</f>
        <v/>
      </c>
      <c r="BZ109" s="162" t="str">
        <f>IF(AND(D109&gt;0,Q109="")," * No olvide digitar Embarazadas. Digite cero si no tiene.",IF(Q109&gt;D109," * La variable Embarazadas no puede ser mayor al Total.",""))</f>
        <v/>
      </c>
      <c r="CA109" s="162" t="str">
        <f>IF(AND(O109&gt;0,R109="")," * No olvide digitar la variable 60 años (incluído en grupos de 20-64 años). Digite cero si no tiene.",IF(R109&gt;O109," * La variable 60 años (incluído en grupos de 20-64 años) no puede ser mayor al rango etario 20-64 años.",""))</f>
        <v/>
      </c>
      <c r="CB109" s="162" t="str">
        <f>IF(AND(B109&gt;0,S109="")," * No olvide digitar Usuarios en situación de discapacidad. Digite cero si no tiene.",IF(S109&gt;B109," * La variable Usuarios en situación de discapacidad no puede ser mayor al Total.",""))</f>
        <v/>
      </c>
      <c r="CC109" s="162" t="str">
        <f>IF(AND(B109&gt;0,T109="")," * No olvide digitar la variable Serv. Nac. Reinserción Social Juvenil. Digite cero si no tiene.",IF(T109&gt;B109," * La variable Serv. Nac. Reinserción Social Juvenil no puede ser mayor al Total.",""))</f>
        <v/>
      </c>
      <c r="CD109" s="162" t="str">
        <f>IF(AND(B109&gt;0,U109="")," * No olvide digitar la variable Serv. Nac. Protección Especializada a la Niñez y Adolescencia. Digite cero si no tiene.",IF(U109&gt;B109," * La variable Serv. Nac. Protección Especializada a la Niñez y Adolescencia no puede ser mayor al Total.",""))</f>
        <v/>
      </c>
      <c r="CE109" s="162" t="str">
        <f>IF(AND(B109&gt;0,V109="")," * No olvide digitar Pueblos originarios. Digite cero si no tiene.",IF(V109&gt;B109," * La variable Pueblos originarios no puede ser mayor al Total.",""))</f>
        <v/>
      </c>
      <c r="CF109" s="162" t="str">
        <f>IF(AND(B109&gt;0,W109="")," * No olvide digitar Migrantes. Digite cero si no tiene.",IF(W109&gt;B109," * La variable Migrantes no puede ser mayor al Total.",""))</f>
        <v/>
      </c>
      <c r="CI109" s="163">
        <f>IF(AND(D109&gt;0,Q109=""),1,IF(Q109&gt;D109,1,0))</f>
        <v>0</v>
      </c>
      <c r="CJ109" s="163">
        <f>IF(AND(O109&gt;0,R109=""),1,IF(R109&gt;O109,1,0))</f>
        <v>0</v>
      </c>
      <c r="CK109" s="163">
        <f>IF(AND(B109&gt;0,S109=""),1,IF(S109&gt;B109,1,0))</f>
        <v>0</v>
      </c>
      <c r="CL109" s="163">
        <f>IF(AND(B109&gt;0,T109=""),1,IF(T109&gt;B109,1,0))</f>
        <v>0</v>
      </c>
      <c r="CM109" s="163">
        <f>IF(AND(B109&gt;0,U109=""),1,IF(U109&gt;B109,1,0))</f>
        <v>0</v>
      </c>
      <c r="CN109" s="163">
        <f>IF(AND(B109&gt;0,V109=""),1,IF(V109&gt;B109,1,0))</f>
        <v>0</v>
      </c>
      <c r="CO109" s="163">
        <f>IF(AND(B109&gt;0,W109=""),1,IF(W109&gt;B109,1,0))</f>
        <v>0</v>
      </c>
      <c r="CP109" s="163">
        <f>IF((C109+D109)&lt;&gt;B109,1,0)</f>
        <v>0</v>
      </c>
    </row>
    <row r="110" spans="1:96" s="161" customFormat="1" ht="15" customHeight="1" x14ac:dyDescent="0.3">
      <c r="A110" s="961" t="s">
        <v>4029</v>
      </c>
      <c r="B110" s="962">
        <f>SUM(E110:P110)</f>
        <v>0</v>
      </c>
      <c r="C110" s="169"/>
      <c r="D110" s="1535"/>
      <c r="E110" s="407"/>
      <c r="F110" s="1536"/>
      <c r="G110" s="1536"/>
      <c r="H110" s="1536"/>
      <c r="I110" s="1536"/>
      <c r="J110" s="1536"/>
      <c r="K110" s="1536"/>
      <c r="L110" s="1536"/>
      <c r="M110" s="1536"/>
      <c r="N110" s="1536"/>
      <c r="O110" s="1536"/>
      <c r="P110" s="1537"/>
      <c r="Q110" s="415"/>
      <c r="R110" s="219"/>
      <c r="S110" s="219"/>
      <c r="T110" s="219"/>
      <c r="U110" s="219"/>
      <c r="V110" s="219"/>
      <c r="W110" s="219"/>
      <c r="X110" s="161" t="str">
        <f>BY110&amp;BZ110&amp;CA110&amp;CB110&amp;CC110&amp;CD110&amp;CE110&amp;CF110</f>
        <v/>
      </c>
      <c r="BY110" s="162" t="str">
        <f>IF((C110+D110)&lt;&gt;B110,"  * Las atenciones según Sexo (Hombres/Mujeres) deben ser igual al Total de atenciones","")</f>
        <v/>
      </c>
      <c r="BZ110" s="162" t="str">
        <f>IF(AND(D110&gt;0,Q110="")," * No olvide digitar Embarazadas. Digite cero si no tiene.",IF(Q110&gt;D110," * La variable Embarazadas no puede ser mayor al Total.",""))</f>
        <v/>
      </c>
      <c r="CA110" s="162" t="str">
        <f>IF(AND(O110&gt;0,R110="")," * No olvide digitar la variable 60 años (incluído en grupos de 20-64 años). Digite cero si no tiene.",IF(R110&gt;O110," * La variable 60 años (incluído en grupos de 20-64 años) no puede ser mayor al rango etario 20-64 años.",""))</f>
        <v/>
      </c>
      <c r="CB110" s="162" t="str">
        <f>IF(AND(B110&gt;0,S110="")," * No olvide digitar Usuarios en situación de discapacidad. Digite cero si no tiene.",IF(S110&gt;B110," * La variable Usuarios en situación de discapacidad no puede ser mayor al Total.",""))</f>
        <v/>
      </c>
      <c r="CC110" s="162" t="str">
        <f>IF(AND(B110&gt;0,T110="")," * No olvide digitar la variable Serv. Nac. Reinserción Social Juvenil. Digite cero si no tiene.",IF(T110&gt;B110," * La variable Serv. Nac. Reinserción Social Juvenil no puede ser mayor al Total.",""))</f>
        <v/>
      </c>
      <c r="CD110" s="162" t="str">
        <f>IF(AND(B110&gt;0,U110="")," * No olvide digitar la variable Serv. Nac. Protección Especializada a la Niñez y Adolescencia. Digite cero si no tiene.",IF(U110&gt;B110," * La variable Serv. Nac. Protección Especializada a la Niñez y Adolescencia no puede ser mayor al Total.",""))</f>
        <v/>
      </c>
      <c r="CE110" s="162" t="str">
        <f>IF(AND(B110&gt;0,V110="")," * No olvide digitar Pueblos originarios. Digite cero si no tiene.",IF(V110&gt;B110," * La variable Pueblos originarios no puede ser mayor al Total.",""))</f>
        <v/>
      </c>
      <c r="CF110" s="162" t="str">
        <f>IF(AND(B110&gt;0,W110="")," * No olvide digitar Migrantes. Digite cero si no tiene.",IF(W110&gt;B110," * La variable Migrantes no puede ser mayor al Total.",""))</f>
        <v/>
      </c>
      <c r="CI110" s="163">
        <f>IF(AND(D110&gt;0,Q110=""),1,IF(Q110&gt;D110,1,0))</f>
        <v>0</v>
      </c>
      <c r="CJ110" s="163">
        <f>IF(AND(O110&gt;0,R110=""),1,IF(R110&gt;O110,1,0))</f>
        <v>0</v>
      </c>
      <c r="CK110" s="163">
        <f>IF(AND(B110&gt;0,S110=""),1,IF(S110&gt;B110,1,0))</f>
        <v>0</v>
      </c>
      <c r="CL110" s="163">
        <f>IF(AND(B110&gt;0,T110=""),1,IF(T110&gt;B110,1,0))</f>
        <v>0</v>
      </c>
      <c r="CM110" s="163">
        <f>IF(AND(B110&gt;0,U110=""),1,IF(U110&gt;B110,1,0))</f>
        <v>0</v>
      </c>
      <c r="CN110" s="163">
        <f>IF(AND(B110&gt;0,V110=""),1,IF(V110&gt;B110,1,0))</f>
        <v>0</v>
      </c>
      <c r="CO110" s="163">
        <f>IF(AND(B110&gt;0,W110=""),1,IF(W110&gt;B110,1,0))</f>
        <v>0</v>
      </c>
      <c r="CP110" s="163">
        <f>IF((C110+D110)&lt;&gt;B110,1,0)</f>
        <v>0</v>
      </c>
    </row>
    <row r="111" spans="1:96" s="161" customFormat="1" ht="15" customHeight="1" x14ac:dyDescent="0.3">
      <c r="A111" s="961" t="s">
        <v>4030</v>
      </c>
      <c r="B111" s="1045">
        <f>SUM(E111:P111)</f>
        <v>0</v>
      </c>
      <c r="C111" s="169"/>
      <c r="D111" s="1535"/>
      <c r="E111" s="407"/>
      <c r="F111" s="1536"/>
      <c r="G111" s="1536"/>
      <c r="H111" s="1536"/>
      <c r="I111" s="1536"/>
      <c r="J111" s="1536"/>
      <c r="K111" s="1536"/>
      <c r="L111" s="1536"/>
      <c r="M111" s="1536"/>
      <c r="N111" s="1536"/>
      <c r="O111" s="1536"/>
      <c r="P111" s="1537"/>
      <c r="Q111" s="415"/>
      <c r="R111" s="219"/>
      <c r="S111" s="219"/>
      <c r="T111" s="219"/>
      <c r="U111" s="219"/>
      <c r="V111" s="219"/>
      <c r="W111" s="219"/>
      <c r="X111" s="161" t="str">
        <f>CA111&amp;CB111&amp;CC111&amp;CD111&amp;CE111&amp;CF111&amp;CG111&amp;CH111</f>
        <v/>
      </c>
      <c r="CA111" s="162" t="str">
        <f t="shared" ref="CA111" si="45">IF((C111+D111)&lt;&gt;B111,"  * Las atenciones según Sexo (Hombres/Mujeres) deben ser igual al Total de atenciones","")</f>
        <v/>
      </c>
      <c r="CB111" s="162" t="str">
        <f t="shared" ref="CB111" si="46">IF(AND(D111&gt;0,Q111="")," * No olvide digitar Embarazadas. Digite cero si no tiene.",IF(Q111&gt;D111," * La variable Embarazadas no puede ser mayor al Total.",""))</f>
        <v/>
      </c>
      <c r="CC111" s="162" t="str">
        <f t="shared" ref="CC111" si="47">IF(AND(O111&gt;0,R111="")," * No olvide digitar la variable 60 años (incluído en grupos de 20-64 años). Digite cero si no tiene.",IF(R111&gt;O111," * La variable 60 años (incluído en grupos de 20-64 años) no puede ser mayor al rango etario 20-64 años.",""))</f>
        <v/>
      </c>
      <c r="CD111" s="162" t="str">
        <f t="shared" ref="CD111" si="48">IF(AND(B111&gt;0,S111="")," * No olvide digitar Usuarios en situación de discapacidad. Digite cero si no tiene.",IF(S111&gt;B111," * La variable Usuarios en situación de discapacidad no puede ser mayor al Total.",""))</f>
        <v/>
      </c>
      <c r="CE111" s="162" t="str">
        <f t="shared" ref="CE111" si="49">IF(AND(B111&gt;0,T111="")," * No olvide digitar la variable Serv. Nac. Reinserción Social Juvenil. Digite cero si no tiene.",IF(T111&gt;B111," * La variable Serv. Nac. Reinserción Social Juvenil no puede ser mayor al Total.",""))</f>
        <v/>
      </c>
      <c r="CF111" s="162" t="str">
        <f t="shared" ref="CF111" si="50">IF(AND(B111&gt;0,U111="")," * No olvide digitar la variable Serv. Nac. Protección Especializada a la Niñez y Adolescencia. Digite cero si no tiene.",IF(U111&gt;B111," * La variable Serv. Nac. Protección Especializada a la Niñez y Adolescencia no puede ser mayor al Total.",""))</f>
        <v/>
      </c>
      <c r="CG111" s="162" t="str">
        <f t="shared" ref="CG111" si="51">IF(AND(B111&gt;0,V111="")," * No olvide digitar Pueblos originarios. Digite cero si no tiene.",IF(V111&gt;B111," * La variable Pueblos originarios no puede ser mayor al Total.",""))</f>
        <v/>
      </c>
      <c r="CH111" s="162" t="str">
        <f t="shared" ref="CH111" si="52">IF(AND(B111&gt;0,W111="")," * No olvide digitar Migrantes. Digite cero si no tiene.",IF(W111&gt;B111," * La variable Migrantes no puede ser mayor al Total.",""))</f>
        <v/>
      </c>
      <c r="CK111" s="163">
        <f>IF(AND(D111&gt;0,Q111=""),1,IF(Q111&gt;D111,1,0))</f>
        <v>0</v>
      </c>
      <c r="CL111" s="163">
        <f>IF(AND(O111&gt;0,R111=""),1,IF(R111&gt;O111,1,0))</f>
        <v>0</v>
      </c>
      <c r="CM111" s="163">
        <f>IF(AND(B111&gt;0,S111=""),1,IF(S111&gt;B111,1,0))</f>
        <v>0</v>
      </c>
      <c r="CN111" s="163">
        <f>IF(AND(B111&gt;0,T111=""),1,IF(T111&gt;B111,1,0))</f>
        <v>0</v>
      </c>
      <c r="CO111" s="163">
        <f>IF(AND(B111&gt;0,U111=""),1,IF(U111&gt;B111,1,0))</f>
        <v>0</v>
      </c>
      <c r="CP111" s="163">
        <f>IF(AND(B111&gt;0,V111=""),1,IF(V111&gt;B111,1,0))</f>
        <v>0</v>
      </c>
      <c r="CQ111" s="163">
        <f>IF(AND(B111&gt;0,W111=""),1,IF(W111&gt;B111,1,0))</f>
        <v>0</v>
      </c>
      <c r="CR111" s="163">
        <f>IF((C111+D111)&lt;&gt;B111,1,0)</f>
        <v>0</v>
      </c>
    </row>
    <row r="112" spans="1:96" s="161" customFormat="1" ht="15" customHeight="1" x14ac:dyDescent="0.3">
      <c r="A112" s="1133" t="s">
        <v>77</v>
      </c>
      <c r="B112" s="1597">
        <f t="shared" ref="B112:W112" si="53">SUM(B109:B111)</f>
        <v>0</v>
      </c>
      <c r="C112" s="1598">
        <f t="shared" si="53"/>
        <v>0</v>
      </c>
      <c r="D112" s="1268">
        <f t="shared" si="53"/>
        <v>0</v>
      </c>
      <c r="E112" s="1558">
        <f t="shared" si="53"/>
        <v>0</v>
      </c>
      <c r="F112" s="1599">
        <f t="shared" si="53"/>
        <v>0</v>
      </c>
      <c r="G112" s="1599">
        <f t="shared" si="53"/>
        <v>0</v>
      </c>
      <c r="H112" s="1599">
        <f t="shared" si="53"/>
        <v>0</v>
      </c>
      <c r="I112" s="1599">
        <f t="shared" si="53"/>
        <v>0</v>
      </c>
      <c r="J112" s="1599">
        <f t="shared" si="53"/>
        <v>0</v>
      </c>
      <c r="K112" s="1599">
        <f t="shared" si="53"/>
        <v>0</v>
      </c>
      <c r="L112" s="1599">
        <f t="shared" si="53"/>
        <v>0</v>
      </c>
      <c r="M112" s="1599">
        <f t="shared" si="53"/>
        <v>0</v>
      </c>
      <c r="N112" s="1599">
        <f t="shared" si="53"/>
        <v>0</v>
      </c>
      <c r="O112" s="1599">
        <f t="shared" si="53"/>
        <v>0</v>
      </c>
      <c r="P112" s="1269">
        <f t="shared" si="53"/>
        <v>0</v>
      </c>
      <c r="Q112" s="1600">
        <f t="shared" si="53"/>
        <v>0</v>
      </c>
      <c r="R112" s="1601">
        <f t="shared" si="53"/>
        <v>0</v>
      </c>
      <c r="S112" s="1601">
        <f t="shared" si="53"/>
        <v>0</v>
      </c>
      <c r="T112" s="1601">
        <f t="shared" si="53"/>
        <v>0</v>
      </c>
      <c r="U112" s="1601">
        <f t="shared" si="53"/>
        <v>0</v>
      </c>
      <c r="V112" s="1601">
        <f t="shared" si="53"/>
        <v>0</v>
      </c>
      <c r="W112" s="1601">
        <f t="shared" si="53"/>
        <v>0</v>
      </c>
    </row>
    <row r="113" spans="1:96" s="160" customFormat="1" ht="17.100000000000001" customHeight="1" x14ac:dyDescent="0.3">
      <c r="A113" s="7566" t="s">
        <v>4031</v>
      </c>
      <c r="B113" s="7566"/>
      <c r="C113" s="7566"/>
      <c r="D113" s="7566"/>
      <c r="CC113" s="161"/>
      <c r="CD113" s="161"/>
      <c r="CE113" s="161"/>
      <c r="CF113" s="161"/>
      <c r="CG113" s="161"/>
      <c r="CH113" s="161"/>
      <c r="CI113" s="161"/>
      <c r="CJ113" s="161"/>
      <c r="CK113" s="161"/>
      <c r="CL113" s="161"/>
      <c r="CM113" s="161"/>
    </row>
    <row r="114" spans="1:96" ht="15" customHeight="1" x14ac:dyDescent="0.3">
      <c r="A114" s="7567" t="s">
        <v>4013</v>
      </c>
      <c r="B114" s="6989" t="s">
        <v>77</v>
      </c>
      <c r="C114" s="7476"/>
      <c r="D114" s="7489"/>
      <c r="E114" s="6989" t="s">
        <v>29</v>
      </c>
      <c r="F114" s="7476"/>
      <c r="G114" s="7476"/>
      <c r="H114" s="7476"/>
      <c r="I114" s="7476"/>
      <c r="J114" s="7476"/>
      <c r="K114" s="7476"/>
      <c r="L114" s="6991"/>
      <c r="M114" s="7568" t="s">
        <v>4032</v>
      </c>
      <c r="N114" s="6518" t="s">
        <v>598</v>
      </c>
      <c r="O114" s="6518" t="s">
        <v>597</v>
      </c>
      <c r="P114" s="6518" t="s">
        <v>1665</v>
      </c>
      <c r="Q114" s="7557" t="s">
        <v>1575</v>
      </c>
      <c r="R114" s="7455" t="s">
        <v>1576</v>
      </c>
      <c r="S114" s="6518" t="s">
        <v>36</v>
      </c>
      <c r="T114" s="6518" t="s">
        <v>37</v>
      </c>
      <c r="CC114" s="161"/>
      <c r="CD114" s="161"/>
      <c r="CE114" s="161"/>
      <c r="CF114" s="161"/>
      <c r="CG114" s="161"/>
      <c r="CH114" s="161"/>
      <c r="CI114" s="161"/>
      <c r="CJ114" s="161"/>
      <c r="CK114" s="161"/>
      <c r="CL114" s="161"/>
      <c r="CM114" s="161"/>
    </row>
    <row r="115" spans="1:96" ht="35.25" customHeight="1" x14ac:dyDescent="0.3">
      <c r="A115" s="6471"/>
      <c r="B115" s="1313" t="s">
        <v>919</v>
      </c>
      <c r="C115" s="886" t="s">
        <v>58</v>
      </c>
      <c r="D115" s="1252" t="s">
        <v>59</v>
      </c>
      <c r="E115" s="1313" t="s">
        <v>4033</v>
      </c>
      <c r="F115" s="1238" t="s">
        <v>385</v>
      </c>
      <c r="G115" s="1238" t="s">
        <v>4034</v>
      </c>
      <c r="H115" s="1238" t="s">
        <v>4035</v>
      </c>
      <c r="I115" s="1238" t="s">
        <v>304</v>
      </c>
      <c r="J115" s="1238" t="s">
        <v>4036</v>
      </c>
      <c r="K115" s="1238" t="s">
        <v>4037</v>
      </c>
      <c r="L115" s="1241" t="s">
        <v>4027</v>
      </c>
      <c r="M115" s="6669"/>
      <c r="N115" s="6687"/>
      <c r="O115" s="6687"/>
      <c r="P115" s="6687"/>
      <c r="Q115" s="6917"/>
      <c r="R115" s="6910"/>
      <c r="S115" s="6687"/>
      <c r="T115" s="6687"/>
      <c r="CC115" s="161"/>
      <c r="CD115" s="161"/>
      <c r="CE115" s="161"/>
      <c r="CF115" s="161"/>
      <c r="CG115" s="161"/>
      <c r="CH115" s="161"/>
      <c r="CI115" s="161"/>
      <c r="CJ115" s="161"/>
      <c r="CK115" s="161"/>
      <c r="CL115" s="161"/>
      <c r="CM115" s="161"/>
    </row>
    <row r="116" spans="1:96" ht="15" customHeight="1" x14ac:dyDescent="0.3">
      <c r="A116" s="961" t="s">
        <v>4038</v>
      </c>
      <c r="B116" s="962">
        <f>SUM(E116:L116)</f>
        <v>0</v>
      </c>
      <c r="C116" s="169"/>
      <c r="D116" s="1535"/>
      <c r="E116" s="407"/>
      <c r="F116" s="1536"/>
      <c r="G116" s="1536"/>
      <c r="H116" s="1536"/>
      <c r="I116" s="1536"/>
      <c r="J116" s="1536"/>
      <c r="K116" s="1536"/>
      <c r="L116" s="1537"/>
      <c r="M116" s="415"/>
      <c r="N116" s="219"/>
      <c r="O116" s="219"/>
      <c r="P116" s="219"/>
      <c r="Q116" s="219"/>
      <c r="R116" s="219"/>
      <c r="S116" s="219"/>
      <c r="T116" s="219"/>
      <c r="U116" s="1971" t="str">
        <f>CA116&amp;CB116&amp;CC116&amp;CD116&amp;CE116&amp;CF116&amp;CG116&amp;CH116</f>
        <v/>
      </c>
      <c r="CA116" s="162" t="str">
        <f>IF((C116+D116)&lt;&gt;B116,"  * Las atenciones según Sexo (Hombres/Mujeres) deben ser igual al Total.","")</f>
        <v/>
      </c>
      <c r="CB116" s="162" t="str">
        <f>IF(AND(D116&gt;0,N116="")," * No olvide digitar la variable Embarazadas. Digite cero si no tiene.",IF(N116&gt;D116," * La variable Embarazadas no puede ser mayor al Total.",""))</f>
        <v/>
      </c>
      <c r="CC116" s="162" t="str">
        <f>IF(AND(B116&gt;0,O116="")," * No olvide digitar la variable Beneficiarios.",IF(O116&gt;B116," * La variable Beneficiarios no puede ser mayor al Total.",""))</f>
        <v/>
      </c>
      <c r="CD116" s="162" t="str">
        <f>IF(AND(B116&gt;0,P116="")," * No olvide digitar la variable Usuarios con Discapacidad. Digite cero si no tiene.",IF(P116&gt;B116," * La variable Usuarios con Discapacidad no puede ser mayor al Total.",""))</f>
        <v/>
      </c>
      <c r="CE116" s="162" t="str">
        <f>IF(AND(B116&gt;0,Q116="")," * No olvide digitar Serv. Nac. Reinserción Social Juvenil. Digite cero si no tiene.",IF(Q116&gt;B116," * La variable Serv. Nac. Reinserción Social Juvenil no puede ser mayor al Total.",""))</f>
        <v/>
      </c>
      <c r="CF116" s="162" t="str">
        <f>IF(AND(B116&gt;0,R116="")," * No olvide digitar la variable Serv. Nac. Protección Especializada a la Niñez y Adolescencia. Digite cero si no tiene.",IF(R116&gt;B116," * La variable Serv. Nac. Protección Especializada a la Niñez y Adolescencia no puede ser mayor al Total.",""))</f>
        <v/>
      </c>
      <c r="CG116" s="162" t="str">
        <f>IF(AND(B116&gt;0,S116="")," * No olvide digitar la variable Pueblos Originarios. Digite cero si no tiene.",IF(S116&gt;B116," * La variable Pueblos Originarios No puede ser mayor al Total.",""))</f>
        <v/>
      </c>
      <c r="CH116" s="162" t="str">
        <f>IF(AND(B116&gt;0,T116="")," * No olvide digitar la variable Migrantes. Digite cero si no tiene.",IF(T116&gt;B116," * La variable Migrantes no puede ser mayor al Total.",""))</f>
        <v/>
      </c>
      <c r="CK116" s="163">
        <f>IF((C116+D116)&lt;&gt;$B116,1,0)</f>
        <v>0</v>
      </c>
      <c r="CL116" s="163">
        <f>IF(AND($D116&gt;0,N116=""),1,IF(N116&gt;$D116,1,0))</f>
        <v>0</v>
      </c>
      <c r="CM116" s="163">
        <f t="shared" ref="CM116:CR117" si="54">IF(AND($B116&gt;0,O116=""),1,IF(O116&gt;$B116,1,0))</f>
        <v>0</v>
      </c>
      <c r="CN116" s="163">
        <f t="shared" si="54"/>
        <v>0</v>
      </c>
      <c r="CO116" s="163">
        <f t="shared" si="54"/>
        <v>0</v>
      </c>
      <c r="CP116" s="163">
        <f t="shared" si="54"/>
        <v>0</v>
      </c>
      <c r="CQ116" s="163">
        <f t="shared" si="54"/>
        <v>0</v>
      </c>
      <c r="CR116" s="163">
        <f t="shared" si="54"/>
        <v>0</v>
      </c>
    </row>
    <row r="117" spans="1:96" ht="15" customHeight="1" x14ac:dyDescent="0.3">
      <c r="A117" s="961" t="s">
        <v>4039</v>
      </c>
      <c r="B117" s="962">
        <f>SUM(E117:L117)</f>
        <v>0</v>
      </c>
      <c r="C117" s="1602"/>
      <c r="D117" s="1503"/>
      <c r="E117" s="1494"/>
      <c r="F117" s="1495"/>
      <c r="G117" s="1495"/>
      <c r="H117" s="1495"/>
      <c r="I117" s="1495"/>
      <c r="J117" s="1495"/>
      <c r="K117" s="1495"/>
      <c r="L117" s="1543"/>
      <c r="M117" s="415"/>
      <c r="N117" s="219"/>
      <c r="O117" s="219"/>
      <c r="P117" s="219"/>
      <c r="Q117" s="219"/>
      <c r="R117" s="219"/>
      <c r="S117" s="219"/>
      <c r="T117" s="219"/>
      <c r="U117" s="1971" t="str">
        <f>CA117&amp;CB117&amp;CC117&amp;CD117&amp;CE117&amp;CF117&amp;CG117&amp;CH117</f>
        <v/>
      </c>
      <c r="CA117" s="162" t="str">
        <f>IF((C117+D117)&lt;&gt;B117,"  * Las atenciones según Sexo (Hombres/Mujeres) deben ser igual al Total de atenciones","")</f>
        <v/>
      </c>
      <c r="CB117" s="162" t="str">
        <f>IF(AND(D117&gt;0,N117="")," * No olvide digitar Embarazadas. Digite cero si no tiene.",IF(N117&gt;D117," * La variable Embarazadas no puede ser mayor al Total.",""))</f>
        <v/>
      </c>
      <c r="CC117" s="162" t="str">
        <f>IF(AND(B117&gt;0,O117="")," * No olvide digitar Beneficiarios.",IF(O117&gt;B117," * Beneficiarios No puede ser mayor al Total.",""))</f>
        <v/>
      </c>
      <c r="CD117" s="162" t="str">
        <f>IF(AND(B117&gt;0,P117="")," * No olvide digitar Usuarios con discapacidad. Digite cero si no tiene.",IF(P117&gt;B117," * Usuarios con discapacidad No puede ser mayor al Total.",""))</f>
        <v/>
      </c>
      <c r="CE117" s="162" t="str">
        <f>IF(AND(B117&gt;0,Q117="")," * No olvide digitar Niños, niñas, adolescentes y jóvenes SENAME. Digite cero si no tiene.",IF(Q117&gt;B117," * Niños, niñas, adolescentes y jóvenes SENAME No puede ser mayor al Total.",""))</f>
        <v/>
      </c>
      <c r="CF117" s="162" t="str">
        <f>IF(AND(B117&gt;0,R117="")," * No olvide digitar Niños, niñas, adolescentes y jóvenes Mejor Niñez. Digite cero si no tiene.",IF(R117&gt;B117," * Niños, niñas, adolescentes y jóvenes Mejor niñez No puede ser mayor al Total.",""))</f>
        <v/>
      </c>
      <c r="CG117" s="162" t="str">
        <f>IF(AND(B117&gt;0,S117="")," * No olvide digitar Pueblos originarios. Digite cero si no tiene.",IF(S117&gt;B117," * Pueblos originarios No puede ser mayor al Total.",""))</f>
        <v/>
      </c>
      <c r="CH117" s="162" t="str">
        <f>IF(AND(B117&gt;0,T117="")," * No olvide digitar Migrantes. Digite cero si no tiene.",IF(T117&gt;B117," * Migrantes No puede ser mayor al Total.",""))</f>
        <v/>
      </c>
      <c r="CK117" s="163">
        <f>IF((C117+D117)&lt;&gt;$B117,1,0)</f>
        <v>0</v>
      </c>
      <c r="CL117" s="163">
        <f>IF(AND($D117&gt;0,N117=""),1,IF(N117&gt;$D117,1,0))</f>
        <v>0</v>
      </c>
      <c r="CM117" s="163">
        <f t="shared" si="54"/>
        <v>0</v>
      </c>
      <c r="CN117" s="163">
        <f t="shared" si="54"/>
        <v>0</v>
      </c>
      <c r="CO117" s="163">
        <f t="shared" si="54"/>
        <v>0</v>
      </c>
      <c r="CP117" s="163">
        <f t="shared" si="54"/>
        <v>0</v>
      </c>
      <c r="CQ117" s="163">
        <f t="shared" si="54"/>
        <v>0</v>
      </c>
      <c r="CR117" s="163">
        <f t="shared" si="54"/>
        <v>0</v>
      </c>
    </row>
    <row r="118" spans="1:96" ht="15" customHeight="1" x14ac:dyDescent="0.3">
      <c r="A118" s="1444" t="s">
        <v>77</v>
      </c>
      <c r="B118" s="1597">
        <f t="shared" ref="B118:T118" si="55">SUM(B116:B117)</f>
        <v>0</v>
      </c>
      <c r="C118" s="1598">
        <f t="shared" si="55"/>
        <v>0</v>
      </c>
      <c r="D118" s="1268">
        <f t="shared" si="55"/>
        <v>0</v>
      </c>
      <c r="E118" s="1558">
        <f t="shared" si="55"/>
        <v>0</v>
      </c>
      <c r="F118" s="1599">
        <f t="shared" si="55"/>
        <v>0</v>
      </c>
      <c r="G118" s="1599">
        <f t="shared" si="55"/>
        <v>0</v>
      </c>
      <c r="H118" s="1599">
        <f t="shared" si="55"/>
        <v>0</v>
      </c>
      <c r="I118" s="1599">
        <f t="shared" si="55"/>
        <v>0</v>
      </c>
      <c r="J118" s="1599">
        <f t="shared" si="55"/>
        <v>0</v>
      </c>
      <c r="K118" s="1599">
        <f t="shared" si="55"/>
        <v>0</v>
      </c>
      <c r="L118" s="1269">
        <f t="shared" si="55"/>
        <v>0</v>
      </c>
      <c r="M118" s="1600">
        <f t="shared" si="55"/>
        <v>0</v>
      </c>
      <c r="N118" s="1601">
        <f t="shared" si="55"/>
        <v>0</v>
      </c>
      <c r="O118" s="1601">
        <f t="shared" si="55"/>
        <v>0</v>
      </c>
      <c r="P118" s="1601">
        <f t="shared" si="55"/>
        <v>0</v>
      </c>
      <c r="Q118" s="1601">
        <f t="shared" si="55"/>
        <v>0</v>
      </c>
      <c r="R118" s="1601">
        <f t="shared" si="55"/>
        <v>0</v>
      </c>
      <c r="S118" s="1601">
        <f t="shared" si="55"/>
        <v>0</v>
      </c>
      <c r="T118" s="1601">
        <f t="shared" si="55"/>
        <v>0</v>
      </c>
      <c r="CC118" s="161"/>
      <c r="CD118" s="161"/>
      <c r="CE118" s="161"/>
      <c r="CF118" s="161"/>
      <c r="CG118" s="161"/>
      <c r="CH118" s="161"/>
      <c r="CI118" s="161"/>
      <c r="CJ118" s="161"/>
      <c r="CK118" s="161"/>
      <c r="CL118" s="161"/>
      <c r="CM118" s="161"/>
    </row>
    <row r="119" spans="1:96" s="160" customFormat="1" ht="17.100000000000001" customHeight="1" x14ac:dyDescent="0.3">
      <c r="A119" s="7593" t="s">
        <v>4040</v>
      </c>
      <c r="B119" s="7593"/>
      <c r="CC119" s="161"/>
      <c r="CD119" s="161"/>
      <c r="CE119" s="161"/>
      <c r="CF119" s="161"/>
      <c r="CG119" s="161"/>
      <c r="CH119" s="161"/>
      <c r="CI119" s="161"/>
      <c r="CJ119" s="161"/>
      <c r="CK119" s="161"/>
      <c r="CL119" s="161"/>
      <c r="CM119" s="161"/>
    </row>
    <row r="120" spans="1:96" s="160" customFormat="1" ht="17.100000000000001" customHeight="1" x14ac:dyDescent="0.3">
      <c r="A120" s="7593" t="s">
        <v>4041</v>
      </c>
      <c r="B120" s="7593"/>
      <c r="CC120" s="161"/>
      <c r="CD120" s="161"/>
      <c r="CE120" s="161"/>
      <c r="CF120" s="161"/>
      <c r="CG120" s="161"/>
      <c r="CH120" s="161"/>
      <c r="CI120" s="161"/>
      <c r="CJ120" s="161"/>
      <c r="CK120" s="161"/>
      <c r="CL120" s="161"/>
      <c r="CM120" s="161"/>
    </row>
    <row r="121" spans="1:96" s="161" customFormat="1" ht="15" customHeight="1" x14ac:dyDescent="0.3">
      <c r="A121" s="7597" t="s">
        <v>4042</v>
      </c>
      <c r="B121" s="7597" t="s">
        <v>4043</v>
      </c>
      <c r="C121" s="7023" t="s">
        <v>29</v>
      </c>
      <c r="D121" s="7475"/>
      <c r="E121" s="7475"/>
      <c r="F121" s="7475"/>
      <c r="G121" s="7475"/>
      <c r="H121" s="7475"/>
      <c r="I121" s="7475"/>
      <c r="J121" s="7475"/>
      <c r="K121" s="7475"/>
      <c r="L121" s="7475"/>
      <c r="M121" s="7475"/>
      <c r="N121" s="7475"/>
      <c r="O121" s="7475"/>
      <c r="P121" s="7475"/>
      <c r="Q121" s="7475"/>
      <c r="R121" s="7475"/>
      <c r="S121" s="7071"/>
      <c r="T121" s="7598" t="s">
        <v>2409</v>
      </c>
      <c r="U121" s="7599"/>
      <c r="V121" s="7455" t="s">
        <v>1575</v>
      </c>
      <c r="W121" s="7455" t="s">
        <v>1576</v>
      </c>
      <c r="X121" s="7567" t="s">
        <v>36</v>
      </c>
      <c r="Y121" s="7567" t="s">
        <v>37</v>
      </c>
      <c r="Z121" s="6518" t="s">
        <v>1030</v>
      </c>
      <c r="AA121" s="7592" t="s">
        <v>33</v>
      </c>
    </row>
    <row r="122" spans="1:96" s="161" customFormat="1" ht="36.75" customHeight="1" x14ac:dyDescent="0.3">
      <c r="A122" s="7597"/>
      <c r="B122" s="7597"/>
      <c r="C122" s="1313" t="s">
        <v>343</v>
      </c>
      <c r="D122" s="1238" t="s">
        <v>326</v>
      </c>
      <c r="E122" s="1135" t="s">
        <v>43</v>
      </c>
      <c r="F122" s="1238" t="s">
        <v>44</v>
      </c>
      <c r="G122" s="1007" t="s">
        <v>45</v>
      </c>
      <c r="H122" s="1007" t="s">
        <v>46</v>
      </c>
      <c r="I122" s="1007" t="s">
        <v>47</v>
      </c>
      <c r="J122" s="1007" t="s">
        <v>48</v>
      </c>
      <c r="K122" s="1007" t="s">
        <v>49</v>
      </c>
      <c r="L122" s="1007" t="s">
        <v>50</v>
      </c>
      <c r="M122" s="1007" t="s">
        <v>51</v>
      </c>
      <c r="N122" s="1007" t="s">
        <v>52</v>
      </c>
      <c r="O122" s="1007" t="s">
        <v>53</v>
      </c>
      <c r="P122" s="1007" t="s">
        <v>54</v>
      </c>
      <c r="Q122" s="1007" t="s">
        <v>55</v>
      </c>
      <c r="R122" s="1007" t="s">
        <v>56</v>
      </c>
      <c r="S122" s="1603" t="s">
        <v>57</v>
      </c>
      <c r="T122" s="1554" t="s">
        <v>58</v>
      </c>
      <c r="U122" s="1492" t="s">
        <v>59</v>
      </c>
      <c r="V122" s="6910"/>
      <c r="W122" s="6910"/>
      <c r="X122" s="6471"/>
      <c r="Y122" s="6471"/>
      <c r="Z122" s="6687"/>
      <c r="AA122" s="5799"/>
    </row>
    <row r="123" spans="1:96" s="161" customFormat="1" ht="15" customHeight="1" x14ac:dyDescent="0.3">
      <c r="A123" s="1604" t="s">
        <v>4044</v>
      </c>
      <c r="B123" s="1605">
        <f>SUM(C123:S123)</f>
        <v>0</v>
      </c>
      <c r="C123" s="1606"/>
      <c r="D123" s="1607"/>
      <c r="E123" s="1607"/>
      <c r="F123" s="1607"/>
      <c r="G123" s="1607"/>
      <c r="H123" s="1607"/>
      <c r="I123" s="1607"/>
      <c r="J123" s="1607"/>
      <c r="K123" s="1607"/>
      <c r="L123" s="1607"/>
      <c r="M123" s="1607"/>
      <c r="N123" s="1607"/>
      <c r="O123" s="1607"/>
      <c r="P123" s="1607"/>
      <c r="Q123" s="1607"/>
      <c r="R123" s="1607"/>
      <c r="S123" s="1608"/>
      <c r="T123" s="416"/>
      <c r="U123" s="173"/>
      <c r="V123" s="1609"/>
      <c r="W123" s="1610"/>
      <c r="X123" s="1610"/>
      <c r="Y123" s="1610"/>
      <c r="Z123" s="1611"/>
      <c r="AA123" s="1611"/>
      <c r="AB123" s="161" t="str">
        <f>BY123&amp;BZ123&amp;CA123&amp;CB123&amp;CC123&amp;CD123&amp;CE123</f>
        <v/>
      </c>
      <c r="BY123" s="162" t="str">
        <f>IF((T123+U123)&lt;&gt;B123,"  * Las acciones según Sexo (Hombres/Mujeres) deben ser igual al Total de acciones","")</f>
        <v/>
      </c>
      <c r="BZ123" s="162" t="str">
        <f>IF(AND(B123&gt;0,V123="")," * No olvide digitar la variable Serv. Nac. Reinserción Social Juvenil. Digite cero si no tiene.",IF(V123&gt;B123," * La variable Serv. Nac. Reinserción Social Juvenil no puede ser mayor que el Total.",""))</f>
        <v/>
      </c>
      <c r="CA123" s="162" t="str">
        <f>IF(AND($B123&gt;0,W123="")," * No olvide digitar la variable Serv. Nac. Protección Especializada a la Niñez y Adolescencia. Digite cero si no tiene.",IF(W123&gt;$B123," * La variables Serv. Nac. Protección Especializada a la Niñez y Adolescencia no puede ser mayor que el Total.",""))</f>
        <v/>
      </c>
      <c r="CB123" s="162" t="str">
        <f>IF(AND($B123&gt;0,X123="")," * No olvide digitar la variable Pueblos Originarios. Digite cero si no tiene.",IF(X123&gt;$B123," * La variable Pueblos originarios no puede ser mayor que el Total.",""))</f>
        <v/>
      </c>
      <c r="CC123" s="162" t="str">
        <f>IF(AND($B123&gt;0,Y123="")," * No olvide digitar la variable Migrantes. Digite cero si no tiene.",IF(Y123&gt;$B123," * La variableMigrantes no puede ser mayor que el Total.",""))</f>
        <v/>
      </c>
      <c r="CD123" s="162" t="str">
        <f>IF(AND($B123&gt;0,Z123="")," * No olvide digitar la variable el campo  Demencia. Digite cero si no tiene.",IF(Z123&gt;$B123," * La variable Demencia No puede ser mayor que el Total.",""))</f>
        <v/>
      </c>
      <c r="CE123" s="162" t="str">
        <f>IF(AND($B123&gt;0,AA123="")," * No olvide digitar la variable Espacios Amigables/Adolescentes. Digite cero si no tiene.",IF(AA123&gt;$B123," * La variable Espacios Amigables/Adolescente No puede ser mayor que el Total.",""))</f>
        <v/>
      </c>
      <c r="CI123" s="163">
        <f>IF((T123+U123)&lt;&gt;B123,1,0)</f>
        <v>0</v>
      </c>
      <c r="CJ123" s="163">
        <f>IF(AND(B123&gt;0,V123=""),1,IF(V123&gt;B123,1,0))</f>
        <v>0</v>
      </c>
      <c r="CK123" s="163">
        <f>IF(AND(B123&gt;0,W123=""),1,IF(W123&gt;B123,1,0))</f>
        <v>0</v>
      </c>
      <c r="CL123" s="163">
        <f>IF(AND(B123&gt;0,X123=""),1,IF(X123&gt;B123,1,0))</f>
        <v>0</v>
      </c>
      <c r="CM123" s="163">
        <f>IF(AND(B123&gt;0,Y123=""),1,IF(Y123&gt;B123,1,0))</f>
        <v>0</v>
      </c>
      <c r="CN123" s="163">
        <f>IF(AND(B123&gt;0,Z123=""),1,IF(Z123&gt;B123,1,0))</f>
        <v>0</v>
      </c>
      <c r="CO123" s="163">
        <f>IF(AND(B123&gt;0,AA123=""),1,IF(AA123&gt;B123,1,0))</f>
        <v>0</v>
      </c>
    </row>
    <row r="124" spans="1:96" s="161" customFormat="1" ht="15" customHeight="1" x14ac:dyDescent="0.3">
      <c r="A124" s="1081" t="s">
        <v>4045</v>
      </c>
      <c r="B124" s="1612">
        <f>SUM(C124:S124)</f>
        <v>0</v>
      </c>
      <c r="C124" s="1606"/>
      <c r="D124" s="1607"/>
      <c r="E124" s="1607"/>
      <c r="F124" s="1607"/>
      <c r="G124" s="1607"/>
      <c r="H124" s="1607"/>
      <c r="I124" s="1607"/>
      <c r="J124" s="1607"/>
      <c r="K124" s="1607"/>
      <c r="L124" s="1607"/>
      <c r="M124" s="1607"/>
      <c r="N124" s="1607"/>
      <c r="O124" s="1607"/>
      <c r="P124" s="1607"/>
      <c r="Q124" s="1607"/>
      <c r="R124" s="1607"/>
      <c r="S124" s="1608"/>
      <c r="T124" s="1613"/>
      <c r="U124" s="1614"/>
      <c r="V124" s="1609"/>
      <c r="W124" s="1610"/>
      <c r="X124" s="1610"/>
      <c r="Y124" s="1610"/>
      <c r="Z124" s="1611"/>
      <c r="AA124" s="1611"/>
      <c r="AB124" s="161" t="str">
        <f>CA124&amp;CB124&amp;CC124&amp;CD124&amp;CE124&amp;CF124&amp;CG124</f>
        <v/>
      </c>
      <c r="CA124" s="162" t="str">
        <f t="shared" ref="CA124:CA125" si="56">IF((T124+U124)&lt;&gt;B124,"  * Las acciones según Sexo (Hombres/Mujeres) deben ser igual al Total de acciones","")</f>
        <v/>
      </c>
      <c r="CB124" s="162" t="str">
        <f t="shared" ref="CB124:CB125" si="57">IF(AND(B124&gt;0,V124="")," * No olvide digitar la variable Serv. Nac. Reinserción Social Juvenil. Digite cero si no tiene.",IF(V124&gt;B124," * La variable Serv. Nac. Reinserción Social Juvenil no puede ser mayor que el Total.",""))</f>
        <v/>
      </c>
      <c r="CC124" s="162" t="str">
        <f t="shared" ref="CC124:CC125" si="58">IF(AND($B124&gt;0,W124="")," * No olvide digitar la variable Serv. Nac. Protección Especializada a la Niñez y Adolescencia. Digite cero si no tiene.",IF(W124&gt;$B124," * La variables Serv. Nac. Protección Especializada a la Niñez y Adolescencia no puede ser mayor que el Total.",""))</f>
        <v/>
      </c>
      <c r="CD124" s="162" t="str">
        <f t="shared" ref="CD124:CD125" si="59">IF(AND($B124&gt;0,X124="")," * No olvide digitar la variable Pueblos Originarios. Digite cero si no tiene.",IF(X124&gt;$B124," * La variable Pueblos originarios no puede ser mayor que el Total.",""))</f>
        <v/>
      </c>
      <c r="CE124" s="162" t="str">
        <f t="shared" ref="CE124:CE125" si="60">IF(AND($B124&gt;0,Y124="")," * No olvide digitar la variable Migrantes. Digite cero si no tiene.",IF(Y124&gt;$B124," * La variableMigrantes no puede ser mayor que el Total.",""))</f>
        <v/>
      </c>
      <c r="CF124" s="162" t="str">
        <f t="shared" ref="CF124:CF125" si="61">IF(AND($B124&gt;0,Z124="")," * No olvide digitar la variable el campo  Demencia. Digite cero si no tiene.",IF(Z124&gt;$B124," * La variable Demencia No puede ser mayor que el Total.",""))</f>
        <v/>
      </c>
      <c r="CG124" s="162" t="str">
        <f t="shared" ref="CG124:CG125" si="62">IF(AND($B124&gt;0,AA124="")," * No olvide digitar la variable Espacios Amigables/Adolescentes. Digite cero si no tiene.",IF(AA124&gt;$B124," * La variable Espacios Amigables/Adolescente No puede ser mayor que el Total.",""))</f>
        <v/>
      </c>
      <c r="CK124" s="163">
        <f>IF((T124+U124)&lt;&gt;B124,1,0)</f>
        <v>0</v>
      </c>
      <c r="CL124" s="163">
        <f>IF(AND(B124&gt;0,V124=""),1,IF(V124&gt;B124,1,0))</f>
        <v>0</v>
      </c>
      <c r="CM124" s="163">
        <f>IF(AND(B124&gt;0,W124=""),1,IF(W124&gt;B124,1,0))</f>
        <v>0</v>
      </c>
      <c r="CN124" s="163">
        <f>IF(AND(B124&gt;0,X124=""),1,IF(X124&gt;B124,1,0))</f>
        <v>0</v>
      </c>
      <c r="CO124" s="163">
        <f>IF(AND(B124&gt;0,Y124=""),1,IF(Y124&gt;B124,1,0))</f>
        <v>0</v>
      </c>
      <c r="CP124" s="163">
        <f>IF(AND(B124&gt;0,Z124=""),1,IF(Z124&gt;B124,1,0))</f>
        <v>0</v>
      </c>
      <c r="CQ124" s="163">
        <f>IF(AND(B124&gt;0,AA124=""),1,IF(AA124&gt;B124,1,0))</f>
        <v>0</v>
      </c>
    </row>
    <row r="125" spans="1:96" s="161" customFormat="1" ht="15" customHeight="1" x14ac:dyDescent="0.3">
      <c r="A125" s="417" t="s">
        <v>4046</v>
      </c>
      <c r="B125" s="1615">
        <f>SUM(C125:S125)</f>
        <v>0</v>
      </c>
      <c r="C125" s="1616"/>
      <c r="D125" s="271"/>
      <c r="E125" s="271"/>
      <c r="F125" s="271"/>
      <c r="G125" s="271"/>
      <c r="H125" s="271"/>
      <c r="I125" s="271"/>
      <c r="J125" s="271"/>
      <c r="K125" s="271"/>
      <c r="L125" s="271"/>
      <c r="M125" s="271"/>
      <c r="N125" s="271"/>
      <c r="O125" s="271"/>
      <c r="P125" s="271"/>
      <c r="Q125" s="271"/>
      <c r="R125" s="271"/>
      <c r="S125" s="1617"/>
      <c r="T125" s="272"/>
      <c r="U125" s="1618"/>
      <c r="V125" s="273"/>
      <c r="W125" s="1619"/>
      <c r="X125" s="1619"/>
      <c r="Y125" s="1619"/>
      <c r="Z125" s="1620"/>
      <c r="AA125" s="1620"/>
      <c r="AB125" s="161" t="str">
        <f>CA125&amp;CB125&amp;CC125&amp;CD125&amp;CE125&amp;CF125&amp;CG125</f>
        <v/>
      </c>
      <c r="CA125" s="162" t="str">
        <f t="shared" si="56"/>
        <v/>
      </c>
      <c r="CB125" s="162" t="str">
        <f t="shared" si="57"/>
        <v/>
      </c>
      <c r="CC125" s="162" t="str">
        <f t="shared" si="58"/>
        <v/>
      </c>
      <c r="CD125" s="162" t="str">
        <f t="shared" si="59"/>
        <v/>
      </c>
      <c r="CE125" s="162" t="str">
        <f t="shared" si="60"/>
        <v/>
      </c>
      <c r="CF125" s="162" t="str">
        <f t="shared" si="61"/>
        <v/>
      </c>
      <c r="CG125" s="162" t="str">
        <f t="shared" si="62"/>
        <v/>
      </c>
      <c r="CK125" s="163">
        <f>IF((T125+U125)&lt;&gt;B125,1,0)</f>
        <v>0</v>
      </c>
      <c r="CL125" s="163">
        <f>IF(AND(B125&gt;0,V125=""),1,IF(V125&gt;B125,1,0))</f>
        <v>0</v>
      </c>
      <c r="CM125" s="163">
        <f>IF(AND(B125&gt;0,W125=""),1,IF(W125&gt;B125,1,0))</f>
        <v>0</v>
      </c>
      <c r="CN125" s="163">
        <f>IF(AND(B125&gt;0,X125=""),1,IF(X125&gt;B125,1,0))</f>
        <v>0</v>
      </c>
      <c r="CO125" s="163">
        <f>IF(AND(B125&gt;0,Y125=""),1,IF(Y125&gt;B125,1,0))</f>
        <v>0</v>
      </c>
      <c r="CP125" s="163">
        <f>IF(AND(B125&gt;0,Z125=""),1,IF(Z125&gt;B125,1,0))</f>
        <v>0</v>
      </c>
      <c r="CQ125" s="163">
        <f>IF(AND(B125&gt;0,AA125=""),1,IF(AA125&gt;B125,1,0))</f>
        <v>0</v>
      </c>
    </row>
    <row r="126" spans="1:96" s="160" customFormat="1" ht="18" customHeight="1" x14ac:dyDescent="0.3">
      <c r="A126" s="7593" t="s">
        <v>4047</v>
      </c>
      <c r="B126" s="7593"/>
      <c r="CC126" s="161"/>
      <c r="CD126" s="161"/>
      <c r="CE126" s="161"/>
      <c r="CF126" s="161"/>
      <c r="CG126" s="161"/>
      <c r="CH126" s="161"/>
      <c r="CI126" s="161"/>
      <c r="CJ126" s="161"/>
      <c r="CK126" s="161"/>
      <c r="CL126" s="161"/>
      <c r="CM126" s="161"/>
    </row>
    <row r="127" spans="1:96" s="161" customFormat="1" ht="15" customHeight="1" x14ac:dyDescent="0.3">
      <c r="A127" s="7459" t="s">
        <v>1093</v>
      </c>
      <c r="B127" s="7459" t="s">
        <v>27</v>
      </c>
      <c r="C127" s="7403" t="s">
        <v>77</v>
      </c>
      <c r="D127" s="7404"/>
      <c r="E127" s="6518"/>
      <c r="F127" s="7023" t="s">
        <v>101</v>
      </c>
      <c r="G127" s="7475"/>
      <c r="H127" s="7475"/>
      <c r="I127" s="7475"/>
      <c r="J127" s="7475"/>
      <c r="K127" s="7475"/>
      <c r="L127" s="7475"/>
      <c r="M127" s="7475"/>
      <c r="N127" s="7475"/>
      <c r="O127" s="7475"/>
      <c r="P127" s="7475"/>
      <c r="Q127" s="7475"/>
      <c r="R127" s="7475"/>
      <c r="S127" s="7475"/>
      <c r="T127" s="7475"/>
      <c r="U127" s="7475"/>
      <c r="V127" s="7475"/>
      <c r="W127" s="7475"/>
      <c r="X127" s="7475"/>
      <c r="Y127" s="7475"/>
      <c r="Z127" s="7475"/>
      <c r="AA127" s="7475"/>
      <c r="AB127" s="7475"/>
      <c r="AC127" s="7475"/>
      <c r="AD127" s="7475"/>
      <c r="AE127" s="7475"/>
      <c r="AF127" s="7475"/>
      <c r="AG127" s="7475"/>
      <c r="AH127" s="7475"/>
      <c r="AI127" s="7475"/>
      <c r="AJ127" s="7475"/>
      <c r="AK127" s="7475"/>
      <c r="AL127" s="7475"/>
      <c r="AM127" s="7071"/>
      <c r="AN127" s="7591" t="s">
        <v>1575</v>
      </c>
      <c r="AO127" s="7526" t="s">
        <v>1576</v>
      </c>
      <c r="AP127" s="6509" t="s">
        <v>36</v>
      </c>
      <c r="AQ127" s="6509" t="s">
        <v>37</v>
      </c>
      <c r="AR127" s="6509" t="s">
        <v>1030</v>
      </c>
      <c r="AS127" s="7592" t="s">
        <v>33</v>
      </c>
    </row>
    <row r="128" spans="1:96" s="161" customFormat="1" ht="15" customHeight="1" x14ac:dyDescent="0.3">
      <c r="A128" s="6082"/>
      <c r="B128" s="6082"/>
      <c r="C128" s="6466"/>
      <c r="D128" s="6467"/>
      <c r="E128" s="6687"/>
      <c r="F128" s="6989" t="s">
        <v>343</v>
      </c>
      <c r="G128" s="7489"/>
      <c r="H128" s="6989" t="s">
        <v>326</v>
      </c>
      <c r="I128" s="7489"/>
      <c r="J128" s="6989" t="s">
        <v>94</v>
      </c>
      <c r="K128" s="7489"/>
      <c r="L128" s="6989" t="s">
        <v>44</v>
      </c>
      <c r="M128" s="7476"/>
      <c r="N128" s="6989" t="s">
        <v>45</v>
      </c>
      <c r="O128" s="7489"/>
      <c r="P128" s="7023" t="s">
        <v>46</v>
      </c>
      <c r="Q128" s="7457"/>
      <c r="R128" s="7023" t="s">
        <v>47</v>
      </c>
      <c r="S128" s="7457"/>
      <c r="T128" s="7023" t="s">
        <v>48</v>
      </c>
      <c r="U128" s="7457"/>
      <c r="V128" s="7023" t="s">
        <v>49</v>
      </c>
      <c r="W128" s="7457"/>
      <c r="X128" s="7023" t="s">
        <v>50</v>
      </c>
      <c r="Y128" s="7457"/>
      <c r="Z128" s="7023" t="s">
        <v>51</v>
      </c>
      <c r="AA128" s="7457"/>
      <c r="AB128" s="7023" t="s">
        <v>52</v>
      </c>
      <c r="AC128" s="7457"/>
      <c r="AD128" s="7023" t="s">
        <v>53</v>
      </c>
      <c r="AE128" s="7457"/>
      <c r="AF128" s="7023" t="s">
        <v>54</v>
      </c>
      <c r="AG128" s="7457"/>
      <c r="AH128" s="7023" t="s">
        <v>55</v>
      </c>
      <c r="AI128" s="7457"/>
      <c r="AJ128" s="7023" t="s">
        <v>56</v>
      </c>
      <c r="AK128" s="7457"/>
      <c r="AL128" s="7023" t="s">
        <v>57</v>
      </c>
      <c r="AM128" s="7071"/>
      <c r="AN128" s="7591"/>
      <c r="AO128" s="7526"/>
      <c r="AP128" s="6118"/>
      <c r="AQ128" s="6118"/>
      <c r="AR128" s="6118"/>
      <c r="AS128" s="5798"/>
    </row>
    <row r="129" spans="1:95" s="161" customFormat="1" ht="28.5" customHeight="1" x14ac:dyDescent="0.3">
      <c r="A129" s="6465"/>
      <c r="B129" s="6465"/>
      <c r="C129" s="1314" t="s">
        <v>79</v>
      </c>
      <c r="D129" s="1135" t="s">
        <v>58</v>
      </c>
      <c r="E129" s="1460" t="s">
        <v>59</v>
      </c>
      <c r="F129" s="1313" t="s">
        <v>58</v>
      </c>
      <c r="G129" s="1460" t="s">
        <v>59</v>
      </c>
      <c r="H129" s="1313" t="s">
        <v>58</v>
      </c>
      <c r="I129" s="1460" t="s">
        <v>59</v>
      </c>
      <c r="J129" s="1313" t="s">
        <v>58</v>
      </c>
      <c r="K129" s="1460" t="s">
        <v>59</v>
      </c>
      <c r="L129" s="1135" t="s">
        <v>58</v>
      </c>
      <c r="M129" s="1239" t="s">
        <v>59</v>
      </c>
      <c r="N129" s="1313" t="s">
        <v>58</v>
      </c>
      <c r="O129" s="1252" t="s">
        <v>59</v>
      </c>
      <c r="P129" s="1313" t="s">
        <v>58</v>
      </c>
      <c r="Q129" s="1252" t="s">
        <v>59</v>
      </c>
      <c r="R129" s="1135" t="s">
        <v>58</v>
      </c>
      <c r="S129" s="1252" t="s">
        <v>59</v>
      </c>
      <c r="T129" s="1135" t="s">
        <v>58</v>
      </c>
      <c r="U129" s="1252" t="s">
        <v>59</v>
      </c>
      <c r="V129" s="1313" t="s">
        <v>58</v>
      </c>
      <c r="W129" s="1252" t="s">
        <v>59</v>
      </c>
      <c r="X129" s="1135" t="s">
        <v>58</v>
      </c>
      <c r="Y129" s="1252" t="s">
        <v>59</v>
      </c>
      <c r="Z129" s="1135" t="s">
        <v>58</v>
      </c>
      <c r="AA129" s="1252" t="s">
        <v>59</v>
      </c>
      <c r="AB129" s="1135" t="s">
        <v>58</v>
      </c>
      <c r="AC129" s="1252" t="s">
        <v>59</v>
      </c>
      <c r="AD129" s="1135" t="s">
        <v>58</v>
      </c>
      <c r="AE129" s="1252" t="s">
        <v>59</v>
      </c>
      <c r="AF129" s="1135" t="s">
        <v>58</v>
      </c>
      <c r="AG129" s="1252" t="s">
        <v>59</v>
      </c>
      <c r="AH129" s="1135" t="s">
        <v>58</v>
      </c>
      <c r="AI129" s="1252" t="s">
        <v>59</v>
      </c>
      <c r="AJ129" s="1135" t="s">
        <v>58</v>
      </c>
      <c r="AK129" s="1252" t="s">
        <v>59</v>
      </c>
      <c r="AL129" s="1135" t="s">
        <v>58</v>
      </c>
      <c r="AM129" s="1241" t="s">
        <v>59</v>
      </c>
      <c r="AN129" s="7591"/>
      <c r="AO129" s="7526"/>
      <c r="AP129" s="5818"/>
      <c r="AQ129" s="5818"/>
      <c r="AR129" s="5818"/>
      <c r="AS129" s="5799"/>
    </row>
    <row r="130" spans="1:95" s="161" customFormat="1" ht="15" customHeight="1" x14ac:dyDescent="0.3">
      <c r="A130" s="7564" t="s">
        <v>4048</v>
      </c>
      <c r="B130" s="1167" t="s">
        <v>64</v>
      </c>
      <c r="C130" s="1621">
        <f t="shared" ref="C130:C151" si="63">SUM(D130:E130)</f>
        <v>0</v>
      </c>
      <c r="D130" s="1622">
        <f t="shared" ref="D130:D139" si="64">SUM(F130+H130+J130+L130+N130+P130+R130+T130+V130+X130+Z130+AB130+AD130+AF130+AH130+AJ130+AL130)</f>
        <v>0</v>
      </c>
      <c r="E130" s="1623">
        <f t="shared" ref="E130:E139" si="65">SUM(G130+I130+K130+M130+O130+Q130+S130+U130+W130+Y130+AA130+AC130+AE130+AG130+AI130+AK130+AM130)</f>
        <v>0</v>
      </c>
      <c r="F130" s="1624"/>
      <c r="G130" s="1625"/>
      <c r="H130" s="1624"/>
      <c r="I130" s="1625"/>
      <c r="J130" s="1624"/>
      <c r="K130" s="1625"/>
      <c r="L130" s="1626"/>
      <c r="M130" s="1627"/>
      <c r="N130" s="1624"/>
      <c r="O130" s="1628"/>
      <c r="P130" s="1624"/>
      <c r="Q130" s="1628"/>
      <c r="R130" s="1626"/>
      <c r="S130" s="1628"/>
      <c r="T130" s="1626"/>
      <c r="U130" s="1628"/>
      <c r="V130" s="1624"/>
      <c r="W130" s="1625"/>
      <c r="X130" s="1626"/>
      <c r="Y130" s="1625"/>
      <c r="Z130" s="1626"/>
      <c r="AA130" s="1628"/>
      <c r="AB130" s="1626"/>
      <c r="AC130" s="1628"/>
      <c r="AD130" s="1626"/>
      <c r="AE130" s="1628"/>
      <c r="AF130" s="1626"/>
      <c r="AG130" s="1628"/>
      <c r="AH130" s="1626"/>
      <c r="AI130" s="1628"/>
      <c r="AJ130" s="1626"/>
      <c r="AK130" s="1628"/>
      <c r="AL130" s="1626"/>
      <c r="AM130" s="1627"/>
      <c r="AN130" s="1629"/>
      <c r="AO130" s="1625"/>
      <c r="AP130" s="1630"/>
      <c r="AQ130" s="1630"/>
      <c r="AR130" s="1630"/>
      <c r="AS130" s="1628"/>
      <c r="AU130" s="161" t="str">
        <f t="shared" ref="AU130:AU139" si="66">CB130&amp;CC130&amp;CD130&amp;CE130&amp;CF130</f>
        <v/>
      </c>
      <c r="CB130" s="162" t="str">
        <f t="shared" ref="CB130:CB139" si="67">IF(AND($C130&gt;0,AN130="")," * No olvide digitar la variable Serv. Nac. Reinserción Social Juvenil. Digite Cero si no tiene",IF(AN130&gt;$C130," * La variable Serv. Nac. Reinserción Social Juvenil no puede ser mayor al Total.",""))</f>
        <v/>
      </c>
      <c r="CC130" s="162" t="str">
        <f>IF(AND($C130&gt;0,AP130="")," * No olvide digitar la variable Pueblos originarios. Digite cero si no tiene",IF(AP130&gt;$C130," * La variable Pueblos Originarios no puede ser mayor al Total.",""))</f>
        <v/>
      </c>
      <c r="CD130" s="162" t="str">
        <f>IF(AND($C130&gt;0,AQ130="")," * No olvide digitar la variable Migrantes. Digite cero si no tiene.",IF(AQ130&gt;$C130," * La variable Migrantes no puede ser mayor al Total.",""))</f>
        <v/>
      </c>
      <c r="CE130" s="162" t="str">
        <f>IF(AND($C130&gt;0,AR130="")," * No olvide digitar la variable Demencia. Digite cero si no tiene.",IF(AR130&gt;$C130," * La variable Demencia no puede ser mayor al Total.",""))</f>
        <v/>
      </c>
      <c r="CF130" s="162" t="str">
        <f>IF(AND($C130&gt;0,AS130="")," * No olvide digitar la variable Espacios Amigables/Adolescentes. Digite cero si no tiene.",IF(AS130&gt;$C130," * La variable Espacios Amigables/adolescentes no puede ser mayor al Total.",""))</f>
        <v/>
      </c>
      <c r="CG130" s="162" t="str">
        <f t="shared" ref="CG130:CG139" si="68">IF(AND($C130&gt;0,AO130="")," * No olvide digitar la variable Serv. Nac. Reinserción Social Juvenil. Digite cero si no tiene.",IF(AO130&gt;$C130," * La variable Serv. Nac. Reinserción Social Juvenil no puede ser mayor al Total.",""))</f>
        <v/>
      </c>
      <c r="CJ130" s="164"/>
      <c r="CK130" s="164"/>
      <c r="CL130" s="163">
        <f t="shared" ref="CL130:CL139" si="69">IF(AND(C130&gt;0,AN130=""),1,IF(AN130&gt;C130,1,0))</f>
        <v>0</v>
      </c>
      <c r="CM130" s="163">
        <f t="shared" ref="CM130:CM139" si="70">IF(AND(C130&gt;0,AP130=""),1,IF(AP130&gt;C130,1,0))</f>
        <v>0</v>
      </c>
      <c r="CN130" s="163">
        <f t="shared" ref="CN130:CN139" si="71">IF(AND(C130&gt;0,AQ130=""),1,IF(AQ130&gt;C130,1,0))</f>
        <v>0</v>
      </c>
      <c r="CO130" s="163">
        <f t="shared" ref="CO130:CO139" si="72">IF(AND(C130&gt;0,AR130=""),1,IF(AR130&gt;C130,1,0))</f>
        <v>0</v>
      </c>
      <c r="CP130" s="163">
        <f t="shared" ref="CP130:CP139" si="73">IF(AND(C130&gt;0,AS130=""),1,IF(AS130&gt;C130,1,0))</f>
        <v>0</v>
      </c>
      <c r="CQ130" s="163">
        <f t="shared" ref="CQ130:CQ139" si="74">IF(AND(C130&gt;0,AO130=""),1,IF(AO130&gt;C130,1,0))</f>
        <v>0</v>
      </c>
    </row>
    <row r="131" spans="1:95" s="161" customFormat="1" ht="15" customHeight="1" x14ac:dyDescent="0.3">
      <c r="A131" s="5844"/>
      <c r="B131" s="974" t="s">
        <v>1034</v>
      </c>
      <c r="C131" s="1631">
        <f t="shared" si="63"/>
        <v>0</v>
      </c>
      <c r="D131" s="1632">
        <f t="shared" si="64"/>
        <v>0</v>
      </c>
      <c r="E131" s="1633">
        <f t="shared" si="65"/>
        <v>0</v>
      </c>
      <c r="F131" s="1606"/>
      <c r="G131" s="1611"/>
      <c r="H131" s="1606"/>
      <c r="I131" s="1611"/>
      <c r="J131" s="1606"/>
      <c r="K131" s="1611"/>
      <c r="L131" s="1634"/>
      <c r="M131" s="1635"/>
      <c r="N131" s="1606"/>
      <c r="O131" s="1636"/>
      <c r="P131" s="1606"/>
      <c r="Q131" s="1636"/>
      <c r="R131" s="1634"/>
      <c r="S131" s="1636"/>
      <c r="T131" s="1634"/>
      <c r="U131" s="1636"/>
      <c r="V131" s="1606"/>
      <c r="W131" s="1611"/>
      <c r="X131" s="1634"/>
      <c r="Y131" s="1611"/>
      <c r="Z131" s="1634"/>
      <c r="AA131" s="1636"/>
      <c r="AB131" s="1634"/>
      <c r="AC131" s="1636"/>
      <c r="AD131" s="1634"/>
      <c r="AE131" s="1636"/>
      <c r="AF131" s="1634"/>
      <c r="AG131" s="1636"/>
      <c r="AH131" s="1634"/>
      <c r="AI131" s="1636"/>
      <c r="AJ131" s="1634"/>
      <c r="AK131" s="1636"/>
      <c r="AL131" s="1634"/>
      <c r="AM131" s="1635"/>
      <c r="AN131" s="1613"/>
      <c r="AO131" s="1611"/>
      <c r="AP131" s="1607"/>
      <c r="AQ131" s="1607"/>
      <c r="AR131" s="1607"/>
      <c r="AS131" s="1636"/>
      <c r="AU131" s="161" t="str">
        <f t="shared" si="66"/>
        <v/>
      </c>
      <c r="CB131" s="162" t="str">
        <f t="shared" si="67"/>
        <v/>
      </c>
      <c r="CC131" s="162" t="str">
        <f t="shared" ref="CC131:CC139" si="75">IF(AND($C131&gt;0,AP131="")," * No olvide digitar la variable Pueblos originarios. Digite cero si no tiene",IF(AP131&gt;$C131," * La variable Pueblos Originarios no puede ser mayor al Total.",""))</f>
        <v/>
      </c>
      <c r="CD131" s="162" t="str">
        <f t="shared" ref="CD131:CD139" si="76">IF(AND($C131&gt;0,AQ131="")," * No olvide digitar la variable Migrantes. Digite cero si no tiene.",IF(AQ131&gt;$C131," * La variable Migrantes no puede ser mayor al Total.",""))</f>
        <v/>
      </c>
      <c r="CE131" s="162" t="str">
        <f t="shared" ref="CE131:CE139" si="77">IF(AND($C131&gt;0,AR131="")," * No olvide digitar la variable Demencia. Digite cero si no tiene.",IF(AR131&gt;$C131," * La variable Demencia no puede ser mayor al Total.",""))</f>
        <v/>
      </c>
      <c r="CF131" s="162" t="str">
        <f t="shared" ref="CF131:CF139" si="78">IF(AND($C131&gt;0,AS131="")," * No olvide digitar la variable Espacios Amigables/Adolescentes. Digite cero si no tiene.",IF(AS131&gt;$C131," * La variable Espacios Amigables/adolescentes no puede ser mayor al Total.",""))</f>
        <v/>
      </c>
      <c r="CG131" s="162" t="str">
        <f t="shared" si="68"/>
        <v/>
      </c>
      <c r="CJ131" s="164"/>
      <c r="CK131" s="164"/>
      <c r="CL131" s="163">
        <f t="shared" si="69"/>
        <v>0</v>
      </c>
      <c r="CM131" s="163">
        <f t="shared" si="70"/>
        <v>0</v>
      </c>
      <c r="CN131" s="163">
        <f t="shared" si="71"/>
        <v>0</v>
      </c>
      <c r="CO131" s="163">
        <f t="shared" si="72"/>
        <v>0</v>
      </c>
      <c r="CP131" s="163">
        <f t="shared" si="73"/>
        <v>0</v>
      </c>
      <c r="CQ131" s="163">
        <f t="shared" si="74"/>
        <v>0</v>
      </c>
    </row>
    <row r="132" spans="1:95" s="161" customFormat="1" ht="15" customHeight="1" x14ac:dyDescent="0.3">
      <c r="A132" s="5844"/>
      <c r="B132" s="974" t="s">
        <v>98</v>
      </c>
      <c r="C132" s="1631">
        <f t="shared" si="63"/>
        <v>0</v>
      </c>
      <c r="D132" s="1632">
        <f t="shared" si="64"/>
        <v>0</v>
      </c>
      <c r="E132" s="1633">
        <f t="shared" si="65"/>
        <v>0</v>
      </c>
      <c r="F132" s="1606"/>
      <c r="G132" s="1611"/>
      <c r="H132" s="1606"/>
      <c r="I132" s="1611"/>
      <c r="J132" s="1606"/>
      <c r="K132" s="1611"/>
      <c r="L132" s="1634"/>
      <c r="M132" s="1635"/>
      <c r="N132" s="1606"/>
      <c r="O132" s="1636"/>
      <c r="P132" s="1606"/>
      <c r="Q132" s="1636"/>
      <c r="R132" s="1634"/>
      <c r="S132" s="1636"/>
      <c r="T132" s="1634"/>
      <c r="U132" s="1636"/>
      <c r="V132" s="1606"/>
      <c r="W132" s="1611"/>
      <c r="X132" s="1634"/>
      <c r="Y132" s="1611"/>
      <c r="Z132" s="1634"/>
      <c r="AA132" s="1636"/>
      <c r="AB132" s="1634"/>
      <c r="AC132" s="1636"/>
      <c r="AD132" s="1634"/>
      <c r="AE132" s="1636"/>
      <c r="AF132" s="1634"/>
      <c r="AG132" s="1636"/>
      <c r="AH132" s="1634"/>
      <c r="AI132" s="1636"/>
      <c r="AJ132" s="1634"/>
      <c r="AK132" s="1636"/>
      <c r="AL132" s="1634"/>
      <c r="AM132" s="1635"/>
      <c r="AN132" s="1613"/>
      <c r="AO132" s="1611"/>
      <c r="AP132" s="1607"/>
      <c r="AQ132" s="1607"/>
      <c r="AR132" s="1607"/>
      <c r="AS132" s="1636"/>
      <c r="AU132" s="161" t="str">
        <f t="shared" si="66"/>
        <v/>
      </c>
      <c r="CB132" s="162" t="str">
        <f t="shared" si="67"/>
        <v/>
      </c>
      <c r="CC132" s="162" t="str">
        <f t="shared" si="75"/>
        <v/>
      </c>
      <c r="CD132" s="162" t="str">
        <f t="shared" si="76"/>
        <v/>
      </c>
      <c r="CE132" s="162" t="str">
        <f t="shared" si="77"/>
        <v/>
      </c>
      <c r="CF132" s="162" t="str">
        <f t="shared" si="78"/>
        <v/>
      </c>
      <c r="CG132" s="162" t="str">
        <f t="shared" si="68"/>
        <v/>
      </c>
      <c r="CJ132" s="164"/>
      <c r="CK132" s="164"/>
      <c r="CL132" s="163">
        <f t="shared" si="69"/>
        <v>0</v>
      </c>
      <c r="CM132" s="163">
        <f t="shared" si="70"/>
        <v>0</v>
      </c>
      <c r="CN132" s="163">
        <f t="shared" si="71"/>
        <v>0</v>
      </c>
      <c r="CO132" s="163">
        <f t="shared" si="72"/>
        <v>0</v>
      </c>
      <c r="CP132" s="163">
        <f t="shared" si="73"/>
        <v>0</v>
      </c>
      <c r="CQ132" s="163">
        <f t="shared" si="74"/>
        <v>0</v>
      </c>
    </row>
    <row r="133" spans="1:95" s="161" customFormat="1" ht="15" customHeight="1" x14ac:dyDescent="0.3">
      <c r="A133" s="5844"/>
      <c r="B133" s="974" t="s">
        <v>4049</v>
      </c>
      <c r="C133" s="1631">
        <f t="shared" si="63"/>
        <v>0</v>
      </c>
      <c r="D133" s="1632">
        <f t="shared" si="64"/>
        <v>0</v>
      </c>
      <c r="E133" s="1633">
        <f t="shared" si="65"/>
        <v>0</v>
      </c>
      <c r="F133" s="1606"/>
      <c r="G133" s="1611"/>
      <c r="H133" s="1606"/>
      <c r="I133" s="1611"/>
      <c r="J133" s="1606"/>
      <c r="K133" s="1611"/>
      <c r="L133" s="1634"/>
      <c r="M133" s="1635"/>
      <c r="N133" s="1606"/>
      <c r="O133" s="1636"/>
      <c r="P133" s="1606"/>
      <c r="Q133" s="1636"/>
      <c r="R133" s="1634"/>
      <c r="S133" s="1636"/>
      <c r="T133" s="1634"/>
      <c r="U133" s="1636"/>
      <c r="V133" s="1606"/>
      <c r="W133" s="1611"/>
      <c r="X133" s="1634"/>
      <c r="Y133" s="1611"/>
      <c r="Z133" s="1634"/>
      <c r="AA133" s="1636"/>
      <c r="AB133" s="1634"/>
      <c r="AC133" s="1636"/>
      <c r="AD133" s="1634"/>
      <c r="AE133" s="1636"/>
      <c r="AF133" s="1634"/>
      <c r="AG133" s="1636"/>
      <c r="AH133" s="1634"/>
      <c r="AI133" s="1636"/>
      <c r="AJ133" s="1634"/>
      <c r="AK133" s="1636"/>
      <c r="AL133" s="1634"/>
      <c r="AM133" s="1635"/>
      <c r="AN133" s="1613"/>
      <c r="AO133" s="1611"/>
      <c r="AP133" s="1607"/>
      <c r="AQ133" s="1607"/>
      <c r="AR133" s="1607"/>
      <c r="AS133" s="1636"/>
      <c r="AU133" s="161" t="str">
        <f t="shared" si="66"/>
        <v/>
      </c>
      <c r="CB133" s="162" t="str">
        <f t="shared" si="67"/>
        <v/>
      </c>
      <c r="CC133" s="162" t="str">
        <f t="shared" si="75"/>
        <v/>
      </c>
      <c r="CD133" s="162" t="str">
        <f t="shared" si="76"/>
        <v/>
      </c>
      <c r="CE133" s="162" t="str">
        <f t="shared" si="77"/>
        <v/>
      </c>
      <c r="CF133" s="162" t="str">
        <f t="shared" si="78"/>
        <v/>
      </c>
      <c r="CG133" s="162" t="str">
        <f t="shared" si="68"/>
        <v/>
      </c>
      <c r="CJ133" s="164"/>
      <c r="CK133" s="164"/>
      <c r="CL133" s="163">
        <f t="shared" si="69"/>
        <v>0</v>
      </c>
      <c r="CM133" s="163">
        <f t="shared" si="70"/>
        <v>0</v>
      </c>
      <c r="CN133" s="163">
        <f t="shared" si="71"/>
        <v>0</v>
      </c>
      <c r="CO133" s="163">
        <f t="shared" si="72"/>
        <v>0</v>
      </c>
      <c r="CP133" s="163">
        <f t="shared" si="73"/>
        <v>0</v>
      </c>
      <c r="CQ133" s="163">
        <f t="shared" si="74"/>
        <v>0</v>
      </c>
    </row>
    <row r="134" spans="1:95" s="161" customFormat="1" ht="15" customHeight="1" x14ac:dyDescent="0.3">
      <c r="A134" s="5844"/>
      <c r="B134" s="974" t="s">
        <v>1035</v>
      </c>
      <c r="C134" s="1631">
        <f t="shared" si="63"/>
        <v>0</v>
      </c>
      <c r="D134" s="1632">
        <f t="shared" si="64"/>
        <v>0</v>
      </c>
      <c r="E134" s="1633">
        <f t="shared" si="65"/>
        <v>0</v>
      </c>
      <c r="F134" s="1606"/>
      <c r="G134" s="1611"/>
      <c r="H134" s="1606"/>
      <c r="I134" s="1611"/>
      <c r="J134" s="1606"/>
      <c r="K134" s="1611"/>
      <c r="L134" s="1634"/>
      <c r="M134" s="1635"/>
      <c r="N134" s="1606"/>
      <c r="O134" s="1636"/>
      <c r="P134" s="1606"/>
      <c r="Q134" s="1636"/>
      <c r="R134" s="1634"/>
      <c r="S134" s="1636"/>
      <c r="T134" s="1634"/>
      <c r="U134" s="1636"/>
      <c r="V134" s="1606"/>
      <c r="W134" s="1611"/>
      <c r="X134" s="1634"/>
      <c r="Y134" s="1611"/>
      <c r="Z134" s="1634"/>
      <c r="AA134" s="1636"/>
      <c r="AB134" s="1634"/>
      <c r="AC134" s="1636"/>
      <c r="AD134" s="1634"/>
      <c r="AE134" s="1636"/>
      <c r="AF134" s="1634"/>
      <c r="AG134" s="1636"/>
      <c r="AH134" s="1634"/>
      <c r="AI134" s="1636"/>
      <c r="AJ134" s="1634"/>
      <c r="AK134" s="1636"/>
      <c r="AL134" s="1634"/>
      <c r="AM134" s="1635"/>
      <c r="AN134" s="1613"/>
      <c r="AO134" s="1611"/>
      <c r="AP134" s="1607"/>
      <c r="AQ134" s="1607"/>
      <c r="AR134" s="1607"/>
      <c r="AS134" s="1636"/>
      <c r="AU134" s="161" t="str">
        <f t="shared" si="66"/>
        <v/>
      </c>
      <c r="CB134" s="162" t="str">
        <f t="shared" si="67"/>
        <v/>
      </c>
      <c r="CC134" s="162" t="str">
        <f t="shared" si="75"/>
        <v/>
      </c>
      <c r="CD134" s="162" t="str">
        <f t="shared" si="76"/>
        <v/>
      </c>
      <c r="CE134" s="162" t="str">
        <f t="shared" si="77"/>
        <v/>
      </c>
      <c r="CF134" s="162" t="str">
        <f t="shared" si="78"/>
        <v/>
      </c>
      <c r="CG134" s="162" t="str">
        <f t="shared" si="68"/>
        <v/>
      </c>
      <c r="CJ134" s="164"/>
      <c r="CK134" s="164"/>
      <c r="CL134" s="163">
        <f t="shared" si="69"/>
        <v>0</v>
      </c>
      <c r="CM134" s="163">
        <f t="shared" si="70"/>
        <v>0</v>
      </c>
      <c r="CN134" s="163">
        <f t="shared" si="71"/>
        <v>0</v>
      </c>
      <c r="CO134" s="163">
        <f t="shared" si="72"/>
        <v>0</v>
      </c>
      <c r="CP134" s="163">
        <f t="shared" si="73"/>
        <v>0</v>
      </c>
      <c r="CQ134" s="163">
        <f t="shared" si="74"/>
        <v>0</v>
      </c>
    </row>
    <row r="135" spans="1:95" s="161" customFormat="1" ht="15" customHeight="1" x14ac:dyDescent="0.3">
      <c r="A135" s="5844"/>
      <c r="B135" s="974" t="s">
        <v>1075</v>
      </c>
      <c r="C135" s="1631">
        <f t="shared" si="63"/>
        <v>0</v>
      </c>
      <c r="D135" s="1632">
        <f t="shared" si="64"/>
        <v>0</v>
      </c>
      <c r="E135" s="1633">
        <f t="shared" si="65"/>
        <v>0</v>
      </c>
      <c r="F135" s="1606"/>
      <c r="G135" s="1611"/>
      <c r="H135" s="1606"/>
      <c r="I135" s="1611"/>
      <c r="J135" s="1606"/>
      <c r="K135" s="1611"/>
      <c r="L135" s="1634"/>
      <c r="M135" s="1635"/>
      <c r="N135" s="1606"/>
      <c r="O135" s="1636"/>
      <c r="P135" s="1606"/>
      <c r="Q135" s="1636"/>
      <c r="R135" s="1634"/>
      <c r="S135" s="1636"/>
      <c r="T135" s="1634"/>
      <c r="U135" s="1636"/>
      <c r="V135" s="1606"/>
      <c r="W135" s="1611"/>
      <c r="X135" s="1634"/>
      <c r="Y135" s="1611"/>
      <c r="Z135" s="1634"/>
      <c r="AA135" s="1636"/>
      <c r="AB135" s="1634"/>
      <c r="AC135" s="1636"/>
      <c r="AD135" s="1634"/>
      <c r="AE135" s="1636"/>
      <c r="AF135" s="1634"/>
      <c r="AG135" s="1636"/>
      <c r="AH135" s="1634"/>
      <c r="AI135" s="1636"/>
      <c r="AJ135" s="1634"/>
      <c r="AK135" s="1636"/>
      <c r="AL135" s="1634"/>
      <c r="AM135" s="1635"/>
      <c r="AN135" s="1613"/>
      <c r="AO135" s="1611"/>
      <c r="AP135" s="1607"/>
      <c r="AQ135" s="1607"/>
      <c r="AR135" s="1607"/>
      <c r="AS135" s="1636"/>
      <c r="AU135" s="161" t="str">
        <f t="shared" si="66"/>
        <v/>
      </c>
      <c r="CB135" s="162" t="str">
        <f t="shared" si="67"/>
        <v/>
      </c>
      <c r="CC135" s="162" t="str">
        <f t="shared" si="75"/>
        <v/>
      </c>
      <c r="CD135" s="162" t="str">
        <f t="shared" si="76"/>
        <v/>
      </c>
      <c r="CE135" s="162" t="str">
        <f t="shared" si="77"/>
        <v/>
      </c>
      <c r="CF135" s="162" t="str">
        <f t="shared" si="78"/>
        <v/>
      </c>
      <c r="CG135" s="162" t="str">
        <f t="shared" si="68"/>
        <v/>
      </c>
      <c r="CJ135" s="164"/>
      <c r="CK135" s="164"/>
      <c r="CL135" s="163">
        <f t="shared" si="69"/>
        <v>0</v>
      </c>
      <c r="CM135" s="163">
        <f t="shared" si="70"/>
        <v>0</v>
      </c>
      <c r="CN135" s="163">
        <f t="shared" si="71"/>
        <v>0</v>
      </c>
      <c r="CO135" s="163">
        <f t="shared" si="72"/>
        <v>0</v>
      </c>
      <c r="CP135" s="163">
        <f t="shared" si="73"/>
        <v>0</v>
      </c>
      <c r="CQ135" s="163">
        <f t="shared" si="74"/>
        <v>0</v>
      </c>
    </row>
    <row r="136" spans="1:95" s="161" customFormat="1" ht="15" customHeight="1" x14ac:dyDescent="0.3">
      <c r="A136" s="5844"/>
      <c r="B136" s="974" t="s">
        <v>1037</v>
      </c>
      <c r="C136" s="1631">
        <f t="shared" si="63"/>
        <v>0</v>
      </c>
      <c r="D136" s="1632">
        <f t="shared" si="64"/>
        <v>0</v>
      </c>
      <c r="E136" s="1633">
        <f t="shared" si="65"/>
        <v>0</v>
      </c>
      <c r="F136" s="1606"/>
      <c r="G136" s="1611"/>
      <c r="H136" s="1606"/>
      <c r="I136" s="1611"/>
      <c r="J136" s="1606"/>
      <c r="K136" s="1611"/>
      <c r="L136" s="1634"/>
      <c r="M136" s="1635"/>
      <c r="N136" s="1606"/>
      <c r="O136" s="1636"/>
      <c r="P136" s="1606"/>
      <c r="Q136" s="1636"/>
      <c r="R136" s="1634"/>
      <c r="S136" s="1636"/>
      <c r="T136" s="1634"/>
      <c r="U136" s="1636"/>
      <c r="V136" s="1606"/>
      <c r="W136" s="1611"/>
      <c r="X136" s="1634"/>
      <c r="Y136" s="1611"/>
      <c r="Z136" s="1634"/>
      <c r="AA136" s="1636"/>
      <c r="AB136" s="1634"/>
      <c r="AC136" s="1636"/>
      <c r="AD136" s="1634"/>
      <c r="AE136" s="1636"/>
      <c r="AF136" s="1634"/>
      <c r="AG136" s="1636"/>
      <c r="AH136" s="1634"/>
      <c r="AI136" s="1636"/>
      <c r="AJ136" s="1634"/>
      <c r="AK136" s="1636"/>
      <c r="AL136" s="1634"/>
      <c r="AM136" s="1635"/>
      <c r="AN136" s="1613"/>
      <c r="AO136" s="1611"/>
      <c r="AP136" s="1607"/>
      <c r="AQ136" s="1607"/>
      <c r="AR136" s="1607"/>
      <c r="AS136" s="1636"/>
      <c r="AU136" s="161" t="str">
        <f t="shared" si="66"/>
        <v/>
      </c>
      <c r="CB136" s="162" t="str">
        <f t="shared" si="67"/>
        <v/>
      </c>
      <c r="CC136" s="162" t="str">
        <f t="shared" si="75"/>
        <v/>
      </c>
      <c r="CD136" s="162" t="str">
        <f t="shared" si="76"/>
        <v/>
      </c>
      <c r="CE136" s="162" t="str">
        <f t="shared" si="77"/>
        <v/>
      </c>
      <c r="CF136" s="162" t="str">
        <f t="shared" si="78"/>
        <v/>
      </c>
      <c r="CG136" s="162" t="str">
        <f t="shared" si="68"/>
        <v/>
      </c>
      <c r="CJ136" s="164"/>
      <c r="CK136" s="164"/>
      <c r="CL136" s="163">
        <f t="shared" si="69"/>
        <v>0</v>
      </c>
      <c r="CM136" s="163">
        <f t="shared" si="70"/>
        <v>0</v>
      </c>
      <c r="CN136" s="163">
        <f t="shared" si="71"/>
        <v>0</v>
      </c>
      <c r="CO136" s="163">
        <f t="shared" si="72"/>
        <v>0</v>
      </c>
      <c r="CP136" s="163">
        <f t="shared" si="73"/>
        <v>0</v>
      </c>
      <c r="CQ136" s="163">
        <f t="shared" si="74"/>
        <v>0</v>
      </c>
    </row>
    <row r="137" spans="1:95" s="161" customFormat="1" ht="20.399999999999999" x14ac:dyDescent="0.3">
      <c r="A137" s="5844"/>
      <c r="B137" s="974" t="s">
        <v>4050</v>
      </c>
      <c r="C137" s="1631">
        <f t="shared" si="63"/>
        <v>0</v>
      </c>
      <c r="D137" s="1632">
        <f t="shared" si="64"/>
        <v>0</v>
      </c>
      <c r="E137" s="1633">
        <f t="shared" si="65"/>
        <v>0</v>
      </c>
      <c r="F137" s="1606"/>
      <c r="G137" s="1611"/>
      <c r="H137" s="1606"/>
      <c r="I137" s="1611"/>
      <c r="J137" s="1606"/>
      <c r="K137" s="1611"/>
      <c r="L137" s="1634"/>
      <c r="M137" s="1635"/>
      <c r="N137" s="1606"/>
      <c r="O137" s="1636"/>
      <c r="P137" s="1606"/>
      <c r="Q137" s="1636"/>
      <c r="R137" s="1634"/>
      <c r="S137" s="1636"/>
      <c r="T137" s="1634"/>
      <c r="U137" s="1636"/>
      <c r="V137" s="1606"/>
      <c r="W137" s="1611"/>
      <c r="X137" s="1634"/>
      <c r="Y137" s="1611"/>
      <c r="Z137" s="1634"/>
      <c r="AA137" s="1636"/>
      <c r="AB137" s="1634"/>
      <c r="AC137" s="1636"/>
      <c r="AD137" s="1634"/>
      <c r="AE137" s="1636"/>
      <c r="AF137" s="1634"/>
      <c r="AG137" s="1636"/>
      <c r="AH137" s="1634"/>
      <c r="AI137" s="1636"/>
      <c r="AJ137" s="1634"/>
      <c r="AK137" s="1636"/>
      <c r="AL137" s="1634"/>
      <c r="AM137" s="1635"/>
      <c r="AN137" s="1613"/>
      <c r="AO137" s="1611"/>
      <c r="AP137" s="1607"/>
      <c r="AQ137" s="1607"/>
      <c r="AR137" s="1607"/>
      <c r="AS137" s="1636"/>
      <c r="AU137" s="161" t="str">
        <f t="shared" si="66"/>
        <v/>
      </c>
      <c r="CB137" s="162" t="str">
        <f t="shared" si="67"/>
        <v/>
      </c>
      <c r="CC137" s="162" t="str">
        <f t="shared" si="75"/>
        <v/>
      </c>
      <c r="CD137" s="162" t="str">
        <f t="shared" si="76"/>
        <v/>
      </c>
      <c r="CE137" s="162" t="str">
        <f t="shared" si="77"/>
        <v/>
      </c>
      <c r="CF137" s="162" t="str">
        <f t="shared" si="78"/>
        <v/>
      </c>
      <c r="CG137" s="162" t="str">
        <f t="shared" si="68"/>
        <v/>
      </c>
      <c r="CJ137" s="164"/>
      <c r="CK137" s="164"/>
      <c r="CL137" s="163">
        <f t="shared" si="69"/>
        <v>0</v>
      </c>
      <c r="CM137" s="163">
        <f t="shared" si="70"/>
        <v>0</v>
      </c>
      <c r="CN137" s="163">
        <f t="shared" si="71"/>
        <v>0</v>
      </c>
      <c r="CO137" s="163">
        <f t="shared" si="72"/>
        <v>0</v>
      </c>
      <c r="CP137" s="163">
        <f t="shared" si="73"/>
        <v>0</v>
      </c>
      <c r="CQ137" s="163">
        <f t="shared" si="74"/>
        <v>0</v>
      </c>
    </row>
    <row r="138" spans="1:95" s="161" customFormat="1" ht="15" customHeight="1" x14ac:dyDescent="0.3">
      <c r="A138" s="5844"/>
      <c r="B138" s="974" t="s">
        <v>1039</v>
      </c>
      <c r="C138" s="1631">
        <f t="shared" si="63"/>
        <v>0</v>
      </c>
      <c r="D138" s="1632">
        <f t="shared" si="64"/>
        <v>0</v>
      </c>
      <c r="E138" s="1633">
        <f t="shared" si="65"/>
        <v>0</v>
      </c>
      <c r="F138" s="1606"/>
      <c r="G138" s="1611"/>
      <c r="H138" s="1606"/>
      <c r="I138" s="1611"/>
      <c r="J138" s="1606"/>
      <c r="K138" s="1611"/>
      <c r="L138" s="1634"/>
      <c r="M138" s="1635"/>
      <c r="N138" s="1606"/>
      <c r="O138" s="1636"/>
      <c r="P138" s="1606"/>
      <c r="Q138" s="1636"/>
      <c r="R138" s="1634"/>
      <c r="S138" s="1636"/>
      <c r="T138" s="1634"/>
      <c r="U138" s="1636"/>
      <c r="V138" s="1606"/>
      <c r="W138" s="1611"/>
      <c r="X138" s="1634"/>
      <c r="Y138" s="1611"/>
      <c r="Z138" s="1634"/>
      <c r="AA138" s="1636"/>
      <c r="AB138" s="1634"/>
      <c r="AC138" s="1636"/>
      <c r="AD138" s="1634"/>
      <c r="AE138" s="1636"/>
      <c r="AF138" s="1634"/>
      <c r="AG138" s="1636"/>
      <c r="AH138" s="1634"/>
      <c r="AI138" s="1636"/>
      <c r="AJ138" s="1634"/>
      <c r="AK138" s="1636"/>
      <c r="AL138" s="1634"/>
      <c r="AM138" s="1635"/>
      <c r="AN138" s="1613"/>
      <c r="AO138" s="1611"/>
      <c r="AP138" s="1607"/>
      <c r="AQ138" s="1607"/>
      <c r="AR138" s="1607"/>
      <c r="AS138" s="1636"/>
      <c r="AU138" s="161" t="str">
        <f t="shared" si="66"/>
        <v/>
      </c>
      <c r="CB138" s="162" t="str">
        <f t="shared" si="67"/>
        <v/>
      </c>
      <c r="CC138" s="162" t="str">
        <f t="shared" si="75"/>
        <v/>
      </c>
      <c r="CD138" s="162" t="str">
        <f t="shared" si="76"/>
        <v/>
      </c>
      <c r="CE138" s="162" t="str">
        <f t="shared" si="77"/>
        <v/>
      </c>
      <c r="CF138" s="162" t="str">
        <f t="shared" si="78"/>
        <v/>
      </c>
      <c r="CG138" s="162" t="str">
        <f t="shared" si="68"/>
        <v/>
      </c>
      <c r="CJ138" s="164"/>
      <c r="CK138" s="164"/>
      <c r="CL138" s="163">
        <f t="shared" si="69"/>
        <v>0</v>
      </c>
      <c r="CM138" s="163">
        <f t="shared" si="70"/>
        <v>0</v>
      </c>
      <c r="CN138" s="163">
        <f t="shared" si="71"/>
        <v>0</v>
      </c>
      <c r="CO138" s="163">
        <f t="shared" si="72"/>
        <v>0</v>
      </c>
      <c r="CP138" s="163">
        <f t="shared" si="73"/>
        <v>0</v>
      </c>
      <c r="CQ138" s="163">
        <f t="shared" si="74"/>
        <v>0</v>
      </c>
    </row>
    <row r="139" spans="1:95" s="161" customFormat="1" ht="20.399999999999999" x14ac:dyDescent="0.3">
      <c r="A139" s="5844"/>
      <c r="B139" s="1028" t="s">
        <v>1040</v>
      </c>
      <c r="C139" s="1637">
        <f t="shared" si="63"/>
        <v>0</v>
      </c>
      <c r="D139" s="1638">
        <f t="shared" si="64"/>
        <v>0</v>
      </c>
      <c r="E139" s="418">
        <f t="shared" si="65"/>
        <v>0</v>
      </c>
      <c r="F139" s="1639"/>
      <c r="G139" s="419"/>
      <c r="H139" s="1639"/>
      <c r="I139" s="419"/>
      <c r="J139" s="1639"/>
      <c r="K139" s="419"/>
      <c r="L139" s="1640"/>
      <c r="M139" s="1641"/>
      <c r="N139" s="1639"/>
      <c r="O139" s="1642"/>
      <c r="P139" s="1639"/>
      <c r="Q139" s="1642"/>
      <c r="R139" s="1640"/>
      <c r="S139" s="1642"/>
      <c r="T139" s="1640"/>
      <c r="U139" s="1642"/>
      <c r="V139" s="1639"/>
      <c r="W139" s="419"/>
      <c r="X139" s="1640"/>
      <c r="Y139" s="419"/>
      <c r="Z139" s="1640"/>
      <c r="AA139" s="1642"/>
      <c r="AB139" s="1640"/>
      <c r="AC139" s="1642"/>
      <c r="AD139" s="1640"/>
      <c r="AE139" s="1642"/>
      <c r="AF139" s="1640"/>
      <c r="AG139" s="1642"/>
      <c r="AH139" s="1640"/>
      <c r="AI139" s="1642"/>
      <c r="AJ139" s="1640"/>
      <c r="AK139" s="1642"/>
      <c r="AL139" s="1640"/>
      <c r="AM139" s="1641"/>
      <c r="AN139" s="1643"/>
      <c r="AO139" s="419"/>
      <c r="AP139" s="1644"/>
      <c r="AQ139" s="1644"/>
      <c r="AR139" s="1644"/>
      <c r="AS139" s="1642"/>
      <c r="AU139" s="161" t="str">
        <f t="shared" si="66"/>
        <v/>
      </c>
      <c r="CB139" s="162" t="str">
        <f t="shared" si="67"/>
        <v/>
      </c>
      <c r="CC139" s="162" t="str">
        <f t="shared" si="75"/>
        <v/>
      </c>
      <c r="CD139" s="162" t="str">
        <f t="shared" si="76"/>
        <v/>
      </c>
      <c r="CE139" s="162" t="str">
        <f t="shared" si="77"/>
        <v/>
      </c>
      <c r="CF139" s="162" t="str">
        <f t="shared" si="78"/>
        <v/>
      </c>
      <c r="CG139" s="162" t="str">
        <f t="shared" si="68"/>
        <v/>
      </c>
      <c r="CJ139" s="164"/>
      <c r="CK139" s="164"/>
      <c r="CL139" s="163">
        <f t="shared" si="69"/>
        <v>0</v>
      </c>
      <c r="CM139" s="163">
        <f t="shared" si="70"/>
        <v>0</v>
      </c>
      <c r="CN139" s="163">
        <f t="shared" si="71"/>
        <v>0</v>
      </c>
      <c r="CO139" s="163">
        <f t="shared" si="72"/>
        <v>0</v>
      </c>
      <c r="CP139" s="163">
        <f t="shared" si="73"/>
        <v>0</v>
      </c>
      <c r="CQ139" s="163">
        <f t="shared" si="74"/>
        <v>0</v>
      </c>
    </row>
    <row r="140" spans="1:95" s="161" customFormat="1" ht="15" customHeight="1" x14ac:dyDescent="0.3">
      <c r="A140" s="6574"/>
      <c r="B140" s="923" t="s">
        <v>77</v>
      </c>
      <c r="C140" s="1645">
        <f t="shared" si="63"/>
        <v>0</v>
      </c>
      <c r="D140" s="274">
        <f t="shared" ref="D140:AS140" si="79">SUM(D130:D139)</f>
        <v>0</v>
      </c>
      <c r="E140" s="1646">
        <f t="shared" si="79"/>
        <v>0</v>
      </c>
      <c r="F140" s="1586">
        <f t="shared" si="79"/>
        <v>0</v>
      </c>
      <c r="G140" s="1647">
        <f t="shared" si="79"/>
        <v>0</v>
      </c>
      <c r="H140" s="1586">
        <f t="shared" si="79"/>
        <v>0</v>
      </c>
      <c r="I140" s="1647">
        <f t="shared" si="79"/>
        <v>0</v>
      </c>
      <c r="J140" s="1586">
        <f t="shared" si="79"/>
        <v>0</v>
      </c>
      <c r="K140" s="1647">
        <f t="shared" si="79"/>
        <v>0</v>
      </c>
      <c r="L140" s="1587">
        <f t="shared" si="79"/>
        <v>0</v>
      </c>
      <c r="M140" s="275">
        <f t="shared" si="79"/>
        <v>0</v>
      </c>
      <c r="N140" s="1586">
        <f t="shared" si="79"/>
        <v>0</v>
      </c>
      <c r="O140" s="276">
        <f t="shared" si="79"/>
        <v>0</v>
      </c>
      <c r="P140" s="1586">
        <f t="shared" si="79"/>
        <v>0</v>
      </c>
      <c r="Q140" s="276">
        <f t="shared" si="79"/>
        <v>0</v>
      </c>
      <c r="R140" s="1648">
        <f t="shared" si="79"/>
        <v>0</v>
      </c>
      <c r="S140" s="276">
        <f t="shared" si="79"/>
        <v>0</v>
      </c>
      <c r="T140" s="1586">
        <f t="shared" si="79"/>
        <v>0</v>
      </c>
      <c r="U140" s="1647">
        <f t="shared" si="79"/>
        <v>0</v>
      </c>
      <c r="V140" s="277">
        <f t="shared" si="79"/>
        <v>0</v>
      </c>
      <c r="W140" s="276">
        <f t="shared" si="79"/>
        <v>0</v>
      </c>
      <c r="X140" s="1587">
        <f t="shared" si="79"/>
        <v>0</v>
      </c>
      <c r="Y140" s="1647">
        <f t="shared" si="79"/>
        <v>0</v>
      </c>
      <c r="Z140" s="277">
        <f t="shared" si="79"/>
        <v>0</v>
      </c>
      <c r="AA140" s="1647">
        <f t="shared" si="79"/>
        <v>0</v>
      </c>
      <c r="AB140" s="277">
        <f t="shared" si="79"/>
        <v>0</v>
      </c>
      <c r="AC140" s="1647">
        <f t="shared" si="79"/>
        <v>0</v>
      </c>
      <c r="AD140" s="277">
        <f t="shared" si="79"/>
        <v>0</v>
      </c>
      <c r="AE140" s="1647">
        <f t="shared" si="79"/>
        <v>0</v>
      </c>
      <c r="AF140" s="277">
        <f t="shared" si="79"/>
        <v>0</v>
      </c>
      <c r="AG140" s="1647">
        <f t="shared" si="79"/>
        <v>0</v>
      </c>
      <c r="AH140" s="277">
        <f t="shared" si="79"/>
        <v>0</v>
      </c>
      <c r="AI140" s="1647">
        <f t="shared" si="79"/>
        <v>0</v>
      </c>
      <c r="AJ140" s="277">
        <f t="shared" si="79"/>
        <v>0</v>
      </c>
      <c r="AK140" s="1647">
        <f t="shared" si="79"/>
        <v>0</v>
      </c>
      <c r="AL140" s="277">
        <f t="shared" si="79"/>
        <v>0</v>
      </c>
      <c r="AM140" s="1648">
        <f t="shared" si="79"/>
        <v>0</v>
      </c>
      <c r="AN140" s="278">
        <f t="shared" si="79"/>
        <v>0</v>
      </c>
      <c r="AO140" s="1647">
        <f t="shared" ref="AO140" si="80">SUM(AO130:AO139)</f>
        <v>0</v>
      </c>
      <c r="AP140" s="277">
        <f t="shared" si="79"/>
        <v>0</v>
      </c>
      <c r="AQ140" s="277">
        <f t="shared" si="79"/>
        <v>0</v>
      </c>
      <c r="AR140" s="277">
        <f t="shared" si="79"/>
        <v>0</v>
      </c>
      <c r="AS140" s="276">
        <f t="shared" si="79"/>
        <v>0</v>
      </c>
    </row>
    <row r="141" spans="1:95" s="161" customFormat="1" ht="15" customHeight="1" x14ac:dyDescent="0.3">
      <c r="A141" s="5844" t="s">
        <v>4051</v>
      </c>
      <c r="B141" s="255" t="s">
        <v>64</v>
      </c>
      <c r="C141" s="420">
        <f t="shared" si="63"/>
        <v>0</v>
      </c>
      <c r="D141" s="1649">
        <f t="shared" ref="D141:D150" si="81">SUM(F141+H141+J141+L141+N141+P141+R141+T141+V141+X141+Z141+AB141+AD141+AF141+AH141+AJ141+AL141)</f>
        <v>0</v>
      </c>
      <c r="E141" s="221">
        <f t="shared" ref="E141:E150" si="82">SUM(G141+I141+K141+M141+O141+Q141+S141+U141+W141+Y141+AA141+AC141+AE141+AG141+AI141+AK141+AM141)</f>
        <v>0</v>
      </c>
      <c r="F141" s="421"/>
      <c r="G141" s="222"/>
      <c r="H141" s="421"/>
      <c r="I141" s="222"/>
      <c r="J141" s="421"/>
      <c r="K141" s="222"/>
      <c r="L141" s="174"/>
      <c r="M141" s="1650"/>
      <c r="N141" s="421"/>
      <c r="O141" s="1651"/>
      <c r="P141" s="421"/>
      <c r="Q141" s="1651"/>
      <c r="R141" s="174"/>
      <c r="S141" s="1651"/>
      <c r="T141" s="174"/>
      <c r="U141" s="1651"/>
      <c r="V141" s="421"/>
      <c r="W141" s="222"/>
      <c r="X141" s="174"/>
      <c r="Y141" s="222"/>
      <c r="Z141" s="174"/>
      <c r="AA141" s="1651"/>
      <c r="AB141" s="174"/>
      <c r="AC141" s="1651"/>
      <c r="AD141" s="174"/>
      <c r="AE141" s="1651"/>
      <c r="AF141" s="174"/>
      <c r="AG141" s="1651"/>
      <c r="AH141" s="174"/>
      <c r="AI141" s="1651"/>
      <c r="AJ141" s="174"/>
      <c r="AK141" s="1651"/>
      <c r="AL141" s="174"/>
      <c r="AM141" s="1650"/>
      <c r="AN141" s="416"/>
      <c r="AO141" s="222"/>
      <c r="AP141" s="1652"/>
      <c r="AQ141" s="1652"/>
      <c r="AR141" s="1652"/>
      <c r="AS141" s="1651"/>
      <c r="AU141" s="161" t="str">
        <f t="shared" ref="AU141:AU150" si="83">CB141&amp;CC141&amp;CD141&amp;CE141&amp;CF141</f>
        <v/>
      </c>
      <c r="CB141" s="162" t="str">
        <f t="shared" ref="CB141:CB150" si="84">IF(AND($C141&gt;0,AN141="")," * No olvide digitar la variable Serv. Nac. Reinserción Social Juvenil. Digite Cero si no tiene",IF(AN141&gt;$C141," * La variable Serv. Nac. Reinserción Social Juvenil no puede ser mayor al Total.",""))</f>
        <v/>
      </c>
      <c r="CC141" s="162" t="str">
        <f t="shared" ref="CC141:CC150" si="85">IF(AND($C141&gt;0,AP141="")," * No olvide digitar la variable Pueblos originarios. Digite cero si no tiene",IF(AP141&gt;$C141," * La variable Pueblos Originarios no puede ser mayor al Total.",""))</f>
        <v/>
      </c>
      <c r="CD141" s="162" t="str">
        <f t="shared" ref="CD141:CD150" si="86">IF(AND($C141&gt;0,AQ141="")," * No olvide digitar la variable Migrantes. Digite cero si no tiene.",IF(AQ141&gt;$C141," * La variable Migrantes no puede ser mayor al Total.",""))</f>
        <v/>
      </c>
      <c r="CE141" s="162" t="str">
        <f t="shared" ref="CE141:CE150" si="87">IF(AND($C141&gt;0,AR141="")," * No olvide digitar la variable Demencia. Digite cero si no tiene.",IF(AR141&gt;$C141," * La variable Demencia no puede ser mayor al Total.",""))</f>
        <v/>
      </c>
      <c r="CF141" s="162" t="str">
        <f t="shared" ref="CF141:CF150" si="88">IF(AND($C141&gt;0,AS141="")," * No olvide digitar la variable Espacios Amigables/Adolescentes. Digite cero si no tiene.",IF(AS141&gt;$C141," * La variable Espacios Amigables/adolescentes no puede ser mayor al Total.",""))</f>
        <v/>
      </c>
      <c r="CG141" s="162" t="str">
        <f t="shared" ref="CG141:CG150" si="89">IF(AND($C141&gt;0,AO141="")," * No olvide digitar la variable Serv. Nac. Reinserción Social Juvenil. Digite cero si no tiene.",IF(AO141&gt;$C141," * La variable Serv. Nac. Reinserción Social Juvenil no puede ser mayor al Total.",""))</f>
        <v/>
      </c>
      <c r="CJ141" s="164"/>
      <c r="CK141" s="164"/>
      <c r="CL141" s="163">
        <f t="shared" ref="CL141:CL150" si="90">IF(AND(C141&gt;0,AN141=""),1,IF(AN141&gt;C141,1,0))</f>
        <v>0</v>
      </c>
      <c r="CM141" s="163">
        <f t="shared" ref="CM141:CM150" si="91">IF(AND(C141&gt;0,AP141=""),1,IF(AP141&gt;C141,1,0))</f>
        <v>0</v>
      </c>
      <c r="CN141" s="163">
        <f t="shared" ref="CN141:CN150" si="92">IF(AND(C141&gt;0,AQ141=""),1,IF(AQ141&gt;C141,1,0))</f>
        <v>0</v>
      </c>
      <c r="CO141" s="163">
        <f t="shared" ref="CO141:CO150" si="93">IF(AND(C141&gt;0,AR141=""),1,IF(AR141&gt;C141,1,0))</f>
        <v>0</v>
      </c>
      <c r="CP141" s="163">
        <f t="shared" ref="CP141:CP150" si="94">IF(AND(C141&gt;0,AS141=""),1,IF(AS141&gt;C141,1,0))</f>
        <v>0</v>
      </c>
      <c r="CQ141" s="163">
        <f t="shared" ref="CQ141:CQ150" si="95">IF(AND(C141&gt;0,AO141=""),1,IF(AO141&gt;C141,1,0))</f>
        <v>0</v>
      </c>
    </row>
    <row r="142" spans="1:95" s="161" customFormat="1" ht="15" customHeight="1" x14ac:dyDescent="0.3">
      <c r="A142" s="5844"/>
      <c r="B142" s="974" t="s">
        <v>1034</v>
      </c>
      <c r="C142" s="1631">
        <f t="shared" si="63"/>
        <v>0</v>
      </c>
      <c r="D142" s="1632">
        <f t="shared" si="81"/>
        <v>0</v>
      </c>
      <c r="E142" s="1633">
        <f t="shared" si="82"/>
        <v>0</v>
      </c>
      <c r="F142" s="1606"/>
      <c r="G142" s="1611"/>
      <c r="H142" s="1606"/>
      <c r="I142" s="1611"/>
      <c r="J142" s="1606"/>
      <c r="K142" s="1611"/>
      <c r="L142" s="1634"/>
      <c r="M142" s="1635"/>
      <c r="N142" s="1606"/>
      <c r="O142" s="1636"/>
      <c r="P142" s="1606"/>
      <c r="Q142" s="1636"/>
      <c r="R142" s="1634"/>
      <c r="S142" s="1636"/>
      <c r="T142" s="1634"/>
      <c r="U142" s="1636"/>
      <c r="V142" s="1606"/>
      <c r="W142" s="1611"/>
      <c r="X142" s="1634"/>
      <c r="Y142" s="1611"/>
      <c r="Z142" s="1634"/>
      <c r="AA142" s="1636"/>
      <c r="AB142" s="1634"/>
      <c r="AC142" s="1636"/>
      <c r="AD142" s="1634"/>
      <c r="AE142" s="1636"/>
      <c r="AF142" s="1634"/>
      <c r="AG142" s="1636"/>
      <c r="AH142" s="1634"/>
      <c r="AI142" s="1636"/>
      <c r="AJ142" s="1634"/>
      <c r="AK142" s="1636"/>
      <c r="AL142" s="1634"/>
      <c r="AM142" s="1635"/>
      <c r="AN142" s="1613"/>
      <c r="AO142" s="1611"/>
      <c r="AP142" s="1607"/>
      <c r="AQ142" s="1607"/>
      <c r="AR142" s="1607"/>
      <c r="AS142" s="1636"/>
      <c r="AU142" s="161" t="str">
        <f t="shared" si="83"/>
        <v/>
      </c>
      <c r="CB142" s="162" t="str">
        <f t="shared" si="84"/>
        <v/>
      </c>
      <c r="CC142" s="162" t="str">
        <f t="shared" si="85"/>
        <v/>
      </c>
      <c r="CD142" s="162" t="str">
        <f t="shared" si="86"/>
        <v/>
      </c>
      <c r="CE142" s="162" t="str">
        <f t="shared" si="87"/>
        <v/>
      </c>
      <c r="CF142" s="162" t="str">
        <f t="shared" si="88"/>
        <v/>
      </c>
      <c r="CG142" s="162" t="str">
        <f t="shared" si="89"/>
        <v/>
      </c>
      <c r="CJ142" s="164"/>
      <c r="CK142" s="164"/>
      <c r="CL142" s="163">
        <f t="shared" si="90"/>
        <v>0</v>
      </c>
      <c r="CM142" s="163">
        <f t="shared" si="91"/>
        <v>0</v>
      </c>
      <c r="CN142" s="163">
        <f t="shared" si="92"/>
        <v>0</v>
      </c>
      <c r="CO142" s="163">
        <f t="shared" si="93"/>
        <v>0</v>
      </c>
      <c r="CP142" s="163">
        <f t="shared" si="94"/>
        <v>0</v>
      </c>
      <c r="CQ142" s="163">
        <f t="shared" si="95"/>
        <v>0</v>
      </c>
    </row>
    <row r="143" spans="1:95" s="161" customFormat="1" ht="15" customHeight="1" x14ac:dyDescent="0.3">
      <c r="A143" s="5844"/>
      <c r="B143" s="974" t="s">
        <v>98</v>
      </c>
      <c r="C143" s="1631">
        <f t="shared" si="63"/>
        <v>0</v>
      </c>
      <c r="D143" s="1632">
        <f t="shared" si="81"/>
        <v>0</v>
      </c>
      <c r="E143" s="1633">
        <f t="shared" si="82"/>
        <v>0</v>
      </c>
      <c r="F143" s="1606"/>
      <c r="G143" s="1611"/>
      <c r="H143" s="1606"/>
      <c r="I143" s="1611"/>
      <c r="J143" s="1606"/>
      <c r="K143" s="1611"/>
      <c r="L143" s="1634"/>
      <c r="M143" s="1635"/>
      <c r="N143" s="1606"/>
      <c r="O143" s="1636"/>
      <c r="P143" s="1606"/>
      <c r="Q143" s="1636"/>
      <c r="R143" s="1634"/>
      <c r="S143" s="1636"/>
      <c r="T143" s="1634"/>
      <c r="U143" s="1636"/>
      <c r="V143" s="1606"/>
      <c r="W143" s="1611"/>
      <c r="X143" s="1634"/>
      <c r="Y143" s="1611"/>
      <c r="Z143" s="1634"/>
      <c r="AA143" s="1636"/>
      <c r="AB143" s="1634"/>
      <c r="AC143" s="1636"/>
      <c r="AD143" s="1634"/>
      <c r="AE143" s="1636"/>
      <c r="AF143" s="1634"/>
      <c r="AG143" s="1636"/>
      <c r="AH143" s="1634"/>
      <c r="AI143" s="1636"/>
      <c r="AJ143" s="1634"/>
      <c r="AK143" s="1636"/>
      <c r="AL143" s="1634"/>
      <c r="AM143" s="1635"/>
      <c r="AN143" s="1613"/>
      <c r="AO143" s="1611"/>
      <c r="AP143" s="1607"/>
      <c r="AQ143" s="1607"/>
      <c r="AR143" s="1607"/>
      <c r="AS143" s="1636"/>
      <c r="AU143" s="161" t="str">
        <f t="shared" si="83"/>
        <v/>
      </c>
      <c r="CB143" s="162" t="str">
        <f t="shared" si="84"/>
        <v/>
      </c>
      <c r="CC143" s="162" t="str">
        <f t="shared" si="85"/>
        <v/>
      </c>
      <c r="CD143" s="162" t="str">
        <f t="shared" si="86"/>
        <v/>
      </c>
      <c r="CE143" s="162" t="str">
        <f t="shared" si="87"/>
        <v/>
      </c>
      <c r="CF143" s="162" t="str">
        <f t="shared" si="88"/>
        <v/>
      </c>
      <c r="CG143" s="162" t="str">
        <f t="shared" si="89"/>
        <v/>
      </c>
      <c r="CJ143" s="164"/>
      <c r="CK143" s="164"/>
      <c r="CL143" s="163">
        <f t="shared" si="90"/>
        <v>0</v>
      </c>
      <c r="CM143" s="163">
        <f t="shared" si="91"/>
        <v>0</v>
      </c>
      <c r="CN143" s="163">
        <f t="shared" si="92"/>
        <v>0</v>
      </c>
      <c r="CO143" s="163">
        <f t="shared" si="93"/>
        <v>0</v>
      </c>
      <c r="CP143" s="163">
        <f t="shared" si="94"/>
        <v>0</v>
      </c>
      <c r="CQ143" s="163">
        <f t="shared" si="95"/>
        <v>0</v>
      </c>
    </row>
    <row r="144" spans="1:95" s="161" customFormat="1" ht="15" customHeight="1" x14ac:dyDescent="0.3">
      <c r="A144" s="5844"/>
      <c r="B144" s="974" t="s">
        <v>4049</v>
      </c>
      <c r="C144" s="1631">
        <f t="shared" si="63"/>
        <v>0</v>
      </c>
      <c r="D144" s="1632">
        <f t="shared" si="81"/>
        <v>0</v>
      </c>
      <c r="E144" s="1633">
        <f t="shared" si="82"/>
        <v>0</v>
      </c>
      <c r="F144" s="1606"/>
      <c r="G144" s="1611"/>
      <c r="H144" s="1606"/>
      <c r="I144" s="1611"/>
      <c r="J144" s="1606"/>
      <c r="K144" s="1611"/>
      <c r="L144" s="1634"/>
      <c r="M144" s="1635"/>
      <c r="N144" s="1606"/>
      <c r="O144" s="1636"/>
      <c r="P144" s="1606"/>
      <c r="Q144" s="1636"/>
      <c r="R144" s="1634"/>
      <c r="S144" s="1636"/>
      <c r="T144" s="1634"/>
      <c r="U144" s="1636"/>
      <c r="V144" s="1606"/>
      <c r="W144" s="1611"/>
      <c r="X144" s="1634"/>
      <c r="Y144" s="1611"/>
      <c r="Z144" s="1634"/>
      <c r="AA144" s="1636"/>
      <c r="AB144" s="1634"/>
      <c r="AC144" s="1636"/>
      <c r="AD144" s="1634"/>
      <c r="AE144" s="1636"/>
      <c r="AF144" s="1634"/>
      <c r="AG144" s="1636"/>
      <c r="AH144" s="1634"/>
      <c r="AI144" s="1636"/>
      <c r="AJ144" s="1634"/>
      <c r="AK144" s="1636"/>
      <c r="AL144" s="1634"/>
      <c r="AM144" s="1635"/>
      <c r="AN144" s="1613"/>
      <c r="AO144" s="1611"/>
      <c r="AP144" s="1607"/>
      <c r="AQ144" s="1607"/>
      <c r="AR144" s="1607"/>
      <c r="AS144" s="1636"/>
      <c r="AU144" s="161" t="str">
        <f t="shared" si="83"/>
        <v/>
      </c>
      <c r="CB144" s="162" t="str">
        <f t="shared" si="84"/>
        <v/>
      </c>
      <c r="CC144" s="162" t="str">
        <f t="shared" si="85"/>
        <v/>
      </c>
      <c r="CD144" s="162" t="str">
        <f t="shared" si="86"/>
        <v/>
      </c>
      <c r="CE144" s="162" t="str">
        <f t="shared" si="87"/>
        <v/>
      </c>
      <c r="CF144" s="162" t="str">
        <f t="shared" si="88"/>
        <v/>
      </c>
      <c r="CG144" s="162" t="str">
        <f t="shared" si="89"/>
        <v/>
      </c>
      <c r="CJ144" s="164"/>
      <c r="CK144" s="164"/>
      <c r="CL144" s="163">
        <f t="shared" si="90"/>
        <v>0</v>
      </c>
      <c r="CM144" s="163">
        <f t="shared" si="91"/>
        <v>0</v>
      </c>
      <c r="CN144" s="163">
        <f t="shared" si="92"/>
        <v>0</v>
      </c>
      <c r="CO144" s="163">
        <f t="shared" si="93"/>
        <v>0</v>
      </c>
      <c r="CP144" s="163">
        <f t="shared" si="94"/>
        <v>0</v>
      </c>
      <c r="CQ144" s="163">
        <f t="shared" si="95"/>
        <v>0</v>
      </c>
    </row>
    <row r="145" spans="1:95" s="161" customFormat="1" ht="15" customHeight="1" x14ac:dyDescent="0.3">
      <c r="A145" s="5844"/>
      <c r="B145" s="974" t="s">
        <v>1035</v>
      </c>
      <c r="C145" s="1631">
        <f t="shared" si="63"/>
        <v>0</v>
      </c>
      <c r="D145" s="1632">
        <f t="shared" si="81"/>
        <v>0</v>
      </c>
      <c r="E145" s="1633">
        <f t="shared" si="82"/>
        <v>0</v>
      </c>
      <c r="F145" s="1606"/>
      <c r="G145" s="1611"/>
      <c r="H145" s="1606"/>
      <c r="I145" s="1611"/>
      <c r="J145" s="1606"/>
      <c r="K145" s="1611"/>
      <c r="L145" s="1634"/>
      <c r="M145" s="1635"/>
      <c r="N145" s="1606"/>
      <c r="O145" s="1636"/>
      <c r="P145" s="1606"/>
      <c r="Q145" s="1636"/>
      <c r="R145" s="1634"/>
      <c r="S145" s="1636"/>
      <c r="T145" s="1634"/>
      <c r="U145" s="1636"/>
      <c r="V145" s="1606"/>
      <c r="W145" s="1611"/>
      <c r="X145" s="1634"/>
      <c r="Y145" s="1611"/>
      <c r="Z145" s="1634"/>
      <c r="AA145" s="1636"/>
      <c r="AB145" s="1634"/>
      <c r="AC145" s="1636"/>
      <c r="AD145" s="1634"/>
      <c r="AE145" s="1636"/>
      <c r="AF145" s="1634"/>
      <c r="AG145" s="1636"/>
      <c r="AH145" s="1634"/>
      <c r="AI145" s="1636"/>
      <c r="AJ145" s="1634"/>
      <c r="AK145" s="1636"/>
      <c r="AL145" s="1634"/>
      <c r="AM145" s="1635"/>
      <c r="AN145" s="1613"/>
      <c r="AO145" s="1611"/>
      <c r="AP145" s="1607"/>
      <c r="AQ145" s="1607"/>
      <c r="AR145" s="1607"/>
      <c r="AS145" s="1636"/>
      <c r="AU145" s="161" t="str">
        <f t="shared" si="83"/>
        <v/>
      </c>
      <c r="CB145" s="162" t="str">
        <f t="shared" si="84"/>
        <v/>
      </c>
      <c r="CC145" s="162" t="str">
        <f t="shared" si="85"/>
        <v/>
      </c>
      <c r="CD145" s="162" t="str">
        <f t="shared" si="86"/>
        <v/>
      </c>
      <c r="CE145" s="162" t="str">
        <f t="shared" si="87"/>
        <v/>
      </c>
      <c r="CF145" s="162" t="str">
        <f t="shared" si="88"/>
        <v/>
      </c>
      <c r="CG145" s="162" t="str">
        <f t="shared" si="89"/>
        <v/>
      </c>
      <c r="CJ145" s="164"/>
      <c r="CK145" s="164"/>
      <c r="CL145" s="163">
        <f t="shared" si="90"/>
        <v>0</v>
      </c>
      <c r="CM145" s="163">
        <f t="shared" si="91"/>
        <v>0</v>
      </c>
      <c r="CN145" s="163">
        <f t="shared" si="92"/>
        <v>0</v>
      </c>
      <c r="CO145" s="163">
        <f t="shared" si="93"/>
        <v>0</v>
      </c>
      <c r="CP145" s="163">
        <f t="shared" si="94"/>
        <v>0</v>
      </c>
      <c r="CQ145" s="163">
        <f t="shared" si="95"/>
        <v>0</v>
      </c>
    </row>
    <row r="146" spans="1:95" s="161" customFormat="1" ht="15" customHeight="1" x14ac:dyDescent="0.3">
      <c r="A146" s="5844"/>
      <c r="B146" s="974" t="s">
        <v>1075</v>
      </c>
      <c r="C146" s="1631">
        <f t="shared" si="63"/>
        <v>0</v>
      </c>
      <c r="D146" s="1632">
        <f t="shared" si="81"/>
        <v>0</v>
      </c>
      <c r="E146" s="1633">
        <f t="shared" si="82"/>
        <v>0</v>
      </c>
      <c r="F146" s="1606"/>
      <c r="G146" s="1611"/>
      <c r="H146" s="1606"/>
      <c r="I146" s="1611"/>
      <c r="J146" s="1606"/>
      <c r="K146" s="1611"/>
      <c r="L146" s="1634"/>
      <c r="M146" s="1635"/>
      <c r="N146" s="1606"/>
      <c r="O146" s="1636"/>
      <c r="P146" s="1606"/>
      <c r="Q146" s="1636"/>
      <c r="R146" s="1634"/>
      <c r="S146" s="1636"/>
      <c r="T146" s="1634"/>
      <c r="U146" s="1636"/>
      <c r="V146" s="1606"/>
      <c r="W146" s="1611"/>
      <c r="X146" s="1634"/>
      <c r="Y146" s="1611"/>
      <c r="Z146" s="1634"/>
      <c r="AA146" s="1636"/>
      <c r="AB146" s="1634"/>
      <c r="AC146" s="1636"/>
      <c r="AD146" s="1634"/>
      <c r="AE146" s="1636"/>
      <c r="AF146" s="1634"/>
      <c r="AG146" s="1636"/>
      <c r="AH146" s="1634"/>
      <c r="AI146" s="1636"/>
      <c r="AJ146" s="1634"/>
      <c r="AK146" s="1636"/>
      <c r="AL146" s="1634"/>
      <c r="AM146" s="1635"/>
      <c r="AN146" s="1613"/>
      <c r="AO146" s="1611"/>
      <c r="AP146" s="1607"/>
      <c r="AQ146" s="1607"/>
      <c r="AR146" s="1607"/>
      <c r="AS146" s="1636"/>
      <c r="AU146" s="161" t="str">
        <f t="shared" si="83"/>
        <v/>
      </c>
      <c r="CB146" s="162" t="str">
        <f t="shared" si="84"/>
        <v/>
      </c>
      <c r="CC146" s="162" t="str">
        <f t="shared" si="85"/>
        <v/>
      </c>
      <c r="CD146" s="162" t="str">
        <f t="shared" si="86"/>
        <v/>
      </c>
      <c r="CE146" s="162" t="str">
        <f t="shared" si="87"/>
        <v/>
      </c>
      <c r="CF146" s="162" t="str">
        <f t="shared" si="88"/>
        <v/>
      </c>
      <c r="CG146" s="162" t="str">
        <f t="shared" si="89"/>
        <v/>
      </c>
      <c r="CJ146" s="164"/>
      <c r="CK146" s="164"/>
      <c r="CL146" s="163">
        <f t="shared" si="90"/>
        <v>0</v>
      </c>
      <c r="CM146" s="163">
        <f t="shared" si="91"/>
        <v>0</v>
      </c>
      <c r="CN146" s="163">
        <f t="shared" si="92"/>
        <v>0</v>
      </c>
      <c r="CO146" s="163">
        <f t="shared" si="93"/>
        <v>0</v>
      </c>
      <c r="CP146" s="163">
        <f t="shared" si="94"/>
        <v>0</v>
      </c>
      <c r="CQ146" s="163">
        <f t="shared" si="95"/>
        <v>0</v>
      </c>
    </row>
    <row r="147" spans="1:95" s="161" customFormat="1" ht="15" customHeight="1" x14ac:dyDescent="0.3">
      <c r="A147" s="5844"/>
      <c r="B147" s="974" t="s">
        <v>1037</v>
      </c>
      <c r="C147" s="1631">
        <f t="shared" si="63"/>
        <v>0</v>
      </c>
      <c r="D147" s="1632">
        <f t="shared" si="81"/>
        <v>0</v>
      </c>
      <c r="E147" s="1633">
        <f t="shared" si="82"/>
        <v>0</v>
      </c>
      <c r="F147" s="1606"/>
      <c r="G147" s="1611"/>
      <c r="H147" s="1606"/>
      <c r="I147" s="1611"/>
      <c r="J147" s="1606"/>
      <c r="K147" s="1611"/>
      <c r="L147" s="1634"/>
      <c r="M147" s="1635"/>
      <c r="N147" s="1606"/>
      <c r="O147" s="1636"/>
      <c r="P147" s="1606"/>
      <c r="Q147" s="1636"/>
      <c r="R147" s="1634"/>
      <c r="S147" s="1636"/>
      <c r="T147" s="1634"/>
      <c r="U147" s="1636"/>
      <c r="V147" s="1606"/>
      <c r="W147" s="1611"/>
      <c r="X147" s="1634"/>
      <c r="Y147" s="1611"/>
      <c r="Z147" s="1634"/>
      <c r="AA147" s="1636"/>
      <c r="AB147" s="1634"/>
      <c r="AC147" s="1636"/>
      <c r="AD147" s="1634"/>
      <c r="AE147" s="1636"/>
      <c r="AF147" s="1634"/>
      <c r="AG147" s="1636"/>
      <c r="AH147" s="1634"/>
      <c r="AI147" s="1636"/>
      <c r="AJ147" s="1634"/>
      <c r="AK147" s="1636"/>
      <c r="AL147" s="1634"/>
      <c r="AM147" s="1635"/>
      <c r="AN147" s="1613"/>
      <c r="AO147" s="1611"/>
      <c r="AP147" s="1607"/>
      <c r="AQ147" s="1607"/>
      <c r="AR147" s="1607"/>
      <c r="AS147" s="1636"/>
      <c r="AU147" s="161" t="str">
        <f t="shared" si="83"/>
        <v/>
      </c>
      <c r="CB147" s="162" t="str">
        <f t="shared" si="84"/>
        <v/>
      </c>
      <c r="CC147" s="162" t="str">
        <f t="shared" si="85"/>
        <v/>
      </c>
      <c r="CD147" s="162" t="str">
        <f t="shared" si="86"/>
        <v/>
      </c>
      <c r="CE147" s="162" t="str">
        <f t="shared" si="87"/>
        <v/>
      </c>
      <c r="CF147" s="162" t="str">
        <f t="shared" si="88"/>
        <v/>
      </c>
      <c r="CG147" s="162" t="str">
        <f t="shared" si="89"/>
        <v/>
      </c>
      <c r="CJ147" s="164"/>
      <c r="CK147" s="164"/>
      <c r="CL147" s="163">
        <f t="shared" si="90"/>
        <v>0</v>
      </c>
      <c r="CM147" s="163">
        <f t="shared" si="91"/>
        <v>0</v>
      </c>
      <c r="CN147" s="163">
        <f t="shared" si="92"/>
        <v>0</v>
      </c>
      <c r="CO147" s="163">
        <f t="shared" si="93"/>
        <v>0</v>
      </c>
      <c r="CP147" s="163">
        <f t="shared" si="94"/>
        <v>0</v>
      </c>
      <c r="CQ147" s="163">
        <f t="shared" si="95"/>
        <v>0</v>
      </c>
    </row>
    <row r="148" spans="1:95" s="161" customFormat="1" ht="20.399999999999999" x14ac:dyDescent="0.3">
      <c r="A148" s="5844"/>
      <c r="B148" s="974" t="s">
        <v>4050</v>
      </c>
      <c r="C148" s="1631">
        <f t="shared" si="63"/>
        <v>0</v>
      </c>
      <c r="D148" s="1632">
        <f t="shared" si="81"/>
        <v>0</v>
      </c>
      <c r="E148" s="1633">
        <f t="shared" si="82"/>
        <v>0</v>
      </c>
      <c r="F148" s="1606"/>
      <c r="G148" s="1611"/>
      <c r="H148" s="1606"/>
      <c r="I148" s="1611"/>
      <c r="J148" s="1606"/>
      <c r="K148" s="1611"/>
      <c r="L148" s="1634"/>
      <c r="M148" s="1635"/>
      <c r="N148" s="1606"/>
      <c r="O148" s="1636"/>
      <c r="P148" s="1606"/>
      <c r="Q148" s="1636"/>
      <c r="R148" s="1634"/>
      <c r="S148" s="1636"/>
      <c r="T148" s="1634"/>
      <c r="U148" s="1636"/>
      <c r="V148" s="1606"/>
      <c r="W148" s="1611"/>
      <c r="X148" s="1634"/>
      <c r="Y148" s="1611"/>
      <c r="Z148" s="1634"/>
      <c r="AA148" s="1636"/>
      <c r="AB148" s="1634"/>
      <c r="AC148" s="1636"/>
      <c r="AD148" s="1634"/>
      <c r="AE148" s="1636"/>
      <c r="AF148" s="1634"/>
      <c r="AG148" s="1636"/>
      <c r="AH148" s="1634"/>
      <c r="AI148" s="1636"/>
      <c r="AJ148" s="1634"/>
      <c r="AK148" s="1636"/>
      <c r="AL148" s="1634"/>
      <c r="AM148" s="1635"/>
      <c r="AN148" s="1613"/>
      <c r="AO148" s="1611"/>
      <c r="AP148" s="1607"/>
      <c r="AQ148" s="1607"/>
      <c r="AR148" s="1607"/>
      <c r="AS148" s="1636"/>
      <c r="AU148" s="161" t="str">
        <f t="shared" si="83"/>
        <v/>
      </c>
      <c r="CB148" s="162" t="str">
        <f t="shared" si="84"/>
        <v/>
      </c>
      <c r="CC148" s="162" t="str">
        <f t="shared" si="85"/>
        <v/>
      </c>
      <c r="CD148" s="162" t="str">
        <f t="shared" si="86"/>
        <v/>
      </c>
      <c r="CE148" s="162" t="str">
        <f t="shared" si="87"/>
        <v/>
      </c>
      <c r="CF148" s="162" t="str">
        <f t="shared" si="88"/>
        <v/>
      </c>
      <c r="CG148" s="162" t="str">
        <f t="shared" si="89"/>
        <v/>
      </c>
      <c r="CJ148" s="164"/>
      <c r="CK148" s="164"/>
      <c r="CL148" s="163">
        <f t="shared" si="90"/>
        <v>0</v>
      </c>
      <c r="CM148" s="163">
        <f t="shared" si="91"/>
        <v>0</v>
      </c>
      <c r="CN148" s="163">
        <f t="shared" si="92"/>
        <v>0</v>
      </c>
      <c r="CO148" s="163">
        <f t="shared" si="93"/>
        <v>0</v>
      </c>
      <c r="CP148" s="163">
        <f t="shared" si="94"/>
        <v>0</v>
      </c>
      <c r="CQ148" s="163">
        <f t="shared" si="95"/>
        <v>0</v>
      </c>
    </row>
    <row r="149" spans="1:95" s="161" customFormat="1" ht="15" customHeight="1" x14ac:dyDescent="0.3">
      <c r="A149" s="5844"/>
      <c r="B149" s="974" t="s">
        <v>1039</v>
      </c>
      <c r="C149" s="1631">
        <f t="shared" si="63"/>
        <v>0</v>
      </c>
      <c r="D149" s="1632">
        <f t="shared" si="81"/>
        <v>0</v>
      </c>
      <c r="E149" s="1633">
        <f t="shared" si="82"/>
        <v>0</v>
      </c>
      <c r="F149" s="1606"/>
      <c r="G149" s="1611"/>
      <c r="H149" s="1606"/>
      <c r="I149" s="1611"/>
      <c r="J149" s="1606"/>
      <c r="K149" s="1611"/>
      <c r="L149" s="1634"/>
      <c r="M149" s="1635"/>
      <c r="N149" s="1606"/>
      <c r="O149" s="1636"/>
      <c r="P149" s="1606"/>
      <c r="Q149" s="1636"/>
      <c r="R149" s="1634"/>
      <c r="S149" s="1636"/>
      <c r="T149" s="1634"/>
      <c r="U149" s="1636"/>
      <c r="V149" s="1606"/>
      <c r="W149" s="1611"/>
      <c r="X149" s="1634"/>
      <c r="Y149" s="1611"/>
      <c r="Z149" s="1634"/>
      <c r="AA149" s="1636"/>
      <c r="AB149" s="1634"/>
      <c r="AC149" s="1636"/>
      <c r="AD149" s="1634"/>
      <c r="AE149" s="1636"/>
      <c r="AF149" s="1634"/>
      <c r="AG149" s="1636"/>
      <c r="AH149" s="1634"/>
      <c r="AI149" s="1636"/>
      <c r="AJ149" s="1634"/>
      <c r="AK149" s="1636"/>
      <c r="AL149" s="1634"/>
      <c r="AM149" s="1635"/>
      <c r="AN149" s="1613"/>
      <c r="AO149" s="1611"/>
      <c r="AP149" s="1607"/>
      <c r="AQ149" s="1607"/>
      <c r="AR149" s="1607"/>
      <c r="AS149" s="1636"/>
      <c r="AU149" s="161" t="str">
        <f t="shared" si="83"/>
        <v/>
      </c>
      <c r="CB149" s="162" t="str">
        <f t="shared" si="84"/>
        <v/>
      </c>
      <c r="CC149" s="162" t="str">
        <f t="shared" si="85"/>
        <v/>
      </c>
      <c r="CD149" s="162" t="str">
        <f t="shared" si="86"/>
        <v/>
      </c>
      <c r="CE149" s="162" t="str">
        <f t="shared" si="87"/>
        <v/>
      </c>
      <c r="CF149" s="162" t="str">
        <f t="shared" si="88"/>
        <v/>
      </c>
      <c r="CG149" s="162" t="str">
        <f t="shared" si="89"/>
        <v/>
      </c>
      <c r="CJ149" s="164"/>
      <c r="CK149" s="164"/>
      <c r="CL149" s="163">
        <f t="shared" si="90"/>
        <v>0</v>
      </c>
      <c r="CM149" s="163">
        <f t="shared" si="91"/>
        <v>0</v>
      </c>
      <c r="CN149" s="163">
        <f t="shared" si="92"/>
        <v>0</v>
      </c>
      <c r="CO149" s="163">
        <f t="shared" si="93"/>
        <v>0</v>
      </c>
      <c r="CP149" s="163">
        <f t="shared" si="94"/>
        <v>0</v>
      </c>
      <c r="CQ149" s="163">
        <f t="shared" si="95"/>
        <v>0</v>
      </c>
    </row>
    <row r="150" spans="1:95" s="161" customFormat="1" ht="20.399999999999999" x14ac:dyDescent="0.3">
      <c r="A150" s="5844"/>
      <c r="B150" s="1170" t="s">
        <v>1040</v>
      </c>
      <c r="C150" s="1637">
        <f t="shared" si="63"/>
        <v>0</v>
      </c>
      <c r="D150" s="1638">
        <f t="shared" si="81"/>
        <v>0</v>
      </c>
      <c r="E150" s="418">
        <f t="shared" si="82"/>
        <v>0</v>
      </c>
      <c r="F150" s="1639"/>
      <c r="G150" s="419"/>
      <c r="H150" s="1639"/>
      <c r="I150" s="419"/>
      <c r="J150" s="1639"/>
      <c r="K150" s="419"/>
      <c r="L150" s="1640"/>
      <c r="M150" s="1641"/>
      <c r="N150" s="1639"/>
      <c r="O150" s="1642"/>
      <c r="P150" s="1639"/>
      <c r="Q150" s="1642"/>
      <c r="R150" s="1640"/>
      <c r="S150" s="1642"/>
      <c r="T150" s="1640"/>
      <c r="U150" s="1642"/>
      <c r="V150" s="1639"/>
      <c r="W150" s="419"/>
      <c r="X150" s="1640"/>
      <c r="Y150" s="419"/>
      <c r="Z150" s="1640"/>
      <c r="AA150" s="1642"/>
      <c r="AB150" s="1640"/>
      <c r="AC150" s="1642"/>
      <c r="AD150" s="1640"/>
      <c r="AE150" s="1642"/>
      <c r="AF150" s="1640"/>
      <c r="AG150" s="1642"/>
      <c r="AH150" s="1640"/>
      <c r="AI150" s="1642"/>
      <c r="AJ150" s="1640"/>
      <c r="AK150" s="1642"/>
      <c r="AL150" s="1640"/>
      <c r="AM150" s="1641"/>
      <c r="AN150" s="1643"/>
      <c r="AO150" s="419"/>
      <c r="AP150" s="1644"/>
      <c r="AQ150" s="1644"/>
      <c r="AR150" s="1644"/>
      <c r="AS150" s="1642"/>
      <c r="AU150" s="161" t="str">
        <f t="shared" si="83"/>
        <v/>
      </c>
      <c r="CB150" s="162" t="str">
        <f t="shared" si="84"/>
        <v/>
      </c>
      <c r="CC150" s="162" t="str">
        <f t="shared" si="85"/>
        <v/>
      </c>
      <c r="CD150" s="162" t="str">
        <f t="shared" si="86"/>
        <v/>
      </c>
      <c r="CE150" s="162" t="str">
        <f t="shared" si="87"/>
        <v/>
      </c>
      <c r="CF150" s="162" t="str">
        <f t="shared" si="88"/>
        <v/>
      </c>
      <c r="CG150" s="162" t="str">
        <f t="shared" si="89"/>
        <v/>
      </c>
      <c r="CJ150" s="164"/>
      <c r="CK150" s="164"/>
      <c r="CL150" s="163">
        <f t="shared" si="90"/>
        <v>0</v>
      </c>
      <c r="CM150" s="163">
        <f t="shared" si="91"/>
        <v>0</v>
      </c>
      <c r="CN150" s="163">
        <f t="shared" si="92"/>
        <v>0</v>
      </c>
      <c r="CO150" s="163">
        <f t="shared" si="93"/>
        <v>0</v>
      </c>
      <c r="CP150" s="163">
        <f t="shared" si="94"/>
        <v>0</v>
      </c>
      <c r="CQ150" s="163">
        <f t="shared" si="95"/>
        <v>0</v>
      </c>
    </row>
    <row r="151" spans="1:95" s="161" customFormat="1" ht="15" customHeight="1" x14ac:dyDescent="0.3">
      <c r="A151" s="6574"/>
      <c r="B151" s="923" t="s">
        <v>77</v>
      </c>
      <c r="C151" s="1645">
        <f t="shared" si="63"/>
        <v>0</v>
      </c>
      <c r="D151" s="274">
        <f t="shared" ref="D151:AS151" si="96">SUM(D141:D150)</f>
        <v>0</v>
      </c>
      <c r="E151" s="1646">
        <f t="shared" si="96"/>
        <v>0</v>
      </c>
      <c r="F151" s="1586">
        <f t="shared" si="96"/>
        <v>0</v>
      </c>
      <c r="G151" s="1647">
        <f t="shared" si="96"/>
        <v>0</v>
      </c>
      <c r="H151" s="1586">
        <f t="shared" si="96"/>
        <v>0</v>
      </c>
      <c r="I151" s="1647">
        <f t="shared" si="96"/>
        <v>0</v>
      </c>
      <c r="J151" s="1586">
        <f t="shared" si="96"/>
        <v>0</v>
      </c>
      <c r="K151" s="1647">
        <f t="shared" si="96"/>
        <v>0</v>
      </c>
      <c r="L151" s="1587">
        <f t="shared" si="96"/>
        <v>0</v>
      </c>
      <c r="M151" s="275">
        <f t="shared" si="96"/>
        <v>0</v>
      </c>
      <c r="N151" s="1586">
        <f t="shared" si="96"/>
        <v>0</v>
      </c>
      <c r="O151" s="276">
        <f t="shared" si="96"/>
        <v>0</v>
      </c>
      <c r="P151" s="1586">
        <f t="shared" si="96"/>
        <v>0</v>
      </c>
      <c r="Q151" s="276">
        <f t="shared" si="96"/>
        <v>0</v>
      </c>
      <c r="R151" s="1648">
        <f t="shared" si="96"/>
        <v>0</v>
      </c>
      <c r="S151" s="276">
        <f t="shared" si="96"/>
        <v>0</v>
      </c>
      <c r="T151" s="1586">
        <f t="shared" si="96"/>
        <v>0</v>
      </c>
      <c r="U151" s="1647">
        <f t="shared" si="96"/>
        <v>0</v>
      </c>
      <c r="V151" s="277">
        <f t="shared" si="96"/>
        <v>0</v>
      </c>
      <c r="W151" s="276">
        <f t="shared" si="96"/>
        <v>0</v>
      </c>
      <c r="X151" s="1587">
        <f t="shared" si="96"/>
        <v>0</v>
      </c>
      <c r="Y151" s="1647">
        <f t="shared" si="96"/>
        <v>0</v>
      </c>
      <c r="Z151" s="277">
        <f t="shared" si="96"/>
        <v>0</v>
      </c>
      <c r="AA151" s="1647">
        <f t="shared" si="96"/>
        <v>0</v>
      </c>
      <c r="AB151" s="277">
        <f t="shared" si="96"/>
        <v>0</v>
      </c>
      <c r="AC151" s="1647">
        <f t="shared" si="96"/>
        <v>0</v>
      </c>
      <c r="AD151" s="277">
        <f t="shared" si="96"/>
        <v>0</v>
      </c>
      <c r="AE151" s="1647">
        <f t="shared" si="96"/>
        <v>0</v>
      </c>
      <c r="AF151" s="277">
        <f t="shared" si="96"/>
        <v>0</v>
      </c>
      <c r="AG151" s="1647">
        <f t="shared" si="96"/>
        <v>0</v>
      </c>
      <c r="AH151" s="277">
        <f t="shared" si="96"/>
        <v>0</v>
      </c>
      <c r="AI151" s="1647">
        <f t="shared" si="96"/>
        <v>0</v>
      </c>
      <c r="AJ151" s="277">
        <f t="shared" si="96"/>
        <v>0</v>
      </c>
      <c r="AK151" s="1647">
        <f t="shared" si="96"/>
        <v>0</v>
      </c>
      <c r="AL151" s="277">
        <f t="shared" si="96"/>
        <v>0</v>
      </c>
      <c r="AM151" s="1648">
        <f t="shared" si="96"/>
        <v>0</v>
      </c>
      <c r="AN151" s="278">
        <f t="shared" si="96"/>
        <v>0</v>
      </c>
      <c r="AO151" s="1647">
        <f t="shared" ref="AO151" si="97">SUM(AO141:AO150)</f>
        <v>0</v>
      </c>
      <c r="AP151" s="277">
        <f t="shared" si="96"/>
        <v>0</v>
      </c>
      <c r="AQ151" s="277">
        <f t="shared" si="96"/>
        <v>0</v>
      </c>
      <c r="AR151" s="277">
        <f t="shared" si="96"/>
        <v>0</v>
      </c>
      <c r="AS151" s="276">
        <f t="shared" si="96"/>
        <v>0</v>
      </c>
    </row>
    <row r="152" spans="1:95" s="160" customFormat="1" ht="17.100000000000001" customHeight="1" x14ac:dyDescent="0.3">
      <c r="A152" s="144" t="s">
        <v>4052</v>
      </c>
    </row>
    <row r="153" spans="1:95" ht="15" customHeight="1" x14ac:dyDescent="0.3">
      <c r="A153" s="7459" t="s">
        <v>26</v>
      </c>
      <c r="B153" s="7459" t="s">
        <v>27</v>
      </c>
      <c r="C153" s="7403" t="s">
        <v>77</v>
      </c>
      <c r="D153" s="7404"/>
      <c r="E153" s="6518"/>
      <c r="F153" s="6989" t="s">
        <v>101</v>
      </c>
      <c r="G153" s="7476"/>
      <c r="H153" s="7476"/>
      <c r="I153" s="7476"/>
      <c r="J153" s="7476"/>
      <c r="K153" s="7476"/>
      <c r="L153" s="7476"/>
      <c r="M153" s="7476"/>
      <c r="N153" s="7476"/>
      <c r="O153" s="7476"/>
      <c r="P153" s="7476"/>
      <c r="Q153" s="7476"/>
      <c r="R153" s="7476"/>
      <c r="S153" s="7476"/>
      <c r="T153" s="7476"/>
      <c r="U153" s="7476"/>
      <c r="V153" s="7476"/>
      <c r="W153" s="7476"/>
      <c r="X153" s="7476"/>
      <c r="Y153" s="7476"/>
      <c r="Z153" s="7476"/>
      <c r="AA153" s="7476"/>
      <c r="AB153" s="7476"/>
      <c r="AC153" s="7476"/>
      <c r="AD153" s="7476"/>
      <c r="AE153" s="7476"/>
      <c r="AF153" s="7476"/>
      <c r="AG153" s="6991"/>
      <c r="AH153" s="7565" t="s">
        <v>36</v>
      </c>
      <c r="AI153" s="6518" t="s">
        <v>37</v>
      </c>
    </row>
    <row r="154" spans="1:95" ht="15" customHeight="1" x14ac:dyDescent="0.3">
      <c r="A154" s="6082"/>
      <c r="B154" s="6082"/>
      <c r="C154" s="6466"/>
      <c r="D154" s="6467"/>
      <c r="E154" s="6687"/>
      <c r="F154" s="6989" t="s">
        <v>44</v>
      </c>
      <c r="G154" s="7489"/>
      <c r="H154" s="6989" t="s">
        <v>45</v>
      </c>
      <c r="I154" s="7489"/>
      <c r="J154" s="7023" t="s">
        <v>46</v>
      </c>
      <c r="K154" s="7457"/>
      <c r="L154" s="7023" t="s">
        <v>47</v>
      </c>
      <c r="M154" s="7457"/>
      <c r="N154" s="7023" t="s">
        <v>48</v>
      </c>
      <c r="O154" s="7457"/>
      <c r="P154" s="7023" t="s">
        <v>49</v>
      </c>
      <c r="Q154" s="7457"/>
      <c r="R154" s="7023" t="s">
        <v>50</v>
      </c>
      <c r="S154" s="7457"/>
      <c r="T154" s="7023" t="s">
        <v>51</v>
      </c>
      <c r="U154" s="7457"/>
      <c r="V154" s="7023" t="s">
        <v>52</v>
      </c>
      <c r="W154" s="7457"/>
      <c r="X154" s="7023" t="s">
        <v>53</v>
      </c>
      <c r="Y154" s="7457"/>
      <c r="Z154" s="7023" t="s">
        <v>54</v>
      </c>
      <c r="AA154" s="7457"/>
      <c r="AB154" s="7023" t="s">
        <v>55</v>
      </c>
      <c r="AC154" s="7457"/>
      <c r="AD154" s="7023" t="s">
        <v>56</v>
      </c>
      <c r="AE154" s="7457"/>
      <c r="AF154" s="7023" t="s">
        <v>57</v>
      </c>
      <c r="AG154" s="7071"/>
      <c r="AH154" s="5766"/>
      <c r="AI154" s="5759"/>
    </row>
    <row r="155" spans="1:95" ht="15" customHeight="1" x14ac:dyDescent="0.3">
      <c r="A155" s="6465"/>
      <c r="B155" s="6465"/>
      <c r="C155" s="1314" t="s">
        <v>79</v>
      </c>
      <c r="D155" s="1135" t="s">
        <v>58</v>
      </c>
      <c r="E155" s="1460" t="s">
        <v>59</v>
      </c>
      <c r="F155" s="1313" t="s">
        <v>58</v>
      </c>
      <c r="G155" s="1460" t="s">
        <v>59</v>
      </c>
      <c r="H155" s="1313" t="s">
        <v>58</v>
      </c>
      <c r="I155" s="1460" t="s">
        <v>59</v>
      </c>
      <c r="J155" s="1313" t="s">
        <v>58</v>
      </c>
      <c r="K155" s="1460" t="s">
        <v>59</v>
      </c>
      <c r="L155" s="1313" t="s">
        <v>58</v>
      </c>
      <c r="M155" s="1460" t="s">
        <v>59</v>
      </c>
      <c r="N155" s="1313" t="s">
        <v>58</v>
      </c>
      <c r="O155" s="1460" t="s">
        <v>59</v>
      </c>
      <c r="P155" s="1313" t="s">
        <v>58</v>
      </c>
      <c r="Q155" s="1460" t="s">
        <v>59</v>
      </c>
      <c r="R155" s="1313" t="s">
        <v>58</v>
      </c>
      <c r="S155" s="1460" t="s">
        <v>59</v>
      </c>
      <c r="T155" s="1313" t="s">
        <v>58</v>
      </c>
      <c r="U155" s="1460" t="s">
        <v>59</v>
      </c>
      <c r="V155" s="1313" t="s">
        <v>58</v>
      </c>
      <c r="W155" s="1460" t="s">
        <v>59</v>
      </c>
      <c r="X155" s="1313" t="s">
        <v>58</v>
      </c>
      <c r="Y155" s="1460" t="s">
        <v>59</v>
      </c>
      <c r="Z155" s="1313" t="s">
        <v>58</v>
      </c>
      <c r="AA155" s="1460" t="s">
        <v>59</v>
      </c>
      <c r="AB155" s="1313" t="s">
        <v>58</v>
      </c>
      <c r="AC155" s="1460" t="s">
        <v>59</v>
      </c>
      <c r="AD155" s="1313" t="s">
        <v>58</v>
      </c>
      <c r="AE155" s="1460" t="s">
        <v>59</v>
      </c>
      <c r="AF155" s="1313" t="s">
        <v>58</v>
      </c>
      <c r="AG155" s="1136" t="s">
        <v>59</v>
      </c>
      <c r="AH155" s="5767"/>
      <c r="AI155" s="6687"/>
    </row>
    <row r="156" spans="1:95" ht="15" customHeight="1" x14ac:dyDescent="0.3">
      <c r="A156" s="7564" t="s">
        <v>4053</v>
      </c>
      <c r="B156" s="1445" t="s">
        <v>64</v>
      </c>
      <c r="C156" s="1653">
        <f t="shared" ref="C156:C163" si="98">SUM(D156:E156)</f>
        <v>0</v>
      </c>
      <c r="D156" s="1622">
        <f t="shared" ref="D156:E163" si="99">SUM(F156+H156+J156+L156+N156+P156+R156+T156+V156+X156+Z156+AB156+AD156+AF156)</f>
        <v>0</v>
      </c>
      <c r="E156" s="1623">
        <f t="shared" si="99"/>
        <v>0</v>
      </c>
      <c r="F156" s="1523"/>
      <c r="G156" s="1498"/>
      <c r="H156" s="1523"/>
      <c r="I156" s="1498"/>
      <c r="J156" s="1523"/>
      <c r="K156" s="1498"/>
      <c r="L156" s="1523"/>
      <c r="M156" s="1498"/>
      <c r="N156" s="1523"/>
      <c r="O156" s="1498"/>
      <c r="P156" s="1523"/>
      <c r="Q156" s="1498"/>
      <c r="R156" s="1523"/>
      <c r="S156" s="1498"/>
      <c r="T156" s="1523"/>
      <c r="U156" s="1498"/>
      <c r="V156" s="1523"/>
      <c r="W156" s="1498"/>
      <c r="X156" s="1523"/>
      <c r="Y156" s="1498"/>
      <c r="Z156" s="1523"/>
      <c r="AA156" s="1498"/>
      <c r="AB156" s="1523"/>
      <c r="AC156" s="1498"/>
      <c r="AD156" s="1523"/>
      <c r="AE156" s="1498"/>
      <c r="AF156" s="1523"/>
      <c r="AG156" s="1534"/>
      <c r="AH156" s="1654"/>
      <c r="AI156" s="1501"/>
      <c r="AJ156" s="1971" t="str">
        <f t="shared" ref="AJ156:AJ163" si="100">CA156&amp;CB156&amp;CE156&amp;CF156</f>
        <v/>
      </c>
      <c r="CA156" s="162" t="str">
        <f>IF(AND(C156&gt;0,AH156="")," * No olvide digitar La variable Pueblos originarios, Digite CERO si no tiene.",IF(AH156&gt;C156," * La variable Pueblos originarios no puede ser mayor al Total Ambos Sexos.",""))</f>
        <v/>
      </c>
      <c r="CB156" s="162" t="str">
        <f>IF(AND(C156&gt;0,AI156="")," * No olvide digitar La variable Migrantes, Digite CERO si no tiene.",IF(AI156&gt;C156," * La variable Migrantes no puede ser mayor al Total Ambos Sexos.",""))</f>
        <v/>
      </c>
      <c r="CE156" s="164"/>
      <c r="CF156" s="164"/>
      <c r="CG156" s="164"/>
      <c r="CH156" s="164"/>
      <c r="CI156" s="164"/>
      <c r="CJ156" s="161"/>
      <c r="CK156" s="163">
        <f>IF(AND(C156&gt;0,AH156=""),1,IF(AH156&gt;C156,1,0))</f>
        <v>0</v>
      </c>
      <c r="CL156" s="163">
        <f t="shared" ref="CL156:CL163" si="101">IF(AND(C156&gt;0,AI156=""),1,IF(AI156&gt;C156,1,0))</f>
        <v>0</v>
      </c>
    </row>
    <row r="157" spans="1:95" ht="15" customHeight="1" x14ac:dyDescent="0.3">
      <c r="A157" s="5844"/>
      <c r="B157" s="1462" t="s">
        <v>98</v>
      </c>
      <c r="C157" s="1655">
        <f t="shared" si="98"/>
        <v>0</v>
      </c>
      <c r="D157" s="1632">
        <f t="shared" si="99"/>
        <v>0</v>
      </c>
      <c r="E157" s="1633">
        <f t="shared" si="99"/>
        <v>0</v>
      </c>
      <c r="F157" s="1494"/>
      <c r="G157" s="1503"/>
      <c r="H157" s="1494"/>
      <c r="I157" s="1503"/>
      <c r="J157" s="1494"/>
      <c r="K157" s="1503"/>
      <c r="L157" s="1494"/>
      <c r="M157" s="1503"/>
      <c r="N157" s="1494"/>
      <c r="O157" s="1503"/>
      <c r="P157" s="1494"/>
      <c r="Q157" s="1503"/>
      <c r="R157" s="1494"/>
      <c r="S157" s="1503"/>
      <c r="T157" s="1494"/>
      <c r="U157" s="1503"/>
      <c r="V157" s="1494"/>
      <c r="W157" s="1503"/>
      <c r="X157" s="1494"/>
      <c r="Y157" s="1503"/>
      <c r="Z157" s="1494"/>
      <c r="AA157" s="1503"/>
      <c r="AB157" s="1494"/>
      <c r="AC157" s="1503"/>
      <c r="AD157" s="1494"/>
      <c r="AE157" s="1503"/>
      <c r="AF157" s="1494"/>
      <c r="AG157" s="1543"/>
      <c r="AH157" s="1574"/>
      <c r="AI157" s="1506"/>
      <c r="AJ157" s="1971" t="str">
        <f t="shared" si="100"/>
        <v/>
      </c>
      <c r="CA157" s="162" t="str">
        <f t="shared" ref="CA157:CA163" si="102">IF(AND(C157&gt;0,AH157="")," * No olvide digitar La variable Pueblos originarios, Digite CERO si no tiene.",IF(AH157&gt;C157," * La variable Pueblos originarios no puede ser mayor al Total Ambos Sexos.",""))</f>
        <v/>
      </c>
      <c r="CB157" s="162" t="str">
        <f t="shared" ref="CB157:CB163" si="103">IF(AND(C157&gt;0,AI157="")," * No olvide digitar La variable Migrantes, Digite CERO si no tiene.",IF(AI157&gt;C157," * La variable Migrantes no puede ser mayor al Total Ambos Sexos.",""))</f>
        <v/>
      </c>
      <c r="CE157" s="164"/>
      <c r="CF157" s="164"/>
      <c r="CG157" s="164"/>
      <c r="CH157" s="164"/>
      <c r="CI157" s="164"/>
      <c r="CJ157" s="161"/>
      <c r="CK157" s="163">
        <f t="shared" ref="CK157:CK163" si="104">IF(AND(C157&gt;0,AH157=""),1,IF(AH157&gt;C157,1,0))</f>
        <v>0</v>
      </c>
      <c r="CL157" s="163">
        <f t="shared" si="101"/>
        <v>0</v>
      </c>
    </row>
    <row r="158" spans="1:95" ht="15" customHeight="1" x14ac:dyDescent="0.3">
      <c r="A158" s="5844"/>
      <c r="B158" s="1447" t="s">
        <v>105</v>
      </c>
      <c r="C158" s="1655">
        <f t="shared" si="98"/>
        <v>0</v>
      </c>
      <c r="D158" s="1632">
        <f t="shared" si="99"/>
        <v>0</v>
      </c>
      <c r="E158" s="1633">
        <f t="shared" si="99"/>
        <v>0</v>
      </c>
      <c r="F158" s="1494"/>
      <c r="G158" s="1503"/>
      <c r="H158" s="1494"/>
      <c r="I158" s="1503"/>
      <c r="J158" s="1494"/>
      <c r="K158" s="1503"/>
      <c r="L158" s="1494"/>
      <c r="M158" s="1503"/>
      <c r="N158" s="1494"/>
      <c r="O158" s="1503"/>
      <c r="P158" s="1494"/>
      <c r="Q158" s="1503"/>
      <c r="R158" s="1494"/>
      <c r="S158" s="1503"/>
      <c r="T158" s="1494"/>
      <c r="U158" s="1503"/>
      <c r="V158" s="1494"/>
      <c r="W158" s="1503"/>
      <c r="X158" s="1494"/>
      <c r="Y158" s="1503"/>
      <c r="Z158" s="1494"/>
      <c r="AA158" s="1503"/>
      <c r="AB158" s="1494"/>
      <c r="AC158" s="1503"/>
      <c r="AD158" s="1494"/>
      <c r="AE158" s="1503"/>
      <c r="AF158" s="1494"/>
      <c r="AG158" s="1543"/>
      <c r="AH158" s="1574"/>
      <c r="AI158" s="1506"/>
      <c r="AJ158" s="1971" t="str">
        <f t="shared" si="100"/>
        <v/>
      </c>
      <c r="CA158" s="162" t="str">
        <f t="shared" si="102"/>
        <v/>
      </c>
      <c r="CB158" s="162" t="str">
        <f t="shared" si="103"/>
        <v/>
      </c>
      <c r="CE158" s="164"/>
      <c r="CF158" s="164"/>
      <c r="CG158" s="164"/>
      <c r="CH158" s="164"/>
      <c r="CI158" s="164"/>
      <c r="CJ158" s="161"/>
      <c r="CK158" s="163">
        <f t="shared" si="104"/>
        <v>0</v>
      </c>
      <c r="CL158" s="163">
        <f t="shared" si="101"/>
        <v>0</v>
      </c>
    </row>
    <row r="159" spans="1:95" ht="15" customHeight="1" x14ac:dyDescent="0.3">
      <c r="A159" s="6574"/>
      <c r="B159" s="1449" t="s">
        <v>194</v>
      </c>
      <c r="C159" s="1656">
        <f t="shared" si="98"/>
        <v>0</v>
      </c>
      <c r="D159" s="1638">
        <f t="shared" si="99"/>
        <v>0</v>
      </c>
      <c r="E159" s="418">
        <f t="shared" si="99"/>
        <v>0</v>
      </c>
      <c r="F159" s="1544"/>
      <c r="G159" s="1546"/>
      <c r="H159" s="1544"/>
      <c r="I159" s="1546"/>
      <c r="J159" s="1544"/>
      <c r="K159" s="1546"/>
      <c r="L159" s="1544"/>
      <c r="M159" s="1546"/>
      <c r="N159" s="1544"/>
      <c r="O159" s="1546"/>
      <c r="P159" s="1544"/>
      <c r="Q159" s="1546"/>
      <c r="R159" s="1544"/>
      <c r="S159" s="1546"/>
      <c r="T159" s="1544"/>
      <c r="U159" s="1546"/>
      <c r="V159" s="1544"/>
      <c r="W159" s="1546"/>
      <c r="X159" s="1544"/>
      <c r="Y159" s="1546"/>
      <c r="Z159" s="1544"/>
      <c r="AA159" s="1546"/>
      <c r="AB159" s="1544"/>
      <c r="AC159" s="1546"/>
      <c r="AD159" s="1544"/>
      <c r="AE159" s="1546"/>
      <c r="AF159" s="1544"/>
      <c r="AG159" s="1578"/>
      <c r="AH159" s="1577"/>
      <c r="AI159" s="411"/>
      <c r="AJ159" s="1971" t="str">
        <f t="shared" si="100"/>
        <v/>
      </c>
      <c r="CA159" s="162" t="str">
        <f t="shared" si="102"/>
        <v/>
      </c>
      <c r="CB159" s="162" t="str">
        <f t="shared" si="103"/>
        <v/>
      </c>
      <c r="CE159" s="164"/>
      <c r="CF159" s="164"/>
      <c r="CG159" s="164"/>
      <c r="CH159" s="164"/>
      <c r="CI159" s="164"/>
      <c r="CJ159" s="161"/>
      <c r="CK159" s="163">
        <f t="shared" si="104"/>
        <v>0</v>
      </c>
      <c r="CL159" s="163">
        <f t="shared" si="101"/>
        <v>0</v>
      </c>
    </row>
    <row r="160" spans="1:95" ht="15" customHeight="1" x14ac:dyDescent="0.3">
      <c r="A160" s="7588" t="s">
        <v>4054</v>
      </c>
      <c r="B160" s="1657" t="s">
        <v>64</v>
      </c>
      <c r="C160" s="1658">
        <f t="shared" si="98"/>
        <v>0</v>
      </c>
      <c r="D160" s="1622">
        <f t="shared" si="99"/>
        <v>0</v>
      </c>
      <c r="E160" s="1659">
        <f t="shared" si="99"/>
        <v>0</v>
      </c>
      <c r="F160" s="1523"/>
      <c r="G160" s="1498"/>
      <c r="H160" s="1523"/>
      <c r="I160" s="1498"/>
      <c r="J160" s="1523"/>
      <c r="K160" s="1498"/>
      <c r="L160" s="1523"/>
      <c r="M160" s="1498"/>
      <c r="N160" s="1523"/>
      <c r="O160" s="1498"/>
      <c r="P160" s="1523"/>
      <c r="Q160" s="1498"/>
      <c r="R160" s="1523"/>
      <c r="S160" s="1498"/>
      <c r="T160" s="1523"/>
      <c r="U160" s="1498"/>
      <c r="V160" s="1523"/>
      <c r="W160" s="1498"/>
      <c r="X160" s="1523"/>
      <c r="Y160" s="1498"/>
      <c r="Z160" s="1523"/>
      <c r="AA160" s="1498"/>
      <c r="AB160" s="1523"/>
      <c r="AC160" s="1498"/>
      <c r="AD160" s="1523"/>
      <c r="AE160" s="1498"/>
      <c r="AF160" s="1523"/>
      <c r="AG160" s="1534"/>
      <c r="AH160" s="1654"/>
      <c r="AI160" s="1660"/>
      <c r="AJ160" s="1971" t="str">
        <f t="shared" si="100"/>
        <v/>
      </c>
      <c r="CA160" s="162" t="str">
        <f t="shared" si="102"/>
        <v/>
      </c>
      <c r="CB160" s="162" t="str">
        <f t="shared" si="103"/>
        <v/>
      </c>
      <c r="CE160" s="164"/>
      <c r="CF160" s="164"/>
      <c r="CG160" s="164"/>
      <c r="CH160" s="164"/>
      <c r="CI160" s="164"/>
      <c r="CJ160" s="161"/>
      <c r="CK160" s="163">
        <f t="shared" si="104"/>
        <v>0</v>
      </c>
      <c r="CL160" s="163">
        <f t="shared" si="101"/>
        <v>0</v>
      </c>
    </row>
    <row r="161" spans="1:90" ht="15" customHeight="1" x14ac:dyDescent="0.3">
      <c r="A161" s="5844"/>
      <c r="B161" s="1462" t="s">
        <v>98</v>
      </c>
      <c r="C161" s="1661">
        <f t="shared" si="98"/>
        <v>0</v>
      </c>
      <c r="D161" s="1632">
        <f t="shared" si="99"/>
        <v>0</v>
      </c>
      <c r="E161" s="1633">
        <f t="shared" si="99"/>
        <v>0</v>
      </c>
      <c r="F161" s="1494"/>
      <c r="G161" s="1503"/>
      <c r="H161" s="1494"/>
      <c r="I161" s="1503"/>
      <c r="J161" s="1494"/>
      <c r="K161" s="1503"/>
      <c r="L161" s="1494"/>
      <c r="M161" s="1503"/>
      <c r="N161" s="1494"/>
      <c r="O161" s="1503"/>
      <c r="P161" s="1494"/>
      <c r="Q161" s="1503"/>
      <c r="R161" s="1494"/>
      <c r="S161" s="1503"/>
      <c r="T161" s="1494"/>
      <c r="U161" s="1503"/>
      <c r="V161" s="1494"/>
      <c r="W161" s="1503"/>
      <c r="X161" s="1494"/>
      <c r="Y161" s="1503"/>
      <c r="Z161" s="1494"/>
      <c r="AA161" s="1503"/>
      <c r="AB161" s="1494"/>
      <c r="AC161" s="1503"/>
      <c r="AD161" s="1494"/>
      <c r="AE161" s="1503"/>
      <c r="AF161" s="1494"/>
      <c r="AG161" s="1543"/>
      <c r="AH161" s="1574"/>
      <c r="AI161" s="1506"/>
      <c r="AJ161" s="1971" t="str">
        <f t="shared" si="100"/>
        <v/>
      </c>
      <c r="CA161" s="162" t="str">
        <f t="shared" si="102"/>
        <v/>
      </c>
      <c r="CB161" s="162" t="str">
        <f t="shared" si="103"/>
        <v/>
      </c>
      <c r="CE161" s="164"/>
      <c r="CF161" s="164"/>
      <c r="CG161" s="164"/>
      <c r="CH161" s="164"/>
      <c r="CI161" s="164"/>
      <c r="CJ161" s="161"/>
      <c r="CK161" s="163">
        <f t="shared" si="104"/>
        <v>0</v>
      </c>
      <c r="CL161" s="163">
        <f t="shared" si="101"/>
        <v>0</v>
      </c>
    </row>
    <row r="162" spans="1:90" ht="15" customHeight="1" x14ac:dyDescent="0.3">
      <c r="A162" s="5844"/>
      <c r="B162" s="1447" t="s">
        <v>105</v>
      </c>
      <c r="C162" s="1661">
        <f t="shared" si="98"/>
        <v>0</v>
      </c>
      <c r="D162" s="1632">
        <f t="shared" si="99"/>
        <v>0</v>
      </c>
      <c r="E162" s="1633">
        <f t="shared" si="99"/>
        <v>0</v>
      </c>
      <c r="F162" s="1494"/>
      <c r="G162" s="1503"/>
      <c r="H162" s="1494"/>
      <c r="I162" s="1503"/>
      <c r="J162" s="1494"/>
      <c r="K162" s="1503"/>
      <c r="L162" s="1494"/>
      <c r="M162" s="1503"/>
      <c r="N162" s="1494"/>
      <c r="O162" s="1503"/>
      <c r="P162" s="1494"/>
      <c r="Q162" s="1503"/>
      <c r="R162" s="1494"/>
      <c r="S162" s="1503"/>
      <c r="T162" s="1494"/>
      <c r="U162" s="1503"/>
      <c r="V162" s="1494"/>
      <c r="W162" s="1503"/>
      <c r="X162" s="1494"/>
      <c r="Y162" s="1503"/>
      <c r="Z162" s="1494"/>
      <c r="AA162" s="1503"/>
      <c r="AB162" s="1494"/>
      <c r="AC162" s="1503"/>
      <c r="AD162" s="1494"/>
      <c r="AE162" s="1503"/>
      <c r="AF162" s="1494"/>
      <c r="AG162" s="1543"/>
      <c r="AH162" s="1574"/>
      <c r="AI162" s="1506"/>
      <c r="AJ162" s="1971" t="str">
        <f t="shared" si="100"/>
        <v/>
      </c>
      <c r="CA162" s="162" t="str">
        <f t="shared" si="102"/>
        <v/>
      </c>
      <c r="CB162" s="162" t="str">
        <f t="shared" si="103"/>
        <v/>
      </c>
      <c r="CE162" s="164"/>
      <c r="CF162" s="164"/>
      <c r="CG162" s="164"/>
      <c r="CH162" s="164"/>
      <c r="CI162" s="164"/>
      <c r="CJ162" s="161"/>
      <c r="CK162" s="163">
        <f t="shared" si="104"/>
        <v>0</v>
      </c>
      <c r="CL162" s="163">
        <f t="shared" si="101"/>
        <v>0</v>
      </c>
    </row>
    <row r="163" spans="1:90" ht="15" customHeight="1" x14ac:dyDescent="0.3">
      <c r="A163" s="6574"/>
      <c r="B163" s="1449" t="s">
        <v>194</v>
      </c>
      <c r="C163" s="1662">
        <f t="shared" si="98"/>
        <v>0</v>
      </c>
      <c r="D163" s="1638">
        <f t="shared" si="99"/>
        <v>0</v>
      </c>
      <c r="E163" s="418">
        <f t="shared" si="99"/>
        <v>0</v>
      </c>
      <c r="F163" s="1544"/>
      <c r="G163" s="1546"/>
      <c r="H163" s="1544"/>
      <c r="I163" s="1546"/>
      <c r="J163" s="1544"/>
      <c r="K163" s="1546"/>
      <c r="L163" s="1544"/>
      <c r="M163" s="1546"/>
      <c r="N163" s="1544"/>
      <c r="O163" s="1546"/>
      <c r="P163" s="1544"/>
      <c r="Q163" s="1546"/>
      <c r="R163" s="1544"/>
      <c r="S163" s="1546"/>
      <c r="T163" s="1544"/>
      <c r="U163" s="1546"/>
      <c r="V163" s="1544"/>
      <c r="W163" s="1546"/>
      <c r="X163" s="1544"/>
      <c r="Y163" s="1546"/>
      <c r="Z163" s="1544"/>
      <c r="AA163" s="1546"/>
      <c r="AB163" s="1544"/>
      <c r="AC163" s="1546"/>
      <c r="AD163" s="1544"/>
      <c r="AE163" s="1546"/>
      <c r="AF163" s="1544"/>
      <c r="AG163" s="1578"/>
      <c r="AH163" s="1577"/>
      <c r="AI163" s="411"/>
      <c r="AJ163" s="1971" t="str">
        <f t="shared" si="100"/>
        <v/>
      </c>
      <c r="CA163" s="162" t="str">
        <f t="shared" si="102"/>
        <v/>
      </c>
      <c r="CB163" s="162" t="str">
        <f t="shared" si="103"/>
        <v/>
      </c>
      <c r="CE163" s="164"/>
      <c r="CF163" s="164"/>
      <c r="CG163" s="164"/>
      <c r="CH163" s="164"/>
      <c r="CI163" s="164"/>
      <c r="CJ163" s="161"/>
      <c r="CK163" s="163">
        <f t="shared" si="104"/>
        <v>0</v>
      </c>
      <c r="CL163" s="163">
        <f t="shared" si="101"/>
        <v>0</v>
      </c>
    </row>
    <row r="164" spans="1:90" s="160" customFormat="1" ht="18" customHeight="1" x14ac:dyDescent="0.3">
      <c r="A164" s="144" t="s">
        <v>4055</v>
      </c>
      <c r="CC164" s="161"/>
      <c r="CD164" s="161"/>
      <c r="CE164" s="161"/>
      <c r="CF164" s="161"/>
      <c r="CG164" s="161"/>
      <c r="CH164" s="161"/>
      <c r="CI164" s="161"/>
      <c r="CJ164" s="161"/>
      <c r="CK164" s="161"/>
      <c r="CL164" s="161"/>
    </row>
    <row r="165" spans="1:90" s="161" customFormat="1" ht="15" customHeight="1" x14ac:dyDescent="0.3">
      <c r="A165" s="7547" t="s">
        <v>1592</v>
      </c>
      <c r="B165" s="7403" t="s">
        <v>77</v>
      </c>
      <c r="C165" s="7404"/>
      <c r="D165" s="6518"/>
      <c r="E165" s="6546" t="s">
        <v>101</v>
      </c>
      <c r="F165" s="7578"/>
      <c r="G165" s="7578"/>
      <c r="H165" s="7578"/>
      <c r="I165" s="7578"/>
      <c r="J165" s="7578"/>
      <c r="K165" s="7578"/>
      <c r="L165" s="7578"/>
      <c r="M165" s="7578"/>
      <c r="N165" s="7578"/>
      <c r="O165" s="7578"/>
      <c r="P165" s="7578"/>
      <c r="Q165" s="7578"/>
      <c r="R165" s="7578"/>
      <c r="S165" s="7578"/>
      <c r="T165" s="7578"/>
      <c r="U165" s="7578"/>
      <c r="V165" s="7578"/>
      <c r="W165" s="7578"/>
      <c r="X165" s="7578"/>
      <c r="Y165" s="7578"/>
      <c r="Z165" s="7578"/>
      <c r="AA165" s="7578"/>
      <c r="AB165" s="7578"/>
      <c r="AC165" s="7578"/>
      <c r="AD165" s="7578"/>
      <c r="AE165" s="7578"/>
      <c r="AF165" s="6548"/>
      <c r="AG165" s="7589" t="s">
        <v>2168</v>
      </c>
      <c r="AH165" s="7590" t="s">
        <v>36</v>
      </c>
      <c r="AI165" s="6518" t="s">
        <v>37</v>
      </c>
    </row>
    <row r="166" spans="1:90" s="161" customFormat="1" ht="15" customHeight="1" x14ac:dyDescent="0.3">
      <c r="A166" s="6082"/>
      <c r="B166" s="6466"/>
      <c r="C166" s="6467"/>
      <c r="D166" s="6687"/>
      <c r="E166" s="6546" t="s">
        <v>44</v>
      </c>
      <c r="F166" s="7548"/>
      <c r="G166" s="6546" t="s">
        <v>45</v>
      </c>
      <c r="H166" s="7548"/>
      <c r="I166" s="6545" t="s">
        <v>46</v>
      </c>
      <c r="J166" s="7546"/>
      <c r="K166" s="6545" t="s">
        <v>47</v>
      </c>
      <c r="L166" s="7546"/>
      <c r="M166" s="6545" t="s">
        <v>48</v>
      </c>
      <c r="N166" s="7546"/>
      <c r="O166" s="6545" t="s">
        <v>49</v>
      </c>
      <c r="P166" s="7546"/>
      <c r="Q166" s="6545" t="s">
        <v>50</v>
      </c>
      <c r="R166" s="7546"/>
      <c r="S166" s="6545" t="s">
        <v>51</v>
      </c>
      <c r="T166" s="7546"/>
      <c r="U166" s="6545" t="s">
        <v>52</v>
      </c>
      <c r="V166" s="7546"/>
      <c r="W166" s="6545" t="s">
        <v>53</v>
      </c>
      <c r="X166" s="7546"/>
      <c r="Y166" s="6545" t="s">
        <v>54</v>
      </c>
      <c r="Z166" s="7546"/>
      <c r="AA166" s="6545" t="s">
        <v>55</v>
      </c>
      <c r="AB166" s="7546"/>
      <c r="AC166" s="6545" t="s">
        <v>56</v>
      </c>
      <c r="AD166" s="7546"/>
      <c r="AE166" s="6545" t="s">
        <v>57</v>
      </c>
      <c r="AF166" s="7545"/>
      <c r="AG166" s="6938"/>
      <c r="AH166" s="5834"/>
      <c r="AI166" s="5759"/>
    </row>
    <row r="167" spans="1:90" s="161" customFormat="1" ht="15" customHeight="1" x14ac:dyDescent="0.3">
      <c r="A167" s="6465"/>
      <c r="B167" s="1314" t="s">
        <v>79</v>
      </c>
      <c r="C167" s="1664" t="s">
        <v>58</v>
      </c>
      <c r="D167" s="1663" t="s">
        <v>59</v>
      </c>
      <c r="E167" s="1665" t="s">
        <v>58</v>
      </c>
      <c r="F167" s="1663" t="s">
        <v>59</v>
      </c>
      <c r="G167" s="1665" t="s">
        <v>58</v>
      </c>
      <c r="H167" s="1663" t="s">
        <v>59</v>
      </c>
      <c r="I167" s="1665" t="s">
        <v>58</v>
      </c>
      <c r="J167" s="1663" t="s">
        <v>59</v>
      </c>
      <c r="K167" s="1665" t="s">
        <v>58</v>
      </c>
      <c r="L167" s="1663" t="s">
        <v>59</v>
      </c>
      <c r="M167" s="1665" t="s">
        <v>58</v>
      </c>
      <c r="N167" s="1663" t="s">
        <v>59</v>
      </c>
      <c r="O167" s="1665" t="s">
        <v>58</v>
      </c>
      <c r="P167" s="1663" t="s">
        <v>59</v>
      </c>
      <c r="Q167" s="1665" t="s">
        <v>58</v>
      </c>
      <c r="R167" s="1663" t="s">
        <v>59</v>
      </c>
      <c r="S167" s="1665" t="s">
        <v>58</v>
      </c>
      <c r="T167" s="1663" t="s">
        <v>59</v>
      </c>
      <c r="U167" s="1665" t="s">
        <v>58</v>
      </c>
      <c r="V167" s="1663" t="s">
        <v>59</v>
      </c>
      <c r="W167" s="1665" t="s">
        <v>58</v>
      </c>
      <c r="X167" s="1663" t="s">
        <v>59</v>
      </c>
      <c r="Y167" s="1665" t="s">
        <v>58</v>
      </c>
      <c r="Z167" s="1663" t="s">
        <v>59</v>
      </c>
      <c r="AA167" s="1665" t="s">
        <v>58</v>
      </c>
      <c r="AB167" s="1663" t="s">
        <v>59</v>
      </c>
      <c r="AC167" s="1665" t="s">
        <v>58</v>
      </c>
      <c r="AD167" s="1663" t="s">
        <v>59</v>
      </c>
      <c r="AE167" s="1665" t="s">
        <v>58</v>
      </c>
      <c r="AF167" s="1530" t="s">
        <v>59</v>
      </c>
      <c r="AG167" s="6669"/>
      <c r="AH167" s="6483"/>
      <c r="AI167" s="6687"/>
    </row>
    <row r="168" spans="1:90" s="161" customFormat="1" ht="15" customHeight="1" x14ac:dyDescent="0.3">
      <c r="A168" s="319" t="s">
        <v>4044</v>
      </c>
      <c r="B168" s="1621">
        <f>SUM(C168:D168)</f>
        <v>0</v>
      </c>
      <c r="C168" s="1622">
        <f t="shared" ref="C168:D170" si="105">+E168+G168+I168+K168+M168+O168+Q168+S168+U168+W168+Y168+AA168+AC168+AE168</f>
        <v>0</v>
      </c>
      <c r="D168" s="1666">
        <f t="shared" si="105"/>
        <v>0</v>
      </c>
      <c r="E168" s="1667"/>
      <c r="F168" s="1498"/>
      <c r="G168" s="1667"/>
      <c r="H168" s="1498"/>
      <c r="I168" s="1667"/>
      <c r="J168" s="1498"/>
      <c r="K168" s="1667"/>
      <c r="L168" s="1498"/>
      <c r="M168" s="1667"/>
      <c r="N168" s="1498"/>
      <c r="O168" s="1667"/>
      <c r="P168" s="1498"/>
      <c r="Q168" s="1667"/>
      <c r="R168" s="1498"/>
      <c r="S168" s="1667"/>
      <c r="T168" s="1498"/>
      <c r="U168" s="1667"/>
      <c r="V168" s="1498"/>
      <c r="W168" s="1667"/>
      <c r="X168" s="1498"/>
      <c r="Y168" s="1667"/>
      <c r="Z168" s="1498"/>
      <c r="AA168" s="1667"/>
      <c r="AB168" s="1498"/>
      <c r="AC168" s="1667"/>
      <c r="AD168" s="1498"/>
      <c r="AE168" s="1667"/>
      <c r="AF168" s="1668"/>
      <c r="AG168" s="1669"/>
      <c r="AH168" s="1523"/>
      <c r="AI168" s="1501"/>
      <c r="AJ168" s="161" t="str">
        <f>CA168&amp;CB168&amp;CE168&amp;CF168</f>
        <v/>
      </c>
      <c r="CA168" s="162" t="str">
        <f>IF(AND(B168&gt;0,AH168="")," * No olvide digitar La variable Pueblos Originarios. Digite CERO si no tiene.",IF(AH168&gt;B168," * La variable Pueblos Originarios no puede ser mayor al Total Ambos Sexos.",""))</f>
        <v/>
      </c>
      <c r="CB168" s="162" t="str">
        <f>IF(AND(B168&gt;0,AI168="")," * No olvide digitar La variable Migrantes. Digite CERO si no tiene.",IF(AI168&gt;B168," * La variable Migrantes no puede ser mayor al Total Ambos Sexos.",""))</f>
        <v/>
      </c>
      <c r="CK168" s="163">
        <f>IF(AND(B168&gt;0,AH168=""),1,IF(AH168&gt;B168,1,0))</f>
        <v>0</v>
      </c>
      <c r="CL168" s="163">
        <f>IF(AND(B168&gt;0,AI168=""),1,IF(AI168&gt;B168,1,0))</f>
        <v>0</v>
      </c>
    </row>
    <row r="169" spans="1:90" s="161" customFormat="1" ht="15" customHeight="1" x14ac:dyDescent="0.3">
      <c r="A169" s="319" t="s">
        <v>4045</v>
      </c>
      <c r="B169" s="420">
        <f>SUM(C169:D169)</f>
        <v>0</v>
      </c>
      <c r="C169" s="1649">
        <f t="shared" si="105"/>
        <v>0</v>
      </c>
      <c r="D169" s="221">
        <f t="shared" si="105"/>
        <v>0</v>
      </c>
      <c r="E169" s="1494"/>
      <c r="F169" s="1503"/>
      <c r="G169" s="1494"/>
      <c r="H169" s="1503"/>
      <c r="I169" s="1494"/>
      <c r="J169" s="1503"/>
      <c r="K169" s="1494"/>
      <c r="L169" s="1503"/>
      <c r="M169" s="1494"/>
      <c r="N169" s="1503"/>
      <c r="O169" s="1494"/>
      <c r="P169" s="1503"/>
      <c r="Q169" s="1494"/>
      <c r="R169" s="1503"/>
      <c r="S169" s="1494"/>
      <c r="T169" s="1503"/>
      <c r="U169" s="1494"/>
      <c r="V169" s="1503"/>
      <c r="W169" s="1494"/>
      <c r="X169" s="1503"/>
      <c r="Y169" s="1494"/>
      <c r="Z169" s="1503"/>
      <c r="AA169" s="1494"/>
      <c r="AB169" s="1503"/>
      <c r="AC169" s="1494"/>
      <c r="AD169" s="1503"/>
      <c r="AE169" s="1494"/>
      <c r="AF169" s="1670"/>
      <c r="AG169" s="1671"/>
      <c r="AH169" s="1494"/>
      <c r="AI169" s="1506"/>
      <c r="AJ169" s="161" t="str">
        <f>CA169&amp;CB169&amp;CE169&amp;CF169</f>
        <v/>
      </c>
      <c r="CA169" s="162" t="str">
        <f t="shared" ref="CA169:CA170" si="106">IF(AND(B169&gt;0,AH169="")," * No olvide digitar La variable Pueblos Originarios. Digite CERO si no tiene.",IF(AH169&gt;B169," * La variable Pueblos Originarios no puede ser mayor al Total Ambos Sexos.",""))</f>
        <v/>
      </c>
      <c r="CB169" s="162" t="str">
        <f t="shared" ref="CB169:CB170" si="107">IF(AND(B169&gt;0,AI169="")," * No olvide digitar La variable Migrantes. Digite CERO si no tiene.",IF(AI169&gt;B169," * La variable Migrantes no puede ser mayor al Total Ambos Sexos.",""))</f>
        <v/>
      </c>
      <c r="CK169" s="163">
        <f>IF(AND(B169&gt;0,AH169=""),1,IF(AH169&gt;B169,1,0))</f>
        <v>0</v>
      </c>
      <c r="CL169" s="163">
        <f>IF(AND(B169&gt;0,AI169=""),1,IF(AI169&gt;B169,1,0))</f>
        <v>0</v>
      </c>
    </row>
    <row r="170" spans="1:90" s="161" customFormat="1" ht="15" customHeight="1" x14ac:dyDescent="0.3">
      <c r="A170" s="319" t="s">
        <v>4056</v>
      </c>
      <c r="B170" s="420">
        <f>SUM(C170:D170)</f>
        <v>0</v>
      </c>
      <c r="C170" s="1649">
        <f t="shared" si="105"/>
        <v>0</v>
      </c>
      <c r="D170" s="221">
        <f t="shared" si="105"/>
        <v>0</v>
      </c>
      <c r="E170" s="407"/>
      <c r="F170" s="1535"/>
      <c r="G170" s="407"/>
      <c r="H170" s="1535"/>
      <c r="I170" s="407"/>
      <c r="J170" s="1535"/>
      <c r="K170" s="407"/>
      <c r="L170" s="1535"/>
      <c r="M170" s="407"/>
      <c r="N170" s="1535"/>
      <c r="O170" s="407"/>
      <c r="P170" s="1535"/>
      <c r="Q170" s="407"/>
      <c r="R170" s="1535"/>
      <c r="S170" s="407"/>
      <c r="T170" s="1535"/>
      <c r="U170" s="407"/>
      <c r="V170" s="1535"/>
      <c r="W170" s="407"/>
      <c r="X170" s="1535"/>
      <c r="Y170" s="407"/>
      <c r="Z170" s="1535"/>
      <c r="AA170" s="407"/>
      <c r="AB170" s="1535"/>
      <c r="AC170" s="407"/>
      <c r="AD170" s="1535"/>
      <c r="AE170" s="407"/>
      <c r="AF170" s="1672"/>
      <c r="AG170" s="415"/>
      <c r="AH170" s="407"/>
      <c r="AI170" s="219"/>
      <c r="AJ170" s="161" t="str">
        <f>CA170&amp;CB170&amp;CE170&amp;CF170</f>
        <v/>
      </c>
      <c r="CA170" s="162" t="str">
        <f t="shared" si="106"/>
        <v/>
      </c>
      <c r="CB170" s="162" t="str">
        <f t="shared" si="107"/>
        <v/>
      </c>
      <c r="CK170" s="163">
        <f>IF(AND(B170&gt;0,AH170=""),1,IF(AH170&gt;B170,1,0))</f>
        <v>0</v>
      </c>
      <c r="CL170" s="163">
        <f>IF(AND(B170&gt;0,AI170=""),1,IF(AI170&gt;B170,1,0))</f>
        <v>0</v>
      </c>
    </row>
    <row r="171" spans="1:90" s="161" customFormat="1" ht="15" customHeight="1" x14ac:dyDescent="0.3">
      <c r="A171" s="893" t="s">
        <v>4057</v>
      </c>
      <c r="B171" s="1673"/>
      <c r="C171" s="1674"/>
      <c r="D171" s="422"/>
      <c r="E171" s="1675"/>
      <c r="F171" s="279"/>
      <c r="G171" s="1675"/>
      <c r="H171" s="279"/>
      <c r="I171" s="1675"/>
      <c r="J171" s="279"/>
      <c r="K171" s="1675"/>
      <c r="L171" s="279"/>
      <c r="M171" s="1675"/>
      <c r="N171" s="279"/>
      <c r="O171" s="1675"/>
      <c r="P171" s="279"/>
      <c r="Q171" s="1675"/>
      <c r="R171" s="279"/>
      <c r="S171" s="1675"/>
      <c r="T171" s="279"/>
      <c r="U171" s="1675"/>
      <c r="V171" s="279"/>
      <c r="W171" s="1675"/>
      <c r="X171" s="279"/>
      <c r="Y171" s="1675"/>
      <c r="Z171" s="279"/>
      <c r="AA171" s="1675"/>
      <c r="AB171" s="279"/>
      <c r="AC171" s="1675"/>
      <c r="AD171" s="279"/>
      <c r="AE171" s="1675"/>
      <c r="AF171" s="280"/>
      <c r="AG171" s="281"/>
      <c r="AH171" s="1675"/>
      <c r="AI171" s="1676"/>
    </row>
    <row r="172" spans="1:90" s="161" customFormat="1" ht="17.100000000000001" customHeight="1" x14ac:dyDescent="0.3">
      <c r="A172" s="144" t="s">
        <v>4058</v>
      </c>
    </row>
    <row r="173" spans="1:90" s="161" customFormat="1" ht="15" customHeight="1" x14ac:dyDescent="0.3">
      <c r="A173" s="7557" t="s">
        <v>2337</v>
      </c>
      <c r="B173" s="7557" t="s">
        <v>4043</v>
      </c>
      <c r="C173" s="7579" t="s">
        <v>4059</v>
      </c>
      <c r="D173" s="7473"/>
      <c r="E173" s="7557" t="s">
        <v>4060</v>
      </c>
      <c r="F173" s="7579" t="s">
        <v>29</v>
      </c>
      <c r="G173" s="7473"/>
      <c r="H173" s="7473"/>
      <c r="I173" s="7473"/>
      <c r="J173" s="7473"/>
      <c r="K173" s="7473"/>
      <c r="L173" s="7473"/>
      <c r="M173" s="7473"/>
      <c r="N173" s="7473"/>
      <c r="O173" s="7473"/>
      <c r="P173" s="7473"/>
      <c r="Q173" s="7473"/>
      <c r="R173" s="7473"/>
      <c r="S173" s="7473"/>
      <c r="T173" s="7580"/>
    </row>
    <row r="174" spans="1:90" s="161" customFormat="1" ht="20.399999999999999" x14ac:dyDescent="0.3">
      <c r="A174" s="6917"/>
      <c r="B174" s="6917"/>
      <c r="C174" s="1677" t="s">
        <v>4044</v>
      </c>
      <c r="D174" s="1678" t="s">
        <v>4061</v>
      </c>
      <c r="E174" s="6917"/>
      <c r="F174" s="1677" t="s">
        <v>81</v>
      </c>
      <c r="G174" s="1679" t="s">
        <v>82</v>
      </c>
      <c r="H174" s="1679" t="s">
        <v>83</v>
      </c>
      <c r="I174" s="1679" t="s">
        <v>84</v>
      </c>
      <c r="J174" s="1679" t="s">
        <v>2029</v>
      </c>
      <c r="K174" s="1679" t="s">
        <v>86</v>
      </c>
      <c r="L174" s="1679" t="s">
        <v>223</v>
      </c>
      <c r="M174" s="1679" t="s">
        <v>88</v>
      </c>
      <c r="N174" s="1679" t="s">
        <v>224</v>
      </c>
      <c r="O174" s="1679" t="s">
        <v>4062</v>
      </c>
      <c r="P174" s="1679" t="s">
        <v>4063</v>
      </c>
      <c r="Q174" s="1679" t="s">
        <v>4064</v>
      </c>
      <c r="R174" s="1679" t="s">
        <v>226</v>
      </c>
      <c r="S174" s="1679" t="s">
        <v>4065</v>
      </c>
      <c r="T174" s="1678" t="s">
        <v>4066</v>
      </c>
    </row>
    <row r="175" spans="1:90" s="161" customFormat="1" ht="15" customHeight="1" x14ac:dyDescent="0.3">
      <c r="A175" s="319" t="s">
        <v>98</v>
      </c>
      <c r="B175" s="1445">
        <f>SUM(C175:D175)</f>
        <v>0</v>
      </c>
      <c r="C175" s="407"/>
      <c r="D175" s="235"/>
      <c r="E175" s="1445">
        <f>+F175+G175+H175+I175+K175+L175+M175+N175+O175+P175+Q175+R175+S175+T175</f>
        <v>0</v>
      </c>
      <c r="F175" s="1494"/>
      <c r="G175" s="1495"/>
      <c r="H175" s="1495"/>
      <c r="I175" s="1495"/>
      <c r="J175" s="1680"/>
      <c r="K175" s="1495"/>
      <c r="L175" s="1495"/>
      <c r="M175" s="1495"/>
      <c r="N175" s="1495"/>
      <c r="O175" s="1495"/>
      <c r="P175" s="1495"/>
      <c r="Q175" s="1495"/>
      <c r="R175" s="1495"/>
      <c r="S175" s="1495"/>
      <c r="T175" s="1506"/>
    </row>
    <row r="176" spans="1:90" s="161" customFormat="1" ht="15" customHeight="1" x14ac:dyDescent="0.3">
      <c r="A176" s="319" t="s">
        <v>64</v>
      </c>
      <c r="B176" s="1485">
        <f>SUM(C176:D176)</f>
        <v>0</v>
      </c>
      <c r="C176" s="1494"/>
      <c r="D176" s="1502"/>
      <c r="E176" s="1447">
        <f>+F176+G176+H176+I176+K176+L176+M176+N176+O176+P176+Q176+R176+S176+T176</f>
        <v>0</v>
      </c>
      <c r="F176" s="1494"/>
      <c r="G176" s="1495"/>
      <c r="H176" s="1495"/>
      <c r="I176" s="1495"/>
      <c r="J176" s="1681"/>
      <c r="K176" s="1495"/>
      <c r="L176" s="1495"/>
      <c r="M176" s="1495"/>
      <c r="N176" s="1495"/>
      <c r="O176" s="1495"/>
      <c r="P176" s="1495"/>
      <c r="Q176" s="1495"/>
      <c r="R176" s="1495"/>
      <c r="S176" s="1495"/>
      <c r="T176" s="1506"/>
    </row>
    <row r="177" spans="1:20" s="161" customFormat="1" ht="15" customHeight="1" x14ac:dyDescent="0.3">
      <c r="A177" s="319" t="s">
        <v>105</v>
      </c>
      <c r="B177" s="1485">
        <f>SUM(C177:D177)</f>
        <v>0</v>
      </c>
      <c r="C177" s="1494"/>
      <c r="D177" s="1502"/>
      <c r="E177" s="1447">
        <f>SUM(F177:T177)</f>
        <v>0</v>
      </c>
      <c r="F177" s="1494"/>
      <c r="G177" s="1495"/>
      <c r="H177" s="1495"/>
      <c r="I177" s="1495"/>
      <c r="J177" s="1495"/>
      <c r="K177" s="1495"/>
      <c r="L177" s="1495"/>
      <c r="M177" s="1495"/>
      <c r="N177" s="1495"/>
      <c r="O177" s="1495"/>
      <c r="P177" s="1495"/>
      <c r="Q177" s="1495"/>
      <c r="R177" s="1495"/>
      <c r="S177" s="1495"/>
      <c r="T177" s="1506"/>
    </row>
    <row r="178" spans="1:20" s="161" customFormat="1" ht="15" customHeight="1" x14ac:dyDescent="0.3">
      <c r="A178" s="1224" t="s">
        <v>4067</v>
      </c>
      <c r="B178" s="938">
        <f>SUM(C178:D178)</f>
        <v>0</v>
      </c>
      <c r="C178" s="1544"/>
      <c r="D178" s="1579"/>
      <c r="E178" s="1682">
        <f>+F178+G178+H178+I178+K178+L178+M178+N178+O178+P178+Q178+R178+S178+T178</f>
        <v>0</v>
      </c>
      <c r="F178" s="1544"/>
      <c r="G178" s="1545"/>
      <c r="H178" s="1545"/>
      <c r="I178" s="1545"/>
      <c r="J178" s="282"/>
      <c r="K178" s="1545"/>
      <c r="L178" s="1545"/>
      <c r="M178" s="1545"/>
      <c r="N178" s="1545"/>
      <c r="O178" s="1545"/>
      <c r="P178" s="1545"/>
      <c r="Q178" s="1545"/>
      <c r="R178" s="1545"/>
      <c r="S178" s="1545"/>
      <c r="T178" s="411"/>
    </row>
    <row r="179" spans="1:20" s="160" customFormat="1" ht="17.100000000000001" customHeight="1" x14ac:dyDescent="0.3">
      <c r="A179" s="144" t="s">
        <v>4068</v>
      </c>
    </row>
    <row r="180" spans="1:20" s="161" customFormat="1" ht="15" customHeight="1" x14ac:dyDescent="0.3">
      <c r="A180" s="7547" t="s">
        <v>4069</v>
      </c>
      <c r="B180" s="7552" t="s">
        <v>4070</v>
      </c>
      <c r="C180" s="7523"/>
      <c r="D180" s="7553"/>
      <c r="E180" s="7552" t="s">
        <v>4071</v>
      </c>
      <c r="F180" s="7523"/>
      <c r="G180" s="7553"/>
    </row>
    <row r="181" spans="1:20" s="161" customFormat="1" ht="15" customHeight="1" x14ac:dyDescent="0.3">
      <c r="A181" s="6465"/>
      <c r="B181" s="1684" t="s">
        <v>79</v>
      </c>
      <c r="C181" s="1677" t="s">
        <v>58</v>
      </c>
      <c r="D181" s="1678" t="s">
        <v>59</v>
      </c>
      <c r="E181" s="1684" t="s">
        <v>79</v>
      </c>
      <c r="F181" s="1677" t="s">
        <v>58</v>
      </c>
      <c r="G181" s="1678" t="s">
        <v>59</v>
      </c>
    </row>
    <row r="182" spans="1:20" s="161" customFormat="1" ht="15" customHeight="1" x14ac:dyDescent="0.3">
      <c r="A182" s="319" t="s">
        <v>4072</v>
      </c>
      <c r="B182" s="1685">
        <f>SUM(C182:D182)</f>
        <v>0</v>
      </c>
      <c r="C182" s="1686"/>
      <c r="D182" s="1687"/>
      <c r="E182" s="1685">
        <f>SUM(F182:G182)</f>
        <v>0</v>
      </c>
      <c r="F182" s="1686"/>
      <c r="G182" s="1687"/>
    </row>
    <row r="183" spans="1:20" s="161" customFormat="1" ht="15" customHeight="1" x14ac:dyDescent="0.3">
      <c r="A183" s="1224" t="s">
        <v>4073</v>
      </c>
      <c r="B183" s="1688">
        <f>SUM(C183:D183)</f>
        <v>0</v>
      </c>
      <c r="C183" s="1689"/>
      <c r="D183" s="1690"/>
      <c r="E183" s="1688">
        <f>SUM(F183:G183)</f>
        <v>0</v>
      </c>
      <c r="F183" s="1689"/>
      <c r="G183" s="1690"/>
    </row>
    <row r="184" spans="1:20" s="160" customFormat="1" ht="17.100000000000001" customHeight="1" x14ac:dyDescent="0.3">
      <c r="A184" s="175" t="s">
        <v>4074</v>
      </c>
    </row>
    <row r="185" spans="1:20" x14ac:dyDescent="0.3">
      <c r="A185" s="7581" t="s">
        <v>219</v>
      </c>
      <c r="B185" s="7582" t="s">
        <v>4043</v>
      </c>
      <c r="C185" s="7584" t="s">
        <v>4075</v>
      </c>
      <c r="D185" s="6555"/>
      <c r="E185" s="7585"/>
      <c r="F185" s="7557" t="s">
        <v>4060</v>
      </c>
      <c r="G185" s="7586" t="s">
        <v>29</v>
      </c>
      <c r="H185" s="7587"/>
      <c r="I185" s="7587"/>
      <c r="J185" s="7587"/>
      <c r="K185" s="7587"/>
      <c r="L185" s="7581"/>
    </row>
    <row r="186" spans="1:20" ht="20.399999999999999" x14ac:dyDescent="0.3">
      <c r="A186" s="6899"/>
      <c r="B186" s="7583"/>
      <c r="C186" s="1691" t="s">
        <v>4076</v>
      </c>
      <c r="D186" s="1692" t="s">
        <v>4045</v>
      </c>
      <c r="E186" s="1693" t="s">
        <v>4077</v>
      </c>
      <c r="F186" s="6917"/>
      <c r="G186" s="1694" t="s">
        <v>222</v>
      </c>
      <c r="H186" s="1695" t="s">
        <v>4078</v>
      </c>
      <c r="I186" s="1695" t="s">
        <v>4079</v>
      </c>
      <c r="J186" s="1695" t="s">
        <v>4080</v>
      </c>
      <c r="K186" s="1695" t="s">
        <v>4081</v>
      </c>
      <c r="L186" s="1696" t="s">
        <v>4082</v>
      </c>
    </row>
    <row r="187" spans="1:20" x14ac:dyDescent="0.3">
      <c r="A187" s="319" t="s">
        <v>4083</v>
      </c>
      <c r="B187" s="423">
        <f>SUM(C187:D187)</f>
        <v>0</v>
      </c>
      <c r="C187" s="407"/>
      <c r="D187" s="1536"/>
      <c r="E187" s="225"/>
      <c r="F187" s="1445">
        <f>SUM(G187:L187)</f>
        <v>0</v>
      </c>
      <c r="G187" s="1667"/>
      <c r="H187" s="1497"/>
      <c r="I187" s="1497"/>
      <c r="J187" s="1497"/>
      <c r="K187" s="1497"/>
      <c r="L187" s="219"/>
    </row>
    <row r="188" spans="1:20" x14ac:dyDescent="0.3">
      <c r="A188" s="319" t="s">
        <v>4084</v>
      </c>
      <c r="B188" s="1447">
        <f>SUM(C188:E188)</f>
        <v>0</v>
      </c>
      <c r="C188" s="1494"/>
      <c r="D188" s="1495"/>
      <c r="E188" s="235"/>
      <c r="F188" s="1447">
        <f>SUM(G188:L188)</f>
        <v>0</v>
      </c>
      <c r="G188" s="1494"/>
      <c r="H188" s="1495"/>
      <c r="I188" s="1495"/>
      <c r="J188" s="1495"/>
      <c r="K188" s="1495"/>
      <c r="L188" s="1506"/>
    </row>
    <row r="189" spans="1:20" x14ac:dyDescent="0.3">
      <c r="A189" s="1224" t="s">
        <v>4085</v>
      </c>
      <c r="B189" s="1589">
        <f>SUM(C189:D189)</f>
        <v>0</v>
      </c>
      <c r="C189" s="1544"/>
      <c r="D189" s="1545"/>
      <c r="E189" s="424"/>
      <c r="F189" s="938">
        <f>SUM(G189:L189)</f>
        <v>0</v>
      </c>
      <c r="G189" s="1544"/>
      <c r="H189" s="1545"/>
      <c r="I189" s="1545"/>
      <c r="J189" s="1545"/>
      <c r="K189" s="1545"/>
      <c r="L189" s="411"/>
    </row>
    <row r="190" spans="1:20" s="160" customFormat="1" ht="17.100000000000001" customHeight="1" x14ac:dyDescent="0.3">
      <c r="A190" s="7562" t="s">
        <v>4086</v>
      </c>
      <c r="B190" s="7562"/>
      <c r="C190" s="7562"/>
    </row>
    <row r="191" spans="1:20" ht="15" customHeight="1" x14ac:dyDescent="0.3">
      <c r="A191" s="7417" t="s">
        <v>4087</v>
      </c>
      <c r="B191" s="7406"/>
      <c r="C191" s="7567" t="s">
        <v>4088</v>
      </c>
      <c r="D191" s="6428" t="s">
        <v>4089</v>
      </c>
      <c r="E191" s="7576"/>
      <c r="F191" s="7576"/>
      <c r="G191" s="7576"/>
      <c r="H191" s="7576"/>
      <c r="I191" s="7576"/>
      <c r="J191" s="7577"/>
      <c r="K191" s="7578" t="s">
        <v>4090</v>
      </c>
      <c r="L191" s="7578"/>
      <c r="M191" s="7578"/>
      <c r="N191" s="7548"/>
    </row>
    <row r="192" spans="1:20" ht="20.399999999999999" x14ac:dyDescent="0.3">
      <c r="A192" s="6482"/>
      <c r="B192" s="6645"/>
      <c r="C192" s="6471"/>
      <c r="D192" s="1691" t="s">
        <v>4076</v>
      </c>
      <c r="E192" s="1692" t="s">
        <v>4091</v>
      </c>
      <c r="F192" s="1692" t="s">
        <v>4092</v>
      </c>
      <c r="G192" s="1693" t="s">
        <v>4093</v>
      </c>
      <c r="H192" s="1697" t="s">
        <v>4060</v>
      </c>
      <c r="I192" s="1691" t="s">
        <v>453</v>
      </c>
      <c r="J192" s="1693" t="s">
        <v>4094</v>
      </c>
      <c r="K192" s="1691" t="s">
        <v>4095</v>
      </c>
      <c r="L192" s="1692" t="s">
        <v>4096</v>
      </c>
      <c r="M192" s="1692" t="s">
        <v>4097</v>
      </c>
      <c r="N192" s="1698" t="s">
        <v>4098</v>
      </c>
    </row>
    <row r="193" spans="1:91" ht="15" customHeight="1" x14ac:dyDescent="0.3">
      <c r="A193" s="7564" t="s">
        <v>4099</v>
      </c>
      <c r="B193" s="1699" t="s">
        <v>4100</v>
      </c>
      <c r="C193" s="1445">
        <f>SUM(E193+G193)</f>
        <v>0</v>
      </c>
      <c r="D193" s="1700"/>
      <c r="E193" s="1495"/>
      <c r="F193" s="1680"/>
      <c r="G193" s="1502"/>
      <c r="H193" s="1445">
        <f>+K193+L193+M193</f>
        <v>0</v>
      </c>
      <c r="I193" s="1700"/>
      <c r="J193" s="1701"/>
      <c r="K193" s="1502"/>
      <c r="L193" s="1495"/>
      <c r="M193" s="1495"/>
      <c r="N193" s="1702"/>
    </row>
    <row r="194" spans="1:91" ht="15" customHeight="1" x14ac:dyDescent="0.3">
      <c r="A194" s="5844"/>
      <c r="B194" s="1462" t="s">
        <v>4101</v>
      </c>
      <c r="C194" s="1447">
        <f>SUM(D194+E194+G194)</f>
        <v>0</v>
      </c>
      <c r="D194" s="1494"/>
      <c r="E194" s="1495"/>
      <c r="F194" s="1703"/>
      <c r="G194" s="1502"/>
      <c r="H194" s="1447">
        <f>SUM(I194:M194)</f>
        <v>0</v>
      </c>
      <c r="I194" s="407"/>
      <c r="J194" s="219"/>
      <c r="K194" s="1502"/>
      <c r="L194" s="1495"/>
      <c r="M194" s="1495"/>
      <c r="N194" s="1702"/>
    </row>
    <row r="195" spans="1:91" ht="15" customHeight="1" x14ac:dyDescent="0.3">
      <c r="A195" s="5844"/>
      <c r="B195" s="1462" t="s">
        <v>4102</v>
      </c>
      <c r="C195" s="1447">
        <f>+F195+G195</f>
        <v>0</v>
      </c>
      <c r="D195" s="425"/>
      <c r="E195" s="1703"/>
      <c r="F195" s="1495"/>
      <c r="G195" s="1502"/>
      <c r="H195" s="1447">
        <f>SUM(I195:M195)</f>
        <v>0</v>
      </c>
      <c r="I195" s="1494"/>
      <c r="J195" s="1506"/>
      <c r="K195" s="1502"/>
      <c r="L195" s="1495"/>
      <c r="M195" s="1495"/>
      <c r="N195" s="225"/>
    </row>
    <row r="196" spans="1:91" ht="15" customHeight="1" x14ac:dyDescent="0.3">
      <c r="A196" s="6574"/>
      <c r="B196" s="1704" t="s">
        <v>4103</v>
      </c>
      <c r="C196" s="1395">
        <f>SUM(D196:G196)</f>
        <v>0</v>
      </c>
      <c r="D196" s="1544"/>
      <c r="E196" s="1545"/>
      <c r="F196" s="1545"/>
      <c r="G196" s="411"/>
      <c r="H196" s="1682">
        <f>+N196</f>
        <v>0</v>
      </c>
      <c r="I196" s="1705"/>
      <c r="J196" s="424"/>
      <c r="K196" s="1706"/>
      <c r="L196" s="1707"/>
      <c r="M196" s="1707"/>
      <c r="N196" s="411"/>
    </row>
    <row r="197" spans="1:91" s="160" customFormat="1" ht="17.100000000000001" customHeight="1" x14ac:dyDescent="0.3">
      <c r="A197" s="175" t="s">
        <v>4104</v>
      </c>
    </row>
    <row r="198" spans="1:91" s="161" customFormat="1" ht="15.75" customHeight="1" x14ac:dyDescent="0.3">
      <c r="A198" s="7558" t="s">
        <v>219</v>
      </c>
      <c r="B198" s="7558" t="s">
        <v>4105</v>
      </c>
      <c r="C198" s="7559" t="s">
        <v>4106</v>
      </c>
      <c r="D198" s="7549" t="s">
        <v>4090</v>
      </c>
      <c r="E198" s="7561"/>
      <c r="F198" s="7549" t="s">
        <v>4107</v>
      </c>
      <c r="G198" s="7550"/>
      <c r="H198" s="7550"/>
      <c r="I198" s="7550"/>
      <c r="J198" s="7550"/>
      <c r="K198" s="7550"/>
      <c r="L198" s="7550"/>
      <c r="M198" s="7550"/>
      <c r="N198" s="7550"/>
      <c r="O198" s="7550"/>
      <c r="P198" s="7550"/>
      <c r="Q198" s="7550"/>
      <c r="R198" s="7550"/>
      <c r="S198" s="7550"/>
      <c r="T198" s="7533" t="s">
        <v>453</v>
      </c>
      <c r="U198" s="7539" t="s">
        <v>67</v>
      </c>
    </row>
    <row r="199" spans="1:91" s="161" customFormat="1" ht="20.399999999999999" x14ac:dyDescent="0.3">
      <c r="A199" s="7558"/>
      <c r="B199" s="7558"/>
      <c r="C199" s="7560"/>
      <c r="D199" s="1677" t="s">
        <v>4095</v>
      </c>
      <c r="E199" s="1678" t="s">
        <v>4402</v>
      </c>
      <c r="F199" s="1708" t="s">
        <v>529</v>
      </c>
      <c r="G199" s="1709" t="s">
        <v>325</v>
      </c>
      <c r="H199" s="1709" t="s">
        <v>326</v>
      </c>
      <c r="I199" s="1709" t="s">
        <v>94</v>
      </c>
      <c r="J199" s="1709" t="s">
        <v>44</v>
      </c>
      <c r="K199" s="1709" t="s">
        <v>305</v>
      </c>
      <c r="L199" s="1709" t="s">
        <v>46</v>
      </c>
      <c r="M199" s="1709" t="s">
        <v>47</v>
      </c>
      <c r="N199" s="1709" t="s">
        <v>48</v>
      </c>
      <c r="O199" s="1709" t="s">
        <v>49</v>
      </c>
      <c r="P199" s="1709" t="s">
        <v>50</v>
      </c>
      <c r="Q199" s="1709" t="s">
        <v>51</v>
      </c>
      <c r="R199" s="1709" t="s">
        <v>52</v>
      </c>
      <c r="S199" s="1710" t="s">
        <v>53</v>
      </c>
      <c r="T199" s="7535"/>
      <c r="U199" s="7541"/>
    </row>
    <row r="200" spans="1:91" s="161" customFormat="1" ht="15" customHeight="1" x14ac:dyDescent="0.3">
      <c r="A200" s="1711" t="s">
        <v>4108</v>
      </c>
      <c r="B200" s="1494"/>
      <c r="C200" s="1712">
        <f>SUM(D200:S200)</f>
        <v>0</v>
      </c>
      <c r="D200" s="1494"/>
      <c r="E200" s="1502"/>
      <c r="F200" s="1494"/>
      <c r="G200" s="1495"/>
      <c r="H200" s="1495"/>
      <c r="I200" s="1495"/>
      <c r="J200" s="1495"/>
      <c r="K200" s="1495"/>
      <c r="L200" s="1495"/>
      <c r="M200" s="1495"/>
      <c r="N200" s="1495"/>
      <c r="O200" s="1495"/>
      <c r="P200" s="1495"/>
      <c r="Q200" s="1495"/>
      <c r="R200" s="1495"/>
      <c r="S200" s="1670"/>
      <c r="T200" s="409"/>
      <c r="U200" s="219"/>
      <c r="V200" s="161" t="str">
        <f>CA200&amp;CB200&amp;CC200&amp;CF200</f>
        <v/>
      </c>
      <c r="CA200" s="162" t="str">
        <f>IF(AND(T200="",C200&gt;0)," * No olvide digitar la variable Gestantes. Digite CERO si no tiene.","")</f>
        <v/>
      </c>
      <c r="CB200" s="162" t="str">
        <f>IF(AND(U200="",C200&gt;0)," * No olvide digitar la variable Post Parto. Digite CERO si no tiene.","")</f>
        <v/>
      </c>
      <c r="CC200" s="162"/>
      <c r="CF200" s="1971"/>
      <c r="CG200" s="1971"/>
      <c r="CH200" s="1971"/>
      <c r="CI200" s="1971"/>
      <c r="CJ200" s="1971"/>
      <c r="CK200" s="163">
        <f>IF(AND(T200="",C200&gt;0),1,0)</f>
        <v>0</v>
      </c>
      <c r="CL200" s="163">
        <f>IF(AND(U200="",C200&gt;0),1,0)</f>
        <v>0</v>
      </c>
      <c r="CM200" s="163"/>
    </row>
    <row r="201" spans="1:91" s="161" customFormat="1" ht="15" customHeight="1" x14ac:dyDescent="0.3">
      <c r="A201" s="1711" t="s">
        <v>4109</v>
      </c>
      <c r="B201" s="1494"/>
      <c r="C201" s="1713">
        <f>SUM(D201:S201)</f>
        <v>0</v>
      </c>
      <c r="D201" s="1494"/>
      <c r="E201" s="1502"/>
      <c r="F201" s="1494"/>
      <c r="G201" s="1495"/>
      <c r="H201" s="1495"/>
      <c r="I201" s="1495"/>
      <c r="J201" s="1495"/>
      <c r="K201" s="1495"/>
      <c r="L201" s="1495"/>
      <c r="M201" s="1495"/>
      <c r="N201" s="1495"/>
      <c r="O201" s="1495"/>
      <c r="P201" s="1495"/>
      <c r="Q201" s="1495"/>
      <c r="R201" s="1495"/>
      <c r="S201" s="1670"/>
      <c r="T201" s="1574"/>
      <c r="U201" s="1506"/>
      <c r="V201" s="161" t="str">
        <f>CA201&amp;CB201&amp;CC201&amp;CF201</f>
        <v/>
      </c>
      <c r="CA201" s="162" t="str">
        <f>IF(AND(T201="",C201&gt;0)," * No olvide digitar la variable Gestantes. Digite CERO si no tiene.","")</f>
        <v/>
      </c>
      <c r="CB201" s="162" t="str">
        <f>IF(AND(U201="",C201&gt;0)," * No olvide digitar la variable Post Parto. Digite CERO si no tiene.","")</f>
        <v/>
      </c>
      <c r="CC201" s="162"/>
      <c r="CF201" s="1971"/>
      <c r="CG201" s="1971"/>
      <c r="CH201" s="1971"/>
      <c r="CI201" s="1971"/>
      <c r="CJ201" s="1971"/>
      <c r="CK201" s="163">
        <f>IF(AND(T201="",C201&gt;0),1,0)</f>
        <v>0</v>
      </c>
      <c r="CL201" s="163">
        <f>IF(AND(U201="",C201&gt;0),1,0)</f>
        <v>0</v>
      </c>
      <c r="CM201" s="163"/>
    </row>
    <row r="202" spans="1:91" s="161" customFormat="1" ht="15" customHeight="1" x14ac:dyDescent="0.3">
      <c r="A202" s="1714" t="s">
        <v>4110</v>
      </c>
      <c r="B202" s="1715"/>
      <c r="C202" s="1716">
        <f>SUM(D202:S202)</f>
        <v>0</v>
      </c>
      <c r="D202" s="1544"/>
      <c r="E202" s="1579"/>
      <c r="F202" s="1544"/>
      <c r="G202" s="1545"/>
      <c r="H202" s="1545"/>
      <c r="I202" s="1545"/>
      <c r="J202" s="1545"/>
      <c r="K202" s="1545"/>
      <c r="L202" s="1545"/>
      <c r="M202" s="1545"/>
      <c r="N202" s="1545"/>
      <c r="O202" s="1545"/>
      <c r="P202" s="1545"/>
      <c r="Q202" s="1545"/>
      <c r="R202" s="1545"/>
      <c r="S202" s="1717"/>
      <c r="T202" s="1577"/>
      <c r="U202" s="411"/>
      <c r="V202" s="161" t="str">
        <f>CA202&amp;CB202&amp;CC202&amp;CF202</f>
        <v/>
      </c>
      <c r="CA202" s="162" t="str">
        <f>IF(AND(T202="",C202&gt;0)," * No olvide digitar la variable Gestantes. Digite CERO si no tiene.","")</f>
        <v/>
      </c>
      <c r="CB202" s="162" t="str">
        <f>IF(AND(U202="",C202&gt;0)," * No olvide digitar la variable Post Parto. Digite CERO si no tiene.","")</f>
        <v/>
      </c>
      <c r="CC202" s="162"/>
      <c r="CF202" s="1971"/>
      <c r="CG202" s="1971"/>
      <c r="CH202" s="1971"/>
      <c r="CI202" s="1971"/>
      <c r="CJ202" s="1971"/>
      <c r="CK202" s="163">
        <f>IF(AND(T202="",C202&gt;0),1,0)</f>
        <v>0</v>
      </c>
      <c r="CL202" s="163">
        <f>IF(AND(U202="",C202&gt;0),1,0)</f>
        <v>0</v>
      </c>
      <c r="CM202" s="163"/>
    </row>
    <row r="203" spans="1:91" s="160" customFormat="1" ht="17.100000000000001" customHeight="1" x14ac:dyDescent="0.3">
      <c r="A203" s="7563" t="s">
        <v>4111</v>
      </c>
      <c r="B203" s="7563"/>
      <c r="C203" s="7563"/>
      <c r="D203" s="7563"/>
      <c r="E203" s="7563"/>
      <c r="F203" s="7563"/>
      <c r="G203" s="7563"/>
      <c r="H203" s="7563"/>
      <c r="I203" s="7563"/>
      <c r="J203" s="7563"/>
      <c r="CK203" s="161"/>
      <c r="CL203" s="161"/>
      <c r="CM203" s="161"/>
    </row>
    <row r="204" spans="1:91" ht="15" customHeight="1" x14ac:dyDescent="0.3">
      <c r="A204" s="7551" t="s">
        <v>3226</v>
      </c>
      <c r="B204" s="7551" t="s">
        <v>4112</v>
      </c>
      <c r="C204" s="7552" t="s">
        <v>4090</v>
      </c>
      <c r="D204" s="7553"/>
      <c r="E204" s="7523" t="s">
        <v>4107</v>
      </c>
      <c r="F204" s="7523"/>
      <c r="G204" s="7523"/>
      <c r="H204" s="7523"/>
      <c r="I204" s="7523"/>
      <c r="J204" s="7554"/>
      <c r="K204" s="7555" t="s">
        <v>453</v>
      </c>
      <c r="L204" s="7557" t="s">
        <v>67</v>
      </c>
      <c r="CK204" s="161"/>
      <c r="CL204" s="161"/>
      <c r="CM204" s="161"/>
    </row>
    <row r="205" spans="1:91" ht="20.399999999999999" x14ac:dyDescent="0.3">
      <c r="A205" s="7551"/>
      <c r="B205" s="7551"/>
      <c r="C205" s="1677" t="s">
        <v>4095</v>
      </c>
      <c r="D205" s="1678" t="s">
        <v>4402</v>
      </c>
      <c r="E205" s="1718" t="s">
        <v>529</v>
      </c>
      <c r="F205" s="1679" t="s">
        <v>325</v>
      </c>
      <c r="G205" s="1679" t="s">
        <v>326</v>
      </c>
      <c r="H205" s="1679" t="s">
        <v>94</v>
      </c>
      <c r="I205" s="1679" t="s">
        <v>44</v>
      </c>
      <c r="J205" s="1683" t="s">
        <v>3087</v>
      </c>
      <c r="K205" s="7556"/>
      <c r="L205" s="6917"/>
      <c r="CK205" s="161"/>
      <c r="CL205" s="161"/>
      <c r="CM205" s="161"/>
    </row>
    <row r="206" spans="1:91" x14ac:dyDescent="0.3">
      <c r="A206" s="1711" t="s">
        <v>4113</v>
      </c>
      <c r="B206" s="1719">
        <f>SUM(C206:J206)</f>
        <v>0</v>
      </c>
      <c r="C206" s="1494"/>
      <c r="D206" s="1503"/>
      <c r="E206" s="1502"/>
      <c r="F206" s="1495"/>
      <c r="G206" s="1495"/>
      <c r="H206" s="1495"/>
      <c r="I206" s="1495"/>
      <c r="J206" s="1670"/>
      <c r="K206" s="415"/>
      <c r="L206" s="426"/>
      <c r="M206" s="1971" t="str">
        <f>CA206&amp;CB206</f>
        <v/>
      </c>
      <c r="CA206" s="162" t="str">
        <f>IF(AND(K206="",B206&gt;0)," * No olvide digitar la variable Gestantes. Digite CERO si no tiene.","")</f>
        <v/>
      </c>
      <c r="CB206" s="162" t="str">
        <f>IF(AND(L206="",B206&gt;0)," * No olvide digitar la variable Post Parto. Digite CERO si no tiene.","")</f>
        <v/>
      </c>
      <c r="CC206" s="161"/>
      <c r="CK206" s="163">
        <f>IF(AND(K206="",B206&gt;0),1,0)</f>
        <v>0</v>
      </c>
      <c r="CL206" s="163">
        <f>IF(AND(L206="",B206&gt;0),1,0)</f>
        <v>0</v>
      </c>
      <c r="CM206" s="161"/>
    </row>
    <row r="207" spans="1:91" x14ac:dyDescent="0.3">
      <c r="A207" s="1714" t="s">
        <v>4114</v>
      </c>
      <c r="B207" s="1720">
        <f>SUM(C207:J207)</f>
        <v>0</v>
      </c>
      <c r="C207" s="1544"/>
      <c r="D207" s="1546"/>
      <c r="E207" s="1579"/>
      <c r="F207" s="1545"/>
      <c r="G207" s="1545"/>
      <c r="H207" s="1545"/>
      <c r="I207" s="1545"/>
      <c r="J207" s="1717"/>
      <c r="K207" s="1721"/>
      <c r="L207" s="1715"/>
      <c r="M207" s="1971" t="str">
        <f>CA207&amp;CB207</f>
        <v/>
      </c>
      <c r="CA207" s="162" t="str">
        <f>IF(AND(K207="",B207&gt;0)," * No olvide digitar la variable Gestantes. Digite CERO si no tiene.","")</f>
        <v/>
      </c>
      <c r="CB207" s="162" t="str">
        <f>IF(AND(L207="",B207&gt;0)," * No olvide digitar la variable Post Parto. Digite CERO si no tiene.","")</f>
        <v/>
      </c>
      <c r="CC207" s="161"/>
      <c r="CK207" s="163">
        <f>IF(AND(K207="",B207&gt;0),1,0)</f>
        <v>0</v>
      </c>
      <c r="CL207" s="163">
        <f>IF(AND(L207="",B207&gt;0),1,0)</f>
        <v>0</v>
      </c>
      <c r="CM207" s="161"/>
    </row>
    <row r="208" spans="1:91" s="160" customFormat="1" ht="17.100000000000001" customHeight="1" x14ac:dyDescent="0.3">
      <c r="A208" s="7563" t="s">
        <v>4115</v>
      </c>
      <c r="B208" s="7563"/>
      <c r="C208" s="7563"/>
      <c r="D208" s="7563"/>
      <c r="E208" s="7563"/>
      <c r="F208" s="7563"/>
      <c r="G208" s="7563"/>
    </row>
    <row r="209" spans="1:7" ht="15" customHeight="1" x14ac:dyDescent="0.3">
      <c r="A209" s="7516" t="s">
        <v>3121</v>
      </c>
      <c r="B209" s="7516" t="s">
        <v>4043</v>
      </c>
      <c r="C209" s="6545" t="s">
        <v>4107</v>
      </c>
      <c r="D209" s="7545"/>
      <c r="E209" s="7545"/>
      <c r="F209" s="7545"/>
      <c r="G209" s="7546"/>
    </row>
    <row r="210" spans="1:7" ht="15" customHeight="1" x14ac:dyDescent="0.3">
      <c r="A210" s="7517"/>
      <c r="B210" s="7517"/>
      <c r="C210" s="1665" t="s">
        <v>343</v>
      </c>
      <c r="D210" s="1135" t="s">
        <v>326</v>
      </c>
      <c r="E210" s="1238" t="s">
        <v>94</v>
      </c>
      <c r="F210" s="1238" t="s">
        <v>44</v>
      </c>
      <c r="G210" s="1252" t="s">
        <v>45</v>
      </c>
    </row>
    <row r="211" spans="1:7" ht="15" customHeight="1" x14ac:dyDescent="0.3">
      <c r="A211" s="1722" t="s">
        <v>4116</v>
      </c>
      <c r="B211" s="1723">
        <f>SUM(C211:G211)</f>
        <v>0</v>
      </c>
      <c r="C211" s="1724"/>
      <c r="D211" s="1725"/>
      <c r="E211" s="1725"/>
      <c r="F211" s="1726"/>
      <c r="G211" s="1727"/>
    </row>
    <row r="212" spans="1:7" s="160" customFormat="1" ht="18" customHeight="1" x14ac:dyDescent="0.3">
      <c r="A212" s="7562" t="s">
        <v>4117</v>
      </c>
      <c r="B212" s="7562"/>
      <c r="C212" s="7562"/>
      <c r="D212" s="7562"/>
    </row>
    <row r="213" spans="1:7" x14ac:dyDescent="0.3">
      <c r="A213" s="7547" t="s">
        <v>4118</v>
      </c>
      <c r="B213" s="6545" t="s">
        <v>3556</v>
      </c>
      <c r="C213" s="7545"/>
      <c r="D213" s="7546"/>
    </row>
    <row r="214" spans="1:7" x14ac:dyDescent="0.3">
      <c r="A214" s="6082"/>
      <c r="B214" s="1133" t="s">
        <v>3559</v>
      </c>
      <c r="C214" s="6546" t="s">
        <v>1594</v>
      </c>
      <c r="D214" s="7548"/>
    </row>
    <row r="215" spans="1:7" x14ac:dyDescent="0.3">
      <c r="A215" s="6465"/>
      <c r="B215" s="1444" t="s">
        <v>3724</v>
      </c>
      <c r="C215" s="1665" t="s">
        <v>3696</v>
      </c>
      <c r="D215" s="1663" t="s">
        <v>2503</v>
      </c>
    </row>
    <row r="216" spans="1:7" ht="15" customHeight="1" x14ac:dyDescent="0.3">
      <c r="A216" s="1728" t="s">
        <v>3780</v>
      </c>
      <c r="B216" s="1729"/>
      <c r="C216" s="1566"/>
      <c r="D216" s="1730"/>
    </row>
    <row r="236" spans="1:2" hidden="1" x14ac:dyDescent="0.3">
      <c r="A236" s="176">
        <f>SUM(B11:B15,B19:B23,B28:B29,B35:B89,C95:C103,B109:B111,B116:B117,B123:B125,C130:C139,C141:C150,C156:C163,B168:B170,B175:B178,E175:E178,B182:B183,E182:E183,B187:B189,F187:F189,C193:C196,H193:H196,B200:B202,C200:C202,B206:B207,B211,B216:D216)</f>
        <v>0</v>
      </c>
      <c r="B236" s="177">
        <f>SUM(CK11:CR207)</f>
        <v>0</v>
      </c>
    </row>
  </sheetData>
  <sheetProtection algorithmName="SHA-512" hashValue="xM6EkYKfwRXfaP3mjKR2QdaOaEkeDExEelY7mg+6vYScT/rkvYr71f7i6N9qPw9QWNSu/R14x8vmRPhOaK1rxw==" saltValue="Y2yDuoP4X4ohYwKuMjAP+g==" spinCount="100000" sheet="1" objects="1" scenarios="1"/>
  <mergeCells count="217">
    <mergeCell ref="A6:S6"/>
    <mergeCell ref="A8:C8"/>
    <mergeCell ref="A9:A10"/>
    <mergeCell ref="B9:B10"/>
    <mergeCell ref="C9:S9"/>
    <mergeCell ref="T9:U9"/>
    <mergeCell ref="A17:D17"/>
    <mergeCell ref="A25:L25"/>
    <mergeCell ref="A26:A27"/>
    <mergeCell ref="B26:B27"/>
    <mergeCell ref="C26:S26"/>
    <mergeCell ref="V9:V10"/>
    <mergeCell ref="W9:W10"/>
    <mergeCell ref="X9:X10"/>
    <mergeCell ref="Y9:Y10"/>
    <mergeCell ref="Z9:Z10"/>
    <mergeCell ref="AM32:AM34"/>
    <mergeCell ref="AN32:AN34"/>
    <mergeCell ref="AO32:AO34"/>
    <mergeCell ref="AP32:AP34"/>
    <mergeCell ref="V32:W33"/>
    <mergeCell ref="X32:Y33"/>
    <mergeCell ref="Z32:AI32"/>
    <mergeCell ref="AJ32:AL33"/>
    <mergeCell ref="AQ32:AQ34"/>
    <mergeCell ref="T26:U26"/>
    <mergeCell ref="V26:V27"/>
    <mergeCell ref="W26:W27"/>
    <mergeCell ref="A30:L30"/>
    <mergeCell ref="Y121:Y122"/>
    <mergeCell ref="Z121:Z122"/>
    <mergeCell ref="AA121:AA122"/>
    <mergeCell ref="U107:U108"/>
    <mergeCell ref="V107:V108"/>
    <mergeCell ref="A119:B119"/>
    <mergeCell ref="A120:B120"/>
    <mergeCell ref="A121:A122"/>
    <mergeCell ref="B121:B122"/>
    <mergeCell ref="C121:S121"/>
    <mergeCell ref="T121:U121"/>
    <mergeCell ref="V121:V122"/>
    <mergeCell ref="W121:W122"/>
    <mergeCell ref="X121:X122"/>
    <mergeCell ref="X26:Y26"/>
    <mergeCell ref="A31:L31"/>
    <mergeCell ref="A32:A34"/>
    <mergeCell ref="B32:B34"/>
    <mergeCell ref="C32:U32"/>
    <mergeCell ref="AT92:AT94"/>
    <mergeCell ref="AU92:AU94"/>
    <mergeCell ref="X93:Y93"/>
    <mergeCell ref="Z93:AA93"/>
    <mergeCell ref="AB93:AC93"/>
    <mergeCell ref="AD93:AE93"/>
    <mergeCell ref="AF93:AG93"/>
    <mergeCell ref="AH93:AI93"/>
    <mergeCell ref="AJ93:AK93"/>
    <mergeCell ref="AL93:AM93"/>
    <mergeCell ref="A127:A129"/>
    <mergeCell ref="B127:B129"/>
    <mergeCell ref="F127:AM127"/>
    <mergeCell ref="AN127:AN129"/>
    <mergeCell ref="AP127:AP129"/>
    <mergeCell ref="AQ127:AQ129"/>
    <mergeCell ref="AR127:AR129"/>
    <mergeCell ref="AS127:AS129"/>
    <mergeCell ref="A126:B126"/>
    <mergeCell ref="C127:E128"/>
    <mergeCell ref="AO127:AO129"/>
    <mergeCell ref="F128:G128"/>
    <mergeCell ref="H128:I128"/>
    <mergeCell ref="J128:K128"/>
    <mergeCell ref="L128:M128"/>
    <mergeCell ref="N128:O128"/>
    <mergeCell ref="P128:Q128"/>
    <mergeCell ref="R128:S128"/>
    <mergeCell ref="T128:U128"/>
    <mergeCell ref="V128:W128"/>
    <mergeCell ref="X128:Y128"/>
    <mergeCell ref="Z128:AA128"/>
    <mergeCell ref="AB128:AC128"/>
    <mergeCell ref="AD128:AE128"/>
    <mergeCell ref="AI165:AI167"/>
    <mergeCell ref="U166:V166"/>
    <mergeCell ref="W166:X166"/>
    <mergeCell ref="Y166:Z166"/>
    <mergeCell ref="AA166:AB166"/>
    <mergeCell ref="AC166:AD166"/>
    <mergeCell ref="AE166:AF166"/>
    <mergeCell ref="A156:A159"/>
    <mergeCell ref="A160:A163"/>
    <mergeCell ref="AG165:AG167"/>
    <mergeCell ref="AH165:AH167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A190:C190"/>
    <mergeCell ref="A191:B192"/>
    <mergeCell ref="C191:C192"/>
    <mergeCell ref="D191:J191"/>
    <mergeCell ref="K191:N191"/>
    <mergeCell ref="A193:A196"/>
    <mergeCell ref="A165:A167"/>
    <mergeCell ref="B165:D166"/>
    <mergeCell ref="E165:AF165"/>
    <mergeCell ref="A173:A174"/>
    <mergeCell ref="B173:B174"/>
    <mergeCell ref="C173:D173"/>
    <mergeCell ref="E173:E174"/>
    <mergeCell ref="F173:T173"/>
    <mergeCell ref="A180:A181"/>
    <mergeCell ref="B180:D180"/>
    <mergeCell ref="E180:G180"/>
    <mergeCell ref="A185:A186"/>
    <mergeCell ref="B185:B186"/>
    <mergeCell ref="C185:E185"/>
    <mergeCell ref="F185:F186"/>
    <mergeCell ref="G185:L185"/>
    <mergeCell ref="AR32:AR34"/>
    <mergeCell ref="AS32:AS34"/>
    <mergeCell ref="C33:S33"/>
    <mergeCell ref="T33:U33"/>
    <mergeCell ref="Z33:AD33"/>
    <mergeCell ref="AE33:AI33"/>
    <mergeCell ref="A91:E91"/>
    <mergeCell ref="A92:B94"/>
    <mergeCell ref="C92:E93"/>
    <mergeCell ref="F92:AM92"/>
    <mergeCell ref="AN92:AO93"/>
    <mergeCell ref="AP92:AP94"/>
    <mergeCell ref="AQ92:AQ94"/>
    <mergeCell ref="AR92:AR94"/>
    <mergeCell ref="AS92:AS94"/>
    <mergeCell ref="F93:G93"/>
    <mergeCell ref="H93:I93"/>
    <mergeCell ref="J93:K93"/>
    <mergeCell ref="L93:M93"/>
    <mergeCell ref="N93:O93"/>
    <mergeCell ref="P93:Q93"/>
    <mergeCell ref="R93:S93"/>
    <mergeCell ref="T93:U93"/>
    <mergeCell ref="V93:W93"/>
    <mergeCell ref="A104:B104"/>
    <mergeCell ref="A106:D106"/>
    <mergeCell ref="A107:A108"/>
    <mergeCell ref="B107:D107"/>
    <mergeCell ref="E107:P107"/>
    <mergeCell ref="Q107:Q108"/>
    <mergeCell ref="R107:R108"/>
    <mergeCell ref="S107:S108"/>
    <mergeCell ref="T107:T108"/>
    <mergeCell ref="W107:W108"/>
    <mergeCell ref="A113:D113"/>
    <mergeCell ref="A114:A115"/>
    <mergeCell ref="B114:D114"/>
    <mergeCell ref="E114:L114"/>
    <mergeCell ref="M114:M115"/>
    <mergeCell ref="N114:N115"/>
    <mergeCell ref="O114:O115"/>
    <mergeCell ref="P114:P115"/>
    <mergeCell ref="Q114:Q115"/>
    <mergeCell ref="R114:R115"/>
    <mergeCell ref="S114:S115"/>
    <mergeCell ref="T114:T115"/>
    <mergeCell ref="AF128:AG128"/>
    <mergeCell ref="AH128:AI128"/>
    <mergeCell ref="AJ128:AK128"/>
    <mergeCell ref="AL128:AM128"/>
    <mergeCell ref="A130:A140"/>
    <mergeCell ref="A141:A151"/>
    <mergeCell ref="A153:A155"/>
    <mergeCell ref="B153:B155"/>
    <mergeCell ref="C153:E154"/>
    <mergeCell ref="F153:AG153"/>
    <mergeCell ref="AH153:AH155"/>
    <mergeCell ref="AI153:AI155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X154:Y154"/>
    <mergeCell ref="Z154:AA154"/>
    <mergeCell ref="AB154:AC154"/>
    <mergeCell ref="AD154:AE154"/>
    <mergeCell ref="AF154:AG154"/>
    <mergeCell ref="A209:A210"/>
    <mergeCell ref="B209:B210"/>
    <mergeCell ref="C209:G209"/>
    <mergeCell ref="A213:A215"/>
    <mergeCell ref="B213:D213"/>
    <mergeCell ref="C214:D214"/>
    <mergeCell ref="F198:S198"/>
    <mergeCell ref="T198:T199"/>
    <mergeCell ref="U198:U199"/>
    <mergeCell ref="A204:A205"/>
    <mergeCell ref="B204:B205"/>
    <mergeCell ref="C204:D204"/>
    <mergeCell ref="E204:J204"/>
    <mergeCell ref="K204:K205"/>
    <mergeCell ref="L204:L205"/>
    <mergeCell ref="A198:A199"/>
    <mergeCell ref="B198:B199"/>
    <mergeCell ref="C198:C199"/>
    <mergeCell ref="D198:E198"/>
    <mergeCell ref="A212:D212"/>
    <mergeCell ref="A208:G208"/>
    <mergeCell ref="A203:J203"/>
  </mergeCells>
  <dataValidations count="6">
    <dataValidation type="whole" operator="greaterThanOrEqual" allowBlank="1" showInputMessage="1" showErrorMessage="1" sqref="F130:AS139 C11:Z15 F95:AU103 C109:W111 C116:T117 F141:AS150 F156:AI163 C123:AA125 E168:AI171 C175:D178 F175:T178 C182:D183 F182:G183 C187:E189 G187:L189 D200:U202 I193:N196 B200:B202 C206:L207 C211:G211 D193:G196 B216:D216 AA35:AD89 AF35:AS89" xr:uid="{6087A384-1277-48BB-8D09-014E786AC529}">
      <formula1>0</formula1>
    </dataValidation>
    <dataValidation type="whole" operator="greaterThanOrEqual" allowBlank="1" showInputMessage="1" showErrorMessage="1" errorTitle="Error" error="Favor Ingrese sólo Números." sqref="C28:Y29 C35:Y89" xr:uid="{5C51F41E-8A91-490C-9613-FF6EACC36F58}">
      <formula1>0</formula1>
    </dataValidation>
    <dataValidation allowBlank="1" prompt="Valor no Permitido" sqref="CC28:CD29 CA27:CB29 CC27 CK27:CM27 CE27:CJ29" xr:uid="{D1CFEEF2-B84E-4AF4-AA38-F3898B3D2E0D}"/>
    <dataValidation type="whole" allowBlank="1" showInputMessage="1" showErrorMessage="1" sqref="C19:E23" xr:uid="{1049970E-B083-4429-A625-EFB5D2470825}">
      <formula1>0</formula1>
      <formula2>9.99999999999999E+37</formula2>
    </dataValidation>
    <dataValidation type="whole" allowBlank="1" showInputMessage="1" showErrorMessage="1" sqref="D96" xr:uid="{8C09382A-8FCF-4479-8599-2D924C17F414}">
      <formula1>0</formula1>
      <formula2>9.99999999999999E+33</formula2>
    </dataValidation>
    <dataValidation type="whole" allowBlank="1" showInputMessage="1" showErrorMessage="1" sqref="B171:D171" xr:uid="{541330E5-1FF7-49E9-8769-5A637E887DA7}">
      <formula1>0</formula1>
      <formula2>9.99999999999999E+41</formula2>
    </dataValidation>
  </dataValidation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CO981"/>
  <sheetViews>
    <sheetView showGridLines="0" zoomScaleNormal="100" workbookViewId="0"/>
  </sheetViews>
  <sheetFormatPr baseColWidth="10" defaultColWidth="14.44140625" defaultRowHeight="14.4" x14ac:dyDescent="0.3"/>
  <cols>
    <col min="1" max="1" width="51.33203125" customWidth="1"/>
    <col min="2" max="2" width="32.88671875" customWidth="1"/>
    <col min="3" max="3" width="46.5546875" customWidth="1"/>
    <col min="4" max="4" width="16.6640625" customWidth="1"/>
    <col min="5" max="5" width="14.44140625" customWidth="1"/>
    <col min="6" max="40" width="12.6640625" customWidth="1"/>
    <col min="41" max="41" width="14" customWidth="1"/>
    <col min="42" max="44" width="12.109375" customWidth="1"/>
    <col min="45" max="45" width="12.44140625" customWidth="1"/>
    <col min="46" max="46" width="10.6640625" customWidth="1"/>
    <col min="47" max="47" width="14.5546875" customWidth="1"/>
    <col min="48" max="48" width="10.6640625" customWidth="1"/>
    <col min="49" max="49" width="14.109375" customWidth="1"/>
    <col min="50" max="50" width="10.6640625" customWidth="1"/>
    <col min="51" max="51" width="11.44140625" customWidth="1"/>
    <col min="52" max="54" width="10.6640625" customWidth="1"/>
    <col min="55" max="55" width="14.33203125" customWidth="1"/>
    <col min="56" max="57" width="14.109375" customWidth="1"/>
    <col min="77" max="78" width="14.44140625" hidden="1" customWidth="1"/>
    <col min="79" max="79" width="20.33203125" hidden="1" customWidth="1"/>
    <col min="80" max="93" width="14.44140625" hidden="1" customWidth="1"/>
    <col min="94" max="95" width="14.44140625" customWidth="1"/>
  </cols>
  <sheetData>
    <row r="1" spans="1:91" x14ac:dyDescent="0.3">
      <c r="A1" s="50" t="s">
        <v>23</v>
      </c>
    </row>
    <row r="2" spans="1:91" x14ac:dyDescent="0.3">
      <c r="A2" s="50" t="str">
        <f>CONCATENATE("COMUNA: ",NOMBRE!B2, " (",NOMBRE!C2,NOMBRE!D2,NOMBRE!E2,NOMBRE!F2,NOMBRE!G2,")")</f>
        <v>COMUNA:  ()</v>
      </c>
    </row>
    <row r="3" spans="1:91" x14ac:dyDescent="0.3">
      <c r="A3" s="50" t="str">
        <f>CONCATENATE("ESTABLECIMIENTO/ESTRATEGIA: ", NOMBRE!B3, " (",NOMBRE!C3,NOMBRE!D3,NOMBRE!E3,NOMBRE!F3,NOMBRE!G3,NOMBRE!H3,")")</f>
        <v>ESTABLECIMIENTO/ESTRATEGIA:  ()</v>
      </c>
    </row>
    <row r="4" spans="1:91" x14ac:dyDescent="0.3">
      <c r="A4" s="50" t="str">
        <f>CONCATENATE("MES: ",NOMBRE!B6, " (",NOMBRE!C6,NOMBRE!D6,")")</f>
        <v>MES:  ()</v>
      </c>
    </row>
    <row r="5" spans="1:91" x14ac:dyDescent="0.3">
      <c r="A5" s="87" t="str">
        <f>CONCATENATE("AÑO: ",NOMBRE!B7)</f>
        <v>AÑO: 2025</v>
      </c>
    </row>
    <row r="6" spans="1:91" s="185" customFormat="1" ht="18" customHeight="1" x14ac:dyDescent="0.3">
      <c r="A6" s="5819" t="s">
        <v>4119</v>
      </c>
      <c r="B6" s="5819"/>
      <c r="C6" s="5819"/>
      <c r="D6" s="5819"/>
      <c r="E6" s="5819"/>
      <c r="F6" s="5819"/>
      <c r="G6" s="5819"/>
      <c r="H6" s="5819"/>
      <c r="I6" s="5819"/>
      <c r="J6" s="5819"/>
      <c r="K6" s="5819"/>
      <c r="L6" s="5819"/>
      <c r="M6" s="5819"/>
      <c r="N6" s="5819"/>
      <c r="O6" s="5819"/>
      <c r="P6" s="5819"/>
      <c r="Q6" s="5819"/>
      <c r="R6" s="5819"/>
      <c r="S6" s="5819"/>
      <c r="T6" s="5819"/>
      <c r="U6" s="5819"/>
      <c r="V6" s="5819"/>
      <c r="W6" s="5819"/>
      <c r="X6" s="5819"/>
      <c r="Y6" s="5819"/>
      <c r="Z6" s="5819"/>
      <c r="AA6" s="5819"/>
      <c r="AB6" s="5819"/>
      <c r="AC6" s="1775"/>
      <c r="AD6" s="1775"/>
      <c r="AE6" s="1775"/>
      <c r="AF6" s="1775"/>
      <c r="AG6" s="1775"/>
      <c r="AH6" s="1775"/>
      <c r="AI6" s="1775"/>
      <c r="AJ6" s="1775"/>
      <c r="AK6" s="1775"/>
      <c r="AL6" s="1775"/>
      <c r="AM6" s="1775"/>
      <c r="AN6" s="1775"/>
      <c r="AO6" s="1775"/>
      <c r="AP6" s="1775"/>
      <c r="AQ6" s="1775"/>
      <c r="AR6" s="1775"/>
    </row>
    <row r="7" spans="1:91" ht="16.2" x14ac:dyDescent="0.3">
      <c r="A7" s="3031"/>
      <c r="E7" s="183"/>
      <c r="F7" s="183"/>
      <c r="G7" s="183"/>
      <c r="H7" s="183"/>
      <c r="I7" s="183"/>
      <c r="J7" s="183"/>
      <c r="K7" s="183"/>
      <c r="L7" s="183"/>
      <c r="M7" s="183"/>
    </row>
    <row r="8" spans="1:91" ht="17.100000000000001" customHeight="1" x14ac:dyDescent="0.3">
      <c r="A8" s="7632" t="s">
        <v>4120</v>
      </c>
      <c r="B8" s="7632"/>
      <c r="C8" s="7632"/>
      <c r="D8" s="53"/>
      <c r="E8" s="53"/>
      <c r="F8" s="53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  <c r="AA8" s="184"/>
      <c r="AB8" s="184"/>
      <c r="AC8" s="184"/>
      <c r="AD8" s="184"/>
      <c r="AE8" s="184"/>
      <c r="AF8" s="184"/>
      <c r="AG8" s="184"/>
      <c r="AH8" s="184"/>
      <c r="AI8" s="184"/>
      <c r="AJ8" s="184"/>
      <c r="AK8" s="184"/>
      <c r="AL8" s="184"/>
      <c r="AM8" s="184"/>
      <c r="AN8" s="184"/>
      <c r="AO8" s="184"/>
      <c r="AP8" s="184"/>
      <c r="AQ8" s="184"/>
      <c r="AR8" s="184"/>
      <c r="AS8" s="184"/>
      <c r="AT8" s="184"/>
      <c r="AU8" s="186"/>
      <c r="AV8" s="186"/>
    </row>
    <row r="9" spans="1:91" ht="15" customHeight="1" x14ac:dyDescent="0.3">
      <c r="A9" s="7633" t="s">
        <v>4121</v>
      </c>
      <c r="B9" s="7634"/>
      <c r="C9" s="7635"/>
      <c r="D9" s="6579" t="s">
        <v>77</v>
      </c>
      <c r="E9" s="6580"/>
      <c r="F9" s="6575"/>
      <c r="G9" s="7618" t="s">
        <v>29</v>
      </c>
      <c r="H9" s="7475"/>
      <c r="I9" s="7475"/>
      <c r="J9" s="7475"/>
      <c r="K9" s="7475"/>
      <c r="L9" s="7475"/>
      <c r="M9" s="7475"/>
      <c r="N9" s="7475"/>
      <c r="O9" s="7475"/>
      <c r="P9" s="7475"/>
      <c r="Q9" s="7475"/>
      <c r="R9" s="7475"/>
      <c r="S9" s="7475"/>
      <c r="T9" s="7475"/>
      <c r="U9" s="7475"/>
      <c r="V9" s="7475"/>
      <c r="W9" s="7475"/>
      <c r="X9" s="7475"/>
      <c r="Y9" s="7475"/>
      <c r="Z9" s="7475"/>
      <c r="AA9" s="7475"/>
      <c r="AB9" s="7475"/>
      <c r="AC9" s="7475"/>
      <c r="AD9" s="7475"/>
      <c r="AE9" s="7475"/>
      <c r="AF9" s="7475"/>
      <c r="AG9" s="7475"/>
      <c r="AH9" s="7475"/>
      <c r="AI9" s="7475"/>
      <c r="AJ9" s="7475"/>
      <c r="AK9" s="7475"/>
      <c r="AL9" s="7475"/>
      <c r="AM9" s="7475"/>
      <c r="AN9" s="7639"/>
      <c r="AO9" s="7492" t="s">
        <v>322</v>
      </c>
      <c r="AP9" s="6518" t="s">
        <v>37</v>
      </c>
      <c r="AQ9" s="7492" t="s">
        <v>34</v>
      </c>
      <c r="AR9" s="6518" t="s">
        <v>35</v>
      </c>
      <c r="CA9" s="53" t="s">
        <v>322</v>
      </c>
      <c r="CB9" s="53" t="s">
        <v>37</v>
      </c>
      <c r="CC9" s="53" t="s">
        <v>4122</v>
      </c>
      <c r="CD9" s="1753" t="s">
        <v>34</v>
      </c>
      <c r="CE9" s="1753"/>
      <c r="CJ9" s="53" t="s">
        <v>322</v>
      </c>
      <c r="CK9" s="5777" t="s">
        <v>37</v>
      </c>
      <c r="CL9" s="7631" t="s">
        <v>34</v>
      </c>
      <c r="CM9" s="7631" t="s">
        <v>35</v>
      </c>
    </row>
    <row r="10" spans="1:91" ht="15" customHeight="1" x14ac:dyDescent="0.3">
      <c r="A10" s="7636"/>
      <c r="B10" s="7637"/>
      <c r="C10" s="7638"/>
      <c r="D10" s="6578"/>
      <c r="E10" s="6581"/>
      <c r="F10" s="6530"/>
      <c r="G10" s="7630" t="s">
        <v>1334</v>
      </c>
      <c r="H10" s="7548"/>
      <c r="I10" s="6546" t="s">
        <v>1335</v>
      </c>
      <c r="J10" s="7548"/>
      <c r="K10" s="6546" t="s">
        <v>4123</v>
      </c>
      <c r="L10" s="7548"/>
      <c r="M10" s="6546" t="s">
        <v>44</v>
      </c>
      <c r="N10" s="7548"/>
      <c r="O10" s="6546" t="s">
        <v>45</v>
      </c>
      <c r="P10" s="7548"/>
      <c r="Q10" s="6546" t="s">
        <v>974</v>
      </c>
      <c r="R10" s="7548"/>
      <c r="S10" s="6546" t="s">
        <v>629</v>
      </c>
      <c r="T10" s="7548"/>
      <c r="U10" s="6546" t="s">
        <v>48</v>
      </c>
      <c r="V10" s="7548"/>
      <c r="W10" s="6546" t="s">
        <v>49</v>
      </c>
      <c r="X10" s="7548"/>
      <c r="Y10" s="6546" t="s">
        <v>975</v>
      </c>
      <c r="Z10" s="7548"/>
      <c r="AA10" s="6546" t="s">
        <v>51</v>
      </c>
      <c r="AB10" s="7548"/>
      <c r="AC10" s="6546" t="s">
        <v>52</v>
      </c>
      <c r="AD10" s="7548"/>
      <c r="AE10" s="6546" t="s">
        <v>53</v>
      </c>
      <c r="AF10" s="7548"/>
      <c r="AG10" s="6546" t="s">
        <v>54</v>
      </c>
      <c r="AH10" s="7548"/>
      <c r="AI10" s="6546" t="s">
        <v>55</v>
      </c>
      <c r="AJ10" s="7548"/>
      <c r="AK10" s="6546" t="s">
        <v>56</v>
      </c>
      <c r="AL10" s="7548"/>
      <c r="AM10" s="6545" t="s">
        <v>1403</v>
      </c>
      <c r="AN10" s="7639"/>
      <c r="AO10" s="6850"/>
      <c r="AP10" s="5759"/>
      <c r="AQ10" s="6850"/>
      <c r="AR10" s="5759"/>
      <c r="CA10" s="53"/>
      <c r="CB10" s="53"/>
      <c r="CC10" s="53"/>
      <c r="CD10" s="1753"/>
      <c r="CE10" s="1753"/>
      <c r="CJ10" s="53"/>
      <c r="CK10" s="5777"/>
      <c r="CL10" s="7631"/>
      <c r="CM10" s="7631"/>
    </row>
    <row r="11" spans="1:91" x14ac:dyDescent="0.3">
      <c r="A11" s="7636"/>
      <c r="B11" s="7637"/>
      <c r="C11" s="7638"/>
      <c r="D11" s="97" t="s">
        <v>79</v>
      </c>
      <c r="E11" s="5284" t="s">
        <v>58</v>
      </c>
      <c r="F11" s="21" t="s">
        <v>59</v>
      </c>
      <c r="G11" s="5285" t="s">
        <v>58</v>
      </c>
      <c r="H11" s="1663" t="s">
        <v>59</v>
      </c>
      <c r="I11" s="1665" t="s">
        <v>58</v>
      </c>
      <c r="J11" s="1663" t="s">
        <v>59</v>
      </c>
      <c r="K11" s="1665" t="s">
        <v>58</v>
      </c>
      <c r="L11" s="1663" t="s">
        <v>59</v>
      </c>
      <c r="M11" s="1665" t="s">
        <v>58</v>
      </c>
      <c r="N11" s="1663" t="s">
        <v>59</v>
      </c>
      <c r="O11" s="1665" t="s">
        <v>58</v>
      </c>
      <c r="P11" s="1663" t="s">
        <v>59</v>
      </c>
      <c r="Q11" s="1665" t="s">
        <v>58</v>
      </c>
      <c r="R11" s="1663" t="s">
        <v>59</v>
      </c>
      <c r="S11" s="1665" t="s">
        <v>58</v>
      </c>
      <c r="T11" s="1663" t="s">
        <v>59</v>
      </c>
      <c r="U11" s="1665" t="s">
        <v>58</v>
      </c>
      <c r="V11" s="1663" t="s">
        <v>59</v>
      </c>
      <c r="W11" s="1665" t="s">
        <v>58</v>
      </c>
      <c r="X11" s="1663" t="s">
        <v>59</v>
      </c>
      <c r="Y11" s="1665" t="s">
        <v>58</v>
      </c>
      <c r="Z11" s="1663" t="s">
        <v>59</v>
      </c>
      <c r="AA11" s="1665" t="s">
        <v>58</v>
      </c>
      <c r="AB11" s="1663" t="s">
        <v>59</v>
      </c>
      <c r="AC11" s="1665" t="s">
        <v>58</v>
      </c>
      <c r="AD11" s="1663" t="s">
        <v>59</v>
      </c>
      <c r="AE11" s="1665" t="s">
        <v>58</v>
      </c>
      <c r="AF11" s="1663" t="s">
        <v>59</v>
      </c>
      <c r="AG11" s="1665" t="s">
        <v>58</v>
      </c>
      <c r="AH11" s="1663" t="s">
        <v>59</v>
      </c>
      <c r="AI11" s="1665" t="s">
        <v>58</v>
      </c>
      <c r="AJ11" s="1663" t="s">
        <v>59</v>
      </c>
      <c r="AK11" s="1665" t="s">
        <v>58</v>
      </c>
      <c r="AL11" s="1663" t="s">
        <v>59</v>
      </c>
      <c r="AM11" s="1665" t="s">
        <v>58</v>
      </c>
      <c r="AN11" s="5286" t="s">
        <v>59</v>
      </c>
      <c r="AO11" s="7405"/>
      <c r="AP11" s="6687" t="s">
        <v>59</v>
      </c>
      <c r="AQ11" s="7405"/>
      <c r="AR11" s="6687"/>
      <c r="CA11" s="53"/>
      <c r="CB11" s="53" t="s">
        <v>59</v>
      </c>
      <c r="CC11" s="53" t="s">
        <v>59</v>
      </c>
      <c r="CD11" s="1753"/>
      <c r="CE11" s="1753"/>
      <c r="CJ11" s="53"/>
      <c r="CK11" s="5777" t="s">
        <v>59</v>
      </c>
      <c r="CL11" s="7631"/>
      <c r="CM11" s="7631"/>
    </row>
    <row r="12" spans="1:91" ht="15" customHeight="1" x14ac:dyDescent="0.3">
      <c r="A12" s="7640" t="s">
        <v>4124</v>
      </c>
      <c r="B12" s="7643" t="s">
        <v>4125</v>
      </c>
      <c r="C12" s="5287" t="s">
        <v>4126</v>
      </c>
      <c r="D12" s="5288">
        <f>SUM(E12:F12)</f>
        <v>0</v>
      </c>
      <c r="E12" s="5289">
        <f>+G12+I12+K12+M12+O12+Q12+S12+U12+W12++Y12+AA12+AC12+AE12+AG12+AI12+AK12+AM12</f>
        <v>0</v>
      </c>
      <c r="F12" s="5290">
        <f>+H12+J12+L12+N12+P12+R12+T12+V12+X12++Z12+AB12+AD12+AF12+AH12+AJ12+AL12+AN12</f>
        <v>0</v>
      </c>
      <c r="G12" s="3229"/>
      <c r="H12" s="5291"/>
      <c r="I12" s="3229"/>
      <c r="J12" s="5291"/>
      <c r="K12" s="3229"/>
      <c r="L12" s="5291"/>
      <c r="M12" s="3229"/>
      <c r="N12" s="5291"/>
      <c r="O12" s="5292"/>
      <c r="P12" s="5291"/>
      <c r="Q12" s="5293"/>
      <c r="R12" s="5291"/>
      <c r="S12" s="5293"/>
      <c r="T12" s="5291"/>
      <c r="U12" s="5293"/>
      <c r="V12" s="5291"/>
      <c r="W12" s="3229"/>
      <c r="X12" s="5291"/>
      <c r="Y12" s="3229"/>
      <c r="Z12" s="5291"/>
      <c r="AA12" s="3229"/>
      <c r="AB12" s="5291"/>
      <c r="AC12" s="3229"/>
      <c r="AD12" s="5291"/>
      <c r="AE12" s="3229"/>
      <c r="AF12" s="5291"/>
      <c r="AG12" s="3229"/>
      <c r="AH12" s="5291"/>
      <c r="AI12" s="3229"/>
      <c r="AJ12" s="5291"/>
      <c r="AK12" s="3229"/>
      <c r="AL12" s="5291"/>
      <c r="AM12" s="3229"/>
      <c r="AN12" s="5294"/>
      <c r="AO12" s="5295"/>
      <c r="AP12" s="5291"/>
      <c r="AQ12" s="5295"/>
      <c r="AR12" s="5291"/>
      <c r="AS12" t="str">
        <f t="shared" ref="AS12:AS34" si="0">CA12&amp;CB12&amp;CC12&amp;CD12&amp;CE12</f>
        <v/>
      </c>
      <c r="CA12" s="1899" t="str">
        <f>IF(AND($D12&lt;&gt;0,AO12=""),"* No olvide ingresar la variable "&amp;AO$9&amp;""&amp;". Digite CERO si no tiene.  ",IF(AO12&gt;$D12,"* La variable "&amp;AO$9&amp;""&amp;" no debe ser mayor al TotalAmbos Sexos. ",""))</f>
        <v/>
      </c>
      <c r="CB12" s="1899" t="str">
        <f>IF(AND($D12&lt;&gt;0,AP12=""),"* No olvide ingresar la variable "&amp;AP$9&amp;""&amp;". Digite CERO si no tiene.  ",IF(AP12&gt;$D12,"* La variable "&amp;AP$9&amp;""&amp;" no debe ser mayor al Total Ambos Sexos. ",""))</f>
        <v/>
      </c>
      <c r="CC12" s="1899" t="str">
        <f>IF(AND($D12&lt;&gt;0,AQ12=""),"* No olvide ingresar la variable "&amp;AQ$9&amp;""&amp;". Digite CERO si no tiene.  ",IF(AQ12&gt;$D12,"* La variable "&amp;AQ$9&amp;""&amp;" no debe ser mayor al Total Ambos Sexos. ",""))</f>
        <v/>
      </c>
      <c r="CD12" s="1899" t="str">
        <f>IF(AND($D12&lt;&gt;0,AR12=""),"* No olvide ingresar la variable "&amp;AR$9&amp;""&amp;". Digite CERO si no tiene.  ",IF(AR12&gt;$D12,"* La variable "&amp;AR$9&amp;""&amp;" no debe ser mayor al Total Ambos Sexos. ",""))</f>
        <v/>
      </c>
      <c r="CJ12" s="3026">
        <f>IF(AND($D12&lt;&gt;0,AO12=""),1,IF(AO12&gt;$D12,1,0))</f>
        <v>0</v>
      </c>
      <c r="CK12" s="3026">
        <f t="shared" ref="CK12:CL12" si="1">IF(AND($D12&lt;&gt;0,AP12=""),1,IF(AP12&gt;$D12,1,0))</f>
        <v>0</v>
      </c>
      <c r="CL12" s="3026">
        <f t="shared" si="1"/>
        <v>0</v>
      </c>
      <c r="CM12" s="3026">
        <f>IF(AND($D12&lt;&gt;0,AR12=""),1,IF(AR12&gt;$D12,1,0))</f>
        <v>0</v>
      </c>
    </row>
    <row r="13" spans="1:91" ht="15" customHeight="1" x14ac:dyDescent="0.3">
      <c r="A13" s="7641"/>
      <c r="B13" s="7644"/>
      <c r="C13" s="939" t="s">
        <v>4127</v>
      </c>
      <c r="D13" s="5296">
        <f t="shared" ref="D13:D23" si="2">SUM(E13:F13)</f>
        <v>0</v>
      </c>
      <c r="E13" s="5297">
        <f>+G13+I13+K13+M13+O13+Q13+S13+U13+W13++Y13+AA13+AC13+AE13+AG13+AI13+AK13+AM13</f>
        <v>0</v>
      </c>
      <c r="F13" s="5298">
        <f t="shared" ref="F13:F34" si="3">+H13+J13+L13+N13+P13+R13+T13+V13+X13++Z13+AB13+AD13+AF13+AH13+AJ13+AL13+AN13</f>
        <v>0</v>
      </c>
      <c r="G13" s="5299"/>
      <c r="H13" s="5300"/>
      <c r="I13" s="5299"/>
      <c r="J13" s="5300"/>
      <c r="K13" s="5299"/>
      <c r="L13" s="5300"/>
      <c r="M13" s="5299"/>
      <c r="N13" s="5300"/>
      <c r="O13" s="5301"/>
      <c r="P13" s="5300"/>
      <c r="Q13" s="5301"/>
      <c r="R13" s="5300"/>
      <c r="S13" s="5301"/>
      <c r="T13" s="5300"/>
      <c r="U13" s="5301"/>
      <c r="V13" s="5300"/>
      <c r="W13" s="5299"/>
      <c r="X13" s="5300"/>
      <c r="Y13" s="5299"/>
      <c r="Z13" s="5300"/>
      <c r="AA13" s="5299"/>
      <c r="AB13" s="5300"/>
      <c r="AC13" s="5299"/>
      <c r="AD13" s="5300"/>
      <c r="AE13" s="5299"/>
      <c r="AF13" s="5300"/>
      <c r="AG13" s="5299"/>
      <c r="AH13" s="5300"/>
      <c r="AI13" s="5299"/>
      <c r="AJ13" s="5300"/>
      <c r="AK13" s="5299"/>
      <c r="AL13" s="5300"/>
      <c r="AM13" s="5299"/>
      <c r="AN13" s="5302"/>
      <c r="AO13" s="5303"/>
      <c r="AP13" s="5300"/>
      <c r="AQ13" s="5303"/>
      <c r="AR13" s="5300"/>
      <c r="AS13" t="str">
        <f t="shared" si="0"/>
        <v/>
      </c>
      <c r="CA13" s="1899" t="str">
        <f t="shared" ref="CA13:CA34" si="4">IF(AND($D13&lt;&gt;0,AO13=""),"* No olvide ingresar la variable "&amp;AO$9&amp;""&amp;". Digite CERO si no tiene.  ",IF(AO13&gt;$D13,"* La variable "&amp;AO$9&amp;""&amp;" no debe ser mayor al TotalAmbos Sexos. ",""))</f>
        <v/>
      </c>
      <c r="CB13" s="1899" t="str">
        <f t="shared" ref="CB13:CB34" si="5">IF(AND($D13&lt;&gt;0,AP13=""),"* No olvide ingresar la variable "&amp;AP$9&amp;""&amp;". Digite CERO si no tiene.  ",IF(AP13&gt;$D13,"* La variable "&amp;AP$9&amp;""&amp;" no debe ser mayor al Total Ambos Sexos. ",""))</f>
        <v/>
      </c>
      <c r="CC13" s="1899" t="str">
        <f t="shared" ref="CC13:CC34" si="6">IF(AND($D13&lt;&gt;0,AQ13=""),"* No olvide ingresar la variable "&amp;AQ$9&amp;""&amp;". Digite CERO si no tiene.  ",IF(AQ13&gt;$D13,"* La variable "&amp;AQ$9&amp;""&amp;" no debe ser mayor al Total Ambos Sexos. ",""))</f>
        <v/>
      </c>
      <c r="CD13" s="1899" t="str">
        <f t="shared" ref="CD13:CD34" si="7">IF(AND($D13&lt;&gt;0,AR13=""),"* No olvide ingresar la variable "&amp;AR$9&amp;""&amp;". Digite CERO si no tiene.  ",IF(AR13&gt;$D13,"* La variable "&amp;AR$9&amp;""&amp;" no debe ser mayor al Total Ambos Sexos. ",""))</f>
        <v/>
      </c>
      <c r="CJ13" s="3026">
        <f t="shared" ref="CJ13:CJ34" si="8">IF(AND($D13&lt;&gt;0,AO13=""),1,IF(AO13&gt;$D13,1,0))</f>
        <v>0</v>
      </c>
      <c r="CK13" s="3026">
        <f t="shared" ref="CK13:CK34" si="9">IF(AND($D13&lt;&gt;0,AP13=""),1,IF(AP13&gt;$D13,1,0))</f>
        <v>0</v>
      </c>
      <c r="CL13" s="3026">
        <f t="shared" ref="CL13:CL34" si="10">IF(AND($D13&lt;&gt;0,AQ13=""),1,IF(AQ13&gt;$D13,1,0))</f>
        <v>0</v>
      </c>
      <c r="CM13" s="3026">
        <f t="shared" ref="CM13:CM34" si="11">IF(AND($D13&lt;&gt;0,AR13=""),1,IF(AR13&gt;$D13,1,0))</f>
        <v>0</v>
      </c>
    </row>
    <row r="14" spans="1:91" ht="15" customHeight="1" x14ac:dyDescent="0.3">
      <c r="A14" s="7641"/>
      <c r="B14" s="7643" t="s">
        <v>4128</v>
      </c>
      <c r="C14" s="5304" t="s">
        <v>4129</v>
      </c>
      <c r="D14" s="5305">
        <f t="shared" si="2"/>
        <v>0</v>
      </c>
      <c r="E14" s="5305">
        <f t="shared" ref="E14:E34" si="12">+G14+I14+K14+M14+O14+Q14+S14+U14+W14++Y14+AA14+AC14+AE14+AG14+AI14+AK14+AM14</f>
        <v>0</v>
      </c>
      <c r="F14" s="5306">
        <f t="shared" si="3"/>
        <v>0</v>
      </c>
      <c r="G14" s="3257"/>
      <c r="H14" s="3258"/>
      <c r="I14" s="3257"/>
      <c r="J14" s="3258"/>
      <c r="K14" s="3257"/>
      <c r="L14" s="3258"/>
      <c r="M14" s="3257"/>
      <c r="N14" s="3258"/>
      <c r="O14" s="5307"/>
      <c r="P14" s="3258"/>
      <c r="Q14" s="5307"/>
      <c r="R14" s="3258"/>
      <c r="S14" s="5307"/>
      <c r="T14" s="3258"/>
      <c r="U14" s="5307"/>
      <c r="V14" s="3258"/>
      <c r="W14" s="3257"/>
      <c r="X14" s="3258"/>
      <c r="Y14" s="3257"/>
      <c r="Z14" s="3258"/>
      <c r="AA14" s="3257"/>
      <c r="AB14" s="3258"/>
      <c r="AC14" s="3257"/>
      <c r="AD14" s="3258"/>
      <c r="AE14" s="3257"/>
      <c r="AF14" s="3258"/>
      <c r="AG14" s="3257"/>
      <c r="AH14" s="3258"/>
      <c r="AI14" s="3257"/>
      <c r="AJ14" s="3258"/>
      <c r="AK14" s="3257"/>
      <c r="AL14" s="3258"/>
      <c r="AM14" s="3257"/>
      <c r="AN14" s="3259"/>
      <c r="AO14" s="5308"/>
      <c r="AP14" s="3258"/>
      <c r="AQ14" s="5308"/>
      <c r="AR14" s="3258"/>
      <c r="AS14" t="str">
        <f t="shared" si="0"/>
        <v/>
      </c>
      <c r="CA14" s="1899" t="str">
        <f t="shared" si="4"/>
        <v/>
      </c>
      <c r="CB14" s="1899" t="str">
        <f t="shared" si="5"/>
        <v/>
      </c>
      <c r="CC14" s="1899" t="str">
        <f t="shared" si="6"/>
        <v/>
      </c>
      <c r="CD14" s="1899" t="str">
        <f t="shared" si="7"/>
        <v/>
      </c>
      <c r="CJ14" s="3026">
        <f t="shared" si="8"/>
        <v>0</v>
      </c>
      <c r="CK14" s="3026">
        <f t="shared" si="9"/>
        <v>0</v>
      </c>
      <c r="CL14" s="3026">
        <f t="shared" si="10"/>
        <v>0</v>
      </c>
      <c r="CM14" s="3026">
        <f t="shared" si="11"/>
        <v>0</v>
      </c>
    </row>
    <row r="15" spans="1:91" ht="15" customHeight="1" x14ac:dyDescent="0.3">
      <c r="A15" s="7641"/>
      <c r="B15" s="7645"/>
      <c r="C15" s="4790" t="s">
        <v>4130</v>
      </c>
      <c r="D15" s="5288">
        <f t="shared" si="2"/>
        <v>0</v>
      </c>
      <c r="E15" s="5288">
        <f t="shared" si="12"/>
        <v>0</v>
      </c>
      <c r="F15" s="5290">
        <f t="shared" si="3"/>
        <v>0</v>
      </c>
      <c r="G15" s="5309"/>
      <c r="H15" s="5291"/>
      <c r="I15" s="5309"/>
      <c r="J15" s="5291"/>
      <c r="K15" s="5309"/>
      <c r="L15" s="5291"/>
      <c r="M15" s="5309"/>
      <c r="N15" s="5291"/>
      <c r="O15" s="5293"/>
      <c r="P15" s="5291"/>
      <c r="Q15" s="5293"/>
      <c r="R15" s="5291"/>
      <c r="S15" s="5293"/>
      <c r="T15" s="5291"/>
      <c r="U15" s="5293"/>
      <c r="V15" s="5291"/>
      <c r="W15" s="5309"/>
      <c r="X15" s="5291"/>
      <c r="Y15" s="5309"/>
      <c r="Z15" s="5291"/>
      <c r="AA15" s="5309"/>
      <c r="AB15" s="5291"/>
      <c r="AC15" s="5309"/>
      <c r="AD15" s="5291"/>
      <c r="AE15" s="5309"/>
      <c r="AF15" s="5291"/>
      <c r="AG15" s="5309"/>
      <c r="AH15" s="5291"/>
      <c r="AI15" s="5309"/>
      <c r="AJ15" s="5291"/>
      <c r="AK15" s="5309"/>
      <c r="AL15" s="5291"/>
      <c r="AM15" s="5309"/>
      <c r="AN15" s="5294"/>
      <c r="AO15" s="5295"/>
      <c r="AP15" s="5291"/>
      <c r="AQ15" s="5295"/>
      <c r="AR15" s="5291"/>
      <c r="AS15" t="str">
        <f t="shared" si="0"/>
        <v/>
      </c>
      <c r="CA15" s="1899" t="str">
        <f t="shared" si="4"/>
        <v/>
      </c>
      <c r="CB15" s="1899" t="str">
        <f t="shared" si="5"/>
        <v/>
      </c>
      <c r="CC15" s="1899" t="str">
        <f t="shared" si="6"/>
        <v/>
      </c>
      <c r="CD15" s="1899" t="str">
        <f t="shared" si="7"/>
        <v/>
      </c>
      <c r="CJ15" s="3026">
        <f t="shared" si="8"/>
        <v>0</v>
      </c>
      <c r="CK15" s="3026">
        <f t="shared" si="9"/>
        <v>0</v>
      </c>
      <c r="CL15" s="3026">
        <f t="shared" si="10"/>
        <v>0</v>
      </c>
      <c r="CM15" s="3026">
        <f t="shared" si="11"/>
        <v>0</v>
      </c>
    </row>
    <row r="16" spans="1:91" ht="15" customHeight="1" x14ac:dyDescent="0.3">
      <c r="A16" s="7641"/>
      <c r="B16" s="7645"/>
      <c r="C16" s="4790" t="s">
        <v>4131</v>
      </c>
      <c r="D16" s="5288">
        <f t="shared" si="2"/>
        <v>0</v>
      </c>
      <c r="E16" s="5288">
        <f t="shared" si="12"/>
        <v>0</v>
      </c>
      <c r="F16" s="5290">
        <f t="shared" si="3"/>
        <v>0</v>
      </c>
      <c r="G16" s="5309"/>
      <c r="H16" s="5291"/>
      <c r="I16" s="5309"/>
      <c r="J16" s="5291"/>
      <c r="K16" s="5309"/>
      <c r="L16" s="5291"/>
      <c r="M16" s="5309"/>
      <c r="N16" s="5291"/>
      <c r="O16" s="5293"/>
      <c r="P16" s="5291"/>
      <c r="Q16" s="5293"/>
      <c r="R16" s="5291"/>
      <c r="S16" s="5293"/>
      <c r="T16" s="5291"/>
      <c r="U16" s="5293"/>
      <c r="V16" s="5291"/>
      <c r="W16" s="5309"/>
      <c r="X16" s="5291"/>
      <c r="Y16" s="5309"/>
      <c r="Z16" s="5291"/>
      <c r="AA16" s="5309"/>
      <c r="AB16" s="5291"/>
      <c r="AC16" s="5309"/>
      <c r="AD16" s="5291"/>
      <c r="AE16" s="5309"/>
      <c r="AF16" s="5291"/>
      <c r="AG16" s="5309"/>
      <c r="AH16" s="5291"/>
      <c r="AI16" s="5309"/>
      <c r="AJ16" s="5291"/>
      <c r="AK16" s="5309"/>
      <c r="AL16" s="5291"/>
      <c r="AM16" s="5309"/>
      <c r="AN16" s="5294"/>
      <c r="AO16" s="5295"/>
      <c r="AP16" s="5291"/>
      <c r="AQ16" s="5295"/>
      <c r="AR16" s="5291"/>
      <c r="AS16" t="str">
        <f t="shared" si="0"/>
        <v/>
      </c>
      <c r="CA16" s="1899" t="str">
        <f t="shared" si="4"/>
        <v/>
      </c>
      <c r="CB16" s="1899" t="str">
        <f t="shared" si="5"/>
        <v/>
      </c>
      <c r="CC16" s="1899" t="str">
        <f t="shared" si="6"/>
        <v/>
      </c>
      <c r="CD16" s="1899" t="str">
        <f t="shared" si="7"/>
        <v/>
      </c>
      <c r="CJ16" s="3026">
        <f t="shared" si="8"/>
        <v>0</v>
      </c>
      <c r="CK16" s="3026">
        <f t="shared" si="9"/>
        <v>0</v>
      </c>
      <c r="CL16" s="3026">
        <f t="shared" si="10"/>
        <v>0</v>
      </c>
      <c r="CM16" s="3026">
        <f t="shared" si="11"/>
        <v>0</v>
      </c>
    </row>
    <row r="17" spans="1:91" ht="15" customHeight="1" x14ac:dyDescent="0.3">
      <c r="A17" s="7641"/>
      <c r="B17" s="7645"/>
      <c r="C17" s="4790" t="s">
        <v>4132</v>
      </c>
      <c r="D17" s="5288">
        <f t="shared" si="2"/>
        <v>0</v>
      </c>
      <c r="E17" s="5288">
        <f t="shared" si="12"/>
        <v>0</v>
      </c>
      <c r="F17" s="5290">
        <f t="shared" si="3"/>
        <v>0</v>
      </c>
      <c r="G17" s="5309"/>
      <c r="H17" s="5291"/>
      <c r="I17" s="5309"/>
      <c r="J17" s="5291"/>
      <c r="K17" s="5309"/>
      <c r="L17" s="5291"/>
      <c r="M17" s="5309"/>
      <c r="N17" s="5291"/>
      <c r="O17" s="5293"/>
      <c r="P17" s="5291"/>
      <c r="Q17" s="5293"/>
      <c r="R17" s="5291"/>
      <c r="S17" s="5293"/>
      <c r="T17" s="5291"/>
      <c r="U17" s="5293"/>
      <c r="V17" s="5291"/>
      <c r="W17" s="5309"/>
      <c r="X17" s="5291"/>
      <c r="Y17" s="5309"/>
      <c r="Z17" s="5291"/>
      <c r="AA17" s="5309"/>
      <c r="AB17" s="5291"/>
      <c r="AC17" s="5309"/>
      <c r="AD17" s="5291"/>
      <c r="AE17" s="5309"/>
      <c r="AF17" s="5291"/>
      <c r="AG17" s="5309"/>
      <c r="AH17" s="5291"/>
      <c r="AI17" s="5309"/>
      <c r="AJ17" s="5291"/>
      <c r="AK17" s="5309"/>
      <c r="AL17" s="5291"/>
      <c r="AM17" s="5309"/>
      <c r="AN17" s="5294"/>
      <c r="AO17" s="5295"/>
      <c r="AP17" s="5291"/>
      <c r="AQ17" s="5295"/>
      <c r="AR17" s="5291"/>
      <c r="AS17" t="str">
        <f t="shared" si="0"/>
        <v/>
      </c>
      <c r="CA17" s="1899" t="str">
        <f t="shared" si="4"/>
        <v/>
      </c>
      <c r="CB17" s="1899" t="str">
        <f t="shared" si="5"/>
        <v/>
      </c>
      <c r="CC17" s="1899" t="str">
        <f t="shared" si="6"/>
        <v/>
      </c>
      <c r="CD17" s="1899" t="str">
        <f t="shared" si="7"/>
        <v/>
      </c>
      <c r="CJ17" s="3026">
        <f t="shared" si="8"/>
        <v>0</v>
      </c>
      <c r="CK17" s="3026">
        <f t="shared" si="9"/>
        <v>0</v>
      </c>
      <c r="CL17" s="3026">
        <f t="shared" si="10"/>
        <v>0</v>
      </c>
      <c r="CM17" s="3026">
        <f t="shared" si="11"/>
        <v>0</v>
      </c>
    </row>
    <row r="18" spans="1:91" ht="15" customHeight="1" x14ac:dyDescent="0.3">
      <c r="A18" s="7641"/>
      <c r="B18" s="7645"/>
      <c r="C18" s="4790" t="s">
        <v>4133</v>
      </c>
      <c r="D18" s="5288">
        <f t="shared" si="2"/>
        <v>0</v>
      </c>
      <c r="E18" s="5288">
        <f t="shared" si="12"/>
        <v>0</v>
      </c>
      <c r="F18" s="5290">
        <f t="shared" si="3"/>
        <v>0</v>
      </c>
      <c r="G18" s="5309"/>
      <c r="H18" s="5291"/>
      <c r="I18" s="5309"/>
      <c r="J18" s="5291"/>
      <c r="K18" s="5309"/>
      <c r="L18" s="5291"/>
      <c r="M18" s="5309"/>
      <c r="N18" s="5291"/>
      <c r="O18" s="5293"/>
      <c r="P18" s="5291"/>
      <c r="Q18" s="5293"/>
      <c r="R18" s="5291"/>
      <c r="S18" s="5293"/>
      <c r="T18" s="5291"/>
      <c r="U18" s="5293"/>
      <c r="V18" s="5291"/>
      <c r="W18" s="5309"/>
      <c r="X18" s="5291"/>
      <c r="Y18" s="5309"/>
      <c r="Z18" s="5291"/>
      <c r="AA18" s="5309"/>
      <c r="AB18" s="5291"/>
      <c r="AC18" s="5309"/>
      <c r="AD18" s="5291"/>
      <c r="AE18" s="5309"/>
      <c r="AF18" s="5291"/>
      <c r="AG18" s="5309"/>
      <c r="AH18" s="5291"/>
      <c r="AI18" s="5309"/>
      <c r="AJ18" s="5291"/>
      <c r="AK18" s="5309"/>
      <c r="AL18" s="5291"/>
      <c r="AM18" s="5309"/>
      <c r="AN18" s="5294"/>
      <c r="AO18" s="5295"/>
      <c r="AP18" s="5291"/>
      <c r="AQ18" s="5295"/>
      <c r="AR18" s="5291"/>
      <c r="AS18" t="str">
        <f t="shared" si="0"/>
        <v/>
      </c>
      <c r="CA18" s="1899" t="str">
        <f t="shared" si="4"/>
        <v/>
      </c>
      <c r="CB18" s="1899" t="str">
        <f t="shared" si="5"/>
        <v/>
      </c>
      <c r="CC18" s="1899" t="str">
        <f t="shared" si="6"/>
        <v/>
      </c>
      <c r="CD18" s="1899" t="str">
        <f t="shared" si="7"/>
        <v/>
      </c>
      <c r="CJ18" s="3026">
        <f t="shared" si="8"/>
        <v>0</v>
      </c>
      <c r="CK18" s="3026">
        <f t="shared" si="9"/>
        <v>0</v>
      </c>
      <c r="CL18" s="3026">
        <f t="shared" si="10"/>
        <v>0</v>
      </c>
      <c r="CM18" s="3026">
        <f t="shared" si="11"/>
        <v>0</v>
      </c>
    </row>
    <row r="19" spans="1:91" ht="15" customHeight="1" x14ac:dyDescent="0.3">
      <c r="A19" s="7641"/>
      <c r="B19" s="7645"/>
      <c r="C19" s="4790" t="s">
        <v>4134</v>
      </c>
      <c r="D19" s="5288">
        <f t="shared" si="2"/>
        <v>0</v>
      </c>
      <c r="E19" s="5288">
        <f t="shared" si="12"/>
        <v>0</v>
      </c>
      <c r="F19" s="5290">
        <f t="shared" si="3"/>
        <v>0</v>
      </c>
      <c r="G19" s="5309"/>
      <c r="H19" s="5291"/>
      <c r="I19" s="5309"/>
      <c r="J19" s="5291"/>
      <c r="K19" s="5309"/>
      <c r="L19" s="5291"/>
      <c r="M19" s="5309"/>
      <c r="N19" s="5291"/>
      <c r="O19" s="5293"/>
      <c r="P19" s="5291"/>
      <c r="Q19" s="5293"/>
      <c r="R19" s="5291"/>
      <c r="S19" s="5293"/>
      <c r="T19" s="5291"/>
      <c r="U19" s="5293"/>
      <c r="V19" s="5291"/>
      <c r="W19" s="5309"/>
      <c r="X19" s="5291"/>
      <c r="Y19" s="5309"/>
      <c r="Z19" s="5291"/>
      <c r="AA19" s="5309"/>
      <c r="AB19" s="5291"/>
      <c r="AC19" s="5309"/>
      <c r="AD19" s="5291"/>
      <c r="AE19" s="5309"/>
      <c r="AF19" s="5291"/>
      <c r="AG19" s="5309"/>
      <c r="AH19" s="5291"/>
      <c r="AI19" s="5309"/>
      <c r="AJ19" s="5291"/>
      <c r="AK19" s="5309"/>
      <c r="AL19" s="5291"/>
      <c r="AM19" s="5309"/>
      <c r="AN19" s="5294"/>
      <c r="AO19" s="5295"/>
      <c r="AP19" s="5291"/>
      <c r="AQ19" s="5295"/>
      <c r="AR19" s="5291"/>
      <c r="AS19" t="str">
        <f t="shared" si="0"/>
        <v/>
      </c>
      <c r="CA19" s="1899" t="str">
        <f t="shared" si="4"/>
        <v/>
      </c>
      <c r="CB19" s="1899" t="str">
        <f t="shared" si="5"/>
        <v/>
      </c>
      <c r="CC19" s="1899" t="str">
        <f t="shared" si="6"/>
        <v/>
      </c>
      <c r="CD19" s="1899" t="str">
        <f t="shared" si="7"/>
        <v/>
      </c>
      <c r="CJ19" s="3026">
        <f t="shared" si="8"/>
        <v>0</v>
      </c>
      <c r="CK19" s="3026">
        <f t="shared" si="9"/>
        <v>0</v>
      </c>
      <c r="CL19" s="3026">
        <f t="shared" si="10"/>
        <v>0</v>
      </c>
      <c r="CM19" s="3026">
        <f t="shared" si="11"/>
        <v>0</v>
      </c>
    </row>
    <row r="20" spans="1:91" ht="24.75" customHeight="1" x14ac:dyDescent="0.3">
      <c r="A20" s="7641"/>
      <c r="B20" s="7645"/>
      <c r="C20" s="5310" t="s">
        <v>4135</v>
      </c>
      <c r="D20" s="5288">
        <f t="shared" si="2"/>
        <v>0</v>
      </c>
      <c r="E20" s="5288">
        <f t="shared" si="12"/>
        <v>0</v>
      </c>
      <c r="F20" s="5290">
        <f t="shared" si="3"/>
        <v>0</v>
      </c>
      <c r="G20" s="5309"/>
      <c r="H20" s="5291"/>
      <c r="I20" s="5309"/>
      <c r="J20" s="5291"/>
      <c r="K20" s="5309"/>
      <c r="L20" s="5291"/>
      <c r="M20" s="5309"/>
      <c r="N20" s="5291"/>
      <c r="O20" s="5293"/>
      <c r="P20" s="5291"/>
      <c r="Q20" s="5293"/>
      <c r="R20" s="5291"/>
      <c r="S20" s="5293"/>
      <c r="T20" s="5291"/>
      <c r="U20" s="5293"/>
      <c r="V20" s="5291"/>
      <c r="W20" s="5309"/>
      <c r="X20" s="5291"/>
      <c r="Y20" s="5309"/>
      <c r="Z20" s="5291"/>
      <c r="AA20" s="5309"/>
      <c r="AB20" s="5291"/>
      <c r="AC20" s="5309"/>
      <c r="AD20" s="5291"/>
      <c r="AE20" s="5309"/>
      <c r="AF20" s="5291"/>
      <c r="AG20" s="5309"/>
      <c r="AH20" s="5291"/>
      <c r="AI20" s="5309"/>
      <c r="AJ20" s="5291"/>
      <c r="AK20" s="5309"/>
      <c r="AL20" s="5291"/>
      <c r="AM20" s="5309"/>
      <c r="AN20" s="5294"/>
      <c r="AO20" s="5295"/>
      <c r="AP20" s="5291"/>
      <c r="AQ20" s="5295"/>
      <c r="AR20" s="5291"/>
      <c r="AS20" t="str">
        <f t="shared" si="0"/>
        <v/>
      </c>
      <c r="CA20" s="1899" t="str">
        <f t="shared" si="4"/>
        <v/>
      </c>
      <c r="CB20" s="1899" t="str">
        <f t="shared" si="5"/>
        <v/>
      </c>
      <c r="CC20" s="1899" t="str">
        <f t="shared" si="6"/>
        <v/>
      </c>
      <c r="CD20" s="1899" t="str">
        <f t="shared" si="7"/>
        <v/>
      </c>
      <c r="CJ20" s="3026">
        <f t="shared" si="8"/>
        <v>0</v>
      </c>
      <c r="CK20" s="3026">
        <f t="shared" si="9"/>
        <v>0</v>
      </c>
      <c r="CL20" s="3026">
        <f t="shared" si="10"/>
        <v>0</v>
      </c>
      <c r="CM20" s="3026">
        <f t="shared" si="11"/>
        <v>0</v>
      </c>
    </row>
    <row r="21" spans="1:91" ht="23.25" customHeight="1" x14ac:dyDescent="0.3">
      <c r="A21" s="7641"/>
      <c r="B21" s="7645"/>
      <c r="C21" s="5310" t="s">
        <v>4136</v>
      </c>
      <c r="D21" s="5288">
        <f t="shared" si="2"/>
        <v>0</v>
      </c>
      <c r="E21" s="5288">
        <f t="shared" si="12"/>
        <v>0</v>
      </c>
      <c r="F21" s="5290">
        <f t="shared" si="3"/>
        <v>0</v>
      </c>
      <c r="G21" s="5309"/>
      <c r="H21" s="5291"/>
      <c r="I21" s="5309"/>
      <c r="J21" s="5291"/>
      <c r="K21" s="5309"/>
      <c r="L21" s="5291"/>
      <c r="M21" s="5309"/>
      <c r="N21" s="5291"/>
      <c r="O21" s="5293"/>
      <c r="P21" s="5291"/>
      <c r="Q21" s="5293"/>
      <c r="R21" s="5291"/>
      <c r="S21" s="5293"/>
      <c r="T21" s="5291"/>
      <c r="U21" s="5293"/>
      <c r="V21" s="5291"/>
      <c r="W21" s="5309"/>
      <c r="X21" s="5291"/>
      <c r="Y21" s="5309"/>
      <c r="Z21" s="5291"/>
      <c r="AA21" s="5309"/>
      <c r="AB21" s="5291"/>
      <c r="AC21" s="5309"/>
      <c r="AD21" s="5291"/>
      <c r="AE21" s="5309"/>
      <c r="AF21" s="5291"/>
      <c r="AG21" s="5309"/>
      <c r="AH21" s="5291"/>
      <c r="AI21" s="5309"/>
      <c r="AJ21" s="5291"/>
      <c r="AK21" s="5309"/>
      <c r="AL21" s="5291"/>
      <c r="AM21" s="5309"/>
      <c r="AN21" s="5294"/>
      <c r="AO21" s="5295"/>
      <c r="AP21" s="5291"/>
      <c r="AQ21" s="5295"/>
      <c r="AR21" s="5291"/>
      <c r="AS21" t="str">
        <f t="shared" si="0"/>
        <v/>
      </c>
      <c r="CA21" s="1899" t="str">
        <f t="shared" si="4"/>
        <v/>
      </c>
      <c r="CB21" s="1899" t="str">
        <f t="shared" si="5"/>
        <v/>
      </c>
      <c r="CC21" s="1899" t="str">
        <f t="shared" si="6"/>
        <v/>
      </c>
      <c r="CD21" s="1899" t="str">
        <f t="shared" si="7"/>
        <v/>
      </c>
      <c r="CJ21" s="3026">
        <f t="shared" si="8"/>
        <v>0</v>
      </c>
      <c r="CK21" s="3026">
        <f t="shared" si="9"/>
        <v>0</v>
      </c>
      <c r="CL21" s="3026">
        <f t="shared" si="10"/>
        <v>0</v>
      </c>
      <c r="CM21" s="3026">
        <f t="shared" si="11"/>
        <v>0</v>
      </c>
    </row>
    <row r="22" spans="1:91" ht="15" customHeight="1" x14ac:dyDescent="0.3">
      <c r="A22" s="7641"/>
      <c r="B22" s="7645"/>
      <c r="C22" s="4790" t="s">
        <v>4137</v>
      </c>
      <c r="D22" s="5288">
        <f t="shared" si="2"/>
        <v>0</v>
      </c>
      <c r="E22" s="5288">
        <f t="shared" si="12"/>
        <v>0</v>
      </c>
      <c r="F22" s="5290">
        <f t="shared" si="3"/>
        <v>0</v>
      </c>
      <c r="G22" s="5309"/>
      <c r="H22" s="5291"/>
      <c r="I22" s="5309"/>
      <c r="J22" s="5291"/>
      <c r="K22" s="5309"/>
      <c r="L22" s="5291"/>
      <c r="M22" s="5309"/>
      <c r="N22" s="5291"/>
      <c r="O22" s="5293"/>
      <c r="P22" s="5291"/>
      <c r="Q22" s="5293"/>
      <c r="R22" s="5291"/>
      <c r="S22" s="5293"/>
      <c r="T22" s="5291"/>
      <c r="U22" s="5293"/>
      <c r="V22" s="5291"/>
      <c r="W22" s="5309"/>
      <c r="X22" s="5291"/>
      <c r="Y22" s="5309"/>
      <c r="Z22" s="5291"/>
      <c r="AA22" s="5309"/>
      <c r="AB22" s="5291"/>
      <c r="AC22" s="5309"/>
      <c r="AD22" s="5291"/>
      <c r="AE22" s="5309"/>
      <c r="AF22" s="5291"/>
      <c r="AG22" s="5309"/>
      <c r="AH22" s="5291"/>
      <c r="AI22" s="5309"/>
      <c r="AJ22" s="5291"/>
      <c r="AK22" s="5309"/>
      <c r="AL22" s="5291"/>
      <c r="AM22" s="5309"/>
      <c r="AN22" s="5294"/>
      <c r="AO22" s="5295"/>
      <c r="AP22" s="5291"/>
      <c r="AQ22" s="5295"/>
      <c r="AR22" s="5291"/>
      <c r="AS22" t="str">
        <f t="shared" si="0"/>
        <v/>
      </c>
      <c r="CA22" s="1899" t="str">
        <f t="shared" si="4"/>
        <v/>
      </c>
      <c r="CB22" s="1899" t="str">
        <f t="shared" si="5"/>
        <v/>
      </c>
      <c r="CC22" s="1899" t="str">
        <f t="shared" si="6"/>
        <v/>
      </c>
      <c r="CD22" s="1899" t="str">
        <f t="shared" si="7"/>
        <v/>
      </c>
      <c r="CJ22" s="3026">
        <f t="shared" si="8"/>
        <v>0</v>
      </c>
      <c r="CK22" s="3026">
        <f t="shared" si="9"/>
        <v>0</v>
      </c>
      <c r="CL22" s="3026">
        <f t="shared" si="10"/>
        <v>0</v>
      </c>
      <c r="CM22" s="3026">
        <f t="shared" si="11"/>
        <v>0</v>
      </c>
    </row>
    <row r="23" spans="1:91" ht="15" customHeight="1" x14ac:dyDescent="0.3">
      <c r="A23" s="7642"/>
      <c r="B23" s="7644"/>
      <c r="C23" s="5311" t="s">
        <v>4138</v>
      </c>
      <c r="D23" s="5296">
        <f t="shared" si="2"/>
        <v>0</v>
      </c>
      <c r="E23" s="5297">
        <f t="shared" si="12"/>
        <v>0</v>
      </c>
      <c r="F23" s="5298">
        <f t="shared" si="3"/>
        <v>0</v>
      </c>
      <c r="G23" s="5299"/>
      <c r="H23" s="5300"/>
      <c r="I23" s="5299"/>
      <c r="J23" s="5300"/>
      <c r="K23" s="5299"/>
      <c r="L23" s="5300"/>
      <c r="M23" s="5299"/>
      <c r="N23" s="5300"/>
      <c r="O23" s="5301"/>
      <c r="P23" s="5300"/>
      <c r="Q23" s="5301"/>
      <c r="R23" s="5300"/>
      <c r="S23" s="5301"/>
      <c r="T23" s="5300"/>
      <c r="U23" s="5301"/>
      <c r="V23" s="5300"/>
      <c r="W23" s="5299"/>
      <c r="X23" s="5300"/>
      <c r="Y23" s="5299"/>
      <c r="Z23" s="5300"/>
      <c r="AA23" s="5299"/>
      <c r="AB23" s="5300"/>
      <c r="AC23" s="5299"/>
      <c r="AD23" s="5300"/>
      <c r="AE23" s="5299"/>
      <c r="AF23" s="5300"/>
      <c r="AG23" s="5299"/>
      <c r="AH23" s="5300"/>
      <c r="AI23" s="5299"/>
      <c r="AJ23" s="5300"/>
      <c r="AK23" s="5299"/>
      <c r="AL23" s="5300"/>
      <c r="AM23" s="5299"/>
      <c r="AN23" s="5302"/>
      <c r="AO23" s="5303"/>
      <c r="AP23" s="5300"/>
      <c r="AQ23" s="5303"/>
      <c r="AR23" s="5300"/>
      <c r="AS23" t="str">
        <f t="shared" si="0"/>
        <v/>
      </c>
      <c r="CA23" s="1899" t="str">
        <f t="shared" si="4"/>
        <v/>
      </c>
      <c r="CB23" s="1899" t="str">
        <f t="shared" si="5"/>
        <v/>
      </c>
      <c r="CC23" s="1899" t="str">
        <f t="shared" si="6"/>
        <v/>
      </c>
      <c r="CD23" s="1899" t="str">
        <f t="shared" si="7"/>
        <v/>
      </c>
      <c r="CJ23" s="3026">
        <f t="shared" si="8"/>
        <v>0</v>
      </c>
      <c r="CK23" s="3026">
        <f t="shared" si="9"/>
        <v>0</v>
      </c>
      <c r="CL23" s="3026">
        <f t="shared" si="10"/>
        <v>0</v>
      </c>
      <c r="CM23" s="3026">
        <f t="shared" si="11"/>
        <v>0</v>
      </c>
    </row>
    <row r="24" spans="1:91" ht="15" customHeight="1" x14ac:dyDescent="0.3">
      <c r="A24" s="7619" t="s">
        <v>770</v>
      </c>
      <c r="B24" s="7619" t="s">
        <v>4125</v>
      </c>
      <c r="C24" s="5287" t="s">
        <v>4139</v>
      </c>
      <c r="D24" s="5305">
        <f t="shared" ref="D24:D34" si="13">SUM(E24:F24)</f>
        <v>0</v>
      </c>
      <c r="E24" s="5305">
        <f t="shared" si="12"/>
        <v>0</v>
      </c>
      <c r="F24" s="5306">
        <f t="shared" si="3"/>
        <v>0</v>
      </c>
      <c r="G24" s="3257"/>
      <c r="H24" s="3258"/>
      <c r="I24" s="3257"/>
      <c r="J24" s="3258"/>
      <c r="K24" s="3257"/>
      <c r="L24" s="3258"/>
      <c r="M24" s="3257"/>
      <c r="N24" s="3258"/>
      <c r="O24" s="5307"/>
      <c r="P24" s="3258"/>
      <c r="Q24" s="5307"/>
      <c r="R24" s="3258"/>
      <c r="S24" s="5307"/>
      <c r="T24" s="3258"/>
      <c r="U24" s="5307"/>
      <c r="V24" s="3258"/>
      <c r="W24" s="3257"/>
      <c r="X24" s="3258"/>
      <c r="Y24" s="3257"/>
      <c r="Z24" s="3258"/>
      <c r="AA24" s="3257"/>
      <c r="AB24" s="3258"/>
      <c r="AC24" s="3257"/>
      <c r="AD24" s="3258"/>
      <c r="AE24" s="3257"/>
      <c r="AF24" s="3258"/>
      <c r="AG24" s="3257"/>
      <c r="AH24" s="3258"/>
      <c r="AI24" s="3257"/>
      <c r="AJ24" s="3258"/>
      <c r="AK24" s="3257"/>
      <c r="AL24" s="3258"/>
      <c r="AM24" s="3257"/>
      <c r="AN24" s="3259"/>
      <c r="AO24" s="5308"/>
      <c r="AP24" s="3258"/>
      <c r="AQ24" s="5308"/>
      <c r="AR24" s="3258"/>
      <c r="AS24" t="str">
        <f t="shared" si="0"/>
        <v/>
      </c>
      <c r="CA24" s="1899" t="str">
        <f t="shared" si="4"/>
        <v/>
      </c>
      <c r="CB24" s="1899" t="str">
        <f t="shared" si="5"/>
        <v/>
      </c>
      <c r="CC24" s="1899" t="str">
        <f t="shared" si="6"/>
        <v/>
      </c>
      <c r="CD24" s="1899" t="str">
        <f t="shared" si="7"/>
        <v/>
      </c>
      <c r="CJ24" s="3026">
        <f t="shared" si="8"/>
        <v>0</v>
      </c>
      <c r="CK24" s="3026">
        <f t="shared" si="9"/>
        <v>0</v>
      </c>
      <c r="CL24" s="3026">
        <f t="shared" si="10"/>
        <v>0</v>
      </c>
      <c r="CM24" s="3026">
        <f t="shared" si="11"/>
        <v>0</v>
      </c>
    </row>
    <row r="25" spans="1:91" ht="15" customHeight="1" x14ac:dyDescent="0.3">
      <c r="A25" s="7646"/>
      <c r="B25" s="7646"/>
      <c r="C25" s="5090" t="s">
        <v>4140</v>
      </c>
      <c r="D25" s="5288">
        <f t="shared" si="13"/>
        <v>0</v>
      </c>
      <c r="E25" s="5288">
        <f t="shared" si="12"/>
        <v>0</v>
      </c>
      <c r="F25" s="5290">
        <f t="shared" si="3"/>
        <v>0</v>
      </c>
      <c r="G25" s="5309"/>
      <c r="H25" s="5291"/>
      <c r="I25" s="5309"/>
      <c r="J25" s="5291"/>
      <c r="K25" s="5309"/>
      <c r="L25" s="5291"/>
      <c r="M25" s="5309"/>
      <c r="N25" s="5291"/>
      <c r="O25" s="5293"/>
      <c r="P25" s="5291"/>
      <c r="Q25" s="5293"/>
      <c r="R25" s="5291"/>
      <c r="S25" s="5293"/>
      <c r="T25" s="5291"/>
      <c r="U25" s="5293"/>
      <c r="V25" s="5291"/>
      <c r="W25" s="5309"/>
      <c r="X25" s="5291"/>
      <c r="Y25" s="5309"/>
      <c r="Z25" s="5291"/>
      <c r="AA25" s="5309"/>
      <c r="AB25" s="5291"/>
      <c r="AC25" s="5309"/>
      <c r="AD25" s="5291"/>
      <c r="AE25" s="5309"/>
      <c r="AF25" s="5291"/>
      <c r="AG25" s="5309"/>
      <c r="AH25" s="5291"/>
      <c r="AI25" s="5309"/>
      <c r="AJ25" s="5291"/>
      <c r="AK25" s="5309"/>
      <c r="AL25" s="5291"/>
      <c r="AM25" s="5309"/>
      <c r="AN25" s="5294"/>
      <c r="AO25" s="5295"/>
      <c r="AP25" s="5291"/>
      <c r="AQ25" s="5295"/>
      <c r="AR25" s="5291"/>
      <c r="AS25" t="str">
        <f t="shared" si="0"/>
        <v/>
      </c>
      <c r="CA25" s="1899" t="str">
        <f t="shared" si="4"/>
        <v/>
      </c>
      <c r="CB25" s="1899" t="str">
        <f t="shared" si="5"/>
        <v/>
      </c>
      <c r="CC25" s="1899" t="str">
        <f t="shared" si="6"/>
        <v/>
      </c>
      <c r="CD25" s="1899" t="str">
        <f t="shared" si="7"/>
        <v/>
      </c>
      <c r="CJ25" s="3026">
        <f t="shared" si="8"/>
        <v>0</v>
      </c>
      <c r="CK25" s="3026">
        <f t="shared" si="9"/>
        <v>0</v>
      </c>
      <c r="CL25" s="3026">
        <f t="shared" si="10"/>
        <v>0</v>
      </c>
      <c r="CM25" s="3026">
        <f t="shared" si="11"/>
        <v>0</v>
      </c>
    </row>
    <row r="26" spans="1:91" ht="15" customHeight="1" x14ac:dyDescent="0.3">
      <c r="A26" s="7646"/>
      <c r="B26" s="7646"/>
      <c r="C26" s="5090" t="s">
        <v>4141</v>
      </c>
      <c r="D26" s="5288">
        <f t="shared" si="13"/>
        <v>0</v>
      </c>
      <c r="E26" s="5288">
        <f t="shared" si="12"/>
        <v>0</v>
      </c>
      <c r="F26" s="5290">
        <f t="shared" si="3"/>
        <v>0</v>
      </c>
      <c r="G26" s="5309"/>
      <c r="H26" s="5291"/>
      <c r="I26" s="5309"/>
      <c r="J26" s="5291"/>
      <c r="K26" s="5309"/>
      <c r="L26" s="5291"/>
      <c r="M26" s="5309"/>
      <c r="N26" s="5291"/>
      <c r="O26" s="5293"/>
      <c r="P26" s="5291"/>
      <c r="Q26" s="5293"/>
      <c r="R26" s="5291"/>
      <c r="S26" s="5293"/>
      <c r="T26" s="5291"/>
      <c r="U26" s="5293"/>
      <c r="V26" s="5291"/>
      <c r="W26" s="5309"/>
      <c r="X26" s="5291"/>
      <c r="Y26" s="5309"/>
      <c r="Z26" s="5291"/>
      <c r="AA26" s="5309"/>
      <c r="AB26" s="5291"/>
      <c r="AC26" s="5309"/>
      <c r="AD26" s="5291"/>
      <c r="AE26" s="5309"/>
      <c r="AF26" s="5291"/>
      <c r="AG26" s="5309"/>
      <c r="AH26" s="5291"/>
      <c r="AI26" s="5309"/>
      <c r="AJ26" s="5291"/>
      <c r="AK26" s="5309"/>
      <c r="AL26" s="5291"/>
      <c r="AM26" s="5309"/>
      <c r="AN26" s="5294"/>
      <c r="AO26" s="5295"/>
      <c r="AP26" s="5291"/>
      <c r="AQ26" s="5295"/>
      <c r="AR26" s="5291"/>
      <c r="AS26" t="str">
        <f t="shared" si="0"/>
        <v/>
      </c>
      <c r="CA26" s="1899" t="str">
        <f t="shared" si="4"/>
        <v/>
      </c>
      <c r="CB26" s="1899" t="str">
        <f t="shared" si="5"/>
        <v/>
      </c>
      <c r="CC26" s="1899" t="str">
        <f t="shared" si="6"/>
        <v/>
      </c>
      <c r="CD26" s="1899" t="str">
        <f t="shared" si="7"/>
        <v/>
      </c>
      <c r="CJ26" s="3026">
        <f t="shared" si="8"/>
        <v>0</v>
      </c>
      <c r="CK26" s="3026">
        <f t="shared" si="9"/>
        <v>0</v>
      </c>
      <c r="CL26" s="3026">
        <f t="shared" si="10"/>
        <v>0</v>
      </c>
      <c r="CM26" s="3026">
        <f t="shared" si="11"/>
        <v>0</v>
      </c>
    </row>
    <row r="27" spans="1:91" ht="15" customHeight="1" x14ac:dyDescent="0.3">
      <c r="A27" s="7646"/>
      <c r="B27" s="7646"/>
      <c r="C27" s="5090" t="s">
        <v>4142</v>
      </c>
      <c r="D27" s="5288">
        <f t="shared" si="13"/>
        <v>0</v>
      </c>
      <c r="E27" s="5288">
        <f t="shared" si="12"/>
        <v>0</v>
      </c>
      <c r="F27" s="5290">
        <f t="shared" si="3"/>
        <v>0</v>
      </c>
      <c r="G27" s="5309"/>
      <c r="H27" s="5291"/>
      <c r="I27" s="5309"/>
      <c r="J27" s="5291"/>
      <c r="K27" s="5309"/>
      <c r="L27" s="5291"/>
      <c r="M27" s="5309"/>
      <c r="N27" s="5291"/>
      <c r="O27" s="5293"/>
      <c r="P27" s="5291"/>
      <c r="Q27" s="5293"/>
      <c r="R27" s="5291"/>
      <c r="S27" s="5293"/>
      <c r="T27" s="5291"/>
      <c r="U27" s="5293"/>
      <c r="V27" s="5291"/>
      <c r="W27" s="5309"/>
      <c r="X27" s="5291"/>
      <c r="Y27" s="5309"/>
      <c r="Z27" s="5291"/>
      <c r="AA27" s="5309"/>
      <c r="AB27" s="5291"/>
      <c r="AC27" s="5309"/>
      <c r="AD27" s="5291"/>
      <c r="AE27" s="5309"/>
      <c r="AF27" s="5291"/>
      <c r="AG27" s="5309"/>
      <c r="AH27" s="5291"/>
      <c r="AI27" s="5309"/>
      <c r="AJ27" s="5291"/>
      <c r="AK27" s="5309"/>
      <c r="AL27" s="5291"/>
      <c r="AM27" s="5309"/>
      <c r="AN27" s="5294"/>
      <c r="AO27" s="5295"/>
      <c r="AP27" s="5291"/>
      <c r="AQ27" s="5295"/>
      <c r="AR27" s="5291"/>
      <c r="AS27" t="str">
        <f t="shared" si="0"/>
        <v/>
      </c>
      <c r="CA27" s="1899" t="str">
        <f t="shared" si="4"/>
        <v/>
      </c>
      <c r="CB27" s="1899" t="str">
        <f t="shared" si="5"/>
        <v/>
      </c>
      <c r="CC27" s="1899" t="str">
        <f t="shared" si="6"/>
        <v/>
      </c>
      <c r="CD27" s="1899" t="str">
        <f t="shared" si="7"/>
        <v/>
      </c>
      <c r="CJ27" s="3026">
        <f t="shared" si="8"/>
        <v>0</v>
      </c>
      <c r="CK27" s="3026">
        <f t="shared" si="9"/>
        <v>0</v>
      </c>
      <c r="CL27" s="3026">
        <f t="shared" si="10"/>
        <v>0</v>
      </c>
      <c r="CM27" s="3026">
        <f t="shared" si="11"/>
        <v>0</v>
      </c>
    </row>
    <row r="28" spans="1:91" ht="15" customHeight="1" x14ac:dyDescent="0.3">
      <c r="A28" s="7646"/>
      <c r="B28" s="7646"/>
      <c r="C28" s="5090" t="s">
        <v>4143</v>
      </c>
      <c r="D28" s="5288">
        <f t="shared" si="13"/>
        <v>0</v>
      </c>
      <c r="E28" s="5288">
        <f t="shared" si="12"/>
        <v>0</v>
      </c>
      <c r="F28" s="5290">
        <f t="shared" si="3"/>
        <v>0</v>
      </c>
      <c r="G28" s="5309"/>
      <c r="H28" s="5291"/>
      <c r="I28" s="5309"/>
      <c r="J28" s="5291"/>
      <c r="K28" s="5309"/>
      <c r="L28" s="5291"/>
      <c r="M28" s="5309"/>
      <c r="N28" s="5291"/>
      <c r="O28" s="5293"/>
      <c r="P28" s="5291"/>
      <c r="Q28" s="5293"/>
      <c r="R28" s="5291"/>
      <c r="S28" s="5293"/>
      <c r="T28" s="5291"/>
      <c r="U28" s="5293"/>
      <c r="V28" s="5291"/>
      <c r="W28" s="5309"/>
      <c r="X28" s="5291"/>
      <c r="Y28" s="5309"/>
      <c r="Z28" s="5291"/>
      <c r="AA28" s="5309"/>
      <c r="AB28" s="5291"/>
      <c r="AC28" s="5309"/>
      <c r="AD28" s="5291"/>
      <c r="AE28" s="5309"/>
      <c r="AF28" s="5291"/>
      <c r="AG28" s="5309"/>
      <c r="AH28" s="5291"/>
      <c r="AI28" s="5309"/>
      <c r="AJ28" s="5291"/>
      <c r="AK28" s="5309"/>
      <c r="AL28" s="5291"/>
      <c r="AM28" s="5309"/>
      <c r="AN28" s="5294"/>
      <c r="AO28" s="5295"/>
      <c r="AP28" s="5291"/>
      <c r="AQ28" s="5295"/>
      <c r="AR28" s="5291"/>
      <c r="AS28" t="str">
        <f t="shared" si="0"/>
        <v/>
      </c>
      <c r="CA28" s="1899" t="str">
        <f t="shared" si="4"/>
        <v/>
      </c>
      <c r="CB28" s="1899" t="str">
        <f t="shared" si="5"/>
        <v/>
      </c>
      <c r="CC28" s="1899" t="str">
        <f t="shared" si="6"/>
        <v/>
      </c>
      <c r="CD28" s="1899" t="str">
        <f t="shared" si="7"/>
        <v/>
      </c>
      <c r="CJ28" s="3026">
        <f t="shared" si="8"/>
        <v>0</v>
      </c>
      <c r="CK28" s="3026">
        <f t="shared" si="9"/>
        <v>0</v>
      </c>
      <c r="CL28" s="3026">
        <f t="shared" si="10"/>
        <v>0</v>
      </c>
      <c r="CM28" s="3026">
        <f t="shared" si="11"/>
        <v>0</v>
      </c>
    </row>
    <row r="29" spans="1:91" ht="15" customHeight="1" x14ac:dyDescent="0.3">
      <c r="A29" s="7646"/>
      <c r="B29" s="6885"/>
      <c r="C29" s="939" t="s">
        <v>4144</v>
      </c>
      <c r="D29" s="5296">
        <f t="shared" si="13"/>
        <v>0</v>
      </c>
      <c r="E29" s="5297">
        <f t="shared" si="12"/>
        <v>0</v>
      </c>
      <c r="F29" s="5298">
        <f t="shared" si="3"/>
        <v>0</v>
      </c>
      <c r="G29" s="5299"/>
      <c r="H29" s="5300"/>
      <c r="I29" s="5299"/>
      <c r="J29" s="5300"/>
      <c r="K29" s="5299"/>
      <c r="L29" s="5300"/>
      <c r="M29" s="5299"/>
      <c r="N29" s="5300"/>
      <c r="O29" s="5301"/>
      <c r="P29" s="5300"/>
      <c r="Q29" s="5301"/>
      <c r="R29" s="5300"/>
      <c r="S29" s="5301"/>
      <c r="T29" s="5300"/>
      <c r="U29" s="5301"/>
      <c r="V29" s="5300"/>
      <c r="W29" s="5299"/>
      <c r="X29" s="5300"/>
      <c r="Y29" s="5299"/>
      <c r="Z29" s="5300"/>
      <c r="AA29" s="5299"/>
      <c r="AB29" s="5300"/>
      <c r="AC29" s="5299"/>
      <c r="AD29" s="5300"/>
      <c r="AE29" s="5299"/>
      <c r="AF29" s="5300"/>
      <c r="AG29" s="5299"/>
      <c r="AH29" s="5300"/>
      <c r="AI29" s="5299"/>
      <c r="AJ29" s="5300"/>
      <c r="AK29" s="5299"/>
      <c r="AL29" s="5300"/>
      <c r="AM29" s="5299"/>
      <c r="AN29" s="5302"/>
      <c r="AO29" s="5303"/>
      <c r="AP29" s="5300"/>
      <c r="AQ29" s="5303"/>
      <c r="AR29" s="5300"/>
      <c r="AS29" t="str">
        <f t="shared" si="0"/>
        <v/>
      </c>
      <c r="CA29" s="1899" t="str">
        <f t="shared" si="4"/>
        <v/>
      </c>
      <c r="CB29" s="1899" t="str">
        <f t="shared" si="5"/>
        <v/>
      </c>
      <c r="CC29" s="1899" t="str">
        <f t="shared" si="6"/>
        <v/>
      </c>
      <c r="CD29" s="1899" t="str">
        <f t="shared" si="7"/>
        <v/>
      </c>
      <c r="CJ29" s="3026">
        <f t="shared" si="8"/>
        <v>0</v>
      </c>
      <c r="CK29" s="3026">
        <f t="shared" si="9"/>
        <v>0</v>
      </c>
      <c r="CL29" s="3026">
        <f t="shared" si="10"/>
        <v>0</v>
      </c>
      <c r="CM29" s="3026">
        <f t="shared" si="11"/>
        <v>0</v>
      </c>
    </row>
    <row r="30" spans="1:91" ht="15" customHeight="1" x14ac:dyDescent="0.3">
      <c r="A30" s="7646"/>
      <c r="B30" s="7619" t="s">
        <v>4128</v>
      </c>
      <c r="C30" s="5287" t="s">
        <v>4139</v>
      </c>
      <c r="D30" s="5305">
        <f t="shared" si="13"/>
        <v>0</v>
      </c>
      <c r="E30" s="5305">
        <f t="shared" si="12"/>
        <v>0</v>
      </c>
      <c r="F30" s="5306">
        <f t="shared" si="3"/>
        <v>0</v>
      </c>
      <c r="G30" s="3257"/>
      <c r="H30" s="3258"/>
      <c r="I30" s="3257"/>
      <c r="J30" s="3258"/>
      <c r="K30" s="3257"/>
      <c r="L30" s="3258"/>
      <c r="M30" s="3257"/>
      <c r="N30" s="3258"/>
      <c r="O30" s="5307"/>
      <c r="P30" s="3258"/>
      <c r="Q30" s="5307"/>
      <c r="R30" s="3258"/>
      <c r="S30" s="5307"/>
      <c r="T30" s="3258"/>
      <c r="U30" s="5307"/>
      <c r="V30" s="3258"/>
      <c r="W30" s="3257"/>
      <c r="X30" s="3258"/>
      <c r="Y30" s="3257"/>
      <c r="Z30" s="3258"/>
      <c r="AA30" s="3257"/>
      <c r="AB30" s="3258"/>
      <c r="AC30" s="3257"/>
      <c r="AD30" s="3258"/>
      <c r="AE30" s="3257"/>
      <c r="AF30" s="3258"/>
      <c r="AG30" s="3257"/>
      <c r="AH30" s="3258"/>
      <c r="AI30" s="3257"/>
      <c r="AJ30" s="3258"/>
      <c r="AK30" s="3257"/>
      <c r="AL30" s="3258"/>
      <c r="AM30" s="3257"/>
      <c r="AN30" s="3259"/>
      <c r="AO30" s="5308"/>
      <c r="AP30" s="3258"/>
      <c r="AQ30" s="5308"/>
      <c r="AR30" s="3258"/>
      <c r="AS30" t="str">
        <f t="shared" si="0"/>
        <v/>
      </c>
      <c r="CA30" s="1899" t="str">
        <f t="shared" si="4"/>
        <v/>
      </c>
      <c r="CB30" s="1899" t="str">
        <f t="shared" si="5"/>
        <v/>
      </c>
      <c r="CC30" s="1899" t="str">
        <f t="shared" si="6"/>
        <v/>
      </c>
      <c r="CD30" s="1899" t="str">
        <f t="shared" si="7"/>
        <v/>
      </c>
      <c r="CJ30" s="3026">
        <f t="shared" si="8"/>
        <v>0</v>
      </c>
      <c r="CK30" s="3026">
        <f t="shared" si="9"/>
        <v>0</v>
      </c>
      <c r="CL30" s="3026">
        <f t="shared" si="10"/>
        <v>0</v>
      </c>
      <c r="CM30" s="3026">
        <f t="shared" si="11"/>
        <v>0</v>
      </c>
    </row>
    <row r="31" spans="1:91" ht="21.75" customHeight="1" x14ac:dyDescent="0.3">
      <c r="A31" s="7646"/>
      <c r="B31" s="7646"/>
      <c r="C31" s="5090" t="s">
        <v>4140</v>
      </c>
      <c r="D31" s="5288">
        <f t="shared" si="13"/>
        <v>0</v>
      </c>
      <c r="E31" s="5288">
        <f t="shared" si="12"/>
        <v>0</v>
      </c>
      <c r="F31" s="5290">
        <f t="shared" si="3"/>
        <v>0</v>
      </c>
      <c r="G31" s="5309"/>
      <c r="H31" s="5291"/>
      <c r="I31" s="5309"/>
      <c r="J31" s="5291"/>
      <c r="K31" s="5309"/>
      <c r="L31" s="5291"/>
      <c r="M31" s="5309"/>
      <c r="N31" s="5291"/>
      <c r="O31" s="5293"/>
      <c r="P31" s="5291"/>
      <c r="Q31" s="5293"/>
      <c r="R31" s="5291"/>
      <c r="S31" s="5293"/>
      <c r="T31" s="5291"/>
      <c r="U31" s="5293"/>
      <c r="V31" s="5291"/>
      <c r="W31" s="5309"/>
      <c r="X31" s="5291"/>
      <c r="Y31" s="5309"/>
      <c r="Z31" s="5291"/>
      <c r="AA31" s="5309"/>
      <c r="AB31" s="5291"/>
      <c r="AC31" s="5309"/>
      <c r="AD31" s="5291"/>
      <c r="AE31" s="5309"/>
      <c r="AF31" s="5291"/>
      <c r="AG31" s="5309"/>
      <c r="AH31" s="5291"/>
      <c r="AI31" s="5309"/>
      <c r="AJ31" s="5291"/>
      <c r="AK31" s="5309"/>
      <c r="AL31" s="5291"/>
      <c r="AM31" s="5309"/>
      <c r="AN31" s="5294"/>
      <c r="AO31" s="5295"/>
      <c r="AP31" s="5291"/>
      <c r="AQ31" s="5295"/>
      <c r="AR31" s="5291"/>
      <c r="AS31" t="str">
        <f t="shared" si="0"/>
        <v/>
      </c>
      <c r="CA31" s="1899" t="str">
        <f t="shared" si="4"/>
        <v/>
      </c>
      <c r="CB31" s="1899" t="str">
        <f t="shared" si="5"/>
        <v/>
      </c>
      <c r="CC31" s="1899" t="str">
        <f t="shared" si="6"/>
        <v/>
      </c>
      <c r="CD31" s="1899" t="str">
        <f t="shared" si="7"/>
        <v/>
      </c>
      <c r="CJ31" s="3026">
        <f t="shared" si="8"/>
        <v>0</v>
      </c>
      <c r="CK31" s="3026">
        <f t="shared" si="9"/>
        <v>0</v>
      </c>
      <c r="CL31" s="3026">
        <f t="shared" si="10"/>
        <v>0</v>
      </c>
      <c r="CM31" s="3026">
        <f t="shared" si="11"/>
        <v>0</v>
      </c>
    </row>
    <row r="32" spans="1:91" ht="15" customHeight="1" x14ac:dyDescent="0.3">
      <c r="A32" s="7646"/>
      <c r="B32" s="7646"/>
      <c r="C32" s="5090" t="s">
        <v>4141</v>
      </c>
      <c r="D32" s="5288">
        <f t="shared" si="13"/>
        <v>0</v>
      </c>
      <c r="E32" s="5288">
        <f t="shared" si="12"/>
        <v>0</v>
      </c>
      <c r="F32" s="5290">
        <f t="shared" si="3"/>
        <v>0</v>
      </c>
      <c r="G32" s="5309"/>
      <c r="H32" s="5291"/>
      <c r="I32" s="5309"/>
      <c r="J32" s="5291"/>
      <c r="K32" s="5309"/>
      <c r="L32" s="5291"/>
      <c r="M32" s="5309"/>
      <c r="N32" s="5291"/>
      <c r="O32" s="5293"/>
      <c r="P32" s="5291"/>
      <c r="Q32" s="5293"/>
      <c r="R32" s="5291"/>
      <c r="S32" s="5293"/>
      <c r="T32" s="5291"/>
      <c r="U32" s="5293"/>
      <c r="V32" s="5291"/>
      <c r="W32" s="5309"/>
      <c r="X32" s="5291"/>
      <c r="Y32" s="5309"/>
      <c r="Z32" s="5291"/>
      <c r="AA32" s="5309"/>
      <c r="AB32" s="5291"/>
      <c r="AC32" s="5309"/>
      <c r="AD32" s="5291"/>
      <c r="AE32" s="5309"/>
      <c r="AF32" s="5291"/>
      <c r="AG32" s="5309"/>
      <c r="AH32" s="5291"/>
      <c r="AI32" s="5309"/>
      <c r="AJ32" s="5291"/>
      <c r="AK32" s="5309"/>
      <c r="AL32" s="5291"/>
      <c r="AM32" s="5309"/>
      <c r="AN32" s="5294"/>
      <c r="AO32" s="5295"/>
      <c r="AP32" s="5291"/>
      <c r="AQ32" s="5295"/>
      <c r="AR32" s="5291"/>
      <c r="AS32" t="str">
        <f t="shared" si="0"/>
        <v/>
      </c>
      <c r="CA32" s="1899" t="str">
        <f t="shared" si="4"/>
        <v/>
      </c>
      <c r="CB32" s="1899" t="str">
        <f t="shared" si="5"/>
        <v/>
      </c>
      <c r="CC32" s="1899" t="str">
        <f t="shared" si="6"/>
        <v/>
      </c>
      <c r="CD32" s="1899" t="str">
        <f t="shared" si="7"/>
        <v/>
      </c>
      <c r="CJ32" s="3026">
        <f t="shared" si="8"/>
        <v>0</v>
      </c>
      <c r="CK32" s="3026">
        <f t="shared" si="9"/>
        <v>0</v>
      </c>
      <c r="CL32" s="3026">
        <f t="shared" si="10"/>
        <v>0</v>
      </c>
      <c r="CM32" s="3026">
        <f t="shared" si="11"/>
        <v>0</v>
      </c>
    </row>
    <row r="33" spans="1:92" ht="15" customHeight="1" x14ac:dyDescent="0.3">
      <c r="A33" s="7646"/>
      <c r="B33" s="7646"/>
      <c r="C33" s="5090" t="s">
        <v>4143</v>
      </c>
      <c r="D33" s="5288">
        <f t="shared" si="13"/>
        <v>0</v>
      </c>
      <c r="E33" s="5288">
        <f t="shared" si="12"/>
        <v>0</v>
      </c>
      <c r="F33" s="5290">
        <f t="shared" si="3"/>
        <v>0</v>
      </c>
      <c r="G33" s="5309"/>
      <c r="H33" s="5291"/>
      <c r="I33" s="5309"/>
      <c r="J33" s="5291"/>
      <c r="K33" s="5309"/>
      <c r="L33" s="5291"/>
      <c r="M33" s="5309"/>
      <c r="N33" s="5291"/>
      <c r="O33" s="5293"/>
      <c r="P33" s="5291"/>
      <c r="Q33" s="5293"/>
      <c r="R33" s="5291"/>
      <c r="S33" s="5293"/>
      <c r="T33" s="5291"/>
      <c r="U33" s="5293"/>
      <c r="V33" s="5291"/>
      <c r="W33" s="5309"/>
      <c r="X33" s="5291"/>
      <c r="Y33" s="5309"/>
      <c r="Z33" s="5291"/>
      <c r="AA33" s="5309"/>
      <c r="AB33" s="5291"/>
      <c r="AC33" s="5309"/>
      <c r="AD33" s="5291"/>
      <c r="AE33" s="5309"/>
      <c r="AF33" s="5291"/>
      <c r="AG33" s="5309"/>
      <c r="AH33" s="5291"/>
      <c r="AI33" s="5309"/>
      <c r="AJ33" s="5291"/>
      <c r="AK33" s="5309"/>
      <c r="AL33" s="5291"/>
      <c r="AM33" s="5309"/>
      <c r="AN33" s="5294"/>
      <c r="AO33" s="5295"/>
      <c r="AP33" s="5291"/>
      <c r="AQ33" s="5295"/>
      <c r="AR33" s="5291"/>
      <c r="AS33" t="str">
        <f t="shared" si="0"/>
        <v/>
      </c>
      <c r="CA33" s="1899" t="str">
        <f t="shared" si="4"/>
        <v/>
      </c>
      <c r="CB33" s="1899" t="str">
        <f t="shared" si="5"/>
        <v/>
      </c>
      <c r="CC33" s="1899" t="str">
        <f t="shared" si="6"/>
        <v/>
      </c>
      <c r="CD33" s="1899" t="str">
        <f t="shared" si="7"/>
        <v/>
      </c>
      <c r="CJ33" s="3026">
        <f t="shared" si="8"/>
        <v>0</v>
      </c>
      <c r="CK33" s="3026">
        <f t="shared" si="9"/>
        <v>0</v>
      </c>
      <c r="CL33" s="3026">
        <f t="shared" si="10"/>
        <v>0</v>
      </c>
      <c r="CM33" s="3026">
        <f t="shared" si="11"/>
        <v>0</v>
      </c>
    </row>
    <row r="34" spans="1:92" ht="15" customHeight="1" x14ac:dyDescent="0.3">
      <c r="A34" s="6885"/>
      <c r="B34" s="6885"/>
      <c r="C34" s="939" t="s">
        <v>4144</v>
      </c>
      <c r="D34" s="5296">
        <f t="shared" si="13"/>
        <v>0</v>
      </c>
      <c r="E34" s="5297">
        <f t="shared" si="12"/>
        <v>0</v>
      </c>
      <c r="F34" s="5298">
        <f t="shared" si="3"/>
        <v>0</v>
      </c>
      <c r="G34" s="5299"/>
      <c r="H34" s="5300"/>
      <c r="I34" s="5299"/>
      <c r="J34" s="5300"/>
      <c r="K34" s="5299"/>
      <c r="L34" s="5300"/>
      <c r="M34" s="5299"/>
      <c r="N34" s="5300"/>
      <c r="O34" s="5301"/>
      <c r="P34" s="5300"/>
      <c r="Q34" s="5301"/>
      <c r="R34" s="5300"/>
      <c r="S34" s="5301"/>
      <c r="T34" s="5300"/>
      <c r="U34" s="5301"/>
      <c r="V34" s="5300"/>
      <c r="W34" s="5299"/>
      <c r="X34" s="5300"/>
      <c r="Y34" s="5299"/>
      <c r="Z34" s="5300"/>
      <c r="AA34" s="5299"/>
      <c r="AB34" s="5300"/>
      <c r="AC34" s="5299"/>
      <c r="AD34" s="5300"/>
      <c r="AE34" s="5299"/>
      <c r="AF34" s="5300"/>
      <c r="AG34" s="5299"/>
      <c r="AH34" s="5300"/>
      <c r="AI34" s="5299"/>
      <c r="AJ34" s="5300"/>
      <c r="AK34" s="5299"/>
      <c r="AL34" s="5300"/>
      <c r="AM34" s="5299"/>
      <c r="AN34" s="5302"/>
      <c r="AO34" s="5303"/>
      <c r="AP34" s="5300"/>
      <c r="AQ34" s="5303"/>
      <c r="AR34" s="5300"/>
      <c r="AS34" t="str">
        <f t="shared" si="0"/>
        <v/>
      </c>
      <c r="CA34" s="1899" t="str">
        <f t="shared" si="4"/>
        <v/>
      </c>
      <c r="CB34" s="1899" t="str">
        <f t="shared" si="5"/>
        <v/>
      </c>
      <c r="CC34" s="1899" t="str">
        <f t="shared" si="6"/>
        <v/>
      </c>
      <c r="CD34" s="1899" t="str">
        <f t="shared" si="7"/>
        <v/>
      </c>
      <c r="CJ34" s="3026">
        <f t="shared" si="8"/>
        <v>0</v>
      </c>
      <c r="CK34" s="3026">
        <f t="shared" si="9"/>
        <v>0</v>
      </c>
      <c r="CL34" s="3026">
        <f t="shared" si="10"/>
        <v>0</v>
      </c>
      <c r="CM34" s="3026">
        <f t="shared" si="11"/>
        <v>0</v>
      </c>
    </row>
    <row r="35" spans="1:92" ht="17.100000000000001" customHeight="1" x14ac:dyDescent="0.3">
      <c r="A35" s="5592" t="s">
        <v>4145</v>
      </c>
    </row>
    <row r="36" spans="1:92" ht="15" customHeight="1" x14ac:dyDescent="0.3">
      <c r="A36" s="7617" t="s">
        <v>1362</v>
      </c>
      <c r="B36" s="7622" t="s">
        <v>1093</v>
      </c>
      <c r="C36" s="6579" t="s">
        <v>77</v>
      </c>
      <c r="D36" s="6066"/>
      <c r="E36" s="7359"/>
      <c r="F36" s="7618" t="s">
        <v>101</v>
      </c>
      <c r="G36" s="7475"/>
      <c r="H36" s="7475"/>
      <c r="I36" s="7475"/>
      <c r="J36" s="7475"/>
      <c r="K36" s="7475"/>
      <c r="L36" s="7475"/>
      <c r="M36" s="7475"/>
      <c r="N36" s="7475"/>
      <c r="O36" s="7475"/>
      <c r="P36" s="7475"/>
      <c r="Q36" s="7475"/>
      <c r="R36" s="7475"/>
      <c r="S36" s="7475"/>
      <c r="T36" s="7475"/>
      <c r="U36" s="7475"/>
      <c r="V36" s="7475"/>
      <c r="W36" s="7475"/>
      <c r="X36" s="7475"/>
      <c r="Y36" s="7475"/>
      <c r="Z36" s="7475"/>
      <c r="AA36" s="7475"/>
      <c r="AB36" s="7475"/>
      <c r="AC36" s="7475"/>
      <c r="AD36" s="7475"/>
      <c r="AE36" s="7475"/>
      <c r="AF36" s="7475"/>
      <c r="AG36" s="7475"/>
      <c r="AH36" s="7475"/>
      <c r="AI36" s="7475"/>
      <c r="AJ36" s="7586" t="s">
        <v>4146</v>
      </c>
      <c r="AK36" s="7587"/>
      <c r="AL36" s="7587"/>
      <c r="AM36" s="7587"/>
      <c r="AN36" s="7587"/>
      <c r="AO36" s="7587"/>
      <c r="AP36" s="7587"/>
      <c r="AQ36" s="7587"/>
      <c r="AR36" s="7587"/>
      <c r="AS36" s="7581"/>
      <c r="AT36" s="7626" t="s">
        <v>4147</v>
      </c>
      <c r="AU36" s="7627"/>
      <c r="AV36" s="7551" t="s">
        <v>4148</v>
      </c>
      <c r="AW36" s="7551"/>
    </row>
    <row r="37" spans="1:92" x14ac:dyDescent="0.3">
      <c r="A37" s="7617"/>
      <c r="B37" s="7623"/>
      <c r="C37" s="6529"/>
      <c r="D37" s="7625"/>
      <c r="E37" s="7360"/>
      <c r="F37" s="7630" t="s">
        <v>1334</v>
      </c>
      <c r="G37" s="7548"/>
      <c r="H37" s="6546" t="s">
        <v>1335</v>
      </c>
      <c r="I37" s="7548"/>
      <c r="J37" s="6546" t="s">
        <v>94</v>
      </c>
      <c r="K37" s="7548"/>
      <c r="L37" s="6546" t="s">
        <v>4149</v>
      </c>
      <c r="M37" s="7548"/>
      <c r="N37" s="6546" t="s">
        <v>4150</v>
      </c>
      <c r="O37" s="7548"/>
      <c r="P37" s="6546" t="s">
        <v>974</v>
      </c>
      <c r="Q37" s="7548"/>
      <c r="R37" s="6546" t="s">
        <v>629</v>
      </c>
      <c r="S37" s="7548"/>
      <c r="T37" s="6546" t="s">
        <v>48</v>
      </c>
      <c r="U37" s="7548"/>
      <c r="V37" s="6546" t="s">
        <v>4151</v>
      </c>
      <c r="W37" s="7548"/>
      <c r="X37" s="6546" t="s">
        <v>975</v>
      </c>
      <c r="Y37" s="7548"/>
      <c r="Z37" s="6546" t="s">
        <v>51</v>
      </c>
      <c r="AA37" s="7548"/>
      <c r="AB37" s="6546" t="s">
        <v>52</v>
      </c>
      <c r="AC37" s="7548"/>
      <c r="AD37" s="6546" t="s">
        <v>53</v>
      </c>
      <c r="AE37" s="7548"/>
      <c r="AF37" s="6546" t="s">
        <v>54</v>
      </c>
      <c r="AG37" s="7548"/>
      <c r="AH37" s="6546" t="s">
        <v>4152</v>
      </c>
      <c r="AI37" s="7476"/>
      <c r="AJ37" s="6585"/>
      <c r="AK37" s="6901"/>
      <c r="AL37" s="6901"/>
      <c r="AM37" s="6901"/>
      <c r="AN37" s="6901"/>
      <c r="AO37" s="6901"/>
      <c r="AP37" s="6901"/>
      <c r="AQ37" s="6901"/>
      <c r="AR37" s="6901"/>
      <c r="AS37" s="6899"/>
      <c r="AT37" s="7628"/>
      <c r="AU37" s="7629"/>
      <c r="AV37" s="7551"/>
      <c r="AW37" s="7551"/>
      <c r="CC37" s="5312"/>
    </row>
    <row r="38" spans="1:92" ht="33.75" customHeight="1" x14ac:dyDescent="0.3">
      <c r="A38" s="7617"/>
      <c r="B38" s="7624"/>
      <c r="C38" s="97" t="s">
        <v>79</v>
      </c>
      <c r="D38" s="5284" t="s">
        <v>58</v>
      </c>
      <c r="E38" s="21" t="s">
        <v>59</v>
      </c>
      <c r="F38" s="5285" t="s">
        <v>58</v>
      </c>
      <c r="G38" s="1663" t="s">
        <v>59</v>
      </c>
      <c r="H38" s="1665" t="s">
        <v>58</v>
      </c>
      <c r="I38" s="1663" t="s">
        <v>59</v>
      </c>
      <c r="J38" s="1665" t="s">
        <v>58</v>
      </c>
      <c r="K38" s="1663" t="s">
        <v>59</v>
      </c>
      <c r="L38" s="1665" t="s">
        <v>58</v>
      </c>
      <c r="M38" s="1663" t="s">
        <v>59</v>
      </c>
      <c r="N38" s="1665" t="s">
        <v>58</v>
      </c>
      <c r="O38" s="1663" t="s">
        <v>59</v>
      </c>
      <c r="P38" s="1665" t="s">
        <v>58</v>
      </c>
      <c r="Q38" s="1663" t="s">
        <v>59</v>
      </c>
      <c r="R38" s="1665" t="s">
        <v>58</v>
      </c>
      <c r="S38" s="1663" t="s">
        <v>59</v>
      </c>
      <c r="T38" s="1665" t="s">
        <v>58</v>
      </c>
      <c r="U38" s="1663" t="s">
        <v>59</v>
      </c>
      <c r="V38" s="1665" t="s">
        <v>58</v>
      </c>
      <c r="W38" s="1663" t="s">
        <v>59</v>
      </c>
      <c r="X38" s="1665" t="s">
        <v>58</v>
      </c>
      <c r="Y38" s="1663" t="s">
        <v>59</v>
      </c>
      <c r="Z38" s="1665" t="s">
        <v>58</v>
      </c>
      <c r="AA38" s="1663" t="s">
        <v>59</v>
      </c>
      <c r="AB38" s="1665" t="s">
        <v>58</v>
      </c>
      <c r="AC38" s="1663" t="s">
        <v>59</v>
      </c>
      <c r="AD38" s="1665" t="s">
        <v>58</v>
      </c>
      <c r="AE38" s="1663" t="s">
        <v>59</v>
      </c>
      <c r="AF38" s="1665" t="s">
        <v>58</v>
      </c>
      <c r="AG38" s="1663" t="s">
        <v>59</v>
      </c>
      <c r="AH38" s="1665" t="s">
        <v>58</v>
      </c>
      <c r="AI38" s="1663" t="s">
        <v>59</v>
      </c>
      <c r="AJ38" s="5313" t="s">
        <v>64</v>
      </c>
      <c r="AK38" s="5314" t="s">
        <v>98</v>
      </c>
      <c r="AL38" s="5314" t="s">
        <v>1406</v>
      </c>
      <c r="AM38" s="5315" t="s">
        <v>99</v>
      </c>
      <c r="AN38" s="5314" t="s">
        <v>1034</v>
      </c>
      <c r="AO38" s="5314" t="s">
        <v>4153</v>
      </c>
      <c r="AP38" s="5314" t="s">
        <v>105</v>
      </c>
      <c r="AQ38" s="5314" t="s">
        <v>504</v>
      </c>
      <c r="AR38" s="5315" t="s">
        <v>1037</v>
      </c>
      <c r="AS38" s="5315" t="s">
        <v>1035</v>
      </c>
      <c r="AT38" s="1677" t="s">
        <v>58</v>
      </c>
      <c r="AU38" s="1678" t="s">
        <v>59</v>
      </c>
      <c r="AV38" s="1677" t="s">
        <v>4154</v>
      </c>
      <c r="AW38" s="1678" t="s">
        <v>4155</v>
      </c>
      <c r="BU38" s="5312"/>
      <c r="BW38" s="5312"/>
      <c r="BX38" s="5316"/>
      <c r="BY38" s="5316"/>
      <c r="BZ38" s="7616" t="s">
        <v>4156</v>
      </c>
      <c r="CA38" s="7616"/>
      <c r="CB38" s="5316" t="s">
        <v>4157</v>
      </c>
      <c r="CC38" s="5316" t="s">
        <v>4158</v>
      </c>
      <c r="CD38" s="5316" t="s">
        <v>4159</v>
      </c>
    </row>
    <row r="39" spans="1:92" ht="15" customHeight="1" x14ac:dyDescent="0.3">
      <c r="A39" s="7617" t="s">
        <v>4160</v>
      </c>
      <c r="B39" s="5317" t="s">
        <v>4161</v>
      </c>
      <c r="C39" s="5318">
        <f>SUM(D39:E39)</f>
        <v>0</v>
      </c>
      <c r="D39" s="5289">
        <f t="shared" ref="D39:D51" si="14">+F39+H39+J39+L39+N39+P39+R39+T39+V39+X39+Z39+AB39+AD39+AF39+AH39</f>
        <v>0</v>
      </c>
      <c r="E39" s="5290">
        <f t="shared" ref="E39:E51" si="15">+G39+I39+K39+M39+O39+Q39+S39+U39+W39+Y39+AA39+AC39+AE39+AG39+AI39</f>
        <v>0</v>
      </c>
      <c r="F39" s="3229"/>
      <c r="G39" s="5291"/>
      <c r="H39" s="3229"/>
      <c r="I39" s="5291"/>
      <c r="J39" s="3229"/>
      <c r="K39" s="5291"/>
      <c r="L39" s="3229"/>
      <c r="M39" s="5291"/>
      <c r="N39" s="3229"/>
      <c r="O39" s="5291"/>
      <c r="P39" s="3229"/>
      <c r="Q39" s="5291"/>
      <c r="R39" s="3229"/>
      <c r="S39" s="5291"/>
      <c r="T39" s="3229"/>
      <c r="U39" s="5291"/>
      <c r="V39" s="3229"/>
      <c r="W39" s="5291"/>
      <c r="X39" s="3229"/>
      <c r="Y39" s="5291"/>
      <c r="Z39" s="3229"/>
      <c r="AA39" s="5291"/>
      <c r="AB39" s="3229"/>
      <c r="AC39" s="5291"/>
      <c r="AD39" s="3229"/>
      <c r="AE39" s="5291"/>
      <c r="AF39" s="3229"/>
      <c r="AG39" s="5291"/>
      <c r="AH39" s="3229"/>
      <c r="AI39" s="5291"/>
      <c r="AJ39" s="5295"/>
      <c r="AK39" s="5295"/>
      <c r="AL39" s="5295"/>
      <c r="AM39" s="5295"/>
      <c r="AN39" s="5295"/>
      <c r="AO39" s="5295"/>
      <c r="AP39" s="5295"/>
      <c r="AQ39" s="5295"/>
      <c r="AR39" s="5295"/>
      <c r="AS39" s="5295"/>
      <c r="AT39" s="5319"/>
      <c r="AU39" s="5320"/>
      <c r="AV39" s="5321"/>
      <c r="AW39" s="5322"/>
      <c r="AX39" t="str">
        <f>BZ39&amp;CA39&amp;CB39&amp;CC39&amp;CD39&amp;CE39</f>
        <v/>
      </c>
      <c r="BZ39" s="3024" t="str" cm="1">
        <f t="array" ref="BZ39">IF(AND($C39&lt;&gt;0,AJ39:AS39=""),"* No olvide ingresar la variable "&amp;AJ$36&amp;""&amp;". Digite CERO si no tiene. ","")</f>
        <v/>
      </c>
      <c r="CA39" s="1899" t="str">
        <f>IF((AJ39+AK39+AL39+AM39+AN39+AO39+AP39+AQ39+AR39+AS39)&lt;$C39," * La suma de la variable Ambos Sexos no puede ser Mayor a la suma de ATENCIONES POR PROFESIONAL O TÉCNICO","")</f>
        <v/>
      </c>
      <c r="CB39" s="1899" t="str">
        <f>IF(AND($C39&lt;&gt;0,AT39=""),"* No olvide ingresar la variable "&amp;AT$36&amp;""&amp;" Hombres. Digite CERO si no tiene.  ",IF(AT39&gt;$C39,"* La variable "&amp;AT$36&amp;""&amp;" Hombres no debe ser mayor al Total. ",""))</f>
        <v/>
      </c>
      <c r="CC39" s="1899" t="str">
        <f>IF(AND($C39&lt;&gt;0,AU39=""),"* No olvide ingresar la variable "&amp;AT$36&amp;""&amp;" Mujeres. Digite CERO si no tiene.  ",IF(AU39&gt;$C39,"* La variable "&amp;AT$36&amp;""&amp;" Mujeres no debe ser mayor al Total. ",""))</f>
        <v/>
      </c>
      <c r="CD39" s="1899" t="str">
        <f>IF(AND($C39&lt;&gt;0,AV39=""),"* No olvide ingresar la variable "&amp;AV$36&amp;""&amp;" 0-19 años. Digite CERO si no tiene.  ",IF(AV39&gt;$C39,"* La variable "&amp;AV$36&amp;""&amp;" 0-19 años no debe ser mayor al Total. ",""))</f>
        <v/>
      </c>
      <c r="CE39" s="1899" t="str">
        <f>IF(AND($C39&lt;&gt;0,AW39=""),"* No olvide ingresar la variable "&amp;AV$36&amp;""&amp;" 20 años y más. Digite CERO si no tiene.  ",IF(AW39&gt;$C39,"* La variable "&amp;AV$36&amp;""&amp;" 20 años y más no debe ser mayor al Total. ",""))</f>
        <v/>
      </c>
      <c r="CI39" s="3026" cm="1">
        <f t="array" ref="CI39">IF(AND($C39&lt;&gt;0,AJ39:AS39=""),1,0)</f>
        <v>0</v>
      </c>
      <c r="CJ39" s="4005">
        <f>IF((AJ39+AK39+AL39+AM39+AN39+AO39+AP39+AQ39+AR39+AS39)&lt;$C39,1,0)</f>
        <v>0</v>
      </c>
      <c r="CK39" s="4005">
        <f>IF(AND($C39&lt;&gt;0,AT39=""),1,IF(AT39&gt;C39,1,0))</f>
        <v>0</v>
      </c>
      <c r="CL39" s="4005">
        <f>IF(AND($C39&lt;&gt;0,AU39=""),1,IF(AU39&gt;C39,1,0))</f>
        <v>0</v>
      </c>
      <c r="CM39" s="4005">
        <f>IF(AND($C39&lt;&gt;0,AV39=""),1,IF(AV39&gt;C39,1,0))</f>
        <v>0</v>
      </c>
      <c r="CN39" s="4005">
        <f>IF(AND($C39&lt;&gt;0,AW39=""),1,IF(AW39&gt;C39,1,0))</f>
        <v>0</v>
      </c>
    </row>
    <row r="40" spans="1:92" ht="15" customHeight="1" x14ac:dyDescent="0.3">
      <c r="A40" s="7617"/>
      <c r="B40" s="5323" t="s">
        <v>4162</v>
      </c>
      <c r="C40" s="5318">
        <f t="shared" ref="C40:C51" si="16">SUM(D40:E40)</f>
        <v>0</v>
      </c>
      <c r="D40" s="5288">
        <f t="shared" si="14"/>
        <v>0</v>
      </c>
      <c r="E40" s="5290">
        <f t="shared" si="15"/>
        <v>0</v>
      </c>
      <c r="F40" s="5309"/>
      <c r="G40" s="5291"/>
      <c r="H40" s="5309"/>
      <c r="I40" s="5291"/>
      <c r="J40" s="5309"/>
      <c r="K40" s="5291"/>
      <c r="L40" s="5309"/>
      <c r="M40" s="5291"/>
      <c r="N40" s="5309"/>
      <c r="O40" s="5291"/>
      <c r="P40" s="5309"/>
      <c r="Q40" s="5291"/>
      <c r="R40" s="5309"/>
      <c r="S40" s="5291"/>
      <c r="T40" s="5309"/>
      <c r="U40" s="5291"/>
      <c r="V40" s="5309"/>
      <c r="W40" s="5291"/>
      <c r="X40" s="5309"/>
      <c r="Y40" s="5291"/>
      <c r="Z40" s="5309"/>
      <c r="AA40" s="5291"/>
      <c r="AB40" s="5309"/>
      <c r="AC40" s="5291"/>
      <c r="AD40" s="5309"/>
      <c r="AE40" s="5291"/>
      <c r="AF40" s="5309"/>
      <c r="AG40" s="5291"/>
      <c r="AH40" s="5309"/>
      <c r="AI40" s="5291"/>
      <c r="AJ40" s="5295"/>
      <c r="AK40" s="5295"/>
      <c r="AL40" s="5295"/>
      <c r="AM40" s="5295"/>
      <c r="AN40" s="5295"/>
      <c r="AO40" s="5295"/>
      <c r="AP40" s="5295"/>
      <c r="AQ40" s="5295"/>
      <c r="AR40" s="5295"/>
      <c r="AS40" s="5295"/>
      <c r="AT40" s="5319"/>
      <c r="AU40" s="5320"/>
      <c r="AV40" s="5319"/>
      <c r="AW40" s="5324"/>
      <c r="AX40" t="str">
        <f t="shared" ref="AX40:AX51" si="17">BZ40&amp;CA40&amp;CB40&amp;CC40&amp;CD40&amp;CE40</f>
        <v/>
      </c>
      <c r="BU40" t="str">
        <f t="shared" ref="BU40:BU51" si="18">IF(CI40=1," * La suma de Atenciones por profesional no debe ser mayor al Total.","")</f>
        <v/>
      </c>
      <c r="BZ40" s="3024" t="str" cm="1">
        <f t="array" ref="BZ40">IF(AND($C40&lt;&gt;0,AJ40:AS40=""),"* No olvide ingresar la variable "&amp;AJ$36&amp;""&amp;". Digite CERO si no tiene. ","")</f>
        <v/>
      </c>
      <c r="CA40" s="1899" t="str">
        <f>IF((AJ40+AK40+AL40+AM40+AN40+AO40+AP40+AQ40+AR40+AS40)&lt;$C40," * La suma de la variable Ambos Sexos no puede ser Mayor a la suma de ATENCIONES POR PROFESIONAL O TÉCNICO","")</f>
        <v/>
      </c>
      <c r="CB40" s="1899" t="str">
        <f t="shared" ref="CB40:CB41" si="19">IF(AND($C40&lt;&gt;0,AT40=""),"* No olvide ingresar la variable "&amp;AT$36&amp;""&amp;" Hombres. Digite CERO si no tiene.  ",IF(AT40&gt;$C40,"* La variable "&amp;AT$36&amp;""&amp;" Hombres no debe ser mayor al Total. ",""))</f>
        <v/>
      </c>
      <c r="CC40" s="1899" t="str">
        <f t="shared" ref="CC40:CC41" si="20">IF(AND($C40&lt;&gt;0,AU40=""),"* No olvide ingresar la variable "&amp;AT$36&amp;""&amp;" Mujeres. Digite CERO si no tiene.  ",IF(AU40&gt;$C40,"* La variable "&amp;AT$36&amp;""&amp;" Mujeres no debe ser mayor al Total. ",""))</f>
        <v/>
      </c>
      <c r="CD40" s="1899" t="str">
        <f t="shared" ref="CD40:CD51" si="21">IF(AND($C40&lt;&gt;0,AV40=""),"* No olvide ingresar la variable "&amp;AV$36&amp;""&amp;" 0-19 años. Digite CERO si no tiene.  ",IF(AV40&gt;$C40,"* La variable "&amp;AV$36&amp;""&amp;" 0-19 años no debe ser mayor al Total. ",""))</f>
        <v/>
      </c>
      <c r="CE40" s="1899" t="str">
        <f t="shared" ref="CE40:CE51" si="22">IF(AND($C40&lt;&gt;0,AW40=""),"* No olvide ingresar la variable "&amp;AV$36&amp;""&amp;" 20 años y más. Digite CERO si no tiene.  ",IF(AW40&gt;$C40,"* La variable "&amp;AV$36&amp;""&amp;" 20 años y más no debe ser mayor al Total. ",""))</f>
        <v/>
      </c>
      <c r="CI40" s="3026" cm="1">
        <f t="array" ref="CI40">IF(AND($C40&lt;&gt;0,AJ40:AS40=""),1,0)</f>
        <v>0</v>
      </c>
      <c r="CJ40" s="4005">
        <f>IF((AJ40+AK40+AL40+AM40+AN40+AO40+AP40+AQ40+AR40+AS40)&lt;$C40,1,0)</f>
        <v>0</v>
      </c>
      <c r="CK40" s="4005">
        <f t="shared" ref="CK40:CK41" si="23">IF(AND($C40&lt;&gt;0,AT40=""),1,IF(AT40&gt;C40,1,0))</f>
        <v>0</v>
      </c>
      <c r="CL40" s="4005">
        <f t="shared" ref="CL40:CL41" si="24">IF(AND($C40&lt;&gt;0,AU40=""),1,IF(AU40&gt;C40,1,0))</f>
        <v>0</v>
      </c>
      <c r="CM40" s="4005">
        <f t="shared" ref="CM40:CM41" si="25">IF(AND($C40&lt;&gt;0,AV40=""),1,IF(AV40&gt;C40,1,0))</f>
        <v>0</v>
      </c>
      <c r="CN40" s="4005">
        <f t="shared" ref="CN40:CN41" si="26">IF(AND($C40&lt;&gt;0,AW40=""),1,IF(AW40&gt;C40,1,0))</f>
        <v>0</v>
      </c>
    </row>
    <row r="41" spans="1:92" ht="15" customHeight="1" x14ac:dyDescent="0.3">
      <c r="A41" s="7617"/>
      <c r="B41" s="5325" t="s">
        <v>4163</v>
      </c>
      <c r="C41" s="5326">
        <f>SUM(D41:E41)</f>
        <v>0</v>
      </c>
      <c r="D41" s="5327">
        <f>+F41+H41+J41+L41+N41+P41+R41+T41+V41+X41+Z41+AB41+AD41+AF41+AH41</f>
        <v>0</v>
      </c>
      <c r="E41" s="5328">
        <f>+G41+I41+K41+M41+O41+Q41+S41+U41+W41+Y41+AA41+AC41+AE41+AG41+AI41</f>
        <v>0</v>
      </c>
      <c r="F41" s="3245"/>
      <c r="G41" s="5329"/>
      <c r="H41" s="3245"/>
      <c r="I41" s="5329"/>
      <c r="J41" s="3245"/>
      <c r="K41" s="5329"/>
      <c r="L41" s="3245"/>
      <c r="M41" s="5329"/>
      <c r="N41" s="3245"/>
      <c r="O41" s="5329"/>
      <c r="P41" s="3245"/>
      <c r="Q41" s="5329"/>
      <c r="R41" s="3245"/>
      <c r="S41" s="5329"/>
      <c r="T41" s="3245"/>
      <c r="U41" s="5329"/>
      <c r="V41" s="3245"/>
      <c r="W41" s="5329"/>
      <c r="X41" s="3245"/>
      <c r="Y41" s="5329"/>
      <c r="Z41" s="3245"/>
      <c r="AA41" s="5329"/>
      <c r="AB41" s="3245"/>
      <c r="AC41" s="5329"/>
      <c r="AD41" s="3245"/>
      <c r="AE41" s="5329"/>
      <c r="AF41" s="3245"/>
      <c r="AG41" s="5329"/>
      <c r="AH41" s="3245"/>
      <c r="AI41" s="5329"/>
      <c r="AJ41" s="5330"/>
      <c r="AK41" s="5330"/>
      <c r="AL41" s="5330"/>
      <c r="AM41" s="5330"/>
      <c r="AN41" s="5330"/>
      <c r="AO41" s="5330"/>
      <c r="AP41" s="5330"/>
      <c r="AQ41" s="5330"/>
      <c r="AR41" s="5330"/>
      <c r="AS41" s="5330"/>
      <c r="AT41" s="5331"/>
      <c r="AU41" s="5332"/>
      <c r="AV41" s="5331"/>
      <c r="AW41" s="5333"/>
      <c r="AX41" t="str">
        <f t="shared" si="17"/>
        <v/>
      </c>
      <c r="BU41" t="str">
        <f t="shared" si="18"/>
        <v/>
      </c>
      <c r="BZ41" s="3024" t="str" cm="1">
        <f t="array" ref="BZ41">IF(AND($C41&lt;&gt;0,AJ41:AS41=""),"* No olvide ingresar la variable "&amp;AJ$36&amp;""&amp;". Digite CERO si no tiene. ","")</f>
        <v/>
      </c>
      <c r="CA41" s="1899" t="str">
        <f>IF((AJ41+AK41+AL41+AM41+AN41+AO41+AP41+AQ41+AR41+AS41)&lt;$C41," * La suma de la variable Ambos Sexos no puede ser Mayor a la suma de ATENCIONES POR PROFESIONAL O TÉCNICO","")</f>
        <v/>
      </c>
      <c r="CB41" s="1899" t="str">
        <f t="shared" si="19"/>
        <v/>
      </c>
      <c r="CC41" s="1899" t="str">
        <f t="shared" si="20"/>
        <v/>
      </c>
      <c r="CD41" s="1899" t="str">
        <f t="shared" si="21"/>
        <v/>
      </c>
      <c r="CE41" s="1899" t="str">
        <f t="shared" si="22"/>
        <v/>
      </c>
      <c r="CI41" s="3026" cm="1">
        <f t="array" ref="CI41">IF(AND($C41&lt;&gt;0,AJ41:AS41=""),1,0)</f>
        <v>0</v>
      </c>
      <c r="CJ41" s="4005">
        <f>IF((AJ41+AK41+AL41+AM41+AN41+AO41+AP41+AQ41+AR41+AS41)&lt;$C41,1,0)</f>
        <v>0</v>
      </c>
      <c r="CK41" s="4005">
        <f t="shared" si="23"/>
        <v>0</v>
      </c>
      <c r="CL41" s="4005">
        <f t="shared" si="24"/>
        <v>0</v>
      </c>
      <c r="CM41" s="4005">
        <f t="shared" si="25"/>
        <v>0</v>
      </c>
      <c r="CN41" s="4005">
        <f t="shared" si="26"/>
        <v>0</v>
      </c>
    </row>
    <row r="42" spans="1:92" ht="15" customHeight="1" x14ac:dyDescent="0.3">
      <c r="A42" s="7617" t="s">
        <v>4164</v>
      </c>
      <c r="B42" s="5334" t="s">
        <v>4165</v>
      </c>
      <c r="C42" s="5335">
        <f t="shared" si="16"/>
        <v>0</v>
      </c>
      <c r="D42" s="5305">
        <f t="shared" si="14"/>
        <v>0</v>
      </c>
      <c r="E42" s="5306">
        <f t="shared" si="15"/>
        <v>0</v>
      </c>
      <c r="F42" s="3257"/>
      <c r="G42" s="3258"/>
      <c r="H42" s="3257"/>
      <c r="I42" s="3258"/>
      <c r="J42" s="3257"/>
      <c r="K42" s="3258"/>
      <c r="L42" s="3257"/>
      <c r="M42" s="3258"/>
      <c r="N42" s="3257"/>
      <c r="O42" s="3258"/>
      <c r="P42" s="3257"/>
      <c r="Q42" s="3258"/>
      <c r="R42" s="3257"/>
      <c r="S42" s="3258"/>
      <c r="T42" s="3257"/>
      <c r="U42" s="3258"/>
      <c r="V42" s="3257"/>
      <c r="W42" s="3258"/>
      <c r="X42" s="3257"/>
      <c r="Y42" s="3258"/>
      <c r="Z42" s="3257"/>
      <c r="AA42" s="3258"/>
      <c r="AB42" s="3257"/>
      <c r="AC42" s="3258"/>
      <c r="AD42" s="3257"/>
      <c r="AE42" s="3258"/>
      <c r="AF42" s="3257"/>
      <c r="AG42" s="3258"/>
      <c r="AH42" s="3257"/>
      <c r="AI42" s="3258"/>
      <c r="AJ42" s="5308"/>
      <c r="AK42" s="5308"/>
      <c r="AL42" s="5308"/>
      <c r="AM42" s="5308"/>
      <c r="AN42" s="5308"/>
      <c r="AO42" s="5308"/>
      <c r="AP42" s="5308"/>
      <c r="AQ42" s="5308"/>
      <c r="AR42" s="5308"/>
      <c r="AS42" s="5308"/>
      <c r="AT42" s="5336"/>
      <c r="AU42" s="5337"/>
      <c r="AV42" s="5338"/>
      <c r="AW42" s="5339"/>
      <c r="AX42" t="str">
        <f t="shared" si="17"/>
        <v/>
      </c>
      <c r="BU42" t="str">
        <f t="shared" si="18"/>
        <v/>
      </c>
      <c r="BZ42" s="3024" t="str" cm="1">
        <f t="array" ref="BZ42">IF(AND($C42&lt;&gt;0,AJ42:AS42=""),"* No olvide ingresar la variable "&amp;AJ$36&amp;""&amp;". Digite CERO si no tiene. ","")</f>
        <v/>
      </c>
      <c r="CA42" s="1899" t="str">
        <f>IF((AJ42+AK42+AL42+AM42+AN42+AO42+AP42+AQ42+AR42+AS42)&lt;$C42," * La suma de la variable Ambos Sexos no puede ser Mayor a la suma de ATENCIONES POR PROFESIONAL O TÉCNICO","")</f>
        <v/>
      </c>
      <c r="CB42" s="5340"/>
      <c r="CC42" s="5340"/>
      <c r="CD42" s="1899" t="str">
        <f t="shared" si="21"/>
        <v/>
      </c>
      <c r="CE42" s="1899" t="str">
        <f t="shared" si="22"/>
        <v/>
      </c>
      <c r="CI42" s="3026" cm="1">
        <f t="array" ref="CI42">IF(AND($C42&lt;&gt;0,AJ42:AS42=""),1,0)</f>
        <v>0</v>
      </c>
      <c r="CJ42" s="4005">
        <f>IF((AJ42+AK42+AL42+AM42+AN42+AO42+AP42+AQ42+AR42+AS42)&lt;$C42,1,0)</f>
        <v>0</v>
      </c>
      <c r="CK42" s="5341"/>
      <c r="CL42" s="5341"/>
      <c r="CM42" s="4005">
        <f t="shared" ref="CM42:CM51" si="27">IF(AND($C42&lt;&gt;0,AV42=""),1,IF(AV42&gt;C42,1,0))</f>
        <v>0</v>
      </c>
      <c r="CN42" s="4005">
        <f t="shared" ref="CN42:CN51" si="28">IF(AND($C42&lt;&gt;0,AW42=""),1,IF(AW42&gt;C42,1,0))</f>
        <v>0</v>
      </c>
    </row>
    <row r="43" spans="1:92" ht="15" customHeight="1" x14ac:dyDescent="0.3">
      <c r="A43" s="7617"/>
      <c r="B43" s="4111" t="s">
        <v>4166</v>
      </c>
      <c r="C43" s="5342">
        <f t="shared" si="16"/>
        <v>0</v>
      </c>
      <c r="D43" s="5297">
        <f t="shared" si="14"/>
        <v>0</v>
      </c>
      <c r="E43" s="5298">
        <f t="shared" si="15"/>
        <v>0</v>
      </c>
      <c r="F43" s="5299"/>
      <c r="G43" s="5300"/>
      <c r="H43" s="5299"/>
      <c r="I43" s="5300"/>
      <c r="J43" s="5299"/>
      <c r="K43" s="5300"/>
      <c r="L43" s="5299"/>
      <c r="M43" s="5300"/>
      <c r="N43" s="5299"/>
      <c r="O43" s="5300"/>
      <c r="P43" s="5299"/>
      <c r="Q43" s="5300"/>
      <c r="R43" s="5299"/>
      <c r="S43" s="5300"/>
      <c r="T43" s="5299"/>
      <c r="U43" s="5300"/>
      <c r="V43" s="5299"/>
      <c r="W43" s="5300"/>
      <c r="X43" s="5299"/>
      <c r="Y43" s="5300"/>
      <c r="Z43" s="5299"/>
      <c r="AA43" s="5300"/>
      <c r="AB43" s="5299"/>
      <c r="AC43" s="5300"/>
      <c r="AD43" s="5299"/>
      <c r="AE43" s="5300"/>
      <c r="AF43" s="5299"/>
      <c r="AG43" s="5300"/>
      <c r="AH43" s="5299"/>
      <c r="AI43" s="5300"/>
      <c r="AJ43" s="5303"/>
      <c r="AK43" s="5303"/>
      <c r="AL43" s="5303"/>
      <c r="AM43" s="5303"/>
      <c r="AN43" s="5303"/>
      <c r="AO43" s="5303"/>
      <c r="AP43" s="5303"/>
      <c r="AQ43" s="5303"/>
      <c r="AR43" s="5303"/>
      <c r="AS43" s="5303"/>
      <c r="AT43" s="5343"/>
      <c r="AU43" s="5344"/>
      <c r="AV43" s="5345"/>
      <c r="AW43" s="5346"/>
      <c r="AX43" t="str">
        <f t="shared" si="17"/>
        <v/>
      </c>
      <c r="BU43" t="str">
        <f t="shared" si="18"/>
        <v/>
      </c>
      <c r="BZ43" s="3024" t="str" cm="1">
        <f t="array" ref="BZ43">IF(AND($C43&lt;&gt;0,AJ43:AS43=""),"* No olvide ingresar la variable "&amp;AJ$36&amp;""&amp;". Digite CERO si no tiene. ","")</f>
        <v/>
      </c>
      <c r="CA43" s="1899" t="str">
        <f>IF((AJ43+AK43+AL43+AM43+AN43+AO43+AP43+AQ43+AR43+AS43)&lt;$C43," * La suma de la variable Ambos Sexos no puede ser Mayor a la suma de ATENCIONES POR PROFESIONAL O TÉCNICO","")</f>
        <v/>
      </c>
      <c r="CB43" s="5340"/>
      <c r="CC43" s="5340"/>
      <c r="CD43" s="1899" t="str">
        <f t="shared" si="21"/>
        <v/>
      </c>
      <c r="CE43" s="1899" t="str">
        <f t="shared" si="22"/>
        <v/>
      </c>
      <c r="CI43" s="3026" cm="1">
        <f t="array" ref="CI43">IF(AND($C43&lt;&gt;0,AJ43:AS43=""),1,0)</f>
        <v>0</v>
      </c>
      <c r="CJ43" s="4005">
        <f>IF((AJ43+AK43+AL43+AM43+AN43+AO43+AP43+AQ43+AR43+AS43)&lt;$C43,1,0)</f>
        <v>0</v>
      </c>
      <c r="CK43" s="5341"/>
      <c r="CL43" s="5341"/>
      <c r="CM43" s="4005">
        <f t="shared" si="27"/>
        <v>0</v>
      </c>
      <c r="CN43" s="4005">
        <f t="shared" si="28"/>
        <v>0</v>
      </c>
    </row>
    <row r="44" spans="1:92" ht="15" customHeight="1" x14ac:dyDescent="0.3">
      <c r="A44" s="7656" t="s">
        <v>4167</v>
      </c>
      <c r="B44" s="5593" t="s">
        <v>4408</v>
      </c>
      <c r="C44" s="5335">
        <f>SUM(D44:E44)</f>
        <v>0</v>
      </c>
      <c r="D44" s="5305">
        <f>+F44+H44+J44+L44+N44+P44+R44+T44+V44+X44+Z44+AB44+AD44+AF44+AH44</f>
        <v>0</v>
      </c>
      <c r="E44" s="5306">
        <f>+G44+I44+K44+M44+O44+Q44+S44+U44+W44+Y44+AA44+AC44+AE44+AG44+AI44</f>
        <v>0</v>
      </c>
      <c r="F44" s="3257"/>
      <c r="G44" s="3258"/>
      <c r="H44" s="3257"/>
      <c r="I44" s="3258"/>
      <c r="J44" s="3257"/>
      <c r="K44" s="3258"/>
      <c r="L44" s="3257"/>
      <c r="M44" s="3258"/>
      <c r="N44" s="3257"/>
      <c r="O44" s="3258"/>
      <c r="P44" s="3257"/>
      <c r="Q44" s="3258"/>
      <c r="R44" s="3257"/>
      <c r="S44" s="3258"/>
      <c r="T44" s="3257"/>
      <c r="U44" s="3258"/>
      <c r="V44" s="3257"/>
      <c r="W44" s="3258"/>
      <c r="X44" s="3257"/>
      <c r="Y44" s="3258"/>
      <c r="Z44" s="3257"/>
      <c r="AA44" s="3258"/>
      <c r="AB44" s="3257"/>
      <c r="AC44" s="3258"/>
      <c r="AD44" s="3257"/>
      <c r="AE44" s="3258"/>
      <c r="AF44" s="3257"/>
      <c r="AG44" s="3258"/>
      <c r="AH44" s="3257"/>
      <c r="AI44" s="3258"/>
      <c r="AJ44" s="5295"/>
      <c r="AK44" s="5308"/>
      <c r="AL44" s="5348"/>
      <c r="AM44" s="5308"/>
      <c r="AN44" s="5308"/>
      <c r="AO44" s="5308"/>
      <c r="AP44" s="5308"/>
      <c r="AQ44" s="5308"/>
      <c r="AR44" s="5308"/>
      <c r="AS44" s="5348"/>
      <c r="AT44" s="5336"/>
      <c r="AU44" s="5337"/>
      <c r="AV44" s="5349"/>
      <c r="AW44" s="5350"/>
      <c r="AX44" t="str">
        <f t="shared" si="17"/>
        <v/>
      </c>
      <c r="BU44" t="str">
        <f t="shared" si="18"/>
        <v/>
      </c>
      <c r="BZ44" s="3024" t="str" cm="1">
        <f t="array" ref="BZ44">IF(AND($C44&lt;&gt;0,AJ44:AS44=""),"* No olvide ingresar la variable "&amp;AJ$36&amp;""&amp;". Digite CERO si no tiene. ","")</f>
        <v/>
      </c>
      <c r="CA44" s="1899" t="str">
        <f t="shared" ref="CA44:CA45" si="29">IF((AJ44+AK44+AL44+AM44+AN44+AO44+AP44+AQ44+AR44+AS44)&lt;$C44," * La suma de la variable Ambos Sexos no puede ser Mayor a la suma de ATENCIONES POR PROFESIONAL O TÉCNICO","")</f>
        <v/>
      </c>
      <c r="CB44" s="5340"/>
      <c r="CC44" s="5340"/>
      <c r="CD44" s="1899" t="str">
        <f t="shared" si="21"/>
        <v/>
      </c>
      <c r="CE44" s="1899" t="str">
        <f t="shared" si="22"/>
        <v/>
      </c>
      <c r="CI44" s="3026" cm="1">
        <f t="array" ref="CI44">IF(AND($C44&lt;&gt;0,AJ44:AS44=""),1,0)</f>
        <v>0</v>
      </c>
      <c r="CJ44" s="4005">
        <f t="shared" ref="CJ44:CJ45" si="30">IF((AJ44+AK44+AL44+AM44+AN44+AO44+AP44+AQ44+AR44+AS44)&lt;$C44,1,0)</f>
        <v>0</v>
      </c>
      <c r="CK44" s="5341"/>
      <c r="CL44" s="5341"/>
      <c r="CM44" s="4005">
        <f t="shared" si="27"/>
        <v>0</v>
      </c>
      <c r="CN44" s="4005">
        <f t="shared" si="28"/>
        <v>0</v>
      </c>
    </row>
    <row r="45" spans="1:92" ht="15" customHeight="1" x14ac:dyDescent="0.3">
      <c r="A45" s="7657"/>
      <c r="B45" s="5594" t="s">
        <v>4168</v>
      </c>
      <c r="C45" s="5318">
        <f t="shared" si="16"/>
        <v>0</v>
      </c>
      <c r="D45" s="5288">
        <f t="shared" si="14"/>
        <v>0</v>
      </c>
      <c r="E45" s="5290">
        <f t="shared" si="15"/>
        <v>0</v>
      </c>
      <c r="F45" s="5309"/>
      <c r="G45" s="5291"/>
      <c r="H45" s="5309"/>
      <c r="I45" s="5291"/>
      <c r="J45" s="5309"/>
      <c r="K45" s="5291"/>
      <c r="L45" s="5309"/>
      <c r="M45" s="5291"/>
      <c r="N45" s="5309"/>
      <c r="O45" s="5291"/>
      <c r="P45" s="5309"/>
      <c r="Q45" s="5291"/>
      <c r="R45" s="5309"/>
      <c r="S45" s="5291"/>
      <c r="T45" s="5309"/>
      <c r="U45" s="5291"/>
      <c r="V45" s="5309"/>
      <c r="W45" s="5291"/>
      <c r="X45" s="5309"/>
      <c r="Y45" s="5291"/>
      <c r="Z45" s="5309"/>
      <c r="AA45" s="5291"/>
      <c r="AB45" s="5309"/>
      <c r="AC45" s="5291"/>
      <c r="AD45" s="5309"/>
      <c r="AE45" s="5291"/>
      <c r="AF45" s="5309"/>
      <c r="AG45" s="5291"/>
      <c r="AH45" s="5309"/>
      <c r="AI45" s="5291"/>
      <c r="AJ45" s="5295"/>
      <c r="AK45" s="5295"/>
      <c r="AL45" s="5351"/>
      <c r="AM45" s="5295"/>
      <c r="AN45" s="5308"/>
      <c r="AO45" s="5308"/>
      <c r="AP45" s="5308"/>
      <c r="AQ45" s="5308"/>
      <c r="AR45" s="5308"/>
      <c r="AS45" s="5351"/>
      <c r="AT45" s="5352"/>
      <c r="AU45" s="5353"/>
      <c r="AV45" s="5354"/>
      <c r="AW45" s="5355"/>
      <c r="AX45" t="str">
        <f t="shared" si="17"/>
        <v/>
      </c>
      <c r="BU45" t="str">
        <f t="shared" si="18"/>
        <v/>
      </c>
      <c r="BZ45" s="3024" t="str" cm="1">
        <f t="array" ref="BZ45">IF(AND($C45&lt;&gt;0,AJ45:AS45=""),"* No olvide ingresar la variable "&amp;AJ$36&amp;""&amp;". Digite CERO si no tiene. ","")</f>
        <v/>
      </c>
      <c r="CA45" s="1899" t="str">
        <f t="shared" si="29"/>
        <v/>
      </c>
      <c r="CB45" s="5340"/>
      <c r="CC45" s="5340"/>
      <c r="CD45" s="1899" t="str">
        <f>IF(AND($C45&lt;&gt;0,AV45=""),"* No olvide ingresar la variable "&amp;AV$36&amp;""&amp;" 0-19 años. Digite CERO si no tiene.  ",IF(AV45&gt;$C45,"* La variable "&amp;AV$36&amp;""&amp;" 0-19 años no debe ser mayor al Total. ",""))</f>
        <v/>
      </c>
      <c r="CE45" s="1899" t="str">
        <f t="shared" si="22"/>
        <v/>
      </c>
      <c r="CI45" s="3026" cm="1">
        <f t="array" ref="CI45">IF(AND($C45&lt;&gt;0,AJ45:AS45=""),1,0)</f>
        <v>0</v>
      </c>
      <c r="CJ45" s="4005">
        <f t="shared" si="30"/>
        <v>0</v>
      </c>
      <c r="CK45" s="5341"/>
      <c r="CL45" s="5341"/>
      <c r="CM45" s="4005">
        <f t="shared" si="27"/>
        <v>0</v>
      </c>
      <c r="CN45" s="4005">
        <f t="shared" si="28"/>
        <v>0</v>
      </c>
    </row>
    <row r="46" spans="1:92" ht="15" customHeight="1" x14ac:dyDescent="0.3">
      <c r="A46" s="7657"/>
      <c r="B46" s="5594" t="s">
        <v>4169</v>
      </c>
      <c r="C46" s="5318">
        <f t="shared" si="16"/>
        <v>0</v>
      </c>
      <c r="D46" s="5288">
        <f t="shared" si="14"/>
        <v>0</v>
      </c>
      <c r="E46" s="5290">
        <f t="shared" si="15"/>
        <v>0</v>
      </c>
      <c r="F46" s="5309"/>
      <c r="G46" s="5291"/>
      <c r="H46" s="5309"/>
      <c r="I46" s="5291"/>
      <c r="J46" s="5309"/>
      <c r="K46" s="5291"/>
      <c r="L46" s="5309"/>
      <c r="M46" s="5291"/>
      <c r="N46" s="5309"/>
      <c r="O46" s="5291"/>
      <c r="P46" s="5309"/>
      <c r="Q46" s="5291"/>
      <c r="R46" s="5309"/>
      <c r="S46" s="5291"/>
      <c r="T46" s="5309"/>
      <c r="U46" s="5291"/>
      <c r="V46" s="5309"/>
      <c r="W46" s="5291"/>
      <c r="X46" s="5309"/>
      <c r="Y46" s="5291"/>
      <c r="Z46" s="5309"/>
      <c r="AA46" s="5291"/>
      <c r="AB46" s="5309"/>
      <c r="AC46" s="5291"/>
      <c r="AD46" s="5309"/>
      <c r="AE46" s="5291"/>
      <c r="AF46" s="5309"/>
      <c r="AG46" s="5291"/>
      <c r="AH46" s="5309"/>
      <c r="AI46" s="5291"/>
      <c r="AJ46" s="5295"/>
      <c r="AK46" s="5295"/>
      <c r="AL46" s="5295"/>
      <c r="AM46" s="5295"/>
      <c r="AN46" s="5295"/>
      <c r="AO46" s="5295"/>
      <c r="AP46" s="5295"/>
      <c r="AQ46" s="5295"/>
      <c r="AR46" s="5295"/>
      <c r="AS46" s="5295"/>
      <c r="AT46" s="5352"/>
      <c r="AU46" s="5353"/>
      <c r="AV46" s="5354"/>
      <c r="AW46" s="5355"/>
      <c r="AX46" t="str">
        <f t="shared" si="17"/>
        <v/>
      </c>
      <c r="BU46" t="str">
        <f t="shared" si="18"/>
        <v/>
      </c>
      <c r="BZ46" s="3024" t="str" cm="1">
        <f t="array" ref="BZ46">IF(AND($C46&lt;&gt;0,AJ46:AS46=""),"* No olvide ingresar la variable "&amp;AJ$36&amp;""&amp;". Digite CERO si no tiene. ","")</f>
        <v/>
      </c>
      <c r="CA46" s="1899" t="str">
        <f>IF((AJ46+AK46+AL46+AM46+AN46+AO46+AP46+AQ46+AR46+AS46)&lt;$C46," * La suma de la variable Ambos Sexos no puede ser Mayor a la suma de ATENCIONES POR PROFESIONAL O TÉCNICO","")</f>
        <v/>
      </c>
      <c r="CB46" s="5340"/>
      <c r="CC46" s="5340"/>
      <c r="CD46" s="1899" t="str">
        <f t="shared" si="21"/>
        <v/>
      </c>
      <c r="CE46" s="1899" t="str">
        <f t="shared" si="22"/>
        <v/>
      </c>
      <c r="CI46" s="3026" cm="1">
        <f t="array" ref="CI46">IF(AND($C46&lt;&gt;0,AJ46:AS46=""),1,0)</f>
        <v>0</v>
      </c>
      <c r="CJ46" s="4005">
        <f t="shared" ref="CJ46:CJ51" si="31">IF((AJ46+AK46+AL46+AM46+AN46+AO46+AP46+AQ46+AR46+AS46)&lt;$C46,1,0)</f>
        <v>0</v>
      </c>
      <c r="CK46" s="5341"/>
      <c r="CL46" s="5341"/>
      <c r="CM46" s="4005">
        <f t="shared" si="27"/>
        <v>0</v>
      </c>
      <c r="CN46" s="4005">
        <f t="shared" si="28"/>
        <v>0</v>
      </c>
    </row>
    <row r="47" spans="1:92" ht="15" customHeight="1" x14ac:dyDescent="0.3">
      <c r="A47" s="7658"/>
      <c r="B47" s="5595" t="s">
        <v>622</v>
      </c>
      <c r="C47" s="5342">
        <f>SUM(D47:E47)</f>
        <v>0</v>
      </c>
      <c r="D47" s="5297">
        <f>+F47+H47+J47+L47+N47+P47+R47+T47+V47+X47+Z47+AB47+AD47+AF47+AH47</f>
        <v>0</v>
      </c>
      <c r="E47" s="5298">
        <f>+G47+I47+K47+M47+O47+Q47+S47+U47+W47+Y47+AA47+AC47+AE47+AG47+AI47</f>
        <v>0</v>
      </c>
      <c r="F47" s="5299"/>
      <c r="G47" s="5300"/>
      <c r="H47" s="5299"/>
      <c r="I47" s="5300"/>
      <c r="J47" s="5299"/>
      <c r="K47" s="5300"/>
      <c r="L47" s="5299"/>
      <c r="M47" s="5300"/>
      <c r="N47" s="5299"/>
      <c r="O47" s="5300"/>
      <c r="P47" s="5299"/>
      <c r="Q47" s="5300"/>
      <c r="R47" s="5299"/>
      <c r="S47" s="5300"/>
      <c r="T47" s="5299"/>
      <c r="U47" s="5300"/>
      <c r="V47" s="5299"/>
      <c r="W47" s="5300"/>
      <c r="X47" s="5299"/>
      <c r="Y47" s="5300"/>
      <c r="Z47" s="5299"/>
      <c r="AA47" s="5300"/>
      <c r="AB47" s="5299"/>
      <c r="AC47" s="5300"/>
      <c r="AD47" s="5299"/>
      <c r="AE47" s="5300"/>
      <c r="AF47" s="5299"/>
      <c r="AG47" s="5300"/>
      <c r="AH47" s="5299"/>
      <c r="AI47" s="5300"/>
      <c r="AJ47" s="5303"/>
      <c r="AK47" s="5303"/>
      <c r="AL47" s="5303"/>
      <c r="AM47" s="5303"/>
      <c r="AN47" s="5303"/>
      <c r="AO47" s="5303"/>
      <c r="AP47" s="5303"/>
      <c r="AQ47" s="5303"/>
      <c r="AR47" s="5303"/>
      <c r="AS47" s="5303"/>
      <c r="AT47" s="5343"/>
      <c r="AU47" s="5344"/>
      <c r="AV47" s="5345"/>
      <c r="AW47" s="5346"/>
      <c r="AX47" t="str">
        <f t="shared" si="17"/>
        <v/>
      </c>
      <c r="BZ47" s="3024" t="str" cm="1">
        <f t="array" ref="BZ47">IF(AND($C47&lt;&gt;0,AJ47:AS47=""),"* No olvide ingresar la variable "&amp;AJ$36&amp;""&amp;". Digite CERO si no tiene. ","")</f>
        <v/>
      </c>
      <c r="CA47" s="1899" t="str">
        <f t="shared" ref="CA47:CA51" si="32">IF((AJ47+AK47+AL47+AM47+AN47+AO47+AP47+AQ47+AR47+AS47)&lt;$C47," * La suma de la variable Ambos Sexos no puede ser Mayor a la suma de ATENCIONES POR PROFESIONAL O TÉCNICO","")</f>
        <v/>
      </c>
      <c r="CB47" s="5340"/>
      <c r="CC47" s="5340"/>
      <c r="CD47" s="1899" t="str">
        <f t="shared" si="21"/>
        <v/>
      </c>
      <c r="CE47" s="1899" t="str">
        <f t="shared" si="22"/>
        <v/>
      </c>
      <c r="CI47" s="3026" cm="1">
        <f t="array" ref="CI47">IF(AND($C47&lt;&gt;0,AJ47:AS47=""),1,0)</f>
        <v>0</v>
      </c>
      <c r="CJ47" s="4005">
        <f t="shared" si="31"/>
        <v>0</v>
      </c>
      <c r="CK47" s="5341"/>
      <c r="CL47" s="5341"/>
      <c r="CM47" s="4005">
        <f t="shared" si="27"/>
        <v>0</v>
      </c>
      <c r="CN47" s="4005">
        <f t="shared" si="28"/>
        <v>0</v>
      </c>
    </row>
    <row r="48" spans="1:92" ht="15" customHeight="1" x14ac:dyDescent="0.3">
      <c r="A48" s="7617" t="s">
        <v>4170</v>
      </c>
      <c r="B48" s="5347" t="s">
        <v>4171</v>
      </c>
      <c r="C48" s="5335">
        <f t="shared" si="16"/>
        <v>0</v>
      </c>
      <c r="D48" s="5305">
        <f t="shared" si="14"/>
        <v>0</v>
      </c>
      <c r="E48" s="5306">
        <f t="shared" si="15"/>
        <v>0</v>
      </c>
      <c r="F48" s="3257"/>
      <c r="G48" s="3258"/>
      <c r="H48" s="3257"/>
      <c r="I48" s="3258"/>
      <c r="J48" s="3257"/>
      <c r="K48" s="3258"/>
      <c r="L48" s="3257"/>
      <c r="M48" s="3258"/>
      <c r="N48" s="3257"/>
      <c r="O48" s="3258"/>
      <c r="P48" s="3257"/>
      <c r="Q48" s="3258"/>
      <c r="R48" s="3257"/>
      <c r="S48" s="3258"/>
      <c r="T48" s="3257"/>
      <c r="U48" s="3258"/>
      <c r="V48" s="3257"/>
      <c r="W48" s="3258"/>
      <c r="X48" s="3257"/>
      <c r="Y48" s="3258"/>
      <c r="Z48" s="3257"/>
      <c r="AA48" s="3258"/>
      <c r="AB48" s="3257"/>
      <c r="AC48" s="3258"/>
      <c r="AD48" s="3257"/>
      <c r="AE48" s="3258"/>
      <c r="AF48" s="3257"/>
      <c r="AG48" s="3258"/>
      <c r="AH48" s="3257"/>
      <c r="AI48" s="3258"/>
      <c r="AJ48" s="5308"/>
      <c r="AK48" s="5308"/>
      <c r="AL48" s="5308"/>
      <c r="AM48" s="5308"/>
      <c r="AN48" s="5308"/>
      <c r="AO48" s="5308"/>
      <c r="AP48" s="5308"/>
      <c r="AQ48" s="5308"/>
      <c r="AR48" s="5308"/>
      <c r="AS48" s="5308"/>
      <c r="AT48" s="5336"/>
      <c r="AU48" s="5337"/>
      <c r="AV48" s="5590"/>
      <c r="AW48" s="5591"/>
      <c r="AX48" t="str">
        <f t="shared" si="17"/>
        <v/>
      </c>
      <c r="BU48" t="str">
        <f t="shared" si="18"/>
        <v/>
      </c>
      <c r="BZ48" s="3024" t="str" cm="1">
        <f t="array" ref="BZ48">IF(AND($C48&lt;&gt;0,AJ48:AS48=""),"* No olvide ingresar la variable "&amp;AJ$36&amp;""&amp;". Digite CERO si no tiene. ","")</f>
        <v/>
      </c>
      <c r="CA48" s="1899" t="str">
        <f t="shared" si="32"/>
        <v/>
      </c>
      <c r="CB48" s="5340"/>
      <c r="CC48" s="5340"/>
      <c r="CD48" s="1899" t="str">
        <f t="shared" si="21"/>
        <v/>
      </c>
      <c r="CE48" s="1899" t="str">
        <f t="shared" si="22"/>
        <v/>
      </c>
      <c r="CI48" s="3026" cm="1">
        <f t="array" ref="CI48">IF(AND($C48&lt;&gt;0,AJ48:AS48=""),1,0)</f>
        <v>0</v>
      </c>
      <c r="CJ48" s="4005">
        <f t="shared" si="31"/>
        <v>0</v>
      </c>
      <c r="CK48" s="5341"/>
      <c r="CL48" s="5341"/>
      <c r="CM48" s="4005">
        <f t="shared" si="27"/>
        <v>0</v>
      </c>
      <c r="CN48" s="4005">
        <f t="shared" si="28"/>
        <v>0</v>
      </c>
    </row>
    <row r="49" spans="1:92" ht="15" customHeight="1" x14ac:dyDescent="0.3">
      <c r="A49" s="7619"/>
      <c r="B49" s="5356" t="s">
        <v>4168</v>
      </c>
      <c r="C49" s="5342">
        <f t="shared" si="16"/>
        <v>0</v>
      </c>
      <c r="D49" s="5297">
        <f t="shared" si="14"/>
        <v>0</v>
      </c>
      <c r="E49" s="5298">
        <f t="shared" si="15"/>
        <v>0</v>
      </c>
      <c r="F49" s="5299"/>
      <c r="G49" s="5300"/>
      <c r="H49" s="5299"/>
      <c r="I49" s="5300"/>
      <c r="J49" s="5299"/>
      <c r="K49" s="5300"/>
      <c r="L49" s="5299"/>
      <c r="M49" s="5300"/>
      <c r="N49" s="5299"/>
      <c r="O49" s="5300"/>
      <c r="P49" s="5299"/>
      <c r="Q49" s="5300"/>
      <c r="R49" s="5299"/>
      <c r="S49" s="5300"/>
      <c r="T49" s="5299"/>
      <c r="U49" s="5300"/>
      <c r="V49" s="5299"/>
      <c r="W49" s="5300"/>
      <c r="X49" s="5299"/>
      <c r="Y49" s="5300"/>
      <c r="Z49" s="5299"/>
      <c r="AA49" s="5300"/>
      <c r="AB49" s="5299"/>
      <c r="AC49" s="5300"/>
      <c r="AD49" s="5299"/>
      <c r="AE49" s="5300"/>
      <c r="AF49" s="5299"/>
      <c r="AG49" s="5300"/>
      <c r="AH49" s="5299"/>
      <c r="AI49" s="5300"/>
      <c r="AJ49" s="5303"/>
      <c r="AK49" s="5303"/>
      <c r="AL49" s="5303"/>
      <c r="AM49" s="5303"/>
      <c r="AN49" s="5303"/>
      <c r="AO49" s="5303"/>
      <c r="AP49" s="5303"/>
      <c r="AQ49" s="5303"/>
      <c r="AR49" s="5303"/>
      <c r="AS49" s="5303"/>
      <c r="AT49" s="5343"/>
      <c r="AU49" s="5344"/>
      <c r="AV49" s="5345"/>
      <c r="AW49" s="5346"/>
      <c r="AX49" t="str">
        <f t="shared" si="17"/>
        <v/>
      </c>
      <c r="BU49" t="str">
        <f t="shared" si="18"/>
        <v/>
      </c>
      <c r="BZ49" s="3024" t="str" cm="1">
        <f t="array" ref="BZ49">IF(AND($C49&lt;&gt;0,AJ49:AS49=""),"* No olvide ingresar la variable "&amp;AJ$36&amp;""&amp;". Digite CERO si no tiene. ","")</f>
        <v/>
      </c>
      <c r="CA49" s="1899" t="str">
        <f t="shared" si="32"/>
        <v/>
      </c>
      <c r="CB49" s="5340"/>
      <c r="CC49" s="5340"/>
      <c r="CD49" s="1899" t="str">
        <f t="shared" si="21"/>
        <v/>
      </c>
      <c r="CE49" s="1899" t="str">
        <f t="shared" si="22"/>
        <v/>
      </c>
      <c r="CI49" s="3026" cm="1">
        <f t="array" ref="CI49">IF(AND($C49&lt;&gt;0,AJ49:AS49=""),1,0)</f>
        <v>0</v>
      </c>
      <c r="CJ49" s="4005">
        <f t="shared" si="31"/>
        <v>0</v>
      </c>
      <c r="CK49" s="5341"/>
      <c r="CL49" s="5341"/>
      <c r="CM49" s="4005">
        <f t="shared" si="27"/>
        <v>0</v>
      </c>
      <c r="CN49" s="4005">
        <f t="shared" si="28"/>
        <v>0</v>
      </c>
    </row>
    <row r="50" spans="1:92" ht="15" customHeight="1" x14ac:dyDescent="0.3">
      <c r="A50" s="7617" t="s">
        <v>580</v>
      </c>
      <c r="B50" s="5357" t="s">
        <v>4172</v>
      </c>
      <c r="C50" s="5335">
        <f t="shared" si="16"/>
        <v>0</v>
      </c>
      <c r="D50" s="5305">
        <f t="shared" si="14"/>
        <v>0</v>
      </c>
      <c r="E50" s="5306">
        <f t="shared" si="15"/>
        <v>0</v>
      </c>
      <c r="F50" s="3257"/>
      <c r="G50" s="3258"/>
      <c r="H50" s="3257"/>
      <c r="I50" s="3258"/>
      <c r="J50" s="3257"/>
      <c r="K50" s="3258"/>
      <c r="L50" s="3257"/>
      <c r="M50" s="3258"/>
      <c r="N50" s="3257"/>
      <c r="O50" s="3258"/>
      <c r="P50" s="3257"/>
      <c r="Q50" s="3258"/>
      <c r="R50" s="3257"/>
      <c r="S50" s="3258"/>
      <c r="T50" s="3257"/>
      <c r="U50" s="3258"/>
      <c r="V50" s="3257"/>
      <c r="W50" s="3258"/>
      <c r="X50" s="3257"/>
      <c r="Y50" s="3258"/>
      <c r="Z50" s="3257"/>
      <c r="AA50" s="3258"/>
      <c r="AB50" s="3257"/>
      <c r="AC50" s="3258"/>
      <c r="AD50" s="3257"/>
      <c r="AE50" s="3258"/>
      <c r="AF50" s="3257"/>
      <c r="AG50" s="3258"/>
      <c r="AH50" s="3257"/>
      <c r="AI50" s="3258"/>
      <c r="AJ50" s="5308"/>
      <c r="AK50" s="5308"/>
      <c r="AL50" s="5308"/>
      <c r="AM50" s="5308"/>
      <c r="AN50" s="5308"/>
      <c r="AO50" s="5308"/>
      <c r="AP50" s="5308"/>
      <c r="AQ50" s="5308"/>
      <c r="AR50" s="5308"/>
      <c r="AS50" s="5308"/>
      <c r="AT50" s="5336"/>
      <c r="AU50" s="5337"/>
      <c r="AV50" s="5349"/>
      <c r="AW50" s="5350"/>
      <c r="AX50" t="str">
        <f t="shared" si="17"/>
        <v/>
      </c>
      <c r="BU50" t="str">
        <f t="shared" si="18"/>
        <v/>
      </c>
      <c r="BZ50" s="3024" t="str" cm="1">
        <f t="array" ref="BZ50">IF(AND($C50&lt;&gt;0,AJ50:AS50=""),"* No olvide ingresar la variable "&amp;AJ$36&amp;""&amp;". Digite CERO si no tiene. ","")</f>
        <v/>
      </c>
      <c r="CA50" s="1899" t="str">
        <f t="shared" si="32"/>
        <v/>
      </c>
      <c r="CB50" s="5340"/>
      <c r="CC50" s="5340"/>
      <c r="CD50" s="1899" t="str">
        <f t="shared" si="21"/>
        <v/>
      </c>
      <c r="CE50" s="1899" t="str">
        <f t="shared" si="22"/>
        <v/>
      </c>
      <c r="CI50" s="3026" cm="1">
        <f t="array" ref="CI50">IF(AND($C50&lt;&gt;0,AJ50:AS50=""),1,0)</f>
        <v>0</v>
      </c>
      <c r="CJ50" s="4005">
        <f t="shared" si="31"/>
        <v>0</v>
      </c>
      <c r="CK50" s="5341"/>
      <c r="CL50" s="5341"/>
      <c r="CM50" s="4005">
        <f t="shared" si="27"/>
        <v>0</v>
      </c>
      <c r="CN50" s="4005">
        <f t="shared" si="28"/>
        <v>0</v>
      </c>
    </row>
    <row r="51" spans="1:92" ht="15" customHeight="1" x14ac:dyDescent="0.3">
      <c r="A51" s="7617"/>
      <c r="B51" s="4111" t="s">
        <v>4173</v>
      </c>
      <c r="C51" s="5358">
        <f t="shared" si="16"/>
        <v>0</v>
      </c>
      <c r="D51" s="5359">
        <f t="shared" si="14"/>
        <v>0</v>
      </c>
      <c r="E51" s="5360">
        <f t="shared" si="15"/>
        <v>0</v>
      </c>
      <c r="F51" s="3245"/>
      <c r="G51" s="5329"/>
      <c r="H51" s="3245"/>
      <c r="I51" s="5329"/>
      <c r="J51" s="3245"/>
      <c r="K51" s="5329"/>
      <c r="L51" s="3245"/>
      <c r="M51" s="5329"/>
      <c r="N51" s="3245"/>
      <c r="O51" s="5329"/>
      <c r="P51" s="3245"/>
      <c r="Q51" s="5329"/>
      <c r="R51" s="3245"/>
      <c r="S51" s="5329"/>
      <c r="T51" s="3245"/>
      <c r="U51" s="5329"/>
      <c r="V51" s="3245"/>
      <c r="W51" s="5329"/>
      <c r="X51" s="3245"/>
      <c r="Y51" s="5329"/>
      <c r="Z51" s="3245"/>
      <c r="AA51" s="5329"/>
      <c r="AB51" s="3245"/>
      <c r="AC51" s="5329"/>
      <c r="AD51" s="3245"/>
      <c r="AE51" s="5329"/>
      <c r="AF51" s="3245"/>
      <c r="AG51" s="5329"/>
      <c r="AH51" s="3245"/>
      <c r="AI51" s="5329"/>
      <c r="AJ51" s="5330"/>
      <c r="AK51" s="5330"/>
      <c r="AL51" s="5330"/>
      <c r="AM51" s="5330"/>
      <c r="AN51" s="5330"/>
      <c r="AO51" s="5330"/>
      <c r="AP51" s="5330"/>
      <c r="AQ51" s="5330"/>
      <c r="AR51" s="5330"/>
      <c r="AS51" s="5330"/>
      <c r="AT51" s="5361"/>
      <c r="AU51" s="5362"/>
      <c r="AV51" s="5331"/>
      <c r="AW51" s="5333"/>
      <c r="AX51" t="str">
        <f t="shared" si="17"/>
        <v/>
      </c>
      <c r="BU51" t="str">
        <f t="shared" si="18"/>
        <v/>
      </c>
      <c r="BZ51" s="3024" t="str" cm="1">
        <f t="array" ref="BZ51">IF(AND($C51&lt;&gt;0,AJ51:AS51=""),"* No olvide ingresar la variable "&amp;AJ$36&amp;""&amp;". Digite CERO si no tiene. ","")</f>
        <v/>
      </c>
      <c r="CA51" s="1899" t="str">
        <f t="shared" si="32"/>
        <v/>
      </c>
      <c r="CB51" s="5340"/>
      <c r="CC51" s="5340"/>
      <c r="CD51" s="1899" t="str">
        <f t="shared" si="21"/>
        <v/>
      </c>
      <c r="CE51" s="1899" t="str">
        <f t="shared" si="22"/>
        <v/>
      </c>
      <c r="CI51" s="3026" cm="1">
        <f t="array" ref="CI51">IF(AND($C51&lt;&gt;0,AJ51:AS51=""),1,0)</f>
        <v>0</v>
      </c>
      <c r="CJ51" s="4005">
        <f t="shared" si="31"/>
        <v>0</v>
      </c>
      <c r="CK51" s="5341"/>
      <c r="CL51" s="5341"/>
      <c r="CM51" s="4005">
        <f t="shared" si="27"/>
        <v>0</v>
      </c>
      <c r="CN51" s="4005">
        <f t="shared" si="28"/>
        <v>0</v>
      </c>
    </row>
    <row r="52" spans="1:92" ht="17.100000000000001" customHeight="1" x14ac:dyDescent="0.3">
      <c r="A52" s="2508" t="s">
        <v>4174</v>
      </c>
      <c r="B52" s="187"/>
      <c r="C52" s="187"/>
      <c r="D52" s="187"/>
      <c r="E52" s="187"/>
      <c r="F52" s="187"/>
      <c r="K52" s="187"/>
    </row>
    <row r="53" spans="1:92" ht="15" customHeight="1" x14ac:dyDescent="0.3">
      <c r="A53" s="7551" t="s">
        <v>4175</v>
      </c>
      <c r="B53" s="1834" t="s">
        <v>3533</v>
      </c>
      <c r="C53" s="5363" t="s">
        <v>3215</v>
      </c>
      <c r="D53" s="1835" t="s">
        <v>4176</v>
      </c>
      <c r="K53" s="187"/>
    </row>
    <row r="54" spans="1:92" ht="15" customHeight="1" x14ac:dyDescent="0.3">
      <c r="A54" s="7551"/>
      <c r="B54" s="5364" t="s">
        <v>4177</v>
      </c>
      <c r="C54" s="5365"/>
      <c r="D54" s="5366"/>
      <c r="J54" s="187"/>
    </row>
    <row r="55" spans="1:92" ht="15" customHeight="1" x14ac:dyDescent="0.3">
      <c r="A55" s="7551"/>
      <c r="B55" s="5367" t="s">
        <v>4178</v>
      </c>
      <c r="C55" s="5368"/>
      <c r="D55" s="5369"/>
      <c r="J55" s="187"/>
    </row>
    <row r="56" spans="1:92" ht="15" customHeight="1" x14ac:dyDescent="0.3">
      <c r="A56" s="7551"/>
      <c r="B56" s="5370" t="s">
        <v>919</v>
      </c>
      <c r="C56" s="5371">
        <f>SUM(C54:C55)</f>
        <v>0</v>
      </c>
      <c r="D56" s="5372">
        <f>SUM(D54:D55)</f>
        <v>0</v>
      </c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  <c r="AP56" s="188"/>
      <c r="AQ56" s="188"/>
      <c r="AR56" s="188"/>
      <c r="AS56" s="188"/>
      <c r="AT56" s="188"/>
      <c r="AU56" s="188"/>
      <c r="AV56" s="188"/>
      <c r="AW56" s="188"/>
      <c r="AX56" s="188"/>
      <c r="AY56" s="188"/>
      <c r="AZ56" s="188"/>
      <c r="BA56" s="188"/>
      <c r="BB56" s="188"/>
      <c r="BC56" s="188"/>
      <c r="BD56" s="188"/>
    </row>
    <row r="57" spans="1:92" s="188" customFormat="1" ht="17.100000000000001" customHeight="1" x14ac:dyDescent="0.3">
      <c r="A57" s="2508" t="s">
        <v>4179</v>
      </c>
      <c r="G57" s="189"/>
      <c r="H57" s="5373"/>
      <c r="I57" s="189"/>
      <c r="J57" s="189"/>
      <c r="K57" s="189"/>
      <c r="L57" s="189"/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  <c r="AF57" s="189"/>
      <c r="AG57" s="189"/>
      <c r="AH57" s="189"/>
      <c r="AI57" s="189"/>
      <c r="AJ57" s="189"/>
      <c r="AK57" s="189"/>
      <c r="AL57" s="189"/>
      <c r="AM57" s="189"/>
      <c r="AN57" s="189"/>
      <c r="AO57" s="189"/>
      <c r="AP57" s="189"/>
      <c r="AQ57" s="189"/>
      <c r="AR57" s="189"/>
      <c r="AS57" s="189"/>
      <c r="AT57" s="189"/>
      <c r="AU57" s="189"/>
      <c r="AV57" s="189"/>
      <c r="AW57" s="189"/>
      <c r="AX57" s="189"/>
      <c r="AY57" s="189"/>
      <c r="AZ57" s="189"/>
      <c r="BA57" s="189"/>
      <c r="BB57" s="189"/>
      <c r="BC57" s="189"/>
      <c r="BD57" s="189"/>
      <c r="BE57" s="189"/>
    </row>
    <row r="58" spans="1:92" s="189" customFormat="1" x14ac:dyDescent="0.3">
      <c r="A58" s="7620" t="s">
        <v>4180</v>
      </c>
      <c r="B58" s="7617" t="s">
        <v>4181</v>
      </c>
      <c r="C58" s="7617"/>
      <c r="D58" s="7617"/>
      <c r="E58" s="7579" t="s">
        <v>4182</v>
      </c>
      <c r="F58" s="7580"/>
    </row>
    <row r="59" spans="1:92" s="189" customFormat="1" ht="27" customHeight="1" x14ac:dyDescent="0.3">
      <c r="A59" s="7621"/>
      <c r="B59" s="5374" t="s">
        <v>3533</v>
      </c>
      <c r="C59" s="5375" t="s">
        <v>4183</v>
      </c>
      <c r="D59" s="5375" t="s">
        <v>4184</v>
      </c>
      <c r="E59" s="5376" t="s">
        <v>4183</v>
      </c>
      <c r="F59" s="5377" t="s">
        <v>2521</v>
      </c>
    </row>
    <row r="60" spans="1:92" s="189" customFormat="1" x14ac:dyDescent="0.3">
      <c r="A60" s="7586" t="s">
        <v>4185</v>
      </c>
      <c r="B60" s="5364" t="s">
        <v>4186</v>
      </c>
      <c r="C60" s="5378"/>
      <c r="D60" s="5378"/>
      <c r="E60" s="5365"/>
      <c r="F60" s="5366"/>
    </row>
    <row r="61" spans="1:92" s="189" customFormat="1" x14ac:dyDescent="0.3">
      <c r="A61" s="6585"/>
      <c r="B61" s="5367" t="s">
        <v>4187</v>
      </c>
      <c r="C61" s="5379"/>
      <c r="D61" s="5379"/>
      <c r="E61" s="5380"/>
      <c r="F61" s="5369"/>
    </row>
    <row r="62" spans="1:92" s="189" customFormat="1" x14ac:dyDescent="0.3">
      <c r="A62" s="7586" t="s">
        <v>4188</v>
      </c>
      <c r="B62" s="5304" t="s">
        <v>4186</v>
      </c>
      <c r="C62" s="5378"/>
      <c r="D62" s="5378"/>
      <c r="E62" s="5381"/>
      <c r="F62" s="5382"/>
    </row>
    <row r="63" spans="1:92" s="189" customFormat="1" x14ac:dyDescent="0.3">
      <c r="A63" s="6585"/>
      <c r="B63" s="5367" t="s">
        <v>4187</v>
      </c>
      <c r="C63" s="5379"/>
      <c r="D63" s="5379"/>
      <c r="E63" s="5383"/>
      <c r="F63" s="5384"/>
    </row>
    <row r="64" spans="1:92" s="189" customFormat="1" x14ac:dyDescent="0.3">
      <c r="A64" s="7586" t="s">
        <v>4189</v>
      </c>
      <c r="B64" s="5364" t="s">
        <v>4186</v>
      </c>
      <c r="C64" s="5378"/>
      <c r="D64" s="5378"/>
      <c r="E64" s="5365"/>
      <c r="F64" s="5366"/>
      <c r="BD64" s="19"/>
      <c r="BE64" s="19"/>
    </row>
    <row r="65" spans="1:57" s="19" customFormat="1" x14ac:dyDescent="0.3">
      <c r="A65" s="6585"/>
      <c r="B65" s="5370" t="s">
        <v>4187</v>
      </c>
      <c r="C65" s="5379"/>
      <c r="D65" s="5379"/>
      <c r="E65" s="5368"/>
      <c r="F65" s="536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  <c r="AG65" s="189"/>
      <c r="AH65" s="189"/>
      <c r="AI65" s="189"/>
      <c r="AJ65" s="189"/>
      <c r="AK65" s="189"/>
      <c r="AL65" s="189"/>
      <c r="AM65" s="189"/>
      <c r="AN65" s="189"/>
      <c r="AO65" s="189"/>
      <c r="AP65" s="189"/>
      <c r="AQ65" s="189"/>
      <c r="AR65" s="189"/>
      <c r="AS65" s="189"/>
      <c r="AT65" s="189"/>
      <c r="AU65" s="189"/>
      <c r="AV65" s="189"/>
      <c r="AW65" s="189"/>
      <c r="AX65" s="189"/>
      <c r="AY65" s="189"/>
      <c r="AZ65" s="189"/>
      <c r="BA65" s="189"/>
      <c r="BB65" s="189"/>
      <c r="BC65" s="189"/>
      <c r="BD65" s="189"/>
      <c r="BE65" s="189"/>
    </row>
    <row r="66" spans="1:57" s="189" customFormat="1" x14ac:dyDescent="0.3">
      <c r="A66" s="7586" t="s">
        <v>4190</v>
      </c>
      <c r="B66" s="5364" t="s">
        <v>4186</v>
      </c>
      <c r="C66" s="5378"/>
      <c r="D66" s="5378"/>
      <c r="E66" s="5365"/>
      <c r="F66" s="5366"/>
    </row>
    <row r="67" spans="1:57" s="189" customFormat="1" x14ac:dyDescent="0.3">
      <c r="A67" s="6585"/>
      <c r="B67" s="5367" t="s">
        <v>4187</v>
      </c>
      <c r="C67" s="5379"/>
      <c r="D67" s="5379"/>
      <c r="E67" s="5368"/>
      <c r="F67" s="5369"/>
    </row>
    <row r="68" spans="1:57" s="189" customFormat="1" ht="17.100000000000001" customHeight="1" x14ac:dyDescent="0.3">
      <c r="A68" s="2508" t="s">
        <v>4191</v>
      </c>
      <c r="C68" s="5373"/>
      <c r="D68" s="5373"/>
      <c r="E68" s="5373"/>
      <c r="F68" s="5373"/>
      <c r="G68" s="5373"/>
      <c r="I68" s="5373"/>
    </row>
    <row r="69" spans="1:57" s="189" customFormat="1" x14ac:dyDescent="0.3">
      <c r="A69" s="7620" t="s">
        <v>4192</v>
      </c>
      <c r="B69" s="7648" t="s">
        <v>4193</v>
      </c>
      <c r="C69" s="7649"/>
      <c r="D69" s="7649"/>
      <c r="E69" s="7649"/>
      <c r="F69" s="7649"/>
      <c r="G69" s="7650"/>
      <c r="H69" s="7579" t="s">
        <v>1048</v>
      </c>
      <c r="I69" s="7473"/>
      <c r="J69" s="7473"/>
      <c r="K69" s="7580"/>
      <c r="L69" s="1753"/>
      <c r="M69" s="1753"/>
    </row>
    <row r="70" spans="1:57" s="189" customFormat="1" ht="26.25" customHeight="1" x14ac:dyDescent="0.3">
      <c r="A70" s="7647"/>
      <c r="B70" s="7620" t="s">
        <v>4194</v>
      </c>
      <c r="C70" s="7651"/>
      <c r="D70" s="7652" t="s">
        <v>4195</v>
      </c>
      <c r="E70" s="7653"/>
      <c r="F70" s="7652" t="s">
        <v>4196</v>
      </c>
      <c r="G70" s="7653"/>
      <c r="H70" s="7654" t="s">
        <v>58</v>
      </c>
      <c r="I70" s="7655"/>
      <c r="J70" s="7654" t="s">
        <v>59</v>
      </c>
      <c r="K70" s="7655"/>
      <c r="L70" s="19"/>
      <c r="M70" s="19"/>
    </row>
    <row r="71" spans="1:57" s="189" customFormat="1" ht="24.75" customHeight="1" x14ac:dyDescent="0.3">
      <c r="A71" s="7621"/>
      <c r="B71" s="5385" t="s">
        <v>4186</v>
      </c>
      <c r="C71" s="5386" t="s">
        <v>4187</v>
      </c>
      <c r="D71" s="5387" t="s">
        <v>4186</v>
      </c>
      <c r="E71" s="5388" t="s">
        <v>4187</v>
      </c>
      <c r="F71" s="5387" t="s">
        <v>4186</v>
      </c>
      <c r="G71" s="5388" t="s">
        <v>4187</v>
      </c>
      <c r="H71" s="5389" t="s">
        <v>4197</v>
      </c>
      <c r="I71" s="2971" t="s">
        <v>706</v>
      </c>
      <c r="J71" s="5389" t="s">
        <v>4197</v>
      </c>
      <c r="K71" s="2971" t="s">
        <v>706</v>
      </c>
      <c r="L71" s="19"/>
      <c r="M71" s="19"/>
    </row>
    <row r="72" spans="1:57" s="189" customFormat="1" x14ac:dyDescent="0.3">
      <c r="A72" s="5304" t="s">
        <v>4198</v>
      </c>
      <c r="B72" s="2992"/>
      <c r="C72" s="5390"/>
      <c r="D72" s="5391"/>
      <c r="E72" s="5382"/>
      <c r="F72" s="5392"/>
      <c r="G72" s="5393"/>
      <c r="H72" s="5392"/>
      <c r="I72" s="5393"/>
      <c r="J72" s="3005"/>
      <c r="K72" s="2992"/>
      <c r="L72" s="19"/>
      <c r="M72" s="19"/>
    </row>
    <row r="73" spans="1:57" s="189" customFormat="1" x14ac:dyDescent="0.3">
      <c r="A73" s="5370" t="s">
        <v>4199</v>
      </c>
      <c r="B73" s="5394"/>
      <c r="C73" s="5395"/>
      <c r="D73" s="5396"/>
      <c r="E73" s="5394"/>
      <c r="F73" s="5396"/>
      <c r="G73" s="5394"/>
      <c r="H73" s="5396"/>
      <c r="I73" s="5394"/>
      <c r="J73" s="5397"/>
      <c r="K73" s="5394"/>
      <c r="L73" s="19"/>
      <c r="M73" s="19"/>
    </row>
    <row r="74" spans="1:57" s="189" customFormat="1" x14ac:dyDescent="0.3">
      <c r="A74" s="5398" t="s">
        <v>4200</v>
      </c>
      <c r="B74" s="5399">
        <f>SUM(B72:B73)</f>
        <v>0</v>
      </c>
      <c r="C74" s="5399">
        <f t="shared" ref="C74:K74" si="33">SUM(C72:C73)</f>
        <v>0</v>
      </c>
      <c r="D74" s="5400">
        <f t="shared" si="33"/>
        <v>0</v>
      </c>
      <c r="E74" s="5401">
        <f t="shared" si="33"/>
        <v>0</v>
      </c>
      <c r="F74" s="5400">
        <f t="shared" si="33"/>
        <v>0</v>
      </c>
      <c r="G74" s="5401">
        <f t="shared" si="33"/>
        <v>0</v>
      </c>
      <c r="H74" s="5400">
        <f>SUM(H72:H73)</f>
        <v>0</v>
      </c>
      <c r="I74" s="5401">
        <f t="shared" si="33"/>
        <v>0</v>
      </c>
      <c r="J74" s="5402">
        <f t="shared" si="33"/>
        <v>0</v>
      </c>
      <c r="K74" s="5401">
        <f t="shared" si="33"/>
        <v>0</v>
      </c>
      <c r="L74" s="19"/>
      <c r="M74" s="19"/>
    </row>
    <row r="75" spans="1:57" s="189" customFormat="1" x14ac:dyDescent="0.3">
      <c r="A75"/>
      <c r="B75"/>
      <c r="C75"/>
      <c r="D75"/>
      <c r="E75"/>
      <c r="F75"/>
      <c r="G75"/>
      <c r="H75"/>
      <c r="I75"/>
      <c r="J75"/>
      <c r="K75"/>
    </row>
    <row r="76" spans="1:57" ht="15.75" customHeight="1" x14ac:dyDescent="0.3"/>
    <row r="77" spans="1:57" ht="15.75" customHeight="1" x14ac:dyDescent="0.3"/>
    <row r="78" spans="1:57" ht="15.75" customHeight="1" x14ac:dyDescent="0.3"/>
    <row r="79" spans="1:57" ht="15.75" customHeight="1" x14ac:dyDescent="0.3"/>
    <row r="80" spans="1:57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spans="1:2" ht="15.75" customHeight="1" x14ac:dyDescent="0.3"/>
    <row r="98" spans="1:2" ht="15.75" customHeight="1" x14ac:dyDescent="0.3"/>
    <row r="99" spans="1:2" ht="15.75" customHeight="1" x14ac:dyDescent="0.3"/>
    <row r="100" spans="1:2" ht="15.75" customHeight="1" x14ac:dyDescent="0.3"/>
    <row r="101" spans="1:2" ht="15.75" hidden="1" customHeight="1" x14ac:dyDescent="0.3">
      <c r="A101" s="105">
        <f>SUM(D12:D34,C39:C51,C54:D55,C60:F67,B72:K73)</f>
        <v>0</v>
      </c>
      <c r="B101" s="105">
        <f>SUM(CI12:CO51)</f>
        <v>0</v>
      </c>
    </row>
    <row r="102" spans="1:2" ht="15.75" customHeight="1" x14ac:dyDescent="0.3"/>
    <row r="103" spans="1:2" ht="15.75" customHeight="1" x14ac:dyDescent="0.3"/>
    <row r="104" spans="1:2" ht="15.75" customHeight="1" x14ac:dyDescent="0.3"/>
    <row r="105" spans="1:2" ht="15.75" customHeight="1" x14ac:dyDescent="0.3"/>
    <row r="106" spans="1:2" ht="15.75" customHeight="1" x14ac:dyDescent="0.3"/>
    <row r="107" spans="1:2" ht="15.75" customHeight="1" x14ac:dyDescent="0.3"/>
    <row r="108" spans="1:2" ht="15.75" customHeight="1" x14ac:dyDescent="0.3"/>
    <row r="109" spans="1:2" ht="15.75" customHeight="1" x14ac:dyDescent="0.3"/>
    <row r="110" spans="1:2" ht="15.75" customHeight="1" x14ac:dyDescent="0.3"/>
    <row r="111" spans="1:2" ht="15.75" customHeight="1" x14ac:dyDescent="0.3"/>
    <row r="112" spans="1: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</sheetData>
  <sheetProtection algorithmName="SHA-512" hashValue="+rp9vuYMaVMqXI1JMyWC2U41MtCp31fptIN9H622iWxGgUPvRFrQW15RpGo5YpwZ0aKvUFM0/dngHSBFXpVMZw==" saltValue="w+jrnwjV3VQE0jY1TSfrvg==" spinCount="100000" sheet="1" objects="1" scenarios="1"/>
  <mergeCells count="79">
    <mergeCell ref="E58:F58"/>
    <mergeCell ref="A60:A61"/>
    <mergeCell ref="A62:A63"/>
    <mergeCell ref="A64:A65"/>
    <mergeCell ref="AF37:AG37"/>
    <mergeCell ref="A44:A47"/>
    <mergeCell ref="H37:I37"/>
    <mergeCell ref="A66:A67"/>
    <mergeCell ref="A69:A71"/>
    <mergeCell ref="B69:G69"/>
    <mergeCell ref="H69:K69"/>
    <mergeCell ref="B70:C70"/>
    <mergeCell ref="D70:E70"/>
    <mergeCell ref="F70:G70"/>
    <mergeCell ref="H70:I70"/>
    <mergeCell ref="J70:K70"/>
    <mergeCell ref="A12:A23"/>
    <mergeCell ref="B12:B13"/>
    <mergeCell ref="B14:B23"/>
    <mergeCell ref="A24:A34"/>
    <mergeCell ref="B24:B29"/>
    <mergeCell ref="B30:B34"/>
    <mergeCell ref="A8:C8"/>
    <mergeCell ref="A9:C11"/>
    <mergeCell ref="D9:F10"/>
    <mergeCell ref="G9:AN9"/>
    <mergeCell ref="AG10:AH10"/>
    <mergeCell ref="AI10:AJ10"/>
    <mergeCell ref="AM10:AN10"/>
    <mergeCell ref="AE10:AF10"/>
    <mergeCell ref="AK10:AL10"/>
    <mergeCell ref="Q10:R10"/>
    <mergeCell ref="S10:T10"/>
    <mergeCell ref="U10:V10"/>
    <mergeCell ref="W10:X10"/>
    <mergeCell ref="Y10:Z10"/>
    <mergeCell ref="G10:H10"/>
    <mergeCell ref="I10:J10"/>
    <mergeCell ref="K10:L10"/>
    <mergeCell ref="M10:N10"/>
    <mergeCell ref="O10:P10"/>
    <mergeCell ref="AB37:AC37"/>
    <mergeCell ref="AD37:AE37"/>
    <mergeCell ref="R37:S37"/>
    <mergeCell ref="T37:U37"/>
    <mergeCell ref="V37:W37"/>
    <mergeCell ref="X37:Y37"/>
    <mergeCell ref="J37:K37"/>
    <mergeCell ref="L37:M37"/>
    <mergeCell ref="N37:O37"/>
    <mergeCell ref="P37:Q37"/>
    <mergeCell ref="AJ36:AS37"/>
    <mergeCell ref="AH37:AI37"/>
    <mergeCell ref="CM9:CM11"/>
    <mergeCell ref="AA10:AB10"/>
    <mergeCell ref="AC10:AD10"/>
    <mergeCell ref="CK9:CK11"/>
    <mergeCell ref="CL9:CL11"/>
    <mergeCell ref="AO9:AO11"/>
    <mergeCell ref="AQ9:AQ11"/>
    <mergeCell ref="AR9:AR11"/>
    <mergeCell ref="AP9:AP11"/>
    <mergeCell ref="Z37:AA37"/>
    <mergeCell ref="A6:AB6"/>
    <mergeCell ref="BZ38:CA38"/>
    <mergeCell ref="B58:D58"/>
    <mergeCell ref="F36:AI36"/>
    <mergeCell ref="A48:A49"/>
    <mergeCell ref="A50:A51"/>
    <mergeCell ref="A53:A56"/>
    <mergeCell ref="A58:A59"/>
    <mergeCell ref="A36:A38"/>
    <mergeCell ref="B36:B38"/>
    <mergeCell ref="C36:E37"/>
    <mergeCell ref="A39:A41"/>
    <mergeCell ref="A42:A43"/>
    <mergeCell ref="AT36:AU37"/>
    <mergeCell ref="AV36:AW37"/>
    <mergeCell ref="F37:G37"/>
  </mergeCells>
  <dataValidations count="4">
    <dataValidation type="whole" operator="greaterThanOrEqual" allowBlank="1" showErrorMessage="1" error="Sólo ingrese números enteros." prompt="Valor no Permitido" sqref="G12:AR34" xr:uid="{C59C8A16-DB1E-4AAA-94A8-3CE1EEF472CD}">
      <formula1>0</formula1>
    </dataValidation>
    <dataValidation allowBlank="1" prompt="Valor no Permitido" sqref="CJ9:CK11 BB27:BZ34 BA1:XFD7 CO8:XFD8 G37:AI37 BA12:BZ26 A12 C24:C34 CJ39:CJ51 G7:AP11 CF10:CK11 B7:C7 AS1:AZ34 D7:F35 A35:C35 B39:B41 AJ36 AQ7:AR8 B52:F52 C38:E51 F38:AW38 B36:C36 BE54:XFD56 J54:BD55 K52:XFD53 AX36:BV37 A102:B1048576 CA39:CA51 L76:XFD1048576 A24 AV36 F36:F37 BU39:BV51 AT36 CF39:CF51 G35:CD35 CB38:CL38 BA8:CL8 BX36:CB37 BA9:CC11 CF9:CI9 BV38:BZ38 C75:K1048576 A75:B100 A5:A9 B1:AR5 B44:B51 CD36:CL37 CE12:CM35 CP36:XFD51 CQ9:XFD35 AX38:BT51" xr:uid="{E82FDE04-2A28-4166-B2BD-8213FB3B2951}"/>
    <dataValidation type="whole" allowBlank="1" showInputMessage="1" showErrorMessage="1" sqref="C54:D55 C60:F67 B72:K73" xr:uid="{FBE7BF2B-43B3-401A-993A-3F98C591E2EF}">
      <formula1>0</formula1>
      <formula2>9.99999999999999E+43</formula2>
    </dataValidation>
    <dataValidation type="whole" allowBlank="1" showInputMessage="1" showErrorMessage="1" sqref="F39:AW51" xr:uid="{8811C7D1-439E-4123-AC80-D3738E3547C7}">
      <formula1>0</formula1>
      <formula2>9.99999999999999E+39</formula2>
    </dataValidation>
  </dataValidation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F5719-7D1D-4E96-86A2-D2029D6EE750}">
  <sheetPr codeName="Hoja30"/>
  <dimension ref="A1:VG150"/>
  <sheetViews>
    <sheetView showGridLines="0" zoomScaleNormal="100" workbookViewId="0"/>
  </sheetViews>
  <sheetFormatPr baseColWidth="10" defaultColWidth="11.44140625" defaultRowHeight="14.4" x14ac:dyDescent="0.3"/>
  <cols>
    <col min="1" max="1" width="34.44140625" customWidth="1"/>
    <col min="2" max="2" width="23.109375" customWidth="1"/>
    <col min="3" max="3" width="15.6640625" customWidth="1"/>
    <col min="4" max="4" width="17.33203125" customWidth="1"/>
    <col min="10" max="10" width="12.6640625" customWidth="1"/>
    <col min="26" max="40" width="11.44140625" style="3293"/>
    <col min="41" max="41" width="10" style="3293" customWidth="1"/>
    <col min="42" max="43" width="11.44140625" style="3293"/>
    <col min="44" max="44" width="7.88671875" style="3293" customWidth="1"/>
    <col min="45" max="47" width="11.44140625" style="3293"/>
    <col min="52" max="52" width="11.44140625" style="3293"/>
    <col min="78" max="78" width="0" hidden="1" customWidth="1"/>
    <col min="79" max="79" width="11.44140625" hidden="1" customWidth="1"/>
    <col min="80" max="82" width="11.44140625" style="3293" hidden="1" customWidth="1"/>
    <col min="83" max="91" width="11.44140625" hidden="1" customWidth="1"/>
    <col min="92" max="93" width="11.44140625" customWidth="1"/>
    <col min="111" max="579" width="11.44140625" style="3293"/>
  </cols>
  <sheetData>
    <row r="1" spans="1:90" s="3293" customFormat="1" x14ac:dyDescent="0.3">
      <c r="A1" s="50" t="s">
        <v>23</v>
      </c>
      <c r="B1" s="4659"/>
    </row>
    <row r="2" spans="1:90" s="3293" customFormat="1" x14ac:dyDescent="0.3">
      <c r="A2" s="50" t="str">
        <f>CONCATENATE("COMUNA: ",NOMBRE!B2, " (",NOMBRE!C2,NOMBRE!D2,NOMBRE!E2,NOMBRE!F2,NOMBRE!G2,")")</f>
        <v>COMUNA:  ()</v>
      </c>
      <c r="B2" s="4659"/>
    </row>
    <row r="3" spans="1:90" s="3293" customFormat="1" x14ac:dyDescent="0.3">
      <c r="A3" s="50" t="str">
        <f>CONCATENATE("ESTABLECIMIENTO/ESTRATEGIA: ", NOMBRE!B3, " (",NOMBRE!C3,NOMBRE!D3,NOMBRE!E3,NOMBRE!F3,NOMBRE!G3,NOMBRE!H3,")")</f>
        <v>ESTABLECIMIENTO/ESTRATEGIA:  ()</v>
      </c>
      <c r="B3" s="4659"/>
    </row>
    <row r="4" spans="1:90" s="3293" customFormat="1" x14ac:dyDescent="0.3">
      <c r="A4" s="50" t="str">
        <f>CONCATENATE("MES: ",NOMBRE!B6, " (",NOMBRE!C6,NOMBRE!D6,")")</f>
        <v>MES:  ()</v>
      </c>
      <c r="B4" s="4659"/>
    </row>
    <row r="5" spans="1:90" s="3293" customFormat="1" x14ac:dyDescent="0.3">
      <c r="A5" s="4659" t="str">
        <f>CONCATENATE("AÑO: ",NOMBRE!B7)</f>
        <v>AÑO: 2025</v>
      </c>
      <c r="B5" s="4659"/>
    </row>
    <row r="6" spans="1:90" s="3293" customFormat="1" ht="16.2" x14ac:dyDescent="0.3">
      <c r="A6" s="7659" t="s">
        <v>4201</v>
      </c>
      <c r="B6" s="7659"/>
      <c r="C6" s="7659"/>
      <c r="D6" s="7659"/>
      <c r="E6" s="7659"/>
      <c r="F6" s="7659"/>
      <c r="G6" s="7659"/>
      <c r="H6" s="7659"/>
      <c r="I6" s="7659"/>
      <c r="J6" s="7659"/>
      <c r="K6" s="7659"/>
      <c r="L6" s="7659"/>
      <c r="M6" s="7659"/>
      <c r="N6" s="7659"/>
      <c r="O6" s="7659"/>
      <c r="P6" s="7659"/>
      <c r="Q6" s="7659"/>
      <c r="R6" s="7659"/>
      <c r="S6" s="7659"/>
      <c r="T6" s="7659"/>
      <c r="U6" s="7659"/>
      <c r="V6" s="7659"/>
      <c r="W6" s="7659"/>
    </row>
    <row r="7" spans="1:90" s="3293" customFormat="1" x14ac:dyDescent="0.3"/>
    <row r="8" spans="1:90" s="3293" customFormat="1" ht="17.100000000000001" customHeight="1" x14ac:dyDescent="0.3">
      <c r="A8" s="5403" t="s">
        <v>4202</v>
      </c>
      <c r="B8" s="5403"/>
      <c r="C8" s="5404"/>
      <c r="D8" s="5404"/>
      <c r="E8" s="5404"/>
      <c r="F8" s="5404"/>
      <c r="G8" s="5404"/>
      <c r="H8" s="5404"/>
      <c r="I8" s="5404"/>
      <c r="J8" s="5404"/>
      <c r="K8" s="5404"/>
      <c r="L8" s="5404"/>
      <c r="M8" s="5404"/>
      <c r="N8" s="5404"/>
      <c r="O8" s="5404"/>
      <c r="P8" s="5404"/>
      <c r="Q8" s="5404"/>
      <c r="R8" s="5404"/>
      <c r="S8" s="5404"/>
      <c r="T8" s="5404"/>
      <c r="U8" s="5404"/>
      <c r="V8" s="5404"/>
      <c r="W8" s="5404"/>
      <c r="X8" s="5404"/>
      <c r="Y8" s="5404"/>
      <c r="Z8" s="5404"/>
      <c r="AA8" s="5404"/>
      <c r="AB8" s="5404"/>
      <c r="AC8" s="5404"/>
      <c r="AD8" s="5404"/>
      <c r="AE8" s="5404"/>
      <c r="AF8" s="5404"/>
      <c r="AG8" s="5404"/>
      <c r="AH8" s="5404"/>
      <c r="AI8" s="5404"/>
      <c r="AJ8" s="5404"/>
      <c r="AK8" s="5404"/>
      <c r="AL8" s="5404"/>
      <c r="AM8" s="5404"/>
      <c r="AO8" s="5405"/>
      <c r="AP8" s="5405"/>
      <c r="AQ8" s="5405"/>
      <c r="AR8" s="5405"/>
      <c r="AS8" s="5405"/>
      <c r="AT8" s="5405"/>
      <c r="AU8" s="5405"/>
      <c r="AV8" s="5405"/>
      <c r="AW8" s="5405"/>
      <c r="AX8" s="5405"/>
      <c r="AY8" s="5405"/>
      <c r="AZ8" s="5405"/>
      <c r="BA8" s="5405"/>
      <c r="BB8" s="5405"/>
      <c r="BC8" s="5405"/>
      <c r="BD8" s="5405"/>
      <c r="BE8" s="5405"/>
      <c r="BF8" s="5405"/>
      <c r="BG8" s="5405"/>
      <c r="BH8" s="5405"/>
      <c r="BI8" s="5405"/>
      <c r="BJ8" s="5405"/>
      <c r="BK8" s="5405"/>
      <c r="BL8" s="5405"/>
      <c r="BM8" s="5405"/>
      <c r="BN8" s="5405"/>
      <c r="BO8" s="5405"/>
      <c r="BP8" s="5405"/>
      <c r="BQ8" s="5405"/>
      <c r="BR8" s="5405"/>
      <c r="BS8" s="5405"/>
      <c r="BT8" s="5405"/>
      <c r="BU8" s="5405"/>
      <c r="BV8" s="5405"/>
      <c r="BW8" s="5405"/>
      <c r="BX8" s="5405"/>
      <c r="BY8" s="5405"/>
      <c r="BZ8" s="5405"/>
      <c r="CA8" s="5405"/>
      <c r="CB8" s="5405"/>
      <c r="CC8" s="5405"/>
      <c r="CD8" s="5405"/>
      <c r="CE8" s="5405"/>
      <c r="CF8" s="5405"/>
      <c r="CG8" s="5405"/>
      <c r="CH8" s="5405"/>
      <c r="CI8" s="5405"/>
      <c r="CJ8" s="5405"/>
      <c r="CK8" s="5405"/>
      <c r="CL8" s="5405"/>
    </row>
    <row r="9" spans="1:90" s="3293" customFormat="1" ht="17.100000000000001" customHeight="1" x14ac:dyDescent="0.3">
      <c r="A9" s="5403" t="s">
        <v>4203</v>
      </c>
      <c r="B9" s="5403"/>
      <c r="C9" s="5405"/>
      <c r="D9" s="5405"/>
      <c r="E9" s="5405"/>
      <c r="F9" s="5405"/>
      <c r="G9" s="5405"/>
      <c r="H9" s="5405"/>
      <c r="I9" s="5405"/>
      <c r="J9" s="5405"/>
      <c r="K9" s="5405"/>
      <c r="L9" s="5405"/>
      <c r="M9" s="5405"/>
      <c r="N9" s="5405"/>
      <c r="O9" s="5405"/>
      <c r="P9" s="5405"/>
      <c r="Q9" s="5405"/>
      <c r="R9" s="5405"/>
      <c r="S9" s="5405"/>
      <c r="T9" s="5405"/>
      <c r="U9" s="5405"/>
      <c r="V9" s="5405"/>
      <c r="W9" s="5405"/>
      <c r="X9" s="5405"/>
      <c r="Y9" s="5405"/>
      <c r="Z9" s="5405"/>
      <c r="AA9" s="5405"/>
      <c r="AB9" s="5405"/>
      <c r="AC9" s="5405"/>
      <c r="AD9" s="5405"/>
      <c r="AE9" s="5405"/>
      <c r="AF9" s="5405"/>
      <c r="AG9" s="5405"/>
      <c r="AH9" s="5405"/>
      <c r="AI9" s="5405"/>
      <c r="AJ9" s="5405"/>
      <c r="AK9" s="5405"/>
      <c r="AL9" s="5405"/>
      <c r="AM9" s="5405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  <c r="BI9" s="151"/>
      <c r="BJ9" s="151"/>
      <c r="BK9" s="151"/>
      <c r="BL9" s="151"/>
      <c r="BM9" s="151"/>
      <c r="BN9" s="151"/>
      <c r="BO9" s="151"/>
      <c r="BP9" s="151"/>
      <c r="BQ9" s="151"/>
      <c r="BR9" s="151"/>
      <c r="BS9" s="151"/>
      <c r="BT9" s="151"/>
      <c r="BU9" s="151"/>
      <c r="BV9" s="151"/>
    </row>
    <row r="10" spans="1:90" s="3293" customFormat="1" x14ac:dyDescent="0.3">
      <c r="A10" s="7660" t="s">
        <v>219</v>
      </c>
      <c r="B10" s="7660" t="s">
        <v>27</v>
      </c>
      <c r="C10" s="7661" t="s">
        <v>452</v>
      </c>
      <c r="D10" s="7661"/>
      <c r="E10" s="7661"/>
      <c r="F10" s="7662" t="s">
        <v>101</v>
      </c>
      <c r="G10" s="7662"/>
      <c r="H10" s="7662"/>
      <c r="I10" s="7662"/>
      <c r="J10" s="7662"/>
      <c r="K10" s="7662"/>
      <c r="L10" s="7662"/>
      <c r="M10" s="7662"/>
      <c r="N10" s="7662"/>
      <c r="O10" s="7662"/>
      <c r="P10" s="7662"/>
      <c r="Q10" s="7662"/>
      <c r="R10" s="7662"/>
      <c r="S10" s="7662"/>
      <c r="T10" s="7662"/>
      <c r="U10" s="7662"/>
      <c r="V10" s="7662"/>
      <c r="W10" s="7662"/>
      <c r="X10" s="7662"/>
      <c r="Y10" s="7662"/>
      <c r="Z10" s="7662"/>
      <c r="AA10" s="7662"/>
      <c r="AB10" s="7662"/>
      <c r="AC10" s="7662"/>
      <c r="AD10" s="7662"/>
      <c r="AE10" s="7662"/>
      <c r="AF10" s="7662"/>
      <c r="AG10" s="7662"/>
      <c r="AH10" s="7662"/>
      <c r="AI10" s="7662"/>
      <c r="AJ10" s="7662"/>
      <c r="AK10" s="7662"/>
      <c r="AL10" s="7662"/>
      <c r="AM10" s="7663"/>
      <c r="AN10" s="7577" t="s">
        <v>36</v>
      </c>
    </row>
    <row r="11" spans="1:90" s="3293" customFormat="1" ht="14.25" customHeight="1" x14ac:dyDescent="0.3">
      <c r="A11" s="7660"/>
      <c r="B11" s="7660"/>
      <c r="C11" s="7661"/>
      <c r="D11" s="7661"/>
      <c r="E11" s="7661"/>
      <c r="F11" s="7664" t="s">
        <v>343</v>
      </c>
      <c r="G11" s="7664"/>
      <c r="H11" s="7664" t="s">
        <v>326</v>
      </c>
      <c r="I11" s="7664"/>
      <c r="J11" s="7664" t="s">
        <v>94</v>
      </c>
      <c r="K11" s="7664"/>
      <c r="L11" s="7664" t="s">
        <v>44</v>
      </c>
      <c r="M11" s="7664"/>
      <c r="N11" s="7664" t="s">
        <v>45</v>
      </c>
      <c r="O11" s="7664"/>
      <c r="P11" s="7664" t="s">
        <v>46</v>
      </c>
      <c r="Q11" s="7664"/>
      <c r="R11" s="7664" t="s">
        <v>47</v>
      </c>
      <c r="S11" s="7664"/>
      <c r="T11" s="7664" t="s">
        <v>48</v>
      </c>
      <c r="U11" s="7664"/>
      <c r="V11" s="7664" t="s">
        <v>49</v>
      </c>
      <c r="W11" s="7664"/>
      <c r="X11" s="7664" t="s">
        <v>50</v>
      </c>
      <c r="Y11" s="7664"/>
      <c r="Z11" s="7664" t="s">
        <v>51</v>
      </c>
      <c r="AA11" s="7664"/>
      <c r="AB11" s="7664" t="s">
        <v>52</v>
      </c>
      <c r="AC11" s="7664"/>
      <c r="AD11" s="7664" t="s">
        <v>53</v>
      </c>
      <c r="AE11" s="7664"/>
      <c r="AF11" s="7664" t="s">
        <v>54</v>
      </c>
      <c r="AG11" s="7664"/>
      <c r="AH11" s="7664" t="s">
        <v>55</v>
      </c>
      <c r="AI11" s="7664"/>
      <c r="AJ11" s="7664" t="s">
        <v>56</v>
      </c>
      <c r="AK11" s="7664"/>
      <c r="AL11" s="7664" t="s">
        <v>57</v>
      </c>
      <c r="AM11" s="7663"/>
      <c r="AN11" s="7577"/>
    </row>
    <row r="12" spans="1:90" s="3293" customFormat="1" x14ac:dyDescent="0.3">
      <c r="A12" s="7660"/>
      <c r="B12" s="7660"/>
      <c r="C12" s="5406" t="s">
        <v>79</v>
      </c>
      <c r="D12" s="5407" t="s">
        <v>58</v>
      </c>
      <c r="E12" s="5408" t="s">
        <v>59</v>
      </c>
      <c r="F12" s="5409" t="s">
        <v>58</v>
      </c>
      <c r="G12" s="5224" t="s">
        <v>59</v>
      </c>
      <c r="H12" s="5409" t="s">
        <v>58</v>
      </c>
      <c r="I12" s="5224" t="s">
        <v>59</v>
      </c>
      <c r="J12" s="5409" t="s">
        <v>58</v>
      </c>
      <c r="K12" s="5224" t="s">
        <v>59</v>
      </c>
      <c r="L12" s="5409" t="s">
        <v>58</v>
      </c>
      <c r="M12" s="5224" t="s">
        <v>59</v>
      </c>
      <c r="N12" s="5409" t="s">
        <v>58</v>
      </c>
      <c r="O12" s="5224" t="s">
        <v>59</v>
      </c>
      <c r="P12" s="5409" t="s">
        <v>58</v>
      </c>
      <c r="Q12" s="5224" t="s">
        <v>59</v>
      </c>
      <c r="R12" s="5409" t="s">
        <v>58</v>
      </c>
      <c r="S12" s="5224" t="s">
        <v>59</v>
      </c>
      <c r="T12" s="5409" t="s">
        <v>58</v>
      </c>
      <c r="U12" s="5224" t="s">
        <v>59</v>
      </c>
      <c r="V12" s="5409" t="s">
        <v>58</v>
      </c>
      <c r="W12" s="5224" t="s">
        <v>59</v>
      </c>
      <c r="X12" s="5409" t="s">
        <v>58</v>
      </c>
      <c r="Y12" s="5224" t="s">
        <v>59</v>
      </c>
      <c r="Z12" s="5409" t="s">
        <v>58</v>
      </c>
      <c r="AA12" s="5224" t="s">
        <v>59</v>
      </c>
      <c r="AB12" s="5409" t="s">
        <v>58</v>
      </c>
      <c r="AC12" s="5224" t="s">
        <v>59</v>
      </c>
      <c r="AD12" s="5409" t="s">
        <v>58</v>
      </c>
      <c r="AE12" s="5224" t="s">
        <v>59</v>
      </c>
      <c r="AF12" s="5409" t="s">
        <v>58</v>
      </c>
      <c r="AG12" s="5224" t="s">
        <v>59</v>
      </c>
      <c r="AH12" s="5409" t="s">
        <v>58</v>
      </c>
      <c r="AI12" s="5224" t="s">
        <v>59</v>
      </c>
      <c r="AJ12" s="5409" t="s">
        <v>58</v>
      </c>
      <c r="AK12" s="5224" t="s">
        <v>59</v>
      </c>
      <c r="AL12" s="5409" t="s">
        <v>58</v>
      </c>
      <c r="AM12" s="5410" t="s">
        <v>59</v>
      </c>
      <c r="AN12" s="7577"/>
    </row>
    <row r="13" spans="1:90" x14ac:dyDescent="0.3">
      <c r="A13" s="7665" t="s">
        <v>4204</v>
      </c>
      <c r="B13" s="5411" t="s">
        <v>1035</v>
      </c>
      <c r="C13" s="5412">
        <f>SUM(D13,E13)</f>
        <v>0</v>
      </c>
      <c r="D13" s="5413">
        <f t="shared" ref="D13:E16" si="0">SUM(F13,H13,J13,L13,N13,P13,R13,T13,V13,X13,Z13,AB13,AD13,AF13,AH13,AJ13,AL13)</f>
        <v>0</v>
      </c>
      <c r="E13" s="5414">
        <f t="shared" si="0"/>
        <v>0</v>
      </c>
      <c r="F13" s="2705"/>
      <c r="G13" s="5415"/>
      <c r="H13" s="2705"/>
      <c r="I13" s="5415"/>
      <c r="J13" s="2705"/>
      <c r="K13" s="5415"/>
      <c r="L13" s="2705"/>
      <c r="M13" s="5415"/>
      <c r="N13" s="2705"/>
      <c r="O13" s="5415"/>
      <c r="P13" s="2705"/>
      <c r="Q13" s="5415"/>
      <c r="R13" s="2705"/>
      <c r="S13" s="5415"/>
      <c r="T13" s="2705"/>
      <c r="U13" s="5415"/>
      <c r="V13" s="2705"/>
      <c r="W13" s="5415"/>
      <c r="X13" s="2705"/>
      <c r="Y13" s="5415"/>
      <c r="Z13" s="2705"/>
      <c r="AA13" s="5415"/>
      <c r="AB13" s="2705"/>
      <c r="AC13" s="5415"/>
      <c r="AD13" s="2705"/>
      <c r="AE13" s="5415"/>
      <c r="AF13" s="2705"/>
      <c r="AG13" s="5415"/>
      <c r="AH13" s="2705"/>
      <c r="AI13" s="5415"/>
      <c r="AJ13" s="2705"/>
      <c r="AK13" s="5415"/>
      <c r="AL13" s="2704"/>
      <c r="AM13" s="5416"/>
      <c r="AN13" s="5417"/>
      <c r="AO13" s="2227" t="str">
        <f>$CA13</f>
        <v/>
      </c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4258" t="str">
        <f>IF(AND($C13&lt;&gt;0,AN13=""),"* No olvide ingresar la columna Pueblos Originarios, digite CERO si no tiene.  ",IF(AN13&gt;$C13,"* El número de Pueblos Originarios no puede superar el Total.  ",""))</f>
        <v/>
      </c>
      <c r="CB13" s="2228"/>
      <c r="CC13" s="2228"/>
      <c r="CD13" s="2228"/>
      <c r="CE13" s="6"/>
      <c r="CF13" s="6"/>
      <c r="CG13" s="6"/>
      <c r="CH13" s="6"/>
      <c r="CI13" s="6"/>
      <c r="CJ13" s="6"/>
      <c r="CK13" s="6"/>
      <c r="CL13" s="55">
        <f>IF(AND($C13&lt;&gt;0,AN13=""),1,IF(AN13&gt;$C13,1,0))</f>
        <v>0</v>
      </c>
    </row>
    <row r="14" spans="1:90" ht="15" customHeight="1" x14ac:dyDescent="0.3">
      <c r="A14" s="7665"/>
      <c r="B14" s="5418" t="s">
        <v>4205</v>
      </c>
      <c r="C14" s="2242">
        <f>SUM(D14,E14)</f>
        <v>0</v>
      </c>
      <c r="D14" s="2938">
        <f t="shared" si="0"/>
        <v>0</v>
      </c>
      <c r="E14" s="213">
        <f>SUM(G14,I14,K14,M14,O14,Q14,S14,U14,W14,Y14,AA14,AC14,AE14,AG14,AI14,AK14,AM14)</f>
        <v>0</v>
      </c>
      <c r="F14" s="2704"/>
      <c r="G14" s="2702"/>
      <c r="H14" s="2704"/>
      <c r="I14" s="2702"/>
      <c r="J14" s="2704"/>
      <c r="K14" s="2702"/>
      <c r="L14" s="2704"/>
      <c r="M14" s="2702"/>
      <c r="N14" s="2704"/>
      <c r="O14" s="2702"/>
      <c r="P14" s="2704"/>
      <c r="Q14" s="2702"/>
      <c r="R14" s="2704"/>
      <c r="S14" s="2702"/>
      <c r="T14" s="2704"/>
      <c r="U14" s="2702"/>
      <c r="V14" s="2704"/>
      <c r="W14" s="2702"/>
      <c r="X14" s="2704"/>
      <c r="Y14" s="2702"/>
      <c r="Z14" s="2704"/>
      <c r="AA14" s="2702"/>
      <c r="AB14" s="2704"/>
      <c r="AC14" s="2702"/>
      <c r="AD14" s="2704"/>
      <c r="AE14" s="2702"/>
      <c r="AF14" s="2704"/>
      <c r="AG14" s="2702"/>
      <c r="AH14" s="2704"/>
      <c r="AI14" s="2702"/>
      <c r="AJ14" s="2704"/>
      <c r="AK14" s="2702"/>
      <c r="AL14" s="2705"/>
      <c r="AM14" s="5419"/>
      <c r="AN14" s="2702"/>
      <c r="AO14" s="2227" t="str">
        <f t="shared" ref="AO14:AO15" si="1">$CA14</f>
        <v/>
      </c>
      <c r="AP14" s="5420"/>
      <c r="AQ14" s="5420"/>
      <c r="AR14" s="5420"/>
      <c r="AS14" s="5420"/>
      <c r="AT14" s="5420"/>
      <c r="AU14" s="5420"/>
      <c r="AV14" s="5420"/>
      <c r="AW14" s="5420"/>
      <c r="AX14" s="5420"/>
      <c r="AY14" s="5420"/>
      <c r="AZ14" s="5420"/>
      <c r="BA14" s="5420"/>
      <c r="BB14" s="5420"/>
      <c r="BC14" s="5420"/>
      <c r="BD14" s="5420"/>
      <c r="BE14" s="5420"/>
      <c r="BF14" s="5420"/>
      <c r="BG14" s="5420"/>
      <c r="BH14" s="5420"/>
      <c r="BI14" s="5420"/>
      <c r="BJ14" s="5420"/>
      <c r="BK14" s="5420"/>
      <c r="BL14" s="5420"/>
      <c r="BM14" s="5420"/>
      <c r="BN14" s="5420"/>
      <c r="BO14" s="5420"/>
      <c r="BP14" s="5420"/>
      <c r="BQ14" s="5420"/>
      <c r="BR14" s="5420"/>
      <c r="BS14" s="5420"/>
      <c r="BT14" s="25"/>
      <c r="BU14" s="25"/>
      <c r="BV14" s="6"/>
      <c r="BW14" s="6"/>
      <c r="BX14" s="6"/>
      <c r="BY14" s="6"/>
      <c r="BZ14" s="6"/>
      <c r="CA14" s="4258" t="str">
        <f t="shared" ref="CA14:CA15" si="2">IF(AND($C14&lt;&gt;0,AN14=""),"* No olvide ingresar la columna Pueblos Originarios, digite CERO si no tiene.  ",IF(AN14&gt;$C14,"* El número de Pueblos Originarios no puede superar el Total.  ",""))</f>
        <v/>
      </c>
      <c r="CB14" s="2228"/>
      <c r="CC14" s="2228"/>
      <c r="CD14" s="2228"/>
      <c r="CE14" s="6"/>
      <c r="CF14" s="6"/>
      <c r="CG14" s="6"/>
      <c r="CH14" s="6"/>
      <c r="CI14" s="6"/>
      <c r="CJ14" s="6"/>
      <c r="CK14" s="6"/>
      <c r="CL14" s="55">
        <f t="shared" ref="CL14:CL15" si="3">IF(AND($C14&lt;&gt;0,AN14=""),1,IF(AN14&gt;$C14,1,0))</f>
        <v>0</v>
      </c>
    </row>
    <row r="15" spans="1:90" ht="21.6" x14ac:dyDescent="0.3">
      <c r="A15" s="7665"/>
      <c r="B15" s="5421" t="s">
        <v>4206</v>
      </c>
      <c r="C15" s="5009">
        <f>SUM(D15,E15)</f>
        <v>0</v>
      </c>
      <c r="D15" s="5422">
        <f t="shared" si="0"/>
        <v>0</v>
      </c>
      <c r="E15" s="5423">
        <f t="shared" si="0"/>
        <v>0</v>
      </c>
      <c r="F15" s="2704"/>
      <c r="G15" s="2702"/>
      <c r="H15" s="2704"/>
      <c r="I15" s="2702"/>
      <c r="J15" s="2704"/>
      <c r="K15" s="2702"/>
      <c r="L15" s="2704"/>
      <c r="M15" s="2702"/>
      <c r="N15" s="2704"/>
      <c r="O15" s="2702"/>
      <c r="P15" s="2704"/>
      <c r="Q15" s="2702"/>
      <c r="R15" s="2704"/>
      <c r="S15" s="2702"/>
      <c r="T15" s="2704"/>
      <c r="U15" s="2702"/>
      <c r="V15" s="2704"/>
      <c r="W15" s="2702"/>
      <c r="X15" s="2704"/>
      <c r="Y15" s="2702"/>
      <c r="Z15" s="2704"/>
      <c r="AA15" s="2702"/>
      <c r="AB15" s="2704"/>
      <c r="AC15" s="2702"/>
      <c r="AD15" s="2704"/>
      <c r="AE15" s="2702"/>
      <c r="AF15" s="2704"/>
      <c r="AG15" s="2702"/>
      <c r="AH15" s="2704"/>
      <c r="AI15" s="2702"/>
      <c r="AJ15" s="2704"/>
      <c r="AK15" s="2702"/>
      <c r="AL15" s="2705"/>
      <c r="AM15" s="5424"/>
      <c r="AN15" s="2702"/>
      <c r="AO15" s="2227" t="str">
        <f t="shared" si="1"/>
        <v/>
      </c>
      <c r="AP15" s="5420"/>
      <c r="AQ15" s="5420"/>
      <c r="AR15" s="5420"/>
      <c r="AS15" s="5420"/>
      <c r="AT15" s="5420"/>
      <c r="AU15" s="5420"/>
      <c r="AV15" s="5420"/>
      <c r="AW15" s="5420"/>
      <c r="AX15" s="5420"/>
      <c r="AY15" s="5420"/>
      <c r="AZ15" s="5420"/>
      <c r="BA15" s="5420"/>
      <c r="BB15" s="5420"/>
      <c r="BC15" s="5420"/>
      <c r="BD15" s="5420"/>
      <c r="BE15" s="5420"/>
      <c r="BF15" s="5420"/>
      <c r="BG15" s="5420"/>
      <c r="BH15" s="5420"/>
      <c r="BI15" s="5420"/>
      <c r="BJ15" s="5420"/>
      <c r="BK15" s="5420"/>
      <c r="BL15" s="5420"/>
      <c r="BM15" s="5420"/>
      <c r="BN15" s="5420"/>
      <c r="BO15" s="5420"/>
      <c r="BP15" s="5420"/>
      <c r="BQ15" s="5420"/>
      <c r="BR15" s="5420"/>
      <c r="BS15" s="5420"/>
      <c r="BT15" s="25"/>
      <c r="BU15" s="25"/>
      <c r="BV15" s="6"/>
      <c r="BW15" s="6"/>
      <c r="BX15" s="6"/>
      <c r="BY15" s="6"/>
      <c r="BZ15" s="6"/>
      <c r="CA15" s="4258" t="str">
        <f t="shared" si="2"/>
        <v/>
      </c>
      <c r="CB15" s="2228"/>
      <c r="CC15" s="2228"/>
      <c r="CD15" s="2228"/>
      <c r="CE15" s="6"/>
      <c r="CF15" s="6"/>
      <c r="CG15" s="6"/>
      <c r="CH15" s="6"/>
      <c r="CI15" s="6"/>
      <c r="CJ15" s="6"/>
      <c r="CK15" s="6"/>
      <c r="CL15" s="55">
        <f t="shared" si="3"/>
        <v>0</v>
      </c>
    </row>
    <row r="16" spans="1:90" ht="15" customHeight="1" x14ac:dyDescent="0.3">
      <c r="A16" s="7579" t="s">
        <v>77</v>
      </c>
      <c r="B16" s="7579"/>
      <c r="C16" s="5425">
        <f>SUM(D16,E16)</f>
        <v>0</v>
      </c>
      <c r="D16" s="5426">
        <f t="shared" si="0"/>
        <v>0</v>
      </c>
      <c r="E16" s="5427">
        <f t="shared" si="0"/>
        <v>0</v>
      </c>
      <c r="F16" s="5428">
        <f>SUM(F13:F15)</f>
        <v>0</v>
      </c>
      <c r="G16" s="5429">
        <f t="shared" ref="G16:AM16" si="4">SUM(G13:G15)</f>
        <v>0</v>
      </c>
      <c r="H16" s="5428">
        <f>SUM(H13:H15)</f>
        <v>0</v>
      </c>
      <c r="I16" s="5429">
        <f t="shared" si="4"/>
        <v>0</v>
      </c>
      <c r="J16" s="5428">
        <f t="shared" si="4"/>
        <v>0</v>
      </c>
      <c r="K16" s="5430">
        <f>SUM(K13:K15)</f>
        <v>0</v>
      </c>
      <c r="L16" s="5428">
        <f t="shared" si="4"/>
        <v>0</v>
      </c>
      <c r="M16" s="5430">
        <f t="shared" si="4"/>
        <v>0</v>
      </c>
      <c r="N16" s="5428">
        <f t="shared" si="4"/>
        <v>0</v>
      </c>
      <c r="O16" s="5430">
        <f t="shared" si="4"/>
        <v>0</v>
      </c>
      <c r="P16" s="5428">
        <f t="shared" si="4"/>
        <v>0</v>
      </c>
      <c r="Q16" s="5430">
        <f t="shared" si="4"/>
        <v>0</v>
      </c>
      <c r="R16" s="5428">
        <f t="shared" si="4"/>
        <v>0</v>
      </c>
      <c r="S16" s="5430">
        <f t="shared" si="4"/>
        <v>0</v>
      </c>
      <c r="T16" s="5428">
        <f t="shared" si="4"/>
        <v>0</v>
      </c>
      <c r="U16" s="5430">
        <f t="shared" si="4"/>
        <v>0</v>
      </c>
      <c r="V16" s="5428">
        <f t="shared" si="4"/>
        <v>0</v>
      </c>
      <c r="W16" s="5430">
        <f t="shared" si="4"/>
        <v>0</v>
      </c>
      <c r="X16" s="5428">
        <f t="shared" si="4"/>
        <v>0</v>
      </c>
      <c r="Y16" s="5430">
        <f t="shared" si="4"/>
        <v>0</v>
      </c>
      <c r="Z16" s="5431">
        <f t="shared" si="4"/>
        <v>0</v>
      </c>
      <c r="AA16" s="5432">
        <f t="shared" si="4"/>
        <v>0</v>
      </c>
      <c r="AB16" s="5431">
        <f t="shared" si="4"/>
        <v>0</v>
      </c>
      <c r="AC16" s="5432">
        <f t="shared" si="4"/>
        <v>0</v>
      </c>
      <c r="AD16" s="5431">
        <f t="shared" si="4"/>
        <v>0</v>
      </c>
      <c r="AE16" s="5432">
        <f t="shared" si="4"/>
        <v>0</v>
      </c>
      <c r="AF16" s="5431">
        <f t="shared" si="4"/>
        <v>0</v>
      </c>
      <c r="AG16" s="5432">
        <f t="shared" si="4"/>
        <v>0</v>
      </c>
      <c r="AH16" s="5431">
        <f t="shared" si="4"/>
        <v>0</v>
      </c>
      <c r="AI16" s="5432">
        <f t="shared" si="4"/>
        <v>0</v>
      </c>
      <c r="AJ16" s="5431">
        <f t="shared" si="4"/>
        <v>0</v>
      </c>
      <c r="AK16" s="5432">
        <f t="shared" si="4"/>
        <v>0</v>
      </c>
      <c r="AL16" s="5433">
        <f t="shared" si="4"/>
        <v>0</v>
      </c>
      <c r="AM16" s="5434">
        <f t="shared" si="4"/>
        <v>0</v>
      </c>
      <c r="AN16" s="5435">
        <f>SUM(AN13:AN15)</f>
        <v>0</v>
      </c>
      <c r="AV16" s="3293"/>
      <c r="AW16" s="3293"/>
      <c r="AX16" s="3293"/>
      <c r="AY16" s="3293"/>
      <c r="BA16" s="3293"/>
      <c r="BB16" s="3293"/>
      <c r="BC16" s="3293"/>
      <c r="BD16" s="3293"/>
      <c r="BE16" s="3293"/>
      <c r="BF16" s="3293"/>
      <c r="BG16" s="3293"/>
      <c r="BH16" s="3293"/>
      <c r="BI16" s="3293"/>
      <c r="BJ16" s="3293"/>
      <c r="BK16" s="3293"/>
      <c r="BL16" s="3293"/>
      <c r="BM16" s="3293"/>
      <c r="BN16" s="3293"/>
      <c r="BO16" s="3293"/>
      <c r="BP16" s="3293"/>
      <c r="BQ16" s="3293"/>
      <c r="BR16" s="3293"/>
      <c r="BS16" s="3293"/>
      <c r="BT16" s="3293"/>
      <c r="BU16" s="3293"/>
      <c r="BV16" s="3293"/>
      <c r="BW16" s="3293"/>
      <c r="BX16" s="3293"/>
      <c r="BY16" s="3293"/>
      <c r="BZ16" s="3293"/>
      <c r="CA16" s="5436"/>
      <c r="CE16" s="3293"/>
      <c r="CF16" s="3293"/>
      <c r="CG16" s="3293"/>
      <c r="CH16" s="3293"/>
      <c r="CI16" s="3293"/>
      <c r="CJ16" s="3293"/>
      <c r="CK16" s="3293"/>
      <c r="CL16" s="3293"/>
    </row>
    <row r="17" spans="1:90" ht="17.100000000000001" customHeight="1" x14ac:dyDescent="0.3">
      <c r="A17" s="3" t="s">
        <v>4207</v>
      </c>
      <c r="B17" s="6"/>
      <c r="C17" s="4"/>
      <c r="D17" s="4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420"/>
      <c r="R17" s="5420"/>
      <c r="S17" s="5420"/>
      <c r="T17" s="5420"/>
      <c r="U17" s="5420"/>
      <c r="V17" s="5420"/>
      <c r="W17" s="5420"/>
      <c r="X17" s="5420"/>
      <c r="Y17" s="5420"/>
      <c r="Z17" s="5420"/>
      <c r="AA17" s="5420"/>
      <c r="AB17" s="5420"/>
      <c r="AC17" s="5420"/>
      <c r="AD17" s="5420"/>
      <c r="AE17" s="5420"/>
      <c r="AF17" s="5420"/>
      <c r="AG17" s="5420"/>
      <c r="AH17" s="5420"/>
      <c r="AI17" s="5420"/>
      <c r="AJ17" s="5420"/>
      <c r="AK17" s="5420"/>
      <c r="AL17" s="5420"/>
      <c r="AM17" s="5420"/>
      <c r="AO17" s="5420"/>
      <c r="AP17" s="5420"/>
      <c r="AQ17" s="5420"/>
      <c r="AR17" s="5420"/>
      <c r="AS17" s="5420"/>
      <c r="AT17" s="5420"/>
      <c r="AU17" s="5420"/>
      <c r="AV17" s="5420"/>
      <c r="AW17" s="5420"/>
      <c r="AX17" s="5420"/>
      <c r="AY17" s="5420"/>
      <c r="AZ17" s="5420"/>
      <c r="BA17" s="5420"/>
      <c r="BB17" s="5420"/>
      <c r="BC17" s="5420"/>
      <c r="BD17" s="5420"/>
      <c r="BE17" s="5420"/>
      <c r="BF17" s="5420"/>
      <c r="BG17" s="5420"/>
      <c r="BH17" s="5420"/>
      <c r="BI17" s="5420"/>
      <c r="BJ17" s="5420"/>
      <c r="BK17" s="5420"/>
      <c r="BL17" s="5420"/>
      <c r="BM17" s="5420"/>
      <c r="BN17" s="5420"/>
      <c r="BO17" s="5420"/>
      <c r="BP17" s="5420"/>
      <c r="BQ17" s="5420"/>
      <c r="BR17" s="5420"/>
      <c r="BS17" s="5420"/>
      <c r="BT17" s="5420"/>
      <c r="BU17" s="5420"/>
      <c r="BV17" s="5420"/>
      <c r="BW17" s="5420"/>
      <c r="BX17" s="5420"/>
      <c r="BY17" s="5420"/>
      <c r="BZ17" s="5420"/>
      <c r="CA17" s="5405"/>
      <c r="CB17" s="5420"/>
      <c r="CC17" s="5420"/>
      <c r="CD17" s="5420"/>
      <c r="CE17" s="5420"/>
      <c r="CF17" s="5420"/>
      <c r="CG17" s="5420"/>
      <c r="CH17" s="5420"/>
      <c r="CI17" s="5420"/>
      <c r="CJ17" s="5420"/>
      <c r="CK17" s="5420"/>
      <c r="CL17" s="5420"/>
    </row>
    <row r="18" spans="1:90" ht="15" customHeight="1" x14ac:dyDescent="0.3">
      <c r="A18" s="7557" t="s">
        <v>4208</v>
      </c>
      <c r="B18" s="7619" t="s">
        <v>1363</v>
      </c>
      <c r="C18" s="6546" t="s">
        <v>4209</v>
      </c>
      <c r="D18" s="7476"/>
      <c r="E18" s="7476"/>
      <c r="F18" s="7548"/>
      <c r="G18" s="7666" t="s">
        <v>4210</v>
      </c>
      <c r="H18" s="7666"/>
      <c r="I18" s="7666"/>
      <c r="J18" s="7666"/>
      <c r="K18" s="7666"/>
      <c r="L18" s="3293"/>
      <c r="M18" s="3293"/>
      <c r="N18" s="3293"/>
      <c r="O18" s="3293"/>
      <c r="P18" s="3293"/>
      <c r="Q18" s="3293"/>
      <c r="R18" s="3293"/>
      <c r="S18" s="3293"/>
      <c r="T18" s="3293"/>
      <c r="U18" s="3293"/>
      <c r="V18" s="3293"/>
      <c r="W18" s="3293"/>
      <c r="X18" s="3293"/>
      <c r="Y18" s="3293"/>
      <c r="AV18" s="3293"/>
      <c r="AW18" s="3293"/>
      <c r="AX18" s="3293"/>
      <c r="AY18" s="3293"/>
      <c r="BA18" s="3293"/>
      <c r="BB18" s="3293"/>
      <c r="BC18" s="3293"/>
      <c r="BD18" s="3293"/>
      <c r="BE18" s="3293"/>
      <c r="BF18" s="3293"/>
      <c r="BG18" s="3293"/>
      <c r="BH18" s="3293"/>
      <c r="BI18" s="3293"/>
      <c r="BJ18" s="3293"/>
      <c r="BK18" s="3293"/>
      <c r="BL18" s="3293"/>
      <c r="BM18" s="3293"/>
      <c r="BN18" s="3293"/>
      <c r="BO18" s="3293"/>
      <c r="BP18" s="3293"/>
      <c r="BQ18" s="3293"/>
      <c r="BR18" s="3293"/>
      <c r="BS18" s="3293"/>
      <c r="BT18" s="3293"/>
      <c r="BU18" s="3293"/>
      <c r="BV18" s="3293"/>
      <c r="BW18" s="3293"/>
      <c r="BX18" s="3293"/>
      <c r="BY18" s="3293"/>
      <c r="BZ18" s="3293"/>
      <c r="CA18" s="5436"/>
      <c r="CE18" s="3293"/>
      <c r="CF18" s="3293"/>
      <c r="CG18" s="3293"/>
      <c r="CH18" s="3293"/>
      <c r="CI18" s="3293"/>
      <c r="CJ18" s="3293"/>
      <c r="CK18" s="3293"/>
      <c r="CL18" s="3293"/>
    </row>
    <row r="19" spans="1:90" ht="15" customHeight="1" x14ac:dyDescent="0.3">
      <c r="A19" s="7557"/>
      <c r="B19" s="7619"/>
      <c r="C19" s="7667" t="s">
        <v>4211</v>
      </c>
      <c r="D19" s="7668" t="s">
        <v>4212</v>
      </c>
      <c r="E19" s="7668" t="s">
        <v>4213</v>
      </c>
      <c r="F19" s="7548" t="s">
        <v>4214</v>
      </c>
      <c r="G19" s="7667" t="s">
        <v>4215</v>
      </c>
      <c r="H19" s="7668" t="s">
        <v>4216</v>
      </c>
      <c r="I19" s="7668" t="s">
        <v>4217</v>
      </c>
      <c r="J19" s="7668" t="s">
        <v>4218</v>
      </c>
      <c r="K19" s="7548" t="s">
        <v>4219</v>
      </c>
      <c r="L19" s="3293"/>
      <c r="M19" s="3293"/>
      <c r="N19" s="3293"/>
      <c r="O19" s="3293"/>
      <c r="P19" s="3293"/>
      <c r="Q19" s="3293"/>
      <c r="R19" s="3293"/>
      <c r="S19" s="3293"/>
      <c r="T19" s="3293"/>
      <c r="U19" s="3293"/>
      <c r="V19" s="3293"/>
      <c r="W19" s="3293"/>
      <c r="X19" s="3293"/>
      <c r="Y19" s="3293"/>
      <c r="AV19" s="3293"/>
      <c r="AW19" s="3293"/>
      <c r="AX19" s="3293"/>
      <c r="AY19" s="3293"/>
      <c r="BA19" s="3293"/>
      <c r="BB19" s="3293"/>
      <c r="BC19" s="3293"/>
      <c r="BD19" s="3293"/>
      <c r="BE19" s="3293"/>
      <c r="BF19" s="3293"/>
      <c r="BG19" s="3293"/>
      <c r="BH19" s="3293"/>
      <c r="BI19" s="3293"/>
      <c r="BJ19" s="3293"/>
      <c r="BK19" s="3293"/>
      <c r="BL19" s="3293"/>
      <c r="BM19" s="3293"/>
      <c r="BN19" s="3293"/>
      <c r="BO19" s="3293"/>
      <c r="BP19" s="3293"/>
      <c r="BQ19" s="3293"/>
      <c r="BR19" s="3293"/>
      <c r="BS19" s="3293"/>
      <c r="BT19" s="3293"/>
      <c r="BU19" s="3293"/>
      <c r="BV19" s="3293"/>
      <c r="BW19" s="3293"/>
      <c r="BX19" s="3293"/>
      <c r="BY19" s="3293"/>
      <c r="BZ19" s="3293"/>
      <c r="CA19" s="5436"/>
      <c r="CE19" s="3293"/>
      <c r="CF19" s="3293"/>
      <c r="CG19" s="3293"/>
      <c r="CH19" s="3293"/>
      <c r="CI19" s="3293"/>
      <c r="CJ19" s="3293"/>
      <c r="CK19" s="3293"/>
      <c r="CL19" s="3293"/>
    </row>
    <row r="20" spans="1:90" ht="19.5" customHeight="1" x14ac:dyDescent="0.3">
      <c r="A20" s="7557"/>
      <c r="B20" s="7619"/>
      <c r="C20" s="7667"/>
      <c r="D20" s="7668"/>
      <c r="E20" s="7668"/>
      <c r="F20" s="7548"/>
      <c r="G20" s="7667"/>
      <c r="H20" s="7668"/>
      <c r="I20" s="7668"/>
      <c r="J20" s="7668"/>
      <c r="K20" s="7548"/>
      <c r="L20" s="3293"/>
      <c r="M20" s="3293"/>
      <c r="N20" s="3293"/>
      <c r="O20" s="3293"/>
      <c r="P20" s="3293"/>
      <c r="Q20" s="3293"/>
      <c r="R20" s="3293"/>
      <c r="S20" s="3293"/>
      <c r="T20" s="3293"/>
      <c r="U20" s="3293"/>
      <c r="V20" s="3293"/>
      <c r="W20" s="3293"/>
      <c r="X20" s="3293"/>
      <c r="Y20" s="3293"/>
      <c r="AV20" s="3293"/>
      <c r="AW20" s="3293"/>
      <c r="AX20" s="3293"/>
      <c r="AY20" s="3293"/>
      <c r="BA20" s="3293"/>
      <c r="BB20" s="3293"/>
      <c r="BC20" s="3293"/>
      <c r="BD20" s="3293"/>
      <c r="BE20" s="3293"/>
      <c r="BF20" s="3293"/>
      <c r="BG20" s="3293"/>
      <c r="BH20" s="3293"/>
      <c r="BI20" s="3293"/>
      <c r="BJ20" s="3293"/>
      <c r="BK20" s="3293"/>
      <c r="BL20" s="3293"/>
      <c r="BM20" s="3293"/>
      <c r="BN20" s="3293"/>
      <c r="BO20" s="3293"/>
      <c r="BP20" s="3293"/>
      <c r="BQ20" s="3293"/>
      <c r="BR20" s="3293"/>
      <c r="BS20" s="3293"/>
      <c r="BT20" s="3293"/>
      <c r="BU20" s="3293"/>
      <c r="BV20" s="3293"/>
      <c r="BW20" s="3293"/>
      <c r="BX20" s="3293"/>
      <c r="BY20" s="3293"/>
      <c r="BZ20" s="3293"/>
      <c r="CA20" s="5436"/>
      <c r="CE20" s="3293"/>
      <c r="CF20" s="3293"/>
      <c r="CG20" s="3293"/>
      <c r="CH20" s="3293"/>
      <c r="CI20" s="3293"/>
      <c r="CJ20" s="3293"/>
      <c r="CK20" s="3293"/>
      <c r="CL20" s="3293"/>
    </row>
    <row r="21" spans="1:90" ht="16.5" customHeight="1" x14ac:dyDescent="0.3">
      <c r="A21" s="5438" t="s">
        <v>4220</v>
      </c>
      <c r="B21" s="5439">
        <f>SUM(D21:K21)</f>
        <v>0</v>
      </c>
      <c r="C21" s="5440"/>
      <c r="D21" s="773"/>
      <c r="E21" s="773"/>
      <c r="F21" s="3080"/>
      <c r="G21" s="1760"/>
      <c r="H21" s="773"/>
      <c r="I21" s="773"/>
      <c r="J21" s="773"/>
      <c r="K21" s="3080"/>
      <c r="L21" s="3293"/>
      <c r="M21" s="3293"/>
      <c r="N21" s="3293"/>
      <c r="O21" s="3293"/>
      <c r="P21" s="3293"/>
      <c r="Q21" s="3293"/>
      <c r="R21" s="3293"/>
      <c r="S21" s="3293"/>
      <c r="T21" s="3293"/>
      <c r="U21" s="3293"/>
      <c r="V21" s="3293"/>
      <c r="W21" s="3293"/>
      <c r="X21" s="3293"/>
      <c r="Y21" s="3293"/>
      <c r="AV21" s="3293"/>
      <c r="AW21" s="3293"/>
      <c r="AX21" s="3293"/>
      <c r="AY21" s="3293"/>
      <c r="BA21" s="3293"/>
      <c r="BB21" s="3293"/>
      <c r="BC21" s="3293"/>
      <c r="BD21" s="3293"/>
      <c r="BE21" s="3293"/>
      <c r="BF21" s="3293"/>
      <c r="BG21" s="3293"/>
      <c r="BH21" s="3293"/>
      <c r="BI21" s="3293"/>
      <c r="BJ21" s="3293"/>
      <c r="BK21" s="3293"/>
      <c r="BL21" s="3293"/>
      <c r="BM21" s="3293"/>
      <c r="BN21" s="3293"/>
      <c r="BO21" s="3293"/>
      <c r="BP21" s="3293"/>
      <c r="BQ21" s="3293"/>
      <c r="BR21" s="3293"/>
      <c r="BS21" s="3293"/>
      <c r="BT21" s="3293"/>
      <c r="BU21" s="3293"/>
      <c r="BV21" s="3293"/>
      <c r="BW21" s="3293"/>
      <c r="BX21" s="3293"/>
      <c r="BY21" s="3293"/>
      <c r="BZ21" s="3293"/>
      <c r="CA21" s="5436"/>
      <c r="CE21" s="3293"/>
      <c r="CF21" s="3293"/>
      <c r="CG21" s="3293"/>
      <c r="CH21" s="3293"/>
      <c r="CI21" s="3293"/>
      <c r="CJ21" s="3293"/>
      <c r="CK21" s="3293"/>
      <c r="CL21" s="3293"/>
    </row>
    <row r="22" spans="1:90" x14ac:dyDescent="0.3">
      <c r="A22" s="5232" t="s">
        <v>4221</v>
      </c>
      <c r="B22" s="5441">
        <f>SUM(C22:K22)</f>
        <v>0</v>
      </c>
      <c r="C22" s="1114"/>
      <c r="D22" s="1278"/>
      <c r="E22" s="1278"/>
      <c r="F22" s="1115"/>
      <c r="G22" s="1114"/>
      <c r="H22" s="1278"/>
      <c r="I22" s="1278"/>
      <c r="J22" s="1278"/>
      <c r="K22" s="1115"/>
      <c r="L22" s="3293"/>
      <c r="M22" s="3293"/>
      <c r="N22" s="3293"/>
      <c r="O22" s="3293"/>
      <c r="P22" s="3293"/>
      <c r="Q22" s="3293"/>
      <c r="R22" s="3293"/>
      <c r="S22" s="3293"/>
      <c r="T22" s="3293"/>
      <c r="U22" s="3293"/>
      <c r="V22" s="3293"/>
      <c r="W22" s="3293"/>
      <c r="X22" s="3293"/>
      <c r="Y22" s="3293"/>
      <c r="AV22" s="3293"/>
      <c r="AW22" s="3293"/>
      <c r="AX22" s="3293"/>
      <c r="AY22" s="3293"/>
      <c r="BA22" s="3293"/>
      <c r="BB22" s="3293"/>
      <c r="BC22" s="3293"/>
      <c r="BD22" s="3293"/>
      <c r="BE22" s="3293"/>
      <c r="BF22" s="3293"/>
      <c r="BG22" s="3293"/>
      <c r="BH22" s="3293"/>
      <c r="BI22" s="3293"/>
      <c r="BJ22" s="3293"/>
      <c r="BK22" s="3293"/>
      <c r="BL22" s="3293"/>
      <c r="BM22" s="3293"/>
      <c r="BN22" s="3293"/>
      <c r="BO22" s="3293"/>
      <c r="BP22" s="3293"/>
      <c r="BQ22" s="3293"/>
      <c r="BR22" s="3293"/>
      <c r="BS22" s="3293"/>
      <c r="BT22" s="3293"/>
      <c r="BU22" s="3293"/>
      <c r="BV22" s="3293"/>
      <c r="BW22" s="3293"/>
      <c r="BX22" s="3293"/>
      <c r="BY22" s="3293"/>
      <c r="BZ22" s="3293"/>
      <c r="CA22" s="5436"/>
      <c r="CE22" s="3293"/>
      <c r="CF22" s="3293"/>
      <c r="CG22" s="3293"/>
      <c r="CH22" s="3293"/>
      <c r="CI22" s="3293"/>
      <c r="CJ22" s="3293"/>
      <c r="CK22" s="3293"/>
      <c r="CL22" s="3293"/>
    </row>
    <row r="23" spans="1:90" x14ac:dyDescent="0.3">
      <c r="A23" s="1704" t="s">
        <v>4222</v>
      </c>
      <c r="B23" s="5442">
        <f>SUM(C23:K23)</f>
        <v>0</v>
      </c>
      <c r="C23" s="1114"/>
      <c r="D23" s="1278"/>
      <c r="E23" s="1278"/>
      <c r="F23" s="1115"/>
      <c r="G23" s="1114"/>
      <c r="H23" s="1278"/>
      <c r="I23" s="1278"/>
      <c r="J23" s="1278"/>
      <c r="K23" s="2"/>
      <c r="L23" s="3293"/>
      <c r="M23" s="3293"/>
      <c r="N23" s="3293"/>
      <c r="O23" s="3293"/>
      <c r="P23" s="3293"/>
      <c r="Q23" s="3293"/>
      <c r="R23" s="3293"/>
      <c r="S23" s="3293"/>
      <c r="T23" s="3293"/>
      <c r="U23" s="3293"/>
      <c r="V23" s="3293"/>
      <c r="W23" s="3293"/>
      <c r="X23" s="3293"/>
      <c r="Y23" s="3293"/>
      <c r="AV23" s="3293"/>
      <c r="AW23" s="3293"/>
      <c r="AX23" s="3293"/>
      <c r="AY23" s="3293"/>
      <c r="BA23" s="3293"/>
      <c r="BB23" s="3293"/>
      <c r="BC23" s="3293"/>
      <c r="BD23" s="3293"/>
      <c r="BE23" s="3293"/>
      <c r="BF23" s="3293"/>
      <c r="BG23" s="3293"/>
      <c r="BH23" s="3293"/>
      <c r="BI23" s="3293"/>
      <c r="BJ23" s="3293"/>
      <c r="BK23" s="3293"/>
      <c r="BL23" s="3293"/>
      <c r="BM23" s="3293"/>
      <c r="BN23" s="3293"/>
      <c r="BO23" s="3293"/>
      <c r="BP23" s="3293"/>
      <c r="BQ23" s="3293"/>
      <c r="BR23" s="3293"/>
      <c r="BS23" s="3293"/>
      <c r="BT23" s="3293"/>
      <c r="BU23" s="3293"/>
      <c r="BV23" s="3293"/>
      <c r="BW23" s="3293"/>
      <c r="BX23" s="3293"/>
      <c r="BY23" s="3293"/>
      <c r="BZ23" s="3293"/>
      <c r="CA23" s="5436"/>
      <c r="CE23" s="3293"/>
      <c r="CF23" s="3293"/>
      <c r="CG23" s="3293"/>
      <c r="CH23" s="3293"/>
      <c r="CI23" s="3293"/>
      <c r="CJ23" s="3293"/>
      <c r="CK23" s="3293"/>
      <c r="CL23" s="3293"/>
    </row>
    <row r="24" spans="1:90" ht="15" customHeight="1" x14ac:dyDescent="0.3">
      <c r="A24" s="1824" t="s">
        <v>77</v>
      </c>
      <c r="B24" s="3158">
        <f>SUM(B21:B23)</f>
        <v>0</v>
      </c>
      <c r="C24" s="5428">
        <f>SUM(C22:C23)</f>
        <v>0</v>
      </c>
      <c r="D24" s="5443">
        <f t="shared" ref="D24:K24" si="5">SUM(D21:D23)</f>
        <v>0</v>
      </c>
      <c r="E24" s="5443">
        <f t="shared" si="5"/>
        <v>0</v>
      </c>
      <c r="F24" s="5429">
        <f t="shared" si="5"/>
        <v>0</v>
      </c>
      <c r="G24" s="5428">
        <f t="shared" si="5"/>
        <v>0</v>
      </c>
      <c r="H24" s="5443">
        <f t="shared" si="5"/>
        <v>0</v>
      </c>
      <c r="I24" s="5443">
        <f t="shared" si="5"/>
        <v>0</v>
      </c>
      <c r="J24" s="5443">
        <f t="shared" si="5"/>
        <v>0</v>
      </c>
      <c r="K24" s="5429">
        <f t="shared" si="5"/>
        <v>0</v>
      </c>
      <c r="L24" s="3293"/>
      <c r="M24" s="3293"/>
      <c r="N24" s="3293"/>
      <c r="O24" s="3293"/>
      <c r="P24" s="3293"/>
      <c r="Q24" s="3293"/>
      <c r="R24" s="3293"/>
      <c r="S24" s="3293"/>
      <c r="T24" s="3293"/>
      <c r="U24" s="3293"/>
      <c r="V24" s="3293"/>
      <c r="W24" s="3293"/>
      <c r="X24" s="3293"/>
      <c r="Y24" s="3293"/>
      <c r="AV24" s="3293"/>
      <c r="AW24" s="3293"/>
      <c r="AX24" s="3293"/>
      <c r="AY24" s="3293"/>
      <c r="BA24" s="3293"/>
      <c r="BB24" s="3293"/>
      <c r="BC24" s="3293"/>
      <c r="BD24" s="3293"/>
      <c r="BE24" s="3293"/>
      <c r="BF24" s="3293"/>
      <c r="BG24" s="3293"/>
      <c r="BH24" s="3293"/>
      <c r="BI24" s="3293"/>
      <c r="BJ24" s="3293"/>
      <c r="BK24" s="3293"/>
      <c r="BL24" s="3293"/>
      <c r="BM24" s="3293"/>
      <c r="BN24" s="3293"/>
      <c r="BO24" s="3293"/>
      <c r="BP24" s="3293"/>
      <c r="BQ24" s="3293"/>
      <c r="BR24" s="3293"/>
      <c r="BS24" s="3293"/>
      <c r="BT24" s="3293"/>
      <c r="BU24" s="3293"/>
      <c r="BV24" s="3293"/>
      <c r="BW24" s="3293"/>
      <c r="BX24" s="3293"/>
      <c r="BY24" s="3293"/>
      <c r="BZ24" s="3293"/>
      <c r="CA24" s="5436"/>
      <c r="CE24" s="3293"/>
      <c r="CF24" s="3293"/>
      <c r="CG24" s="3293"/>
      <c r="CH24" s="3293"/>
      <c r="CI24" s="3293"/>
      <c r="CJ24" s="3293"/>
      <c r="CK24" s="3293"/>
      <c r="CL24" s="3293"/>
    </row>
    <row r="25" spans="1:90" ht="17.100000000000001" customHeight="1" x14ac:dyDescent="0.3">
      <c r="A25" s="11" t="s">
        <v>4223</v>
      </c>
      <c r="B25" s="11"/>
      <c r="C25" s="5"/>
      <c r="D25" s="5405"/>
      <c r="E25" s="5405"/>
      <c r="F25" s="5405"/>
      <c r="G25" s="5405"/>
      <c r="H25" s="5405"/>
      <c r="I25" s="5405"/>
      <c r="J25" s="5405"/>
      <c r="K25" s="5405"/>
      <c r="L25" s="5405"/>
      <c r="M25" s="5405"/>
      <c r="N25" s="5405"/>
      <c r="O25" s="5405"/>
      <c r="P25" s="5405"/>
      <c r="Q25" s="5405"/>
      <c r="R25" s="5405"/>
      <c r="S25" s="5405"/>
      <c r="T25" s="5405"/>
      <c r="U25" s="5405"/>
      <c r="V25" s="5405"/>
      <c r="W25" s="5405"/>
      <c r="X25" s="5405"/>
      <c r="Y25" s="5405"/>
      <c r="Z25" s="5405"/>
      <c r="AA25" s="5405"/>
      <c r="AB25" s="5405"/>
      <c r="AC25" s="5405"/>
      <c r="AD25" s="5405"/>
      <c r="AE25" s="5405"/>
      <c r="AF25" s="5405"/>
      <c r="AG25" s="5405"/>
      <c r="AH25" s="5405"/>
      <c r="AI25" s="5405"/>
      <c r="AJ25" s="5405"/>
      <c r="AK25" s="5405"/>
      <c r="AL25" s="5405"/>
      <c r="AM25" s="5405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3293"/>
      <c r="BX25" s="3293"/>
      <c r="BY25" s="3293"/>
      <c r="BZ25" s="3293"/>
      <c r="CA25" s="5436"/>
      <c r="CE25" s="3293"/>
      <c r="CF25" s="3293"/>
      <c r="CG25" s="3293"/>
      <c r="CH25" s="3293"/>
      <c r="CI25" s="3293"/>
      <c r="CJ25" s="3293"/>
      <c r="CK25" s="3293"/>
      <c r="CL25" s="3293"/>
    </row>
    <row r="26" spans="1:90" ht="21.75" customHeight="1" x14ac:dyDescent="0.3">
      <c r="A26" s="7406" t="s">
        <v>219</v>
      </c>
      <c r="B26" s="7459" t="s">
        <v>27</v>
      </c>
      <c r="C26" s="7672" t="s">
        <v>77</v>
      </c>
      <c r="D26" s="7672"/>
      <c r="E26" s="7672"/>
      <c r="F26" s="7677" t="s">
        <v>101</v>
      </c>
      <c r="G26" s="7678"/>
      <c r="H26" s="7678"/>
      <c r="I26" s="7678"/>
      <c r="J26" s="7678"/>
      <c r="K26" s="7678"/>
      <c r="L26" s="7678"/>
      <c r="M26" s="7678"/>
      <c r="N26" s="7678"/>
      <c r="O26" s="7678"/>
      <c r="P26" s="7678"/>
      <c r="Q26" s="7678"/>
      <c r="R26" s="7678"/>
      <c r="S26" s="7678"/>
      <c r="T26" s="7678"/>
      <c r="U26" s="7679"/>
      <c r="V26" s="7680" t="s">
        <v>4224</v>
      </c>
      <c r="W26" s="7681"/>
      <c r="X26" s="7681"/>
      <c r="Y26" s="7681"/>
      <c r="Z26" s="7681"/>
      <c r="AA26" s="7681"/>
      <c r="AB26" s="7681"/>
      <c r="AC26" s="7681"/>
      <c r="AD26" s="7681"/>
      <c r="AE26" s="7681"/>
      <c r="AF26" s="7681"/>
      <c r="AG26" s="7681"/>
      <c r="AH26" s="7681"/>
      <c r="AI26" s="7682"/>
      <c r="AJ26" s="7585" t="s">
        <v>36</v>
      </c>
      <c r="AQ26" s="151"/>
      <c r="AR26" s="151"/>
      <c r="AS26" s="151"/>
      <c r="AT26" s="151"/>
      <c r="AU26" s="151"/>
      <c r="AV26" s="151"/>
      <c r="AW26" s="151"/>
      <c r="AX26" s="151"/>
      <c r="AY26" s="151"/>
      <c r="AZ26" s="151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W26" s="3293"/>
      <c r="BX26" s="3293"/>
      <c r="BY26" s="3293"/>
      <c r="BZ26" s="3293"/>
      <c r="CA26" s="5436"/>
      <c r="CE26" s="3293"/>
      <c r="CF26" s="3293"/>
      <c r="CG26" s="3293"/>
      <c r="CH26" s="3293"/>
      <c r="CI26" s="3293"/>
      <c r="CJ26" s="3293"/>
      <c r="CK26" s="3293"/>
      <c r="CL26" s="3293"/>
    </row>
    <row r="27" spans="1:90" ht="28.5" customHeight="1" x14ac:dyDescent="0.3">
      <c r="A27" s="7406"/>
      <c r="B27" s="7459"/>
      <c r="C27" s="7672"/>
      <c r="D27" s="7672"/>
      <c r="E27" s="7672"/>
      <c r="F27" s="6198" t="s">
        <v>3789</v>
      </c>
      <c r="G27" s="7669"/>
      <c r="H27" s="6198" t="s">
        <v>4225</v>
      </c>
      <c r="I27" s="7670"/>
      <c r="J27" s="7669" t="s">
        <v>1459</v>
      </c>
      <c r="K27" s="7670"/>
      <c r="L27" s="6198" t="s">
        <v>1460</v>
      </c>
      <c r="M27" s="7670"/>
      <c r="N27" s="6198" t="s">
        <v>1461</v>
      </c>
      <c r="O27" s="7670"/>
      <c r="P27" s="6198" t="s">
        <v>1462</v>
      </c>
      <c r="Q27" s="7670"/>
      <c r="R27" s="6198" t="s">
        <v>1463</v>
      </c>
      <c r="S27" s="7670"/>
      <c r="T27" s="7675" t="s">
        <v>938</v>
      </c>
      <c r="U27" s="7676"/>
      <c r="V27" s="7548" t="s">
        <v>4211</v>
      </c>
      <c r="W27" s="7671"/>
      <c r="X27" s="7551" t="s">
        <v>4212</v>
      </c>
      <c r="Y27" s="7551"/>
      <c r="Z27" s="7551"/>
      <c r="AA27" s="7673" t="s">
        <v>4216</v>
      </c>
      <c r="AB27" s="7673"/>
      <c r="AC27" s="7673"/>
      <c r="AD27" s="7673" t="s">
        <v>4219</v>
      </c>
      <c r="AE27" s="7673"/>
      <c r="AF27" s="7673"/>
      <c r="AG27" s="7664" t="s">
        <v>4226</v>
      </c>
      <c r="AH27" s="7664"/>
      <c r="AI27" s="7663"/>
      <c r="AJ27" s="6087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9"/>
      <c r="AW27" s="19"/>
      <c r="AX27" s="19"/>
      <c r="AY27" s="19"/>
      <c r="AZ27" s="151"/>
      <c r="BA27" s="19"/>
      <c r="BB27" s="19"/>
      <c r="BC27" s="19"/>
      <c r="BD27" s="19"/>
      <c r="BW27" s="3293"/>
      <c r="BX27" s="3293"/>
      <c r="BY27" s="3293"/>
      <c r="BZ27" s="3293"/>
      <c r="CA27" s="5436"/>
      <c r="CE27" s="3293"/>
      <c r="CF27" s="3293"/>
      <c r="CG27" s="3293"/>
      <c r="CH27" s="3293"/>
      <c r="CI27" s="3293"/>
      <c r="CJ27" s="3293"/>
      <c r="CK27" s="3293"/>
      <c r="CL27" s="3293"/>
    </row>
    <row r="28" spans="1:90" ht="21.75" customHeight="1" x14ac:dyDescent="0.3">
      <c r="A28" s="7406"/>
      <c r="B28" s="7459"/>
      <c r="C28" s="5444" t="s">
        <v>79</v>
      </c>
      <c r="D28" s="5445" t="s">
        <v>58</v>
      </c>
      <c r="E28" s="1823" t="s">
        <v>59</v>
      </c>
      <c r="F28" s="5444" t="s">
        <v>58</v>
      </c>
      <c r="G28" s="1823" t="s">
        <v>59</v>
      </c>
      <c r="H28" s="5444" t="s">
        <v>58</v>
      </c>
      <c r="I28" s="1823" t="s">
        <v>59</v>
      </c>
      <c r="J28" s="5445" t="s">
        <v>58</v>
      </c>
      <c r="K28" s="1822" t="s">
        <v>59</v>
      </c>
      <c r="L28" s="5444" t="s">
        <v>58</v>
      </c>
      <c r="M28" s="1823" t="s">
        <v>59</v>
      </c>
      <c r="N28" s="5444" t="s">
        <v>58</v>
      </c>
      <c r="O28" s="1823" t="s">
        <v>59</v>
      </c>
      <c r="P28" s="5444" t="s">
        <v>58</v>
      </c>
      <c r="Q28" s="1823" t="s">
        <v>59</v>
      </c>
      <c r="R28" s="5444" t="s">
        <v>58</v>
      </c>
      <c r="S28" s="1823" t="s">
        <v>59</v>
      </c>
      <c r="T28" s="5444" t="s">
        <v>58</v>
      </c>
      <c r="U28" s="3131" t="s">
        <v>59</v>
      </c>
      <c r="V28" s="5446" t="s">
        <v>4221</v>
      </c>
      <c r="W28" s="1835" t="s">
        <v>4222</v>
      </c>
      <c r="X28" s="1677" t="s">
        <v>4220</v>
      </c>
      <c r="Y28" s="1679" t="s">
        <v>4221</v>
      </c>
      <c r="Z28" s="1827" t="s">
        <v>4222</v>
      </c>
      <c r="AA28" s="1708" t="s">
        <v>4220</v>
      </c>
      <c r="AB28" s="1709" t="s">
        <v>4221</v>
      </c>
      <c r="AC28" s="1827" t="s">
        <v>4222</v>
      </c>
      <c r="AD28" s="1708" t="s">
        <v>4220</v>
      </c>
      <c r="AE28" s="1709" t="s">
        <v>4221</v>
      </c>
      <c r="AF28" s="1827" t="s">
        <v>4222</v>
      </c>
      <c r="AG28" s="1708" t="s">
        <v>4220</v>
      </c>
      <c r="AH28" s="1709" t="s">
        <v>4221</v>
      </c>
      <c r="AI28" s="5447" t="s">
        <v>4222</v>
      </c>
      <c r="AJ28" s="6797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9"/>
      <c r="AW28" s="19"/>
      <c r="AX28" s="19"/>
      <c r="AY28" s="19"/>
      <c r="AZ28" s="151"/>
      <c r="BA28" s="19"/>
      <c r="BB28" s="19"/>
      <c r="BC28" s="19"/>
      <c r="BD28" s="19"/>
      <c r="BW28" s="3293"/>
      <c r="BX28" s="3293"/>
      <c r="BY28" s="3293"/>
      <c r="BZ28" s="3293"/>
      <c r="CA28" s="5436"/>
      <c r="CE28" s="3293"/>
      <c r="CF28" s="3293"/>
      <c r="CG28" s="3293"/>
      <c r="CH28" s="3293"/>
      <c r="CI28" s="3293"/>
      <c r="CJ28" s="3293"/>
      <c r="CK28" s="3293"/>
      <c r="CL28" s="3293"/>
    </row>
    <row r="29" spans="1:90" ht="15" customHeight="1" x14ac:dyDescent="0.3">
      <c r="A29" s="7674" t="s">
        <v>4227</v>
      </c>
      <c r="B29" s="5448" t="s">
        <v>4228</v>
      </c>
      <c r="C29" s="5449">
        <f>SUM(D29,E29)</f>
        <v>0</v>
      </c>
      <c r="D29" s="171">
        <f>SUM(F29,H29,J29,L29,N29,P29,R29,T29)</f>
        <v>0</v>
      </c>
      <c r="E29" s="204">
        <f>SUM(G29,I29,K29,M29,O29,Q29,S29,U29)</f>
        <v>0</v>
      </c>
      <c r="F29" s="327"/>
      <c r="G29" s="142"/>
      <c r="H29" s="327"/>
      <c r="I29" s="905"/>
      <c r="J29" s="44"/>
      <c r="K29" s="1158"/>
      <c r="L29" s="327"/>
      <c r="M29" s="905"/>
      <c r="N29" s="327"/>
      <c r="O29" s="905"/>
      <c r="P29" s="327"/>
      <c r="Q29" s="905"/>
      <c r="R29" s="327"/>
      <c r="S29" s="905"/>
      <c r="T29" s="327"/>
      <c r="U29" s="1026"/>
      <c r="V29" s="968"/>
      <c r="W29" s="967"/>
      <c r="X29" s="1895"/>
      <c r="Y29" s="960"/>
      <c r="Z29" s="960"/>
      <c r="AA29" s="1895"/>
      <c r="AB29" s="960"/>
      <c r="AC29" s="960"/>
      <c r="AD29" s="1895"/>
      <c r="AE29" s="960"/>
      <c r="AF29" s="960"/>
      <c r="AG29" s="1895"/>
      <c r="AH29" s="960"/>
      <c r="AI29" s="892"/>
      <c r="AJ29" s="5450"/>
      <c r="AK29" s="2227" t="str">
        <f>$CA29</f>
        <v/>
      </c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CA29" s="4258" t="str">
        <f>IF(AND($C29&lt;&gt;0,AJ29=""),"* No olvide ingresar la columna Pueblos Originarios, digite CERO si no tiene.  ",IF(AJ29&gt;$C29,"* El número de Pueblos Originarios no puede superar el Total.  ",""))</f>
        <v/>
      </c>
      <c r="CB29" s="2228"/>
      <c r="CC29" s="2228"/>
      <c r="CD29" s="2228"/>
      <c r="CE29" s="6"/>
      <c r="CF29" s="6"/>
      <c r="CG29" s="6"/>
      <c r="CH29" s="6"/>
      <c r="CI29" s="6"/>
      <c r="CJ29" s="6"/>
      <c r="CK29" s="6"/>
      <c r="CL29" s="55">
        <f>IF(AND($C29&lt;&gt;0,AJ29=""),1,IF(AJ29&gt;$C29,1,0))</f>
        <v>0</v>
      </c>
    </row>
    <row r="30" spans="1:90" x14ac:dyDescent="0.3">
      <c r="A30" s="7674"/>
      <c r="B30" s="5451" t="s">
        <v>1035</v>
      </c>
      <c r="C30" s="962">
        <f>SUM(D30,E30)</f>
        <v>0</v>
      </c>
      <c r="D30" s="171">
        <f t="shared" ref="D30:E50" si="6">SUM(F30,H30,J30,L30,N30,P30,R30,T30)</f>
        <v>0</v>
      </c>
      <c r="E30" s="204">
        <f t="shared" si="6"/>
        <v>0</v>
      </c>
      <c r="F30" s="965"/>
      <c r="G30" s="966"/>
      <c r="H30" s="965"/>
      <c r="I30" s="967"/>
      <c r="J30" s="968"/>
      <c r="K30" s="969"/>
      <c r="L30" s="965"/>
      <c r="M30" s="967"/>
      <c r="N30" s="965"/>
      <c r="O30" s="967"/>
      <c r="P30" s="965"/>
      <c r="Q30" s="967"/>
      <c r="R30" s="965"/>
      <c r="S30" s="967"/>
      <c r="T30" s="965"/>
      <c r="U30" s="971"/>
      <c r="V30" s="968"/>
      <c r="W30" s="967"/>
      <c r="X30" s="965"/>
      <c r="Y30" s="973"/>
      <c r="Z30" s="973"/>
      <c r="AA30" s="965"/>
      <c r="AB30" s="973"/>
      <c r="AC30" s="973"/>
      <c r="AD30" s="965"/>
      <c r="AE30" s="973"/>
      <c r="AF30" s="973"/>
      <c r="AG30" s="965"/>
      <c r="AH30" s="973"/>
      <c r="AI30" s="971"/>
      <c r="AJ30" s="1180"/>
      <c r="AK30" s="2227" t="str">
        <f t="shared" ref="AK30:AK33" si="7">$CA30</f>
        <v/>
      </c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CA30" s="4258" t="str">
        <f t="shared" ref="CA30:CA33" si="8">IF(AND($C30&lt;&gt;0,AJ30=""),"* No olvide ingresar la columna Pueblos Originarios, digite CERO si no tiene.  ",IF(AJ30&gt;$C30,"* El número de Pueblos Originarios no puede superar el Total.  ",""))</f>
        <v/>
      </c>
      <c r="CB30" s="2228"/>
      <c r="CC30" s="2228"/>
      <c r="CD30" s="2228"/>
      <c r="CE30" s="6"/>
      <c r="CF30" s="6"/>
      <c r="CG30" s="6"/>
      <c r="CH30" s="6"/>
      <c r="CI30" s="6"/>
      <c r="CJ30" s="6"/>
      <c r="CK30" s="6"/>
      <c r="CL30" s="55">
        <f t="shared" ref="CL30:CL33" si="9">IF(AND($C30&lt;&gt;0,AJ30=""),1,IF(AJ30&gt;$C30,1,0))</f>
        <v>0</v>
      </c>
    </row>
    <row r="31" spans="1:90" x14ac:dyDescent="0.3">
      <c r="A31" s="7674"/>
      <c r="B31" s="5451" t="s">
        <v>4229</v>
      </c>
      <c r="C31" s="962">
        <f>SUM(D31,E31)</f>
        <v>0</v>
      </c>
      <c r="D31" s="171">
        <f t="shared" si="6"/>
        <v>0</v>
      </c>
      <c r="E31" s="204">
        <f t="shared" si="6"/>
        <v>0</v>
      </c>
      <c r="F31" s="965"/>
      <c r="G31" s="966"/>
      <c r="H31" s="965"/>
      <c r="I31" s="967"/>
      <c r="J31" s="968"/>
      <c r="K31" s="969"/>
      <c r="L31" s="965"/>
      <c r="M31" s="967"/>
      <c r="N31" s="965"/>
      <c r="O31" s="967"/>
      <c r="P31" s="965"/>
      <c r="Q31" s="967"/>
      <c r="R31" s="965"/>
      <c r="S31" s="967"/>
      <c r="T31" s="965"/>
      <c r="U31" s="971"/>
      <c r="V31" s="968"/>
      <c r="W31" s="967"/>
      <c r="X31" s="965"/>
      <c r="Y31" s="973"/>
      <c r="Z31" s="973"/>
      <c r="AA31" s="965"/>
      <c r="AB31" s="973"/>
      <c r="AC31" s="973"/>
      <c r="AD31" s="965"/>
      <c r="AE31" s="973"/>
      <c r="AF31" s="973"/>
      <c r="AG31" s="965"/>
      <c r="AH31" s="973"/>
      <c r="AI31" s="971"/>
      <c r="AJ31" s="1180"/>
      <c r="AK31" s="2227" t="str">
        <f t="shared" si="7"/>
        <v/>
      </c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CA31" s="4258" t="str">
        <f t="shared" si="8"/>
        <v/>
      </c>
      <c r="CB31" s="2228"/>
      <c r="CC31" s="2228"/>
      <c r="CD31" s="2228"/>
      <c r="CE31" s="6"/>
      <c r="CF31" s="6"/>
      <c r="CG31" s="6"/>
      <c r="CH31" s="6"/>
      <c r="CI31" s="6"/>
      <c r="CJ31" s="6"/>
      <c r="CK31" s="6"/>
      <c r="CL31" s="55">
        <f t="shared" si="9"/>
        <v>0</v>
      </c>
    </row>
    <row r="32" spans="1:90" x14ac:dyDescent="0.3">
      <c r="A32" s="7674"/>
      <c r="B32" s="5452" t="s">
        <v>4230</v>
      </c>
      <c r="C32" s="1045">
        <f>SUM(D32,E32)</f>
        <v>0</v>
      </c>
      <c r="D32" s="1168">
        <f t="shared" si="6"/>
        <v>0</v>
      </c>
      <c r="E32" s="414">
        <f t="shared" si="6"/>
        <v>0</v>
      </c>
      <c r="F32" s="989"/>
      <c r="G32" s="877"/>
      <c r="H32" s="989"/>
      <c r="I32" s="990"/>
      <c r="J32" s="991"/>
      <c r="K32" s="991"/>
      <c r="L32" s="989"/>
      <c r="M32" s="990"/>
      <c r="N32" s="989"/>
      <c r="O32" s="990"/>
      <c r="P32" s="989"/>
      <c r="Q32" s="990"/>
      <c r="R32" s="989"/>
      <c r="S32" s="990"/>
      <c r="T32" s="989"/>
      <c r="U32" s="994"/>
      <c r="V32" s="991"/>
      <c r="W32" s="990"/>
      <c r="X32" s="212"/>
      <c r="Y32" s="1018"/>
      <c r="Z32" s="1018"/>
      <c r="AA32" s="212"/>
      <c r="AB32" s="1018"/>
      <c r="AC32" s="1018"/>
      <c r="AD32" s="212"/>
      <c r="AE32" s="1018"/>
      <c r="AF32" s="1018"/>
      <c r="AG32" s="212"/>
      <c r="AH32" s="1018"/>
      <c r="AI32" s="2444"/>
      <c r="AJ32" s="3527"/>
      <c r="AK32" s="2227" t="str">
        <f t="shared" si="7"/>
        <v/>
      </c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CA32" s="4258" t="str">
        <f t="shared" si="8"/>
        <v/>
      </c>
      <c r="CB32" s="2228"/>
      <c r="CC32" s="2228"/>
      <c r="CD32" s="2228"/>
      <c r="CE32" s="6"/>
      <c r="CF32" s="6"/>
      <c r="CG32" s="6"/>
      <c r="CH32" s="6"/>
      <c r="CI32" s="6"/>
      <c r="CJ32" s="6"/>
      <c r="CK32" s="6"/>
      <c r="CL32" s="55">
        <f t="shared" si="9"/>
        <v>0</v>
      </c>
    </row>
    <row r="33" spans="1:90" x14ac:dyDescent="0.3">
      <c r="A33" s="7674"/>
      <c r="B33" s="5453" t="s">
        <v>4231</v>
      </c>
      <c r="C33" s="995">
        <f>SUM(D33,E33)</f>
        <v>0</v>
      </c>
      <c r="D33" s="5013">
        <f t="shared" si="6"/>
        <v>0</v>
      </c>
      <c r="E33" s="28">
        <f t="shared" si="6"/>
        <v>0</v>
      </c>
      <c r="F33" s="327"/>
      <c r="G33" s="142"/>
      <c r="H33" s="327"/>
      <c r="I33" s="905"/>
      <c r="J33" s="44"/>
      <c r="K33" s="44"/>
      <c r="L33" s="327"/>
      <c r="M33" s="905"/>
      <c r="N33" s="327"/>
      <c r="O33" s="905"/>
      <c r="P33" s="327"/>
      <c r="Q33" s="905"/>
      <c r="R33" s="327"/>
      <c r="S33" s="905"/>
      <c r="T33" s="327"/>
      <c r="U33" s="1026"/>
      <c r="V33" s="5454"/>
      <c r="W33" s="5455"/>
      <c r="X33" s="5456"/>
      <c r="Y33" s="5457"/>
      <c r="Z33" s="5457"/>
      <c r="AA33" s="5456"/>
      <c r="AB33" s="5457"/>
      <c r="AC33" s="5455"/>
      <c r="AD33" s="5458"/>
      <c r="AE33" s="5457"/>
      <c r="AF33" s="5455"/>
      <c r="AG33" s="5458"/>
      <c r="AH33" s="5457"/>
      <c r="AI33" s="5459"/>
      <c r="AJ33" s="5460"/>
      <c r="AK33" s="2227" t="str">
        <f t="shared" si="7"/>
        <v/>
      </c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CA33" s="4258" t="str">
        <f t="shared" si="8"/>
        <v/>
      </c>
      <c r="CB33" s="2228"/>
      <c r="CC33" s="2228"/>
      <c r="CD33" s="2228"/>
      <c r="CE33" s="6"/>
      <c r="CF33" s="6"/>
      <c r="CG33" s="6"/>
      <c r="CH33" s="6"/>
      <c r="CI33" s="6"/>
      <c r="CJ33" s="6"/>
      <c r="CK33" s="6"/>
      <c r="CL33" s="55">
        <f t="shared" si="9"/>
        <v>0</v>
      </c>
    </row>
    <row r="34" spans="1:90" x14ac:dyDescent="0.3">
      <c r="A34" s="6546" t="s">
        <v>77</v>
      </c>
      <c r="B34" s="6546"/>
      <c r="C34" s="5461">
        <f>SUM(C29:C33)</f>
        <v>0</v>
      </c>
      <c r="D34" s="5462">
        <f>SUM(F34,H34,J34,L34,N34,P34,R34,T34)</f>
        <v>0</v>
      </c>
      <c r="E34" s="5463">
        <f>SUM(G34,I34,K34,M34,O34,Q34,S34,U34)</f>
        <v>0</v>
      </c>
      <c r="F34" s="5464">
        <f>SUM(F29:F33)</f>
        <v>0</v>
      </c>
      <c r="G34" s="5465">
        <f t="shared" ref="G34:U34" si="10">SUM(G29:G33)</f>
        <v>0</v>
      </c>
      <c r="H34" s="5464">
        <f t="shared" si="10"/>
        <v>0</v>
      </c>
      <c r="I34" s="5466">
        <f t="shared" si="10"/>
        <v>0</v>
      </c>
      <c r="J34" s="5465">
        <f t="shared" si="10"/>
        <v>0</v>
      </c>
      <c r="K34" s="5465">
        <f t="shared" si="10"/>
        <v>0</v>
      </c>
      <c r="L34" s="5464">
        <f t="shared" si="10"/>
        <v>0</v>
      </c>
      <c r="M34" s="5465">
        <f t="shared" si="10"/>
        <v>0</v>
      </c>
      <c r="N34" s="5464">
        <f t="shared" si="10"/>
        <v>0</v>
      </c>
      <c r="O34" s="5465">
        <f t="shared" si="10"/>
        <v>0</v>
      </c>
      <c r="P34" s="5464">
        <f t="shared" si="10"/>
        <v>0</v>
      </c>
      <c r="Q34" s="5465">
        <f t="shared" si="10"/>
        <v>0</v>
      </c>
      <c r="R34" s="5464">
        <f t="shared" si="10"/>
        <v>0</v>
      </c>
      <c r="S34" s="5465">
        <f t="shared" si="10"/>
        <v>0</v>
      </c>
      <c r="T34" s="5464">
        <f t="shared" si="10"/>
        <v>0</v>
      </c>
      <c r="U34" s="5467">
        <f t="shared" si="10"/>
        <v>0</v>
      </c>
      <c r="V34" s="5468"/>
      <c r="W34" s="5469"/>
      <c r="X34" s="5468"/>
      <c r="Y34" s="5469"/>
      <c r="Z34" s="5470"/>
      <c r="AA34" s="5469"/>
      <c r="AB34" s="5469"/>
      <c r="AC34" s="5470"/>
      <c r="AD34" s="5469"/>
      <c r="AE34" s="5469"/>
      <c r="AF34" s="5470"/>
      <c r="AG34" s="5469"/>
      <c r="AH34" s="5469"/>
      <c r="AI34" s="5471"/>
      <c r="AJ34" s="5472">
        <f>SUM(AJ29:AJ33)</f>
        <v>0</v>
      </c>
      <c r="AV34" s="3293"/>
      <c r="AW34" s="3293"/>
      <c r="AX34" s="3293"/>
      <c r="AY34" s="3293"/>
      <c r="BA34" s="3293"/>
      <c r="BB34" s="3293"/>
      <c r="BC34" s="3293"/>
      <c r="BD34" s="3293"/>
      <c r="BE34" s="3293"/>
      <c r="BF34" s="3293"/>
      <c r="BG34" s="3293"/>
      <c r="BH34" s="3293"/>
      <c r="BI34" s="3293"/>
      <c r="BJ34" s="3293"/>
      <c r="BK34" s="3293"/>
      <c r="BL34" s="3293"/>
      <c r="BM34" s="3293"/>
      <c r="BN34" s="3293"/>
      <c r="BO34" s="3293"/>
      <c r="BP34" s="3293"/>
      <c r="BQ34" s="3293"/>
      <c r="BR34" s="3293"/>
      <c r="BS34" s="3293"/>
      <c r="BT34" s="3293"/>
      <c r="BU34" s="3293"/>
      <c r="BV34" s="3293"/>
      <c r="BW34" s="3293"/>
      <c r="BX34" s="3293"/>
      <c r="BY34" s="3293"/>
      <c r="BZ34" s="3293"/>
      <c r="CA34" s="5436"/>
      <c r="CE34" s="3293"/>
      <c r="CF34" s="3293"/>
      <c r="CG34" s="3293"/>
      <c r="CH34" s="3293"/>
      <c r="CI34" s="3293"/>
      <c r="CJ34" s="3293"/>
      <c r="CK34" s="3293"/>
      <c r="CL34" s="3293"/>
    </row>
    <row r="35" spans="1:90" x14ac:dyDescent="0.3">
      <c r="A35" s="7666" t="s">
        <v>4232</v>
      </c>
      <c r="B35" s="5411" t="s">
        <v>4229</v>
      </c>
      <c r="C35" s="5449">
        <f t="shared" ref="C35:C39" si="11">SUM(D35,E35)</f>
        <v>0</v>
      </c>
      <c r="D35" s="171">
        <f t="shared" si="6"/>
        <v>0</v>
      </c>
      <c r="E35" s="204">
        <f t="shared" si="6"/>
        <v>0</v>
      </c>
      <c r="F35" s="965"/>
      <c r="G35" s="966"/>
      <c r="H35" s="965"/>
      <c r="I35" s="966"/>
      <c r="J35" s="968"/>
      <c r="K35" s="966"/>
      <c r="L35" s="965"/>
      <c r="M35" s="966"/>
      <c r="N35" s="965"/>
      <c r="O35" s="966"/>
      <c r="P35" s="965"/>
      <c r="Q35" s="966"/>
      <c r="R35" s="965"/>
      <c r="S35" s="966"/>
      <c r="T35" s="965"/>
      <c r="U35" s="5473"/>
      <c r="V35" s="44"/>
      <c r="W35" s="142"/>
      <c r="X35" s="1895"/>
      <c r="Y35" s="960"/>
      <c r="Z35" s="960"/>
      <c r="AA35" s="1895"/>
      <c r="AB35" s="960"/>
      <c r="AC35" s="960"/>
      <c r="AD35" s="1895"/>
      <c r="AE35" s="960"/>
      <c r="AF35" s="890"/>
      <c r="AG35" s="5474"/>
      <c r="AH35" s="960"/>
      <c r="AI35" s="892"/>
      <c r="AJ35" s="5450"/>
      <c r="AK35" s="2227" t="str">
        <f t="shared" ref="AK35:AK39" si="12">$CA35</f>
        <v/>
      </c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CA35" s="4258" t="str">
        <f t="shared" ref="CA35:CA39" si="13">IF(AND($C35&lt;&gt;0,AJ35=""),"* No olvide ingresar la columna Pueblos Originarios, digite CERO si no tiene.  ",IF(AJ35&gt;$C35,"* El número de Pueblos Originarios no puede superar el Total.  ",""))</f>
        <v/>
      </c>
      <c r="CB35" s="2228"/>
      <c r="CC35" s="2228"/>
      <c r="CD35" s="2228"/>
      <c r="CE35" s="6"/>
      <c r="CF35" s="6"/>
      <c r="CG35" s="6"/>
      <c r="CH35" s="6"/>
      <c r="CI35" s="6"/>
      <c r="CJ35" s="6"/>
      <c r="CK35" s="6"/>
      <c r="CL35" s="55">
        <f t="shared" ref="CL35:CL39" si="14">IF(AND($C35&lt;&gt;0,AJ35=""),1,IF(AJ35&gt;$C35,1,0))</f>
        <v>0</v>
      </c>
    </row>
    <row r="36" spans="1:90" x14ac:dyDescent="0.3">
      <c r="A36" s="7666"/>
      <c r="B36" s="5418" t="s">
        <v>4233</v>
      </c>
      <c r="C36" s="962">
        <f>SUM(D36,E36)</f>
        <v>0</v>
      </c>
      <c r="D36" s="171">
        <f t="shared" si="6"/>
        <v>0</v>
      </c>
      <c r="E36" s="204">
        <f t="shared" si="6"/>
        <v>0</v>
      </c>
      <c r="F36" s="965"/>
      <c r="G36" s="966"/>
      <c r="H36" s="965"/>
      <c r="I36" s="966"/>
      <c r="J36" s="968"/>
      <c r="K36" s="966"/>
      <c r="L36" s="965"/>
      <c r="M36" s="966"/>
      <c r="N36" s="965"/>
      <c r="O36" s="966"/>
      <c r="P36" s="965"/>
      <c r="Q36" s="966"/>
      <c r="R36" s="965"/>
      <c r="S36" s="966"/>
      <c r="T36" s="965"/>
      <c r="U36" s="5473"/>
      <c r="V36" s="968"/>
      <c r="W36" s="966"/>
      <c r="X36" s="965"/>
      <c r="Y36" s="973"/>
      <c r="Z36" s="973"/>
      <c r="AA36" s="965"/>
      <c r="AB36" s="973"/>
      <c r="AC36" s="973"/>
      <c r="AD36" s="965"/>
      <c r="AE36" s="973"/>
      <c r="AF36" s="973"/>
      <c r="AG36" s="965"/>
      <c r="AH36" s="973"/>
      <c r="AI36" s="971"/>
      <c r="AJ36" s="1180"/>
      <c r="AK36" s="2227" t="str">
        <f t="shared" si="12"/>
        <v/>
      </c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CA36" s="4258" t="str">
        <f t="shared" si="13"/>
        <v/>
      </c>
      <c r="CB36" s="2228"/>
      <c r="CC36" s="2228"/>
      <c r="CD36" s="2228"/>
      <c r="CE36" s="6"/>
      <c r="CF36" s="6"/>
      <c r="CG36" s="6"/>
      <c r="CH36" s="6"/>
      <c r="CI36" s="6"/>
      <c r="CJ36" s="6"/>
      <c r="CK36" s="6"/>
      <c r="CL36" s="55">
        <f t="shared" si="14"/>
        <v>0</v>
      </c>
    </row>
    <row r="37" spans="1:90" x14ac:dyDescent="0.3">
      <c r="A37" s="7666"/>
      <c r="B37" s="5418" t="s">
        <v>4234</v>
      </c>
      <c r="C37" s="962">
        <f t="shared" si="11"/>
        <v>0</v>
      </c>
      <c r="D37" s="171">
        <f t="shared" si="6"/>
        <v>0</v>
      </c>
      <c r="E37" s="204">
        <f t="shared" si="6"/>
        <v>0</v>
      </c>
      <c r="F37" s="965"/>
      <c r="G37" s="966"/>
      <c r="H37" s="965"/>
      <c r="I37" s="966"/>
      <c r="J37" s="968"/>
      <c r="K37" s="966"/>
      <c r="L37" s="965"/>
      <c r="M37" s="966"/>
      <c r="N37" s="965"/>
      <c r="O37" s="966"/>
      <c r="P37" s="965"/>
      <c r="Q37" s="966"/>
      <c r="R37" s="965"/>
      <c r="S37" s="966"/>
      <c r="T37" s="965"/>
      <c r="U37" s="5473"/>
      <c r="V37" s="968"/>
      <c r="W37" s="966"/>
      <c r="X37" s="965"/>
      <c r="Y37" s="973"/>
      <c r="Z37" s="973"/>
      <c r="AA37" s="965"/>
      <c r="AB37" s="973"/>
      <c r="AC37" s="973"/>
      <c r="AD37" s="965"/>
      <c r="AE37" s="973"/>
      <c r="AF37" s="973"/>
      <c r="AG37" s="965"/>
      <c r="AH37" s="973"/>
      <c r="AI37" s="971"/>
      <c r="AJ37" s="1180"/>
      <c r="AK37" s="2227" t="str">
        <f t="shared" si="12"/>
        <v/>
      </c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CA37" s="4258" t="str">
        <f t="shared" si="13"/>
        <v/>
      </c>
      <c r="CB37" s="2228"/>
      <c r="CC37" s="2228"/>
      <c r="CD37" s="2228"/>
      <c r="CE37" s="6"/>
      <c r="CF37" s="6"/>
      <c r="CG37" s="6"/>
      <c r="CH37" s="6"/>
      <c r="CI37" s="6"/>
      <c r="CJ37" s="6"/>
      <c r="CK37" s="6"/>
      <c r="CL37" s="55">
        <f t="shared" si="14"/>
        <v>0</v>
      </c>
    </row>
    <row r="38" spans="1:90" x14ac:dyDescent="0.3">
      <c r="A38" s="7666"/>
      <c r="B38" s="5418" t="s">
        <v>1035</v>
      </c>
      <c r="C38" s="962">
        <f t="shared" si="11"/>
        <v>0</v>
      </c>
      <c r="D38" s="171">
        <f t="shared" si="6"/>
        <v>0</v>
      </c>
      <c r="E38" s="204">
        <f t="shared" si="6"/>
        <v>0</v>
      </c>
      <c r="F38" s="965"/>
      <c r="G38" s="966"/>
      <c r="H38" s="965"/>
      <c r="I38" s="966"/>
      <c r="J38" s="968"/>
      <c r="K38" s="966"/>
      <c r="L38" s="965"/>
      <c r="M38" s="966"/>
      <c r="N38" s="965"/>
      <c r="O38" s="966"/>
      <c r="P38" s="965"/>
      <c r="Q38" s="966"/>
      <c r="R38" s="965"/>
      <c r="S38" s="966"/>
      <c r="T38" s="965"/>
      <c r="U38" s="5473"/>
      <c r="V38" s="968"/>
      <c r="W38" s="966"/>
      <c r="X38" s="965"/>
      <c r="Y38" s="973"/>
      <c r="Z38" s="973"/>
      <c r="AA38" s="965"/>
      <c r="AB38" s="973"/>
      <c r="AC38" s="973"/>
      <c r="AD38" s="965"/>
      <c r="AE38" s="973"/>
      <c r="AF38" s="973"/>
      <c r="AG38" s="212"/>
      <c r="AH38" s="973"/>
      <c r="AI38" s="971"/>
      <c r="AJ38" s="3527"/>
      <c r="AK38" s="2227" t="str">
        <f t="shared" si="12"/>
        <v/>
      </c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CA38" s="4258" t="str">
        <f t="shared" si="13"/>
        <v/>
      </c>
      <c r="CB38" s="2228"/>
      <c r="CC38" s="2228"/>
      <c r="CD38" s="2228"/>
      <c r="CE38" s="6"/>
      <c r="CF38" s="6"/>
      <c r="CG38" s="6"/>
      <c r="CH38" s="6"/>
      <c r="CI38" s="6"/>
      <c r="CJ38" s="6"/>
      <c r="CK38" s="6"/>
      <c r="CL38" s="55">
        <f t="shared" si="14"/>
        <v>0</v>
      </c>
    </row>
    <row r="39" spans="1:90" x14ac:dyDescent="0.3">
      <c r="A39" s="7666"/>
      <c r="B39" s="5418" t="s">
        <v>1034</v>
      </c>
      <c r="C39" s="1045">
        <f t="shared" si="11"/>
        <v>0</v>
      </c>
      <c r="D39" s="5013">
        <f t="shared" si="6"/>
        <v>0</v>
      </c>
      <c r="E39" s="28">
        <f t="shared" si="6"/>
        <v>0</v>
      </c>
      <c r="F39" s="965"/>
      <c r="G39" s="966"/>
      <c r="H39" s="965"/>
      <c r="I39" s="966"/>
      <c r="J39" s="968"/>
      <c r="K39" s="966"/>
      <c r="L39" s="965"/>
      <c r="M39" s="966"/>
      <c r="N39" s="965"/>
      <c r="O39" s="966"/>
      <c r="P39" s="965"/>
      <c r="Q39" s="966"/>
      <c r="R39" s="965"/>
      <c r="S39" s="966"/>
      <c r="T39" s="965"/>
      <c r="U39" s="971"/>
      <c r="V39" s="968"/>
      <c r="W39" s="966"/>
      <c r="X39" s="965"/>
      <c r="Y39" s="973"/>
      <c r="Z39" s="973"/>
      <c r="AA39" s="965"/>
      <c r="AB39" s="973"/>
      <c r="AC39" s="973"/>
      <c r="AD39" s="965"/>
      <c r="AE39" s="973"/>
      <c r="AF39" s="973"/>
      <c r="AG39" s="989"/>
      <c r="AH39" s="1039"/>
      <c r="AI39" s="1026"/>
      <c r="AJ39" s="1182"/>
      <c r="AK39" s="2227" t="str">
        <f t="shared" si="12"/>
        <v/>
      </c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CA39" s="4258" t="str">
        <f t="shared" si="13"/>
        <v/>
      </c>
      <c r="CB39" s="2228"/>
      <c r="CC39" s="2228"/>
      <c r="CD39" s="2228"/>
      <c r="CE39" s="6"/>
      <c r="CF39" s="6"/>
      <c r="CG39" s="6"/>
      <c r="CH39" s="6"/>
      <c r="CI39" s="6"/>
      <c r="CJ39" s="6"/>
      <c r="CK39" s="6"/>
      <c r="CL39" s="55">
        <f t="shared" si="14"/>
        <v>0</v>
      </c>
    </row>
    <row r="40" spans="1:90" x14ac:dyDescent="0.3">
      <c r="A40" s="6546" t="s">
        <v>77</v>
      </c>
      <c r="B40" s="6546"/>
      <c r="C40" s="5461">
        <f>SUM(C35:C39)</f>
        <v>0</v>
      </c>
      <c r="D40" s="5462">
        <f t="shared" si="6"/>
        <v>0</v>
      </c>
      <c r="E40" s="5463">
        <f t="shared" si="6"/>
        <v>0</v>
      </c>
      <c r="F40" s="5464">
        <f t="shared" ref="F40:U40" si="15">SUM(F35:F39)</f>
        <v>0</v>
      </c>
      <c r="G40" s="5465">
        <f t="shared" si="15"/>
        <v>0</v>
      </c>
      <c r="H40" s="5464">
        <f t="shared" si="15"/>
        <v>0</v>
      </c>
      <c r="I40" s="5466">
        <f t="shared" si="15"/>
        <v>0</v>
      </c>
      <c r="J40" s="5465">
        <f t="shared" si="15"/>
        <v>0</v>
      </c>
      <c r="K40" s="5465">
        <f t="shared" si="15"/>
        <v>0</v>
      </c>
      <c r="L40" s="5464">
        <f t="shared" si="15"/>
        <v>0</v>
      </c>
      <c r="M40" s="5465">
        <f t="shared" si="15"/>
        <v>0</v>
      </c>
      <c r="N40" s="5464">
        <f t="shared" si="15"/>
        <v>0</v>
      </c>
      <c r="O40" s="5465">
        <f t="shared" si="15"/>
        <v>0</v>
      </c>
      <c r="P40" s="5464">
        <f t="shared" si="15"/>
        <v>0</v>
      </c>
      <c r="Q40" s="5465">
        <f>SUM(Q35:Q39)</f>
        <v>0</v>
      </c>
      <c r="R40" s="5464">
        <f>SUM(R35:R39)</f>
        <v>0</v>
      </c>
      <c r="S40" s="5465">
        <f t="shared" si="15"/>
        <v>0</v>
      </c>
      <c r="T40" s="5464">
        <f t="shared" si="15"/>
        <v>0</v>
      </c>
      <c r="U40" s="5467">
        <f t="shared" si="15"/>
        <v>0</v>
      </c>
      <c r="V40" s="5469"/>
      <c r="W40" s="5469"/>
      <c r="X40" s="5468"/>
      <c r="Y40" s="5469"/>
      <c r="Z40" s="5470"/>
      <c r="AA40" s="5469"/>
      <c r="AB40" s="5469"/>
      <c r="AC40" s="5470"/>
      <c r="AD40" s="5469"/>
      <c r="AE40" s="5469"/>
      <c r="AF40" s="5470"/>
      <c r="AG40" s="5469"/>
      <c r="AH40" s="5469"/>
      <c r="AI40" s="5470"/>
      <c r="AJ40" s="5472">
        <f>SUM(AJ35:AJ39)</f>
        <v>0</v>
      </c>
      <c r="AV40" s="3293"/>
      <c r="AW40" s="3293"/>
      <c r="AX40" s="3293"/>
      <c r="AY40" s="3293"/>
      <c r="BA40" s="3293"/>
      <c r="BB40" s="3293"/>
      <c r="BC40" s="3293"/>
      <c r="BD40" s="3293"/>
      <c r="BE40" s="3293"/>
      <c r="BF40" s="3293"/>
      <c r="BG40" s="3293"/>
      <c r="BH40" s="3293"/>
      <c r="BI40" s="3293"/>
      <c r="BJ40" s="3293"/>
      <c r="BK40" s="3293"/>
      <c r="BL40" s="3293"/>
      <c r="BW40" s="3293"/>
      <c r="BX40" s="3293"/>
      <c r="BY40" s="3293"/>
      <c r="BZ40" s="3293"/>
      <c r="CA40" s="5436"/>
      <c r="CE40" s="3293"/>
      <c r="CF40" s="3293"/>
      <c r="CG40" s="3293"/>
      <c r="CH40" s="3293"/>
      <c r="CI40" s="3293"/>
      <c r="CJ40" s="3293"/>
      <c r="CK40" s="3293"/>
      <c r="CL40" s="3293"/>
    </row>
    <row r="41" spans="1:90" x14ac:dyDescent="0.3">
      <c r="A41" s="7671" t="s">
        <v>4235</v>
      </c>
      <c r="B41" s="5411" t="s">
        <v>4229</v>
      </c>
      <c r="C41" s="962">
        <f t="shared" ref="C41:C49" si="16">SUM(D41,E41)</f>
        <v>0</v>
      </c>
      <c r="D41" s="171">
        <f t="shared" si="6"/>
        <v>0</v>
      </c>
      <c r="E41" s="204">
        <f t="shared" si="6"/>
        <v>0</v>
      </c>
      <c r="F41" s="965"/>
      <c r="G41" s="966"/>
      <c r="H41" s="965"/>
      <c r="I41" s="966"/>
      <c r="J41" s="968"/>
      <c r="K41" s="966"/>
      <c r="L41" s="965"/>
      <c r="M41" s="966"/>
      <c r="N41" s="965"/>
      <c r="O41" s="966"/>
      <c r="P41" s="965"/>
      <c r="Q41" s="966"/>
      <c r="R41" s="965"/>
      <c r="S41" s="966"/>
      <c r="T41" s="965"/>
      <c r="U41" s="971"/>
      <c r="V41" s="968"/>
      <c r="W41" s="966"/>
      <c r="X41" s="1895"/>
      <c r="Y41" s="960"/>
      <c r="Z41" s="960"/>
      <c r="AA41" s="1895"/>
      <c r="AB41" s="960"/>
      <c r="AC41" s="890"/>
      <c r="AD41" s="5474"/>
      <c r="AE41" s="960"/>
      <c r="AF41" s="890"/>
      <c r="AG41" s="5474"/>
      <c r="AH41" s="960"/>
      <c r="AI41" s="892"/>
      <c r="AJ41" s="5450"/>
      <c r="AK41" s="2227" t="str">
        <f t="shared" ref="AK41:AK45" si="17">$CA41</f>
        <v/>
      </c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CA41" s="4258" t="str">
        <f t="shared" ref="CA41:CA45" si="18">IF(AND($C41&lt;&gt;0,AJ41=""),"* No olvide ingresar la columna Pueblos Originarios, digite CERO si no tiene.  ",IF(AJ41&gt;$C41,"* El número de Pueblos Originarios no puede superar el Total.  ",""))</f>
        <v/>
      </c>
      <c r="CB41" s="2228"/>
      <c r="CC41" s="2228"/>
      <c r="CD41" s="2228"/>
      <c r="CE41" s="6"/>
      <c r="CF41" s="6"/>
      <c r="CG41" s="6"/>
      <c r="CH41" s="6"/>
      <c r="CI41" s="6"/>
      <c r="CJ41" s="6"/>
      <c r="CK41" s="6"/>
      <c r="CL41" s="55">
        <f t="shared" ref="CL41:CL45" si="19">IF(AND($C41&lt;&gt;0,AJ41=""),1,IF(AJ41&gt;$C41,1,0))</f>
        <v>0</v>
      </c>
    </row>
    <row r="42" spans="1:90" x14ac:dyDescent="0.3">
      <c r="A42" s="7671"/>
      <c r="B42" s="5418" t="s">
        <v>4233</v>
      </c>
      <c r="C42" s="962">
        <f t="shared" si="16"/>
        <v>0</v>
      </c>
      <c r="D42" s="171">
        <f t="shared" si="6"/>
        <v>0</v>
      </c>
      <c r="E42" s="204">
        <f t="shared" si="6"/>
        <v>0</v>
      </c>
      <c r="F42" s="965"/>
      <c r="G42" s="966"/>
      <c r="H42" s="965"/>
      <c r="I42" s="966"/>
      <c r="J42" s="968"/>
      <c r="K42" s="966"/>
      <c r="L42" s="965"/>
      <c r="M42" s="966"/>
      <c r="N42" s="965"/>
      <c r="O42" s="966"/>
      <c r="P42" s="965"/>
      <c r="Q42" s="966"/>
      <c r="R42" s="965"/>
      <c r="S42" s="966"/>
      <c r="T42" s="965"/>
      <c r="U42" s="5473"/>
      <c r="V42" s="968"/>
      <c r="W42" s="966"/>
      <c r="X42" s="965"/>
      <c r="Y42" s="973"/>
      <c r="Z42" s="973"/>
      <c r="AA42" s="965"/>
      <c r="AB42" s="973"/>
      <c r="AC42" s="967"/>
      <c r="AD42" s="968"/>
      <c r="AE42" s="973"/>
      <c r="AF42" s="967"/>
      <c r="AG42" s="968"/>
      <c r="AH42" s="973"/>
      <c r="AI42" s="971"/>
      <c r="AJ42" s="1180"/>
      <c r="AK42" s="2227" t="str">
        <f t="shared" si="17"/>
        <v/>
      </c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CA42" s="4258" t="str">
        <f t="shared" si="18"/>
        <v/>
      </c>
      <c r="CB42" s="2228"/>
      <c r="CC42" s="2228"/>
      <c r="CD42" s="2228"/>
      <c r="CE42" s="6"/>
      <c r="CF42" s="6"/>
      <c r="CG42" s="6"/>
      <c r="CH42" s="6"/>
      <c r="CI42" s="6"/>
      <c r="CJ42" s="6"/>
      <c r="CK42" s="6"/>
      <c r="CL42" s="55">
        <f t="shared" si="19"/>
        <v>0</v>
      </c>
    </row>
    <row r="43" spans="1:90" x14ac:dyDescent="0.3">
      <c r="A43" s="7671"/>
      <c r="B43" s="5418" t="s">
        <v>4234</v>
      </c>
      <c r="C43" s="962">
        <f t="shared" si="16"/>
        <v>0</v>
      </c>
      <c r="D43" s="171">
        <f t="shared" si="6"/>
        <v>0</v>
      </c>
      <c r="E43" s="204">
        <f t="shared" si="6"/>
        <v>0</v>
      </c>
      <c r="F43" s="965"/>
      <c r="G43" s="966"/>
      <c r="H43" s="965"/>
      <c r="I43" s="966"/>
      <c r="J43" s="968"/>
      <c r="K43" s="966"/>
      <c r="L43" s="965"/>
      <c r="M43" s="966"/>
      <c r="N43" s="965"/>
      <c r="O43" s="966"/>
      <c r="P43" s="965"/>
      <c r="Q43" s="966"/>
      <c r="R43" s="965"/>
      <c r="S43" s="966"/>
      <c r="T43" s="965"/>
      <c r="U43" s="5473"/>
      <c r="V43" s="968"/>
      <c r="W43" s="966"/>
      <c r="X43" s="965"/>
      <c r="Y43" s="973"/>
      <c r="Z43" s="973"/>
      <c r="AA43" s="965"/>
      <c r="AB43" s="973"/>
      <c r="AC43" s="967"/>
      <c r="AD43" s="968"/>
      <c r="AE43" s="973"/>
      <c r="AF43" s="967"/>
      <c r="AG43" s="968"/>
      <c r="AH43" s="973"/>
      <c r="AI43" s="971"/>
      <c r="AJ43" s="1180"/>
      <c r="AK43" s="2227" t="str">
        <f t="shared" si="17"/>
        <v/>
      </c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CA43" s="4258" t="str">
        <f t="shared" si="18"/>
        <v/>
      </c>
      <c r="CB43" s="2228"/>
      <c r="CC43" s="2228"/>
      <c r="CD43" s="2228"/>
      <c r="CE43" s="6"/>
      <c r="CF43" s="6"/>
      <c r="CG43" s="6"/>
      <c r="CH43" s="6"/>
      <c r="CI43" s="6"/>
      <c r="CJ43" s="6"/>
      <c r="CK43" s="6"/>
      <c r="CL43" s="55">
        <f t="shared" si="19"/>
        <v>0</v>
      </c>
    </row>
    <row r="44" spans="1:90" x14ac:dyDescent="0.3">
      <c r="A44" s="7671"/>
      <c r="B44" s="5418" t="s">
        <v>1035</v>
      </c>
      <c r="C44" s="962">
        <f t="shared" si="16"/>
        <v>0</v>
      </c>
      <c r="D44" s="171">
        <f t="shared" si="6"/>
        <v>0</v>
      </c>
      <c r="E44" s="204">
        <f t="shared" si="6"/>
        <v>0</v>
      </c>
      <c r="F44" s="965"/>
      <c r="G44" s="966"/>
      <c r="H44" s="965"/>
      <c r="I44" s="966"/>
      <c r="J44" s="968"/>
      <c r="K44" s="966"/>
      <c r="L44" s="965"/>
      <c r="M44" s="966"/>
      <c r="N44" s="965"/>
      <c r="O44" s="966"/>
      <c r="P44" s="965"/>
      <c r="Q44" s="966"/>
      <c r="R44" s="965"/>
      <c r="S44" s="966"/>
      <c r="T44" s="965"/>
      <c r="U44" s="5473"/>
      <c r="V44" s="968"/>
      <c r="W44" s="966"/>
      <c r="X44" s="965"/>
      <c r="Y44" s="973"/>
      <c r="Z44" s="973"/>
      <c r="AA44" s="965"/>
      <c r="AB44" s="973"/>
      <c r="AC44" s="967"/>
      <c r="AD44" s="968"/>
      <c r="AE44" s="973"/>
      <c r="AF44" s="967"/>
      <c r="AG44" s="968"/>
      <c r="AH44" s="973"/>
      <c r="AI44" s="971"/>
      <c r="AJ44" s="1180"/>
      <c r="AK44" s="2227" t="str">
        <f t="shared" si="17"/>
        <v/>
      </c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CA44" s="4258" t="str">
        <f t="shared" si="18"/>
        <v/>
      </c>
      <c r="CB44" s="2228"/>
      <c r="CC44" s="2228"/>
      <c r="CD44" s="2228"/>
      <c r="CE44" s="6"/>
      <c r="CF44" s="6"/>
      <c r="CG44" s="6"/>
      <c r="CH44" s="6"/>
      <c r="CI44" s="6"/>
      <c r="CJ44" s="6"/>
      <c r="CK44" s="6"/>
      <c r="CL44" s="55">
        <f t="shared" si="19"/>
        <v>0</v>
      </c>
    </row>
    <row r="45" spans="1:90" x14ac:dyDescent="0.3">
      <c r="A45" s="7671"/>
      <c r="B45" s="5418" t="s">
        <v>1034</v>
      </c>
      <c r="C45" s="5475">
        <f t="shared" si="16"/>
        <v>0</v>
      </c>
      <c r="D45" s="5013">
        <f t="shared" si="6"/>
        <v>0</v>
      </c>
      <c r="E45" s="28">
        <f t="shared" si="6"/>
        <v>0</v>
      </c>
      <c r="F45" s="965"/>
      <c r="G45" s="966"/>
      <c r="H45" s="965"/>
      <c r="I45" s="966"/>
      <c r="J45" s="968"/>
      <c r="K45" s="966"/>
      <c r="L45" s="965"/>
      <c r="M45" s="966"/>
      <c r="N45" s="965"/>
      <c r="O45" s="966"/>
      <c r="P45" s="965"/>
      <c r="Q45" s="966"/>
      <c r="R45" s="965"/>
      <c r="S45" s="966"/>
      <c r="T45" s="965"/>
      <c r="U45" s="5473"/>
      <c r="V45" s="968"/>
      <c r="W45" s="966"/>
      <c r="X45" s="965"/>
      <c r="Y45" s="973"/>
      <c r="Z45" s="973"/>
      <c r="AA45" s="965"/>
      <c r="AB45" s="973"/>
      <c r="AC45" s="967"/>
      <c r="AD45" s="968"/>
      <c r="AE45" s="973"/>
      <c r="AF45" s="967"/>
      <c r="AG45" s="968"/>
      <c r="AH45" s="973"/>
      <c r="AI45" s="971"/>
      <c r="AJ45" s="1180"/>
      <c r="AK45" s="2227" t="str">
        <f t="shared" si="17"/>
        <v/>
      </c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CA45" s="4258" t="str">
        <f t="shared" si="18"/>
        <v/>
      </c>
      <c r="CB45" s="2228"/>
      <c r="CC45" s="2228"/>
      <c r="CD45" s="2228"/>
      <c r="CE45" s="6"/>
      <c r="CF45" s="6"/>
      <c r="CG45" s="6"/>
      <c r="CH45" s="6"/>
      <c r="CI45" s="6"/>
      <c r="CJ45" s="6"/>
      <c r="CK45" s="6"/>
      <c r="CL45" s="55">
        <f t="shared" si="19"/>
        <v>0</v>
      </c>
    </row>
    <row r="46" spans="1:90" x14ac:dyDescent="0.3">
      <c r="A46" s="6546" t="s">
        <v>77</v>
      </c>
      <c r="B46" s="6546"/>
      <c r="C46" s="5461">
        <f t="shared" si="16"/>
        <v>0</v>
      </c>
      <c r="D46" s="5462">
        <f t="shared" si="6"/>
        <v>0</v>
      </c>
      <c r="E46" s="5463">
        <f t="shared" si="6"/>
        <v>0</v>
      </c>
      <c r="F46" s="5464">
        <f t="shared" ref="F46:S46" si="20">SUM(F41:F45)</f>
        <v>0</v>
      </c>
      <c r="G46" s="5465">
        <f t="shared" si="20"/>
        <v>0</v>
      </c>
      <c r="H46" s="5464">
        <f t="shared" si="20"/>
        <v>0</v>
      </c>
      <c r="I46" s="5466">
        <f t="shared" si="20"/>
        <v>0</v>
      </c>
      <c r="J46" s="5465">
        <f t="shared" si="20"/>
        <v>0</v>
      </c>
      <c r="K46" s="5465">
        <f t="shared" si="20"/>
        <v>0</v>
      </c>
      <c r="L46" s="5464">
        <f t="shared" si="20"/>
        <v>0</v>
      </c>
      <c r="M46" s="5465">
        <f t="shared" si="20"/>
        <v>0</v>
      </c>
      <c r="N46" s="5464">
        <f t="shared" si="20"/>
        <v>0</v>
      </c>
      <c r="O46" s="5465">
        <f t="shared" si="20"/>
        <v>0</v>
      </c>
      <c r="P46" s="5464">
        <f t="shared" si="20"/>
        <v>0</v>
      </c>
      <c r="Q46" s="5465">
        <f t="shared" si="20"/>
        <v>0</v>
      </c>
      <c r="R46" s="5464">
        <f t="shared" si="20"/>
        <v>0</v>
      </c>
      <c r="S46" s="5465">
        <f t="shared" si="20"/>
        <v>0</v>
      </c>
      <c r="T46" s="5464">
        <f t="shared" ref="T46:U46" si="21">SUM(T41:T45)</f>
        <v>0</v>
      </c>
      <c r="U46" s="5476">
        <f t="shared" si="21"/>
        <v>0</v>
      </c>
      <c r="V46" s="5468"/>
      <c r="W46" s="5469"/>
      <c r="X46" s="5469"/>
      <c r="Y46" s="5469"/>
      <c r="Z46" s="5470"/>
      <c r="AA46" s="5469"/>
      <c r="AB46" s="5469"/>
      <c r="AC46" s="5470"/>
      <c r="AD46" s="5469"/>
      <c r="AE46" s="5469"/>
      <c r="AF46" s="5470"/>
      <c r="AG46" s="5469"/>
      <c r="AH46" s="5469"/>
      <c r="AI46" s="5470"/>
      <c r="AJ46" s="5472">
        <f>SUM(AJ41:AJ45)</f>
        <v>0</v>
      </c>
      <c r="AV46" s="3293"/>
      <c r="AW46" s="3293"/>
      <c r="AX46" s="3293"/>
      <c r="AY46" s="3293"/>
      <c r="BA46" s="3293"/>
      <c r="BB46" s="3293"/>
      <c r="BC46" s="3293"/>
      <c r="BD46" s="3293"/>
      <c r="BE46" s="3293"/>
      <c r="BF46" s="3293"/>
      <c r="BG46" s="3293"/>
      <c r="BH46" s="3293"/>
      <c r="BI46" s="3293"/>
      <c r="BJ46" s="3293"/>
      <c r="BK46" s="3293"/>
      <c r="BL46" s="3293"/>
      <c r="BW46" s="3293"/>
      <c r="BX46" s="3293"/>
      <c r="BY46" s="3293"/>
      <c r="BZ46" s="3293"/>
      <c r="CA46" s="5436"/>
      <c r="CE46" s="3293"/>
      <c r="CF46" s="3293"/>
      <c r="CG46" s="3293"/>
      <c r="CH46" s="3293"/>
      <c r="CI46" s="3293"/>
      <c r="CJ46" s="3293"/>
      <c r="CK46" s="3293"/>
      <c r="CL46" s="3293"/>
    </row>
    <row r="47" spans="1:90" x14ac:dyDescent="0.3">
      <c r="A47" s="7671" t="s">
        <v>4236</v>
      </c>
      <c r="B47" s="5411" t="s">
        <v>4229</v>
      </c>
      <c r="C47" s="962">
        <f t="shared" si="16"/>
        <v>0</v>
      </c>
      <c r="D47" s="171">
        <f t="shared" si="6"/>
        <v>0</v>
      </c>
      <c r="E47" s="204">
        <f t="shared" si="6"/>
        <v>0</v>
      </c>
      <c r="F47" s="965"/>
      <c r="G47" s="966"/>
      <c r="H47" s="965"/>
      <c r="I47" s="966"/>
      <c r="J47" s="968"/>
      <c r="K47" s="966"/>
      <c r="L47" s="965"/>
      <c r="M47" s="966"/>
      <c r="N47" s="965"/>
      <c r="O47" s="966"/>
      <c r="P47" s="965"/>
      <c r="Q47" s="966"/>
      <c r="R47" s="965"/>
      <c r="S47" s="966"/>
      <c r="T47" s="965"/>
      <c r="U47" s="5473"/>
      <c r="V47" s="968"/>
      <c r="W47" s="966"/>
      <c r="X47" s="965"/>
      <c r="Y47" s="973"/>
      <c r="Z47" s="960"/>
      <c r="AA47" s="1895"/>
      <c r="AB47" s="960"/>
      <c r="AC47" s="960"/>
      <c r="AD47" s="1895"/>
      <c r="AE47" s="960"/>
      <c r="AF47" s="960"/>
      <c r="AG47" s="1895"/>
      <c r="AH47" s="960"/>
      <c r="AI47" s="892"/>
      <c r="AJ47" s="5450"/>
      <c r="AK47" s="2227" t="str">
        <f t="shared" ref="AK47:AK49" si="22">$CA47</f>
        <v/>
      </c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CA47" s="4258" t="str">
        <f t="shared" ref="CA47:CA49" si="23">IF(AND($C47&lt;&gt;0,AJ47=""),"* No olvide ingresar la columna Pueblos Originarios, digite CERO si no tiene.  ",IF(AJ47&gt;$C47,"* El número de Pueblos Originarios no puede superar el Total.  ",""))</f>
        <v/>
      </c>
      <c r="CB47" s="2228"/>
      <c r="CC47" s="2228"/>
      <c r="CD47" s="2228"/>
      <c r="CE47" s="6"/>
      <c r="CF47" s="6"/>
      <c r="CG47" s="6"/>
      <c r="CH47" s="6"/>
      <c r="CI47" s="6"/>
      <c r="CJ47" s="6"/>
      <c r="CK47" s="6"/>
      <c r="CL47" s="55">
        <f t="shared" ref="CL47:CL49" si="24">IF(AND($C47&lt;&gt;0,AJ47=""),1,IF(AJ47&gt;$C47,1,0))</f>
        <v>0</v>
      </c>
    </row>
    <row r="48" spans="1:90" x14ac:dyDescent="0.3">
      <c r="A48" s="7671"/>
      <c r="B48" s="5418" t="s">
        <v>4233</v>
      </c>
      <c r="C48" s="962">
        <f t="shared" si="16"/>
        <v>0</v>
      </c>
      <c r="D48" s="171">
        <f t="shared" si="6"/>
        <v>0</v>
      </c>
      <c r="E48" s="204">
        <f t="shared" si="6"/>
        <v>0</v>
      </c>
      <c r="F48" s="965"/>
      <c r="G48" s="966"/>
      <c r="H48" s="965"/>
      <c r="I48" s="966"/>
      <c r="J48" s="968"/>
      <c r="K48" s="966"/>
      <c r="L48" s="965"/>
      <c r="M48" s="966"/>
      <c r="N48" s="965"/>
      <c r="O48" s="966"/>
      <c r="P48" s="965"/>
      <c r="Q48" s="966"/>
      <c r="R48" s="965"/>
      <c r="S48" s="966"/>
      <c r="T48" s="965"/>
      <c r="U48" s="5473"/>
      <c r="V48" s="968"/>
      <c r="W48" s="966"/>
      <c r="X48" s="965"/>
      <c r="Y48" s="973"/>
      <c r="Z48" s="973"/>
      <c r="AA48" s="965"/>
      <c r="AB48" s="973"/>
      <c r="AC48" s="973"/>
      <c r="AD48" s="965"/>
      <c r="AE48" s="973"/>
      <c r="AF48" s="973"/>
      <c r="AG48" s="965"/>
      <c r="AH48" s="973"/>
      <c r="AI48" s="971"/>
      <c r="AJ48" s="1180"/>
      <c r="AK48" s="2227" t="str">
        <f t="shared" si="22"/>
        <v/>
      </c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CA48" s="4258" t="str">
        <f t="shared" si="23"/>
        <v/>
      </c>
      <c r="CB48" s="2228"/>
      <c r="CC48" s="2228"/>
      <c r="CD48" s="2228"/>
      <c r="CE48" s="6"/>
      <c r="CF48" s="6"/>
      <c r="CG48" s="6"/>
      <c r="CH48" s="6"/>
      <c r="CI48" s="6"/>
      <c r="CJ48" s="6"/>
      <c r="CK48" s="6"/>
      <c r="CL48" s="55">
        <f t="shared" si="24"/>
        <v>0</v>
      </c>
    </row>
    <row r="49" spans="1:90" x14ac:dyDescent="0.3">
      <c r="A49" s="7671"/>
      <c r="B49" s="5418" t="s">
        <v>4234</v>
      </c>
      <c r="C49" s="962">
        <f t="shared" si="16"/>
        <v>0</v>
      </c>
      <c r="D49" s="5013">
        <f t="shared" si="6"/>
        <v>0</v>
      </c>
      <c r="E49" s="28">
        <f t="shared" si="6"/>
        <v>0</v>
      </c>
      <c r="F49" s="965"/>
      <c r="G49" s="966"/>
      <c r="H49" s="965"/>
      <c r="I49" s="966"/>
      <c r="J49" s="968"/>
      <c r="K49" s="966"/>
      <c r="L49" s="965"/>
      <c r="M49" s="966"/>
      <c r="N49" s="965"/>
      <c r="O49" s="966"/>
      <c r="P49" s="965"/>
      <c r="Q49" s="966"/>
      <c r="R49" s="965"/>
      <c r="S49" s="966"/>
      <c r="T49" s="965"/>
      <c r="U49" s="5473"/>
      <c r="V49" s="968"/>
      <c r="W49" s="966"/>
      <c r="X49" s="965"/>
      <c r="Y49" s="973"/>
      <c r="Z49" s="973"/>
      <c r="AA49" s="965"/>
      <c r="AB49" s="973"/>
      <c r="AC49" s="973"/>
      <c r="AD49" s="965"/>
      <c r="AE49" s="973"/>
      <c r="AF49" s="973"/>
      <c r="AG49" s="965"/>
      <c r="AH49" s="973"/>
      <c r="AI49" s="971"/>
      <c r="AJ49" s="1182"/>
      <c r="AK49" s="2227" t="str">
        <f t="shared" si="22"/>
        <v/>
      </c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CA49" s="4258" t="str">
        <f t="shared" si="23"/>
        <v/>
      </c>
      <c r="CB49" s="2228"/>
      <c r="CC49" s="2228"/>
      <c r="CD49" s="2228"/>
      <c r="CE49" s="6"/>
      <c r="CF49" s="6"/>
      <c r="CG49" s="6"/>
      <c r="CH49" s="6"/>
      <c r="CI49" s="6"/>
      <c r="CJ49" s="6"/>
      <c r="CK49" s="6"/>
      <c r="CL49" s="55">
        <f t="shared" si="24"/>
        <v>0</v>
      </c>
    </row>
    <row r="50" spans="1:90" ht="15" customHeight="1" x14ac:dyDescent="0.3">
      <c r="A50" s="6545" t="s">
        <v>77</v>
      </c>
      <c r="B50" s="6545"/>
      <c r="C50" s="5461">
        <f t="shared" ref="C50:U50" si="25">SUM(C47:C49)</f>
        <v>0</v>
      </c>
      <c r="D50" s="5462">
        <f t="shared" si="6"/>
        <v>0</v>
      </c>
      <c r="E50" s="5463">
        <f t="shared" si="6"/>
        <v>0</v>
      </c>
      <c r="F50" s="5464">
        <f>SUM(F47:F49)</f>
        <v>0</v>
      </c>
      <c r="G50" s="5465">
        <f>SUM(G47:G49)</f>
        <v>0</v>
      </c>
      <c r="H50" s="5464">
        <f>SUM(H47:H49)</f>
        <v>0</v>
      </c>
      <c r="I50" s="5466">
        <f>SUM(I47:I49)</f>
        <v>0</v>
      </c>
      <c r="J50" s="5465">
        <f t="shared" si="25"/>
        <v>0</v>
      </c>
      <c r="K50" s="5465">
        <f t="shared" si="25"/>
        <v>0</v>
      </c>
      <c r="L50" s="5464">
        <f t="shared" si="25"/>
        <v>0</v>
      </c>
      <c r="M50" s="5465">
        <f t="shared" si="25"/>
        <v>0</v>
      </c>
      <c r="N50" s="5464">
        <f t="shared" si="25"/>
        <v>0</v>
      </c>
      <c r="O50" s="5465">
        <f t="shared" si="25"/>
        <v>0</v>
      </c>
      <c r="P50" s="5464">
        <f t="shared" si="25"/>
        <v>0</v>
      </c>
      <c r="Q50" s="5465">
        <f t="shared" si="25"/>
        <v>0</v>
      </c>
      <c r="R50" s="5464">
        <f t="shared" si="25"/>
        <v>0</v>
      </c>
      <c r="S50" s="5465">
        <f t="shared" si="25"/>
        <v>0</v>
      </c>
      <c r="T50" s="5464">
        <f t="shared" si="25"/>
        <v>0</v>
      </c>
      <c r="U50" s="5476">
        <f t="shared" si="25"/>
        <v>0</v>
      </c>
      <c r="V50" s="5468"/>
      <c r="W50" s="5469"/>
      <c r="X50" s="5468"/>
      <c r="Y50" s="5469"/>
      <c r="Z50" s="5470"/>
      <c r="AA50" s="5469"/>
      <c r="AB50" s="5469"/>
      <c r="AC50" s="5470"/>
      <c r="AD50" s="5469"/>
      <c r="AE50" s="5469"/>
      <c r="AF50" s="5470"/>
      <c r="AG50" s="5469"/>
      <c r="AH50" s="5469"/>
      <c r="AI50" s="5471"/>
      <c r="AJ50" s="5477">
        <f>SUM(AJ47:AJ49)</f>
        <v>0</v>
      </c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  <c r="BI50" s="151"/>
      <c r="BJ50" s="151"/>
      <c r="BK50" s="151"/>
      <c r="BL50" s="151"/>
      <c r="BM50" s="19"/>
      <c r="BN50" s="19"/>
      <c r="BO50" s="19"/>
      <c r="BP50" s="19"/>
      <c r="BQ50" s="19"/>
      <c r="BR50" s="19"/>
      <c r="BS50" s="19"/>
      <c r="BT50" s="19"/>
      <c r="BW50" s="3293"/>
      <c r="BX50" s="3293"/>
      <c r="BY50" s="3293"/>
      <c r="BZ50" s="3293"/>
      <c r="CA50" s="3293"/>
      <c r="CE50" s="151"/>
      <c r="CF50" s="151"/>
      <c r="CG50" s="151"/>
      <c r="CH50" s="151"/>
      <c r="CI50" s="151"/>
      <c r="CJ50" s="151"/>
      <c r="CK50" s="151"/>
      <c r="CL50" s="151"/>
    </row>
    <row r="51" spans="1:90" s="3293" customFormat="1" ht="17.100000000000001" customHeight="1" x14ac:dyDescent="0.3">
      <c r="A51" s="11" t="s">
        <v>4237</v>
      </c>
      <c r="B51" s="11"/>
      <c r="C51" s="5405"/>
      <c r="D51" s="5405"/>
      <c r="E51" s="5405"/>
      <c r="F51" s="5405"/>
      <c r="G51" s="5405"/>
      <c r="H51" s="5405"/>
      <c r="I51" s="5405"/>
      <c r="J51" s="5405"/>
      <c r="K51" s="5405"/>
      <c r="L51" s="5405"/>
      <c r="M51" s="5405"/>
      <c r="N51" s="5405"/>
      <c r="O51" s="5405"/>
      <c r="P51" s="5405"/>
      <c r="Q51" s="5405"/>
      <c r="R51" s="5405"/>
      <c r="S51" s="5405"/>
      <c r="T51" s="5405"/>
      <c r="U51" s="5405"/>
      <c r="V51" s="5405"/>
      <c r="W51" s="5405"/>
      <c r="X51" s="5405"/>
      <c r="Y51" s="5405"/>
      <c r="Z51" s="5405"/>
      <c r="AA51" s="5405"/>
      <c r="AB51" s="5405"/>
      <c r="AC51" s="5405"/>
      <c r="AD51" s="5405"/>
      <c r="AE51" s="5405"/>
      <c r="AF51" s="5405"/>
      <c r="AG51" s="5405"/>
      <c r="AH51" s="5405"/>
      <c r="AI51" s="5405"/>
      <c r="AJ51" s="5405"/>
      <c r="AK51" s="5405"/>
      <c r="AL51" s="5405"/>
      <c r="AM51" s="5405"/>
      <c r="AO51" s="151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51"/>
      <c r="BH51" s="151"/>
      <c r="BI51" s="151"/>
      <c r="BJ51" s="151"/>
      <c r="BK51" s="151"/>
      <c r="BL51" s="151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51"/>
      <c r="BX51" s="151"/>
      <c r="BY51" s="151"/>
      <c r="BZ51" s="151"/>
      <c r="CA51" s="151"/>
      <c r="CB51" s="151"/>
      <c r="CC51" s="151"/>
      <c r="CD51" s="151"/>
      <c r="CE51" s="151"/>
      <c r="CF51" s="151"/>
      <c r="CG51" s="151"/>
      <c r="CH51" s="151"/>
      <c r="CI51" s="151"/>
      <c r="CJ51" s="151"/>
      <c r="CK51" s="151"/>
      <c r="CL51" s="151"/>
    </row>
    <row r="52" spans="1:90" ht="15" customHeight="1" x14ac:dyDescent="0.3">
      <c r="A52" s="7459" t="s">
        <v>277</v>
      </c>
      <c r="B52" s="7672" t="s">
        <v>77</v>
      </c>
      <c r="C52" s="7672"/>
      <c r="D52" s="7672"/>
      <c r="E52" s="7052" t="s">
        <v>101</v>
      </c>
      <c r="F52" s="7684"/>
      <c r="G52" s="7684"/>
      <c r="H52" s="7684"/>
      <c r="I52" s="7684"/>
      <c r="J52" s="7684"/>
      <c r="K52" s="7684"/>
      <c r="L52" s="7684"/>
      <c r="M52" s="7684"/>
      <c r="N52" s="7684"/>
      <c r="O52" s="7684"/>
      <c r="P52" s="7684"/>
      <c r="Q52" s="7684"/>
      <c r="R52" s="7684"/>
      <c r="S52" s="7684"/>
      <c r="T52" s="7685"/>
      <c r="U52" s="7404" t="s">
        <v>4211</v>
      </c>
      <c r="V52" s="6518"/>
      <c r="W52" s="7686" t="s">
        <v>4212</v>
      </c>
      <c r="X52" s="7521"/>
      <c r="Y52" s="7455"/>
      <c r="Z52" s="7688" t="s">
        <v>4216</v>
      </c>
      <c r="AA52" s="7689"/>
      <c r="AB52" s="7690"/>
      <c r="AC52" s="7688" t="s">
        <v>4219</v>
      </c>
      <c r="AD52" s="7689"/>
      <c r="AE52" s="7690"/>
      <c r="AF52" s="7661" t="s">
        <v>4226</v>
      </c>
      <c r="AG52" s="7694"/>
      <c r="AH52" s="7695"/>
      <c r="AI52" s="7585" t="s">
        <v>36</v>
      </c>
      <c r="AJ52" s="7683"/>
      <c r="AM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151"/>
      <c r="BH52" s="151"/>
      <c r="BI52" s="151"/>
      <c r="BJ52" s="151"/>
      <c r="BK52" s="151"/>
      <c r="BL52" s="151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51"/>
      <c r="BX52" s="151"/>
      <c r="BY52" s="151"/>
      <c r="BZ52" s="151"/>
      <c r="CA52" s="151"/>
      <c r="CB52" s="151"/>
      <c r="CC52" s="151"/>
      <c r="CD52" s="151"/>
      <c r="CE52" s="151"/>
      <c r="CF52" s="151"/>
      <c r="CG52" s="151"/>
      <c r="CH52" s="151"/>
      <c r="CI52" s="151"/>
      <c r="CJ52" s="151"/>
      <c r="CK52" s="151"/>
      <c r="CL52" s="151"/>
    </row>
    <row r="53" spans="1:90" x14ac:dyDescent="0.3">
      <c r="A53" s="7459"/>
      <c r="B53" s="7672"/>
      <c r="C53" s="7672"/>
      <c r="D53" s="7672"/>
      <c r="E53" s="6198" t="s">
        <v>3789</v>
      </c>
      <c r="F53" s="7669"/>
      <c r="G53" s="6198" t="s">
        <v>4225</v>
      </c>
      <c r="H53" s="7670"/>
      <c r="I53" s="7669" t="s">
        <v>1459</v>
      </c>
      <c r="J53" s="7670"/>
      <c r="K53" s="6198" t="s">
        <v>1460</v>
      </c>
      <c r="L53" s="7670"/>
      <c r="M53" s="6198" t="s">
        <v>1461</v>
      </c>
      <c r="N53" s="7670"/>
      <c r="O53" s="6198" t="s">
        <v>1462</v>
      </c>
      <c r="P53" s="7670"/>
      <c r="Q53" s="6198" t="s">
        <v>1463</v>
      </c>
      <c r="R53" s="7670"/>
      <c r="S53" s="7675" t="s">
        <v>938</v>
      </c>
      <c r="T53" s="7676"/>
      <c r="U53" s="6467"/>
      <c r="V53" s="6687"/>
      <c r="W53" s="7687"/>
      <c r="X53" s="7109"/>
      <c r="Y53" s="6910"/>
      <c r="Z53" s="7691"/>
      <c r="AA53" s="7692"/>
      <c r="AB53" s="7693"/>
      <c r="AC53" s="7691"/>
      <c r="AD53" s="7692"/>
      <c r="AE53" s="7693"/>
      <c r="AF53" s="7696"/>
      <c r="AG53" s="7697"/>
      <c r="AH53" s="7698"/>
      <c r="AI53" s="6087"/>
      <c r="AJ53" s="7683"/>
      <c r="AM53" s="151"/>
      <c r="AO53" s="151"/>
      <c r="AP53" s="151"/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  <c r="BD53" s="151"/>
      <c r="BE53" s="151"/>
      <c r="BF53" s="151"/>
      <c r="BG53" s="151"/>
      <c r="BH53" s="151"/>
      <c r="BI53" s="151"/>
      <c r="BJ53" s="151"/>
      <c r="BK53" s="151"/>
      <c r="BL53" s="151"/>
      <c r="BM53" s="151"/>
      <c r="BN53" s="151"/>
      <c r="BO53" s="151"/>
      <c r="BP53" s="151"/>
      <c r="BQ53" s="151"/>
      <c r="BR53" s="151"/>
      <c r="BS53" s="151"/>
      <c r="BT53" s="151"/>
      <c r="BU53" s="151"/>
      <c r="BV53" s="151"/>
      <c r="BW53" s="151"/>
      <c r="BX53" s="151"/>
      <c r="BY53" s="151"/>
      <c r="BZ53" s="151"/>
      <c r="CA53" s="151"/>
      <c r="CB53" s="151"/>
      <c r="CC53" s="151"/>
      <c r="CD53" s="151"/>
      <c r="CE53" s="151"/>
      <c r="CF53" s="151"/>
      <c r="CG53" s="151"/>
      <c r="CH53" s="151"/>
      <c r="CI53" s="151"/>
      <c r="CJ53" s="151"/>
      <c r="CK53" s="151"/>
      <c r="CL53" s="151"/>
    </row>
    <row r="54" spans="1:90" ht="20.399999999999999" x14ac:dyDescent="0.3">
      <c r="A54" s="7459"/>
      <c r="B54" s="5444" t="s">
        <v>79</v>
      </c>
      <c r="C54" s="3135" t="s">
        <v>58</v>
      </c>
      <c r="D54" s="1823" t="s">
        <v>59</v>
      </c>
      <c r="E54" s="5444" t="s">
        <v>58</v>
      </c>
      <c r="F54" s="1823" t="s">
        <v>59</v>
      </c>
      <c r="G54" s="5444" t="s">
        <v>58</v>
      </c>
      <c r="H54" s="1823" t="s">
        <v>59</v>
      </c>
      <c r="I54" s="5444" t="s">
        <v>58</v>
      </c>
      <c r="J54" s="1823" t="s">
        <v>59</v>
      </c>
      <c r="K54" s="5444" t="s">
        <v>58</v>
      </c>
      <c r="L54" s="1823" t="s">
        <v>59</v>
      </c>
      <c r="M54" s="5444" t="s">
        <v>58</v>
      </c>
      <c r="N54" s="1823" t="s">
        <v>59</v>
      </c>
      <c r="O54" s="5444" t="s">
        <v>58</v>
      </c>
      <c r="P54" s="1823" t="s">
        <v>59</v>
      </c>
      <c r="Q54" s="5444" t="s">
        <v>58</v>
      </c>
      <c r="R54" s="1823" t="s">
        <v>59</v>
      </c>
      <c r="S54" s="5444" t="s">
        <v>58</v>
      </c>
      <c r="T54" s="3131" t="s">
        <v>59</v>
      </c>
      <c r="U54" s="5446" t="s">
        <v>4221</v>
      </c>
      <c r="V54" s="1821" t="s">
        <v>4222</v>
      </c>
      <c r="W54" s="1677" t="s">
        <v>4220</v>
      </c>
      <c r="X54" s="1679" t="s">
        <v>4221</v>
      </c>
      <c r="Y54" s="1817" t="s">
        <v>4222</v>
      </c>
      <c r="Z54" s="1708" t="s">
        <v>4220</v>
      </c>
      <c r="AA54" s="1709" t="s">
        <v>4221</v>
      </c>
      <c r="AB54" s="1825" t="s">
        <v>4222</v>
      </c>
      <c r="AC54" s="1708" t="s">
        <v>4220</v>
      </c>
      <c r="AD54" s="1709" t="s">
        <v>4221</v>
      </c>
      <c r="AE54" s="1825" t="s">
        <v>4222</v>
      </c>
      <c r="AF54" s="1708" t="s">
        <v>4220</v>
      </c>
      <c r="AG54" s="1709" t="s">
        <v>4221</v>
      </c>
      <c r="AH54" s="5447" t="s">
        <v>4222</v>
      </c>
      <c r="AI54" s="6087"/>
      <c r="AJ54" s="7683"/>
      <c r="AM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1"/>
      <c r="AY54" s="151"/>
      <c r="AZ54" s="151"/>
      <c r="BA54" s="151"/>
      <c r="BB54" s="151"/>
      <c r="BC54" s="151"/>
      <c r="BD54" s="151"/>
      <c r="BE54" s="151"/>
      <c r="BF54" s="151"/>
      <c r="BG54" s="151"/>
      <c r="BH54" s="151"/>
      <c r="BI54" s="151"/>
      <c r="BJ54" s="151"/>
      <c r="BK54" s="151"/>
      <c r="BL54" s="151"/>
      <c r="BM54" s="151"/>
      <c r="BN54" s="151"/>
      <c r="BO54" s="151"/>
      <c r="BP54" s="151"/>
      <c r="BQ54" s="151"/>
      <c r="BR54" s="151"/>
      <c r="BS54" s="151"/>
      <c r="BT54" s="151"/>
      <c r="BU54" s="151"/>
      <c r="BV54" s="151"/>
      <c r="BW54" s="151"/>
      <c r="BX54" s="151"/>
      <c r="BY54" s="151"/>
      <c r="BZ54" s="151"/>
      <c r="CA54" s="151"/>
      <c r="CB54" s="151"/>
      <c r="CC54" s="151"/>
      <c r="CD54" s="151"/>
      <c r="CE54" s="151"/>
      <c r="CF54" s="151"/>
      <c r="CG54" s="151"/>
      <c r="CH54" s="151"/>
      <c r="CI54" s="151"/>
      <c r="CJ54" s="151"/>
      <c r="CK54" s="151"/>
      <c r="CL54" s="151"/>
    </row>
    <row r="55" spans="1:90" x14ac:dyDescent="0.3">
      <c r="A55" s="5478" t="s">
        <v>4238</v>
      </c>
      <c r="B55" s="5449">
        <f>SUM(C55,D55)</f>
        <v>0</v>
      </c>
      <c r="C55" s="5479">
        <f t="shared" ref="C55:D57" si="26">SUM(E55,G55,I55,K55,M55,O55,Q55,S55)</f>
        <v>0</v>
      </c>
      <c r="D55" s="5480">
        <f t="shared" si="26"/>
        <v>0</v>
      </c>
      <c r="E55" s="965"/>
      <c r="F55" s="966"/>
      <c r="G55" s="965"/>
      <c r="H55" s="966"/>
      <c r="I55" s="965"/>
      <c r="J55" s="966"/>
      <c r="K55" s="965"/>
      <c r="L55" s="966"/>
      <c r="M55" s="965"/>
      <c r="N55" s="966"/>
      <c r="O55" s="965"/>
      <c r="P55" s="966"/>
      <c r="Q55" s="965"/>
      <c r="R55" s="966"/>
      <c r="S55" s="965"/>
      <c r="T55" s="5473"/>
      <c r="U55" s="5474"/>
      <c r="V55" s="5481"/>
      <c r="W55" s="5474"/>
      <c r="X55" s="960"/>
      <c r="Y55" s="5481"/>
      <c r="Z55" s="1895"/>
      <c r="AA55" s="960"/>
      <c r="AB55" s="960"/>
      <c r="AC55" s="1895"/>
      <c r="AD55" s="960"/>
      <c r="AE55" s="960"/>
      <c r="AF55" s="1895"/>
      <c r="AG55" s="960"/>
      <c r="AH55" s="892"/>
      <c r="AI55" s="5481"/>
      <c r="AJ55" s="2227" t="str">
        <f>$CA55</f>
        <v/>
      </c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CA55" s="4258" t="str">
        <f>IF(AND($B55&lt;&gt;0,AI55=""),"* No olvide ingresar la columna Pueblos Originarios, digite CERO si no tiene.  ",IF(AI55&gt;$B55,"* El número de Pueblos Originarios no puede superar el Total.  ",""))</f>
        <v/>
      </c>
      <c r="CB55" s="151"/>
      <c r="CC55" s="151"/>
      <c r="CD55" s="151"/>
      <c r="CE55" s="151"/>
      <c r="CF55" s="151"/>
      <c r="CG55" s="151"/>
      <c r="CH55" s="151"/>
      <c r="CI55" s="151"/>
      <c r="CJ55" s="151"/>
      <c r="CK55" s="151"/>
      <c r="CL55" s="55">
        <f>IF(AND($B55&lt;&gt;0,AI55=""),1,IF(AI55&gt;$B55,1,0))</f>
        <v>0</v>
      </c>
    </row>
    <row r="56" spans="1:90" x14ac:dyDescent="0.3">
      <c r="A56" s="4973" t="s">
        <v>1042</v>
      </c>
      <c r="B56" s="962">
        <f>SUM(C56,D56)</f>
        <v>0</v>
      </c>
      <c r="C56" s="171">
        <f t="shared" si="26"/>
        <v>0</v>
      </c>
      <c r="D56" s="204">
        <f t="shared" si="26"/>
        <v>0</v>
      </c>
      <c r="E56" s="965"/>
      <c r="F56" s="966"/>
      <c r="G56" s="965"/>
      <c r="H56" s="966"/>
      <c r="I56" s="965"/>
      <c r="J56" s="966"/>
      <c r="K56" s="965"/>
      <c r="L56" s="966"/>
      <c r="M56" s="965"/>
      <c r="N56" s="966"/>
      <c r="O56" s="965"/>
      <c r="P56" s="966"/>
      <c r="Q56" s="965"/>
      <c r="R56" s="966"/>
      <c r="S56" s="965"/>
      <c r="T56" s="5473"/>
      <c r="U56" s="968"/>
      <c r="V56" s="966"/>
      <c r="W56" s="968"/>
      <c r="X56" s="973"/>
      <c r="Y56" s="966"/>
      <c r="Z56" s="965"/>
      <c r="AA56" s="973"/>
      <c r="AB56" s="973"/>
      <c r="AC56" s="965"/>
      <c r="AD56" s="973"/>
      <c r="AE56" s="973"/>
      <c r="AF56" s="965"/>
      <c r="AG56" s="973"/>
      <c r="AH56" s="971"/>
      <c r="AI56" s="966"/>
      <c r="AJ56" s="2227" t="str">
        <f t="shared" ref="AJ56:AJ57" si="27">$CA56</f>
        <v/>
      </c>
      <c r="AM56" s="151"/>
      <c r="AO56" s="151"/>
      <c r="AP56" s="151"/>
      <c r="AQ56" s="151"/>
      <c r="AR56" s="151"/>
      <c r="AS56" s="151"/>
      <c r="AT56" s="151"/>
      <c r="AU56" s="151"/>
      <c r="AV56" s="151"/>
      <c r="AW56" s="151"/>
      <c r="AX56" s="151"/>
      <c r="AY56" s="151"/>
      <c r="AZ56" s="151"/>
      <c r="BA56" s="151"/>
      <c r="BB56" s="151"/>
      <c r="BC56" s="151"/>
      <c r="BD56" s="151"/>
      <c r="BE56" s="151"/>
      <c r="BF56" s="151"/>
      <c r="BG56" s="151"/>
      <c r="BH56" s="151"/>
      <c r="BI56" s="151"/>
      <c r="BJ56" s="151"/>
      <c r="BK56" s="151"/>
      <c r="BL56" s="151"/>
      <c r="BM56" s="151"/>
      <c r="BN56" s="151"/>
      <c r="BO56" s="151"/>
      <c r="BP56" s="151"/>
      <c r="BQ56" s="151"/>
      <c r="BR56" s="151"/>
      <c r="BS56" s="151"/>
      <c r="BT56" s="151"/>
      <c r="BU56" s="151"/>
      <c r="BV56" s="151"/>
      <c r="BW56" s="151"/>
      <c r="BX56" s="151"/>
      <c r="BY56" s="151"/>
      <c r="BZ56" s="151"/>
      <c r="CA56" s="4258" t="str">
        <f t="shared" ref="CA56:CA57" si="28">IF(AND($B56&lt;&gt;0,AI56=""),"* No olvide ingresar la columna Pueblos Originarios, digite CERO si no tiene.  ",IF(AI56&gt;$B56,"* El número de Pueblos Originarios no puede superar el Total.  ",""))</f>
        <v/>
      </c>
      <c r="CB56" s="151"/>
      <c r="CC56" s="151"/>
      <c r="CD56" s="151"/>
      <c r="CE56" s="151"/>
      <c r="CF56" s="151"/>
      <c r="CG56" s="151"/>
      <c r="CH56" s="151"/>
      <c r="CI56" s="151"/>
      <c r="CJ56" s="151"/>
      <c r="CK56" s="151"/>
      <c r="CL56" s="55">
        <f t="shared" ref="CL56:CL57" si="29">IF(AND($B56&lt;&gt;0,AI56=""),1,IF(AI56&gt;$B56,1,0))</f>
        <v>0</v>
      </c>
    </row>
    <row r="57" spans="1:90" x14ac:dyDescent="0.3">
      <c r="A57" s="4523" t="s">
        <v>4239</v>
      </c>
      <c r="B57" s="962">
        <f>SUM(C57,D57)</f>
        <v>0</v>
      </c>
      <c r="C57" s="1575">
        <f t="shared" si="26"/>
        <v>0</v>
      </c>
      <c r="D57" s="171">
        <f t="shared" si="26"/>
        <v>0</v>
      </c>
      <c r="E57" s="212"/>
      <c r="F57" s="34"/>
      <c r="G57" s="212"/>
      <c r="H57" s="34"/>
      <c r="I57" s="212"/>
      <c r="J57" s="34"/>
      <c r="K57" s="212"/>
      <c r="L57" s="34"/>
      <c r="M57" s="212"/>
      <c r="N57" s="34"/>
      <c r="O57" s="212"/>
      <c r="P57" s="34"/>
      <c r="Q57" s="212"/>
      <c r="R57" s="34"/>
      <c r="S57" s="212"/>
      <c r="T57" s="1912"/>
      <c r="U57" s="991"/>
      <c r="V57" s="877"/>
      <c r="W57" s="991"/>
      <c r="X57" s="1031"/>
      <c r="Y57" s="877"/>
      <c r="Z57" s="989"/>
      <c r="AA57" s="1031"/>
      <c r="AB57" s="1031"/>
      <c r="AC57" s="989"/>
      <c r="AD57" s="1031"/>
      <c r="AE57" s="1031"/>
      <c r="AF57" s="989"/>
      <c r="AG57" s="1031"/>
      <c r="AH57" s="994"/>
      <c r="AI57" s="877"/>
      <c r="AJ57" s="2227" t="str">
        <f t="shared" si="27"/>
        <v/>
      </c>
      <c r="AM57" s="151"/>
      <c r="AO57" s="151"/>
      <c r="AP57" s="151"/>
      <c r="AQ57" s="151"/>
      <c r="AR57" s="151"/>
      <c r="AS57" s="151"/>
      <c r="AT57" s="151"/>
      <c r="AU57" s="151"/>
      <c r="AV57" s="151"/>
      <c r="AW57" s="151"/>
      <c r="AX57" s="151"/>
      <c r="AY57" s="151"/>
      <c r="AZ57" s="151"/>
      <c r="BA57" s="151"/>
      <c r="BB57" s="151"/>
      <c r="BC57" s="151"/>
      <c r="BD57" s="151"/>
      <c r="BE57" s="151"/>
      <c r="BF57" s="151"/>
      <c r="BG57" s="151"/>
      <c r="BH57" s="151"/>
      <c r="BI57" s="151"/>
      <c r="BJ57" s="151"/>
      <c r="BK57" s="151"/>
      <c r="BL57" s="151"/>
      <c r="BM57" s="151"/>
      <c r="BN57" s="151"/>
      <c r="BO57" s="151"/>
      <c r="BP57" s="151"/>
      <c r="BQ57" s="151"/>
      <c r="BR57" s="151"/>
      <c r="BS57" s="151"/>
      <c r="BT57" s="151"/>
      <c r="BU57" s="151"/>
      <c r="BV57" s="151"/>
      <c r="BW57" s="151"/>
      <c r="BX57" s="151"/>
      <c r="BY57" s="151"/>
      <c r="BZ57" s="151"/>
      <c r="CA57" s="4258" t="str">
        <f t="shared" si="28"/>
        <v/>
      </c>
      <c r="CB57" s="151"/>
      <c r="CC57" s="151"/>
      <c r="CD57" s="151"/>
      <c r="CE57" s="151"/>
      <c r="CF57" s="151"/>
      <c r="CG57" s="151"/>
      <c r="CH57" s="151"/>
      <c r="CI57" s="151"/>
      <c r="CJ57" s="151"/>
      <c r="CK57" s="151"/>
      <c r="CL57" s="55">
        <f t="shared" si="29"/>
        <v>0</v>
      </c>
    </row>
    <row r="58" spans="1:90" x14ac:dyDescent="0.3">
      <c r="A58" s="923" t="s">
        <v>77</v>
      </c>
      <c r="B58" s="5461">
        <f>SUM(C58,D58)</f>
        <v>0</v>
      </c>
      <c r="C58" s="5462">
        <f t="shared" ref="C58:T58" si="30">SUM(C55:C57)</f>
        <v>0</v>
      </c>
      <c r="D58" s="5462">
        <f t="shared" si="30"/>
        <v>0</v>
      </c>
      <c r="E58" s="5464">
        <f t="shared" si="30"/>
        <v>0</v>
      </c>
      <c r="F58" s="5465">
        <f t="shared" si="30"/>
        <v>0</v>
      </c>
      <c r="G58" s="5464">
        <f t="shared" si="30"/>
        <v>0</v>
      </c>
      <c r="H58" s="5465">
        <f t="shared" si="30"/>
        <v>0</v>
      </c>
      <c r="I58" s="5464">
        <f t="shared" si="30"/>
        <v>0</v>
      </c>
      <c r="J58" s="5465">
        <f t="shared" si="30"/>
        <v>0</v>
      </c>
      <c r="K58" s="5464">
        <f t="shared" si="30"/>
        <v>0</v>
      </c>
      <c r="L58" s="5482">
        <f t="shared" si="30"/>
        <v>0</v>
      </c>
      <c r="M58" s="5464">
        <f t="shared" si="30"/>
        <v>0</v>
      </c>
      <c r="N58" s="5466">
        <f t="shared" si="30"/>
        <v>0</v>
      </c>
      <c r="O58" s="5464">
        <f t="shared" si="30"/>
        <v>0</v>
      </c>
      <c r="P58" s="5466">
        <f t="shared" si="30"/>
        <v>0</v>
      </c>
      <c r="Q58" s="5464">
        <f t="shared" si="30"/>
        <v>0</v>
      </c>
      <c r="R58" s="5466">
        <f t="shared" si="30"/>
        <v>0</v>
      </c>
      <c r="S58" s="1598">
        <f t="shared" si="30"/>
        <v>0</v>
      </c>
      <c r="T58" s="5476">
        <f t="shared" si="30"/>
        <v>0</v>
      </c>
      <c r="U58" s="5469"/>
      <c r="V58" s="5469"/>
      <c r="W58" s="5469"/>
      <c r="X58" s="5469"/>
      <c r="Y58" s="5470"/>
      <c r="Z58" s="5468"/>
      <c r="AA58" s="5469"/>
      <c r="AB58" s="5470"/>
      <c r="AC58" s="5468"/>
      <c r="AD58" s="5469"/>
      <c r="AE58" s="5470"/>
      <c r="AF58" s="5468"/>
      <c r="AG58" s="5469"/>
      <c r="AH58" s="5471"/>
      <c r="AI58" s="5477">
        <f>SUM(AI55:AI57)</f>
        <v>0</v>
      </c>
      <c r="AJ58" s="151"/>
      <c r="AK58" s="151"/>
      <c r="AL58" s="151"/>
      <c r="AM58" s="151"/>
      <c r="AN58" s="151"/>
      <c r="AO58" s="151"/>
      <c r="AP58" s="151"/>
      <c r="AQ58" s="151"/>
      <c r="AR58" s="151"/>
      <c r="AS58" s="151"/>
      <c r="AT58" s="151"/>
      <c r="AU58" s="151"/>
      <c r="AV58" s="151"/>
      <c r="AW58" s="151"/>
      <c r="AX58" s="151"/>
      <c r="AY58" s="151"/>
      <c r="AZ58" s="151"/>
      <c r="BA58" s="151"/>
      <c r="BB58" s="151"/>
      <c r="BC58" s="151"/>
      <c r="BD58" s="151"/>
      <c r="BE58" s="151"/>
      <c r="BF58" s="151"/>
      <c r="BG58" s="151"/>
      <c r="BH58" s="151"/>
      <c r="BI58" s="151"/>
      <c r="BJ58" s="151"/>
      <c r="BK58" s="151"/>
      <c r="BL58" s="151"/>
      <c r="BM58" s="151"/>
      <c r="BN58" s="151"/>
      <c r="BO58" s="151"/>
      <c r="BP58" s="151"/>
      <c r="BQ58" s="151"/>
      <c r="BR58" s="151"/>
      <c r="BS58" s="151"/>
      <c r="BT58" s="151"/>
      <c r="BU58" s="151"/>
      <c r="BV58" s="151"/>
      <c r="BW58" s="151"/>
      <c r="BX58" s="3293"/>
      <c r="BY58" s="3293"/>
      <c r="BZ58" s="3293"/>
      <c r="CA58" s="3293"/>
      <c r="CE58" s="3293"/>
      <c r="CF58" s="3293"/>
      <c r="CG58" s="3293"/>
      <c r="CH58" s="3293"/>
      <c r="CI58" s="3293"/>
      <c r="CJ58" s="3293"/>
      <c r="CK58" s="3293"/>
      <c r="CL58" s="3293"/>
    </row>
    <row r="59" spans="1:90" ht="17.100000000000001" customHeight="1" x14ac:dyDescent="0.3">
      <c r="A59" s="11" t="s">
        <v>4240</v>
      </c>
      <c r="B59" s="11"/>
      <c r="C59" s="5405"/>
      <c r="D59" s="5405"/>
      <c r="E59" s="5405"/>
      <c r="F59" s="5405"/>
      <c r="G59" s="5405" t="s">
        <v>10</v>
      </c>
      <c r="H59" s="5405"/>
      <c r="I59" s="5405"/>
      <c r="J59" s="5405"/>
      <c r="K59" s="5405"/>
      <c r="L59" s="5405"/>
      <c r="M59" s="5405"/>
      <c r="N59" s="5405"/>
      <c r="O59" s="5405"/>
      <c r="P59" s="5405"/>
      <c r="Q59" s="5405"/>
      <c r="R59" s="5405"/>
      <c r="S59" s="5405"/>
      <c r="T59" s="5405"/>
      <c r="U59" s="5405"/>
      <c r="V59" s="5405"/>
      <c r="W59" s="5405"/>
      <c r="X59" s="5405"/>
      <c r="Y59" s="5405"/>
      <c r="Z59" s="5405"/>
      <c r="AA59" s="5405"/>
      <c r="AB59" s="5405"/>
      <c r="AC59" s="5405"/>
      <c r="AD59" s="5405"/>
      <c r="AE59" s="5405"/>
      <c r="AF59" s="5405"/>
      <c r="AG59" s="5405"/>
      <c r="AH59" s="5405"/>
      <c r="AI59" s="5405"/>
      <c r="AJ59" s="5405"/>
      <c r="AK59" s="5405"/>
      <c r="AL59" s="5405"/>
      <c r="AM59" s="5405"/>
      <c r="AV59" s="3293"/>
      <c r="AW59" s="3293"/>
      <c r="AX59" s="3293"/>
      <c r="AY59" s="3293"/>
      <c r="BA59" s="3293"/>
      <c r="BB59" s="3293"/>
      <c r="BC59" s="3293"/>
      <c r="BD59" s="3293"/>
      <c r="BE59" s="3293"/>
      <c r="BF59" s="3293"/>
      <c r="BG59" s="3293"/>
      <c r="BH59" s="3293"/>
      <c r="BI59" s="3293"/>
      <c r="BJ59" s="3293"/>
      <c r="BK59" s="3293"/>
      <c r="BL59" s="3293"/>
      <c r="BM59" s="3293"/>
      <c r="BN59" s="3293"/>
      <c r="BO59" s="3293"/>
      <c r="BP59" s="3293"/>
      <c r="BQ59" s="3293"/>
      <c r="BR59" s="3293"/>
      <c r="BS59" s="3293"/>
      <c r="BT59" s="3293"/>
      <c r="BU59" s="3293"/>
      <c r="BV59" s="3293"/>
      <c r="BW59" s="3293"/>
      <c r="BX59" s="3293"/>
      <c r="BY59" s="3293"/>
      <c r="BZ59" s="3293"/>
      <c r="CA59" s="3293"/>
      <c r="CE59" s="3293"/>
      <c r="CF59" s="3293"/>
      <c r="CG59" s="3293"/>
      <c r="CH59" s="3293"/>
      <c r="CI59" s="3293"/>
      <c r="CJ59" s="3293"/>
      <c r="CK59" s="3293"/>
      <c r="CL59" s="3293"/>
    </row>
    <row r="60" spans="1:90" ht="17.100000000000001" customHeight="1" x14ac:dyDescent="0.3">
      <c r="A60" s="11" t="s">
        <v>4241</v>
      </c>
      <c r="B60" s="11"/>
      <c r="C60" s="5405"/>
      <c r="D60" s="5405"/>
      <c r="E60" s="5405"/>
      <c r="F60" s="5405"/>
      <c r="G60" s="5405"/>
      <c r="H60" s="5405"/>
      <c r="I60" s="5405"/>
      <c r="J60" s="5405"/>
      <c r="K60" s="5405"/>
      <c r="L60" s="5405"/>
      <c r="M60" s="5405"/>
      <c r="N60" s="5405"/>
      <c r="O60" s="5405"/>
      <c r="P60" s="5405"/>
      <c r="Q60" s="5405"/>
      <c r="R60" s="5405"/>
      <c r="S60" s="5405"/>
      <c r="T60" s="5405"/>
      <c r="U60" s="5405"/>
      <c r="V60" s="5405"/>
      <c r="W60" s="5405"/>
      <c r="X60" s="5405"/>
      <c r="Y60" s="5405"/>
      <c r="Z60" s="5405"/>
      <c r="AA60" s="5405"/>
      <c r="AB60" s="5405"/>
      <c r="AC60" s="5405"/>
      <c r="AD60" s="5405"/>
      <c r="AE60" s="5405"/>
      <c r="AF60" s="5405"/>
      <c r="AG60" s="5405"/>
      <c r="AH60" s="5405"/>
      <c r="AI60" s="5405"/>
      <c r="AJ60" s="5405"/>
      <c r="AK60" s="5405"/>
      <c r="AL60" s="5405"/>
      <c r="AM60" s="5405"/>
      <c r="AV60" s="3293"/>
      <c r="AW60" s="3293"/>
      <c r="AX60" s="3293"/>
      <c r="AY60" s="3293"/>
      <c r="BA60" s="3293"/>
      <c r="BB60" s="3293"/>
      <c r="BC60" s="3293"/>
      <c r="BD60" s="3293"/>
      <c r="BE60" s="3293"/>
      <c r="BF60" s="3293"/>
      <c r="BG60" s="3293"/>
      <c r="BH60" s="3293"/>
      <c r="BI60" s="3293"/>
      <c r="BJ60" s="3293"/>
      <c r="BK60" s="3293"/>
      <c r="BL60" s="3293"/>
      <c r="BM60" s="3293"/>
      <c r="BN60" s="3293"/>
      <c r="BO60" s="3293"/>
      <c r="BP60" s="3293"/>
      <c r="BQ60" s="3293"/>
      <c r="BR60" s="3293"/>
      <c r="BS60" s="3293"/>
      <c r="BT60" s="3293"/>
      <c r="BU60" s="3293"/>
      <c r="BV60" s="3293"/>
      <c r="BW60" s="3293"/>
      <c r="BX60" s="3293"/>
      <c r="BY60" s="3293"/>
      <c r="BZ60" s="3293"/>
      <c r="CA60" s="3293"/>
      <c r="CE60" s="3293"/>
      <c r="CF60" s="3293"/>
      <c r="CG60" s="3293"/>
      <c r="CH60" s="3293"/>
      <c r="CI60" s="3293"/>
      <c r="CJ60" s="3293"/>
      <c r="CK60" s="3293"/>
      <c r="CL60" s="3293"/>
    </row>
    <row r="61" spans="1:90" x14ac:dyDescent="0.3">
      <c r="A61" s="6221" t="s">
        <v>3234</v>
      </c>
      <c r="B61" s="7406" t="s">
        <v>27</v>
      </c>
      <c r="C61" s="7417" t="s">
        <v>77</v>
      </c>
      <c r="D61" s="7417"/>
      <c r="E61" s="7417"/>
      <c r="F61" s="7052" t="s">
        <v>101</v>
      </c>
      <c r="G61" s="7684"/>
      <c r="H61" s="7684"/>
      <c r="I61" s="7684"/>
      <c r="J61" s="7684"/>
      <c r="K61" s="7684"/>
      <c r="L61" s="7684"/>
      <c r="M61" s="7684"/>
      <c r="N61" s="7684"/>
      <c r="O61" s="7684"/>
      <c r="P61" s="7684"/>
      <c r="Q61" s="7684"/>
      <c r="R61" s="7684"/>
      <c r="S61" s="7684"/>
      <c r="T61" s="7684"/>
      <c r="U61" s="7685"/>
      <c r="V61" s="7404" t="s">
        <v>4211</v>
      </c>
      <c r="W61" s="6518"/>
      <c r="X61" s="7686" t="s">
        <v>4212</v>
      </c>
      <c r="Y61" s="7521"/>
      <c r="Z61" s="7455"/>
      <c r="AA61" s="7688" t="s">
        <v>4216</v>
      </c>
      <c r="AB61" s="7689"/>
      <c r="AC61" s="7690"/>
      <c r="AD61" s="7688" t="s">
        <v>4219</v>
      </c>
      <c r="AE61" s="7689"/>
      <c r="AF61" s="7690"/>
      <c r="AG61" s="7661" t="s">
        <v>4226</v>
      </c>
      <c r="AH61" s="7694"/>
      <c r="AI61" s="7695"/>
      <c r="AJ61" s="7585" t="s">
        <v>36</v>
      </c>
      <c r="AK61" s="5483"/>
      <c r="AL61" s="5484"/>
      <c r="AO61" s="151"/>
      <c r="AQ61" s="151"/>
      <c r="AR61" s="151"/>
      <c r="AV61" s="3293"/>
      <c r="AW61" s="3293"/>
      <c r="AX61" s="3293"/>
      <c r="AY61" s="3293"/>
      <c r="BA61" s="3293"/>
      <c r="BB61" s="3293"/>
      <c r="BC61" s="3293"/>
      <c r="BD61" s="3293"/>
      <c r="BE61" s="3293"/>
      <c r="BF61" s="3293"/>
      <c r="BG61" s="3293"/>
      <c r="BH61" s="3293"/>
      <c r="BI61" s="3293"/>
      <c r="BJ61" s="3293"/>
      <c r="BK61" s="3293"/>
      <c r="BL61" s="3293"/>
      <c r="BM61" s="3293"/>
      <c r="BN61" s="3293"/>
      <c r="BO61" s="3293"/>
      <c r="BP61" s="3293"/>
      <c r="BQ61" s="3293"/>
      <c r="BR61" s="3293"/>
      <c r="BS61" s="3293"/>
      <c r="BT61" s="3293"/>
      <c r="BU61" s="3293"/>
      <c r="BV61" s="3293"/>
      <c r="BW61" s="3293"/>
      <c r="BX61" s="3293"/>
      <c r="BY61" s="3293"/>
      <c r="BZ61" s="3293"/>
      <c r="CA61" s="3293"/>
      <c r="CE61" s="3293"/>
      <c r="CF61" s="3293"/>
      <c r="CG61" s="3293"/>
      <c r="CH61" s="3293"/>
      <c r="CI61" s="3293"/>
      <c r="CJ61" s="3293"/>
      <c r="CK61" s="3293"/>
      <c r="CL61" s="3293"/>
    </row>
    <row r="62" spans="1:90" x14ac:dyDescent="0.3">
      <c r="A62" s="5771"/>
      <c r="B62" s="7406"/>
      <c r="C62" s="7417"/>
      <c r="D62" s="7417"/>
      <c r="E62" s="7417"/>
      <c r="F62" s="6198" t="s">
        <v>3789</v>
      </c>
      <c r="G62" s="7669"/>
      <c r="H62" s="6198" t="s">
        <v>4225</v>
      </c>
      <c r="I62" s="7670"/>
      <c r="J62" s="7669" t="s">
        <v>1459</v>
      </c>
      <c r="K62" s="7670"/>
      <c r="L62" s="6198" t="s">
        <v>1460</v>
      </c>
      <c r="M62" s="7670"/>
      <c r="N62" s="6198" t="s">
        <v>1461</v>
      </c>
      <c r="O62" s="7670"/>
      <c r="P62" s="6198" t="s">
        <v>1462</v>
      </c>
      <c r="Q62" s="7670"/>
      <c r="R62" s="6198" t="s">
        <v>1463</v>
      </c>
      <c r="S62" s="7670"/>
      <c r="T62" s="7675" t="s">
        <v>938</v>
      </c>
      <c r="U62" s="7676"/>
      <c r="V62" s="6467"/>
      <c r="W62" s="6687"/>
      <c r="X62" s="7687"/>
      <c r="Y62" s="7109"/>
      <c r="Z62" s="6910"/>
      <c r="AA62" s="7691"/>
      <c r="AB62" s="7692"/>
      <c r="AC62" s="7693"/>
      <c r="AD62" s="7691"/>
      <c r="AE62" s="7692"/>
      <c r="AF62" s="7693"/>
      <c r="AG62" s="7696"/>
      <c r="AH62" s="7697"/>
      <c r="AI62" s="7698"/>
      <c r="AJ62" s="7585"/>
      <c r="AK62" s="5485"/>
      <c r="AL62" s="5484"/>
      <c r="AM62" s="151"/>
      <c r="AV62" s="3293"/>
      <c r="AW62" s="3293"/>
      <c r="AX62" s="3293"/>
      <c r="AY62" s="3293"/>
      <c r="BA62" s="3293"/>
      <c r="BB62" s="3293"/>
      <c r="BC62" s="3293"/>
      <c r="BD62" s="3293"/>
      <c r="BE62" s="3293"/>
      <c r="BF62" s="3293"/>
      <c r="BG62" s="3293"/>
      <c r="BH62" s="3293"/>
      <c r="BI62" s="3293"/>
      <c r="BJ62" s="3293"/>
      <c r="BK62" s="3293"/>
      <c r="BL62" s="3293"/>
      <c r="BM62" s="3293"/>
      <c r="BN62" s="3293"/>
      <c r="BO62" s="3293"/>
      <c r="BP62" s="3293"/>
      <c r="BQ62" s="3293"/>
      <c r="BR62" s="3293"/>
      <c r="BS62" s="3293"/>
      <c r="BT62" s="3293"/>
      <c r="BU62" s="3293"/>
      <c r="BV62" s="3293"/>
      <c r="BW62" s="3293"/>
      <c r="BX62" s="3293"/>
      <c r="BY62" s="3293"/>
      <c r="BZ62" s="3293"/>
      <c r="CA62" s="3293"/>
      <c r="CE62" s="3293"/>
      <c r="CF62" s="3293"/>
      <c r="CG62" s="3293"/>
      <c r="CH62" s="3293"/>
      <c r="CI62" s="3293"/>
      <c r="CJ62" s="3293"/>
      <c r="CK62" s="3293"/>
      <c r="CL62" s="3293"/>
    </row>
    <row r="63" spans="1:90" ht="20.399999999999999" x14ac:dyDescent="0.3">
      <c r="A63" s="6222"/>
      <c r="B63" s="7406"/>
      <c r="C63" s="5444" t="s">
        <v>79</v>
      </c>
      <c r="D63" s="5445" t="s">
        <v>58</v>
      </c>
      <c r="E63" s="1352" t="s">
        <v>59</v>
      </c>
      <c r="F63" s="5200" t="s">
        <v>58</v>
      </c>
      <c r="G63" s="1352" t="s">
        <v>59</v>
      </c>
      <c r="H63" s="5143" t="s">
        <v>58</v>
      </c>
      <c r="I63" s="1830" t="s">
        <v>59</v>
      </c>
      <c r="J63" s="5200" t="s">
        <v>58</v>
      </c>
      <c r="K63" s="1352" t="s">
        <v>59</v>
      </c>
      <c r="L63" s="5143" t="s">
        <v>58</v>
      </c>
      <c r="M63" s="1830" t="s">
        <v>59</v>
      </c>
      <c r="N63" s="5200" t="s">
        <v>58</v>
      </c>
      <c r="O63" s="1352" t="s">
        <v>59</v>
      </c>
      <c r="P63" s="5143" t="s">
        <v>58</v>
      </c>
      <c r="Q63" s="1830" t="s">
        <v>59</v>
      </c>
      <c r="R63" s="5200" t="s">
        <v>58</v>
      </c>
      <c r="S63" s="1352" t="s">
        <v>59</v>
      </c>
      <c r="T63" s="5143" t="s">
        <v>58</v>
      </c>
      <c r="U63" s="5144" t="s">
        <v>59</v>
      </c>
      <c r="V63" s="5446" t="s">
        <v>4221</v>
      </c>
      <c r="W63" s="1821" t="s">
        <v>4222</v>
      </c>
      <c r="X63" s="1677" t="s">
        <v>4220</v>
      </c>
      <c r="Y63" s="1679" t="s">
        <v>4221</v>
      </c>
      <c r="Z63" s="1825" t="s">
        <v>4222</v>
      </c>
      <c r="AA63" s="1708" t="s">
        <v>4220</v>
      </c>
      <c r="AB63" s="1709" t="s">
        <v>4221</v>
      </c>
      <c r="AC63" s="1825" t="s">
        <v>4222</v>
      </c>
      <c r="AD63" s="1708" t="s">
        <v>4220</v>
      </c>
      <c r="AE63" s="1709" t="s">
        <v>4221</v>
      </c>
      <c r="AF63" s="1825" t="s">
        <v>4222</v>
      </c>
      <c r="AG63" s="1708" t="s">
        <v>4220</v>
      </c>
      <c r="AH63" s="1709" t="s">
        <v>4221</v>
      </c>
      <c r="AI63" s="5447" t="s">
        <v>4222</v>
      </c>
      <c r="AJ63" s="7585"/>
      <c r="AK63" s="5485"/>
      <c r="AL63" s="5484"/>
      <c r="AM63" s="151"/>
      <c r="AV63" s="3293"/>
      <c r="AW63" s="3293"/>
      <c r="AX63" s="3293"/>
      <c r="AY63" s="3293"/>
      <c r="BA63" s="3293"/>
      <c r="BB63" s="3293"/>
      <c r="BC63" s="3293"/>
      <c r="BD63" s="3293"/>
      <c r="BE63" s="3293"/>
      <c r="BF63" s="3293"/>
      <c r="BG63" s="3293"/>
      <c r="BH63" s="3293"/>
      <c r="BI63" s="3293"/>
      <c r="BJ63" s="3293"/>
      <c r="BK63" s="3293"/>
      <c r="BL63" s="3293"/>
      <c r="BM63" s="3293"/>
      <c r="BN63" s="3293"/>
      <c r="BO63" s="3293"/>
      <c r="BP63" s="3293"/>
      <c r="BQ63" s="3293"/>
      <c r="BR63" s="3293"/>
      <c r="BS63" s="3293"/>
      <c r="BT63" s="3293"/>
      <c r="BU63" s="3293"/>
      <c r="BV63" s="3293"/>
      <c r="BW63" s="3293"/>
      <c r="BX63" s="3293"/>
      <c r="BY63" s="3293"/>
      <c r="BZ63" s="3293"/>
      <c r="CA63" s="3293"/>
      <c r="CE63" s="3293"/>
      <c r="CF63" s="3293"/>
      <c r="CG63" s="3293"/>
      <c r="CH63" s="3293"/>
      <c r="CI63" s="3293"/>
      <c r="CJ63" s="3293"/>
      <c r="CK63" s="3293"/>
      <c r="CL63" s="3293"/>
    </row>
    <row r="64" spans="1:90" x14ac:dyDescent="0.3">
      <c r="A64" s="7619" t="s">
        <v>4242</v>
      </c>
      <c r="B64" s="5486" t="s">
        <v>4228</v>
      </c>
      <c r="C64" s="5487">
        <f t="shared" ref="C64:C71" si="31">SUM(D64:E64)</f>
        <v>0</v>
      </c>
      <c r="D64" s="5488">
        <f t="shared" ref="D64:E71" si="32">SUM(F64,H64,J64,L64,N64,P64,R64,T64)</f>
        <v>0</v>
      </c>
      <c r="E64" s="5489">
        <f t="shared" si="32"/>
        <v>0</v>
      </c>
      <c r="F64" s="5490"/>
      <c r="G64" s="3080"/>
      <c r="H64" s="5490"/>
      <c r="I64" s="4869"/>
      <c r="J64" s="1760"/>
      <c r="K64" s="771"/>
      <c r="L64" s="5490"/>
      <c r="M64" s="4869"/>
      <c r="N64" s="1760"/>
      <c r="O64" s="771"/>
      <c r="P64" s="5490"/>
      <c r="Q64" s="4869"/>
      <c r="R64" s="1760"/>
      <c r="S64" s="771"/>
      <c r="T64" s="5490"/>
      <c r="U64" s="759"/>
      <c r="V64" s="5490"/>
      <c r="W64" s="771"/>
      <c r="X64" s="965"/>
      <c r="Y64" s="973"/>
      <c r="Z64" s="771"/>
      <c r="AA64" s="965"/>
      <c r="AB64" s="973"/>
      <c r="AC64" s="771"/>
      <c r="AD64" s="965"/>
      <c r="AE64" s="973"/>
      <c r="AF64" s="771"/>
      <c r="AG64" s="965"/>
      <c r="AH64" s="973"/>
      <c r="AI64" s="759"/>
      <c r="AJ64" s="5450"/>
      <c r="AK64" s="2227" t="str">
        <f>$CA64</f>
        <v/>
      </c>
      <c r="AL64" s="6"/>
      <c r="AM64" s="1970"/>
      <c r="AN64" s="1970"/>
      <c r="AO64" s="1970"/>
      <c r="AP64" s="1970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CA64" s="4258" t="str">
        <f>IF(AND($C64&lt;&gt;0,AJ64=""),"* No olvide ingresar la columna Pueblos Originarios, digite CERO si no tiene.  ",IF(AJ64&gt;$C64,"* El número de Pueblos Originarios no puede superar el Total.  ",""))</f>
        <v/>
      </c>
      <c r="CB64" s="2228"/>
      <c r="CC64" s="2228"/>
      <c r="CD64" s="2228"/>
      <c r="CE64" s="6"/>
      <c r="CF64" s="6"/>
      <c r="CG64" s="6"/>
      <c r="CH64" s="6"/>
      <c r="CI64" s="6"/>
      <c r="CJ64" s="6"/>
      <c r="CK64" s="6"/>
      <c r="CL64" s="55">
        <f t="shared" ref="CL64:CL71" si="33">IF(AND($C64&lt;&gt;0,AJ64=""),1,IF(AJ64&gt;$C64,1,0))</f>
        <v>0</v>
      </c>
    </row>
    <row r="65" spans="1:90" x14ac:dyDescent="0.3">
      <c r="A65" s="6885"/>
      <c r="B65" s="4198" t="s">
        <v>4230</v>
      </c>
      <c r="C65" s="303">
        <f t="shared" si="31"/>
        <v>0</v>
      </c>
      <c r="D65" s="210">
        <f t="shared" si="32"/>
        <v>0</v>
      </c>
      <c r="E65" s="3429">
        <f t="shared" si="32"/>
        <v>0</v>
      </c>
      <c r="F65" s="1152"/>
      <c r="G65" s="388"/>
      <c r="H65" s="1152"/>
      <c r="I65" s="1153"/>
      <c r="J65" s="1139"/>
      <c r="K65" s="1140"/>
      <c r="L65" s="1152"/>
      <c r="M65" s="1153"/>
      <c r="N65" s="1139"/>
      <c r="O65" s="1140"/>
      <c r="P65" s="1152"/>
      <c r="Q65" s="1153"/>
      <c r="R65" s="1139"/>
      <c r="S65" s="1140"/>
      <c r="T65" s="1139"/>
      <c r="U65" s="1351"/>
      <c r="V65" s="1330"/>
      <c r="W65" s="1140"/>
      <c r="X65" s="989"/>
      <c r="Y65" s="1031"/>
      <c r="Z65" s="1140"/>
      <c r="AA65" s="989"/>
      <c r="AB65" s="1031"/>
      <c r="AC65" s="1140"/>
      <c r="AD65" s="989"/>
      <c r="AE65" s="1031"/>
      <c r="AF65" s="1140"/>
      <c r="AG65" s="989"/>
      <c r="AH65" s="1031"/>
      <c r="AI65" s="1351"/>
      <c r="AJ65" s="3527"/>
      <c r="AK65" s="2227" t="str">
        <f t="shared" ref="AK65:AK71" si="34">$CA65</f>
        <v/>
      </c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CA65" s="4258" t="str">
        <f t="shared" ref="CA65:CA71" si="35">IF(AND($C65&lt;&gt;0,AJ65=""),"* No olvide ingresar la columna Pueblos Originarios, digite CERO si no tiene.  ",IF(AJ65&gt;$C65,"* El número de Pueblos Originarios no puede superar el Total.  ",""))</f>
        <v/>
      </c>
      <c r="CB65" s="2228"/>
      <c r="CC65" s="2228"/>
      <c r="CD65" s="2228"/>
      <c r="CE65" s="6"/>
      <c r="CF65" s="6"/>
      <c r="CG65" s="6"/>
      <c r="CH65" s="6"/>
      <c r="CI65" s="6"/>
      <c r="CJ65" s="6"/>
      <c r="CK65" s="6"/>
      <c r="CL65" s="55">
        <f t="shared" si="33"/>
        <v>0</v>
      </c>
    </row>
    <row r="66" spans="1:90" x14ac:dyDescent="0.3">
      <c r="A66" s="7619" t="s">
        <v>4243</v>
      </c>
      <c r="B66" s="4875" t="s">
        <v>4228</v>
      </c>
      <c r="C66" s="5487">
        <f t="shared" si="31"/>
        <v>0</v>
      </c>
      <c r="D66" s="5488">
        <f t="shared" si="32"/>
        <v>0</v>
      </c>
      <c r="E66" s="5489">
        <f t="shared" si="32"/>
        <v>0</v>
      </c>
      <c r="F66" s="4610"/>
      <c r="G66" s="42"/>
      <c r="H66" s="4610"/>
      <c r="I66" s="3181"/>
      <c r="J66" s="47"/>
      <c r="K66" s="95"/>
      <c r="L66" s="4610"/>
      <c r="M66" s="3181"/>
      <c r="N66" s="47"/>
      <c r="O66" s="95"/>
      <c r="P66" s="4610"/>
      <c r="Q66" s="3181"/>
      <c r="R66" s="47"/>
      <c r="S66" s="95"/>
      <c r="T66" s="4610"/>
      <c r="U66" s="4612"/>
      <c r="V66" s="4610"/>
      <c r="W66" s="95"/>
      <c r="X66" s="327"/>
      <c r="Y66" s="1039"/>
      <c r="Z66" s="95"/>
      <c r="AA66" s="327"/>
      <c r="AB66" s="1039"/>
      <c r="AC66" s="95"/>
      <c r="AD66" s="327"/>
      <c r="AE66" s="1039"/>
      <c r="AF66" s="95"/>
      <c r="AG66" s="327"/>
      <c r="AH66" s="1039"/>
      <c r="AI66" s="4612"/>
      <c r="AJ66" s="5491"/>
      <c r="AK66" s="2227" t="str">
        <f t="shared" si="34"/>
        <v/>
      </c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CA66" s="4258" t="str">
        <f t="shared" si="35"/>
        <v/>
      </c>
      <c r="CB66" s="2228"/>
      <c r="CC66" s="2228"/>
      <c r="CD66" s="2228"/>
      <c r="CE66" s="6"/>
      <c r="CF66" s="6"/>
      <c r="CG66" s="6"/>
      <c r="CH66" s="6"/>
      <c r="CI66" s="6"/>
      <c r="CJ66" s="6"/>
      <c r="CK66" s="6"/>
      <c r="CL66" s="55">
        <f t="shared" si="33"/>
        <v>0</v>
      </c>
    </row>
    <row r="67" spans="1:90" x14ac:dyDescent="0.3">
      <c r="A67" s="7646"/>
      <c r="B67" s="1187" t="s">
        <v>1035</v>
      </c>
      <c r="C67" s="231">
        <f t="shared" si="31"/>
        <v>0</v>
      </c>
      <c r="D67" s="41">
        <f t="shared" si="32"/>
        <v>0</v>
      </c>
      <c r="E67" s="141">
        <f t="shared" si="32"/>
        <v>0</v>
      </c>
      <c r="F67" s="482"/>
      <c r="G67" s="2"/>
      <c r="H67" s="482"/>
      <c r="I67" s="1123"/>
      <c r="J67" s="192"/>
      <c r="K67" s="383"/>
      <c r="L67" s="482"/>
      <c r="M67" s="1123"/>
      <c r="N67" s="192"/>
      <c r="O67" s="383"/>
      <c r="P67" s="482"/>
      <c r="Q67" s="1123"/>
      <c r="R67" s="192"/>
      <c r="S67" s="383"/>
      <c r="T67" s="482"/>
      <c r="U67" s="384"/>
      <c r="V67" s="482"/>
      <c r="W67" s="383"/>
      <c r="X67" s="965"/>
      <c r="Y67" s="973"/>
      <c r="Z67" s="383"/>
      <c r="AA67" s="965"/>
      <c r="AB67" s="973"/>
      <c r="AC67" s="383"/>
      <c r="AD67" s="965"/>
      <c r="AE67" s="973"/>
      <c r="AF67" s="383"/>
      <c r="AG67" s="965"/>
      <c r="AH67" s="973"/>
      <c r="AI67" s="384"/>
      <c r="AJ67" s="4866"/>
      <c r="AK67" s="2227" t="str">
        <f t="shared" si="34"/>
        <v/>
      </c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CA67" s="4258" t="str">
        <f t="shared" si="35"/>
        <v/>
      </c>
      <c r="CB67" s="2228"/>
      <c r="CC67" s="2228"/>
      <c r="CD67" s="2228"/>
      <c r="CE67" s="6"/>
      <c r="CF67" s="6"/>
      <c r="CG67" s="6"/>
      <c r="CH67" s="6"/>
      <c r="CI67" s="6"/>
      <c r="CJ67" s="6"/>
      <c r="CK67" s="6"/>
      <c r="CL67" s="55">
        <f t="shared" si="33"/>
        <v>0</v>
      </c>
    </row>
    <row r="68" spans="1:90" x14ac:dyDescent="0.3">
      <c r="A68" s="6885"/>
      <c r="B68" s="3190" t="s">
        <v>4229</v>
      </c>
      <c r="C68" s="1121">
        <f t="shared" si="31"/>
        <v>0</v>
      </c>
      <c r="D68" s="5492">
        <f t="shared" si="32"/>
        <v>0</v>
      </c>
      <c r="E68" s="3429">
        <f t="shared" si="32"/>
        <v>0</v>
      </c>
      <c r="F68" s="1139"/>
      <c r="G68" s="388"/>
      <c r="H68" s="1152"/>
      <c r="I68" s="1153"/>
      <c r="J68" s="1139"/>
      <c r="K68" s="1140"/>
      <c r="L68" s="1152"/>
      <c r="M68" s="1153"/>
      <c r="N68" s="1139"/>
      <c r="O68" s="1140"/>
      <c r="P68" s="1152"/>
      <c r="Q68" s="1153"/>
      <c r="R68" s="1139"/>
      <c r="S68" s="1140"/>
      <c r="T68" s="1152"/>
      <c r="U68" s="1351"/>
      <c r="V68" s="1152"/>
      <c r="W68" s="1140"/>
      <c r="X68" s="989"/>
      <c r="Y68" s="1031"/>
      <c r="Z68" s="1140"/>
      <c r="AA68" s="989"/>
      <c r="AB68" s="1031"/>
      <c r="AC68" s="1140"/>
      <c r="AD68" s="989"/>
      <c r="AE68" s="1031"/>
      <c r="AF68" s="1140"/>
      <c r="AG68" s="989"/>
      <c r="AH68" s="1031"/>
      <c r="AI68" s="1351"/>
      <c r="AJ68" s="1280"/>
      <c r="AK68" s="2227" t="str">
        <f t="shared" si="34"/>
        <v/>
      </c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CA68" s="4258" t="str">
        <f t="shared" si="35"/>
        <v/>
      </c>
      <c r="CB68" s="2228"/>
      <c r="CC68" s="2228"/>
      <c r="CD68" s="2228"/>
      <c r="CE68" s="6"/>
      <c r="CF68" s="6"/>
      <c r="CG68" s="6"/>
      <c r="CH68" s="6"/>
      <c r="CI68" s="6"/>
      <c r="CJ68" s="6"/>
      <c r="CK68" s="6"/>
      <c r="CL68" s="55">
        <f t="shared" si="33"/>
        <v>0</v>
      </c>
    </row>
    <row r="69" spans="1:90" x14ac:dyDescent="0.3">
      <c r="A69" s="7567" t="s">
        <v>4244</v>
      </c>
      <c r="B69" s="4875" t="s">
        <v>4228</v>
      </c>
      <c r="C69" s="5493">
        <f t="shared" si="31"/>
        <v>0</v>
      </c>
      <c r="D69" s="5494">
        <f>SUM(F69,H69,J69,L69,N69,P69,R69,T69)</f>
        <v>0</v>
      </c>
      <c r="E69" s="5489">
        <f t="shared" si="32"/>
        <v>0</v>
      </c>
      <c r="F69" s="5474"/>
      <c r="G69" s="905"/>
      <c r="H69" s="5474"/>
      <c r="I69" s="905"/>
      <c r="J69" s="5474"/>
      <c r="K69" s="905"/>
      <c r="L69" s="5474"/>
      <c r="M69" s="905"/>
      <c r="N69" s="5474"/>
      <c r="O69" s="905"/>
      <c r="P69" s="5474"/>
      <c r="Q69" s="905"/>
      <c r="R69" s="5474"/>
      <c r="S69" s="905"/>
      <c r="T69" s="5474"/>
      <c r="U69" s="1026"/>
      <c r="V69" s="4610"/>
      <c r="W69" s="95"/>
      <c r="X69" s="327"/>
      <c r="Y69" s="1039"/>
      <c r="Z69" s="95"/>
      <c r="AA69" s="327"/>
      <c r="AB69" s="1039"/>
      <c r="AC69" s="95"/>
      <c r="AD69" s="327"/>
      <c r="AE69" s="1039"/>
      <c r="AF69" s="95"/>
      <c r="AG69" s="327"/>
      <c r="AH69" s="1039"/>
      <c r="AI69" s="4612"/>
      <c r="AJ69" s="42"/>
      <c r="AK69" s="2227" t="str">
        <f t="shared" si="34"/>
        <v/>
      </c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CA69" s="4258" t="str">
        <f t="shared" si="35"/>
        <v/>
      </c>
      <c r="CB69" s="2228"/>
      <c r="CC69" s="2228"/>
      <c r="CD69" s="2228"/>
      <c r="CE69" s="6"/>
      <c r="CF69" s="6"/>
      <c r="CG69" s="6"/>
      <c r="CH69" s="6"/>
      <c r="CI69" s="6"/>
      <c r="CJ69" s="6"/>
      <c r="CK69" s="6"/>
      <c r="CL69" s="55">
        <f t="shared" si="33"/>
        <v>0</v>
      </c>
    </row>
    <row r="70" spans="1:90" x14ac:dyDescent="0.3">
      <c r="A70" s="7567"/>
      <c r="B70" s="1187" t="s">
        <v>1035</v>
      </c>
      <c r="C70" s="5007">
        <f t="shared" si="31"/>
        <v>0</v>
      </c>
      <c r="D70" s="1207">
        <f>SUM(F70,H70,J70,L70,N70,P70,R70,T70,)</f>
        <v>0</v>
      </c>
      <c r="E70" s="141">
        <f t="shared" si="32"/>
        <v>0</v>
      </c>
      <c r="F70" s="968"/>
      <c r="G70" s="967"/>
      <c r="H70" s="968"/>
      <c r="I70" s="967"/>
      <c r="J70" s="968"/>
      <c r="K70" s="967"/>
      <c r="L70" s="968"/>
      <c r="M70" s="967"/>
      <c r="N70" s="968"/>
      <c r="O70" s="967"/>
      <c r="P70" s="968"/>
      <c r="Q70" s="967"/>
      <c r="R70" s="968"/>
      <c r="S70" s="967"/>
      <c r="T70" s="968"/>
      <c r="U70" s="971"/>
      <c r="V70" s="482"/>
      <c r="W70" s="383"/>
      <c r="X70" s="965"/>
      <c r="Y70" s="973"/>
      <c r="Z70" s="383"/>
      <c r="AA70" s="965"/>
      <c r="AB70" s="973"/>
      <c r="AC70" s="383"/>
      <c r="AD70" s="965"/>
      <c r="AE70" s="973"/>
      <c r="AF70" s="383"/>
      <c r="AG70" s="965"/>
      <c r="AH70" s="973"/>
      <c r="AI70" s="384"/>
      <c r="AJ70" s="2"/>
      <c r="AK70" s="2227" t="str">
        <f t="shared" si="34"/>
        <v/>
      </c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CA70" s="4258" t="str">
        <f t="shared" si="35"/>
        <v/>
      </c>
      <c r="CB70" s="2228"/>
      <c r="CC70" s="2228"/>
      <c r="CD70" s="2228"/>
      <c r="CE70" s="6"/>
      <c r="CF70" s="6"/>
      <c r="CG70" s="6"/>
      <c r="CH70" s="6"/>
      <c r="CI70" s="6"/>
      <c r="CJ70" s="6"/>
      <c r="CK70" s="6"/>
      <c r="CL70" s="55">
        <f t="shared" si="33"/>
        <v>0</v>
      </c>
    </row>
    <row r="71" spans="1:90" x14ac:dyDescent="0.3">
      <c r="A71" s="7671"/>
      <c r="B71" s="5495" t="s">
        <v>4229</v>
      </c>
      <c r="C71" s="1225">
        <f t="shared" si="31"/>
        <v>0</v>
      </c>
      <c r="D71" s="1211">
        <f>SUM(F71,H71,J71,L71,N71,P71,R71,T71,)</f>
        <v>0</v>
      </c>
      <c r="E71" s="3429">
        <f t="shared" si="32"/>
        <v>0</v>
      </c>
      <c r="F71" s="989"/>
      <c r="G71" s="990"/>
      <c r="H71" s="991"/>
      <c r="I71" s="990"/>
      <c r="J71" s="991"/>
      <c r="K71" s="990"/>
      <c r="L71" s="991"/>
      <c r="M71" s="990"/>
      <c r="N71" s="991"/>
      <c r="O71" s="990"/>
      <c r="P71" s="991"/>
      <c r="Q71" s="990"/>
      <c r="R71" s="991"/>
      <c r="S71" s="990"/>
      <c r="T71" s="991"/>
      <c r="U71" s="994"/>
      <c r="V71" s="1152"/>
      <c r="W71" s="1140"/>
      <c r="X71" s="989"/>
      <c r="Y71" s="1031"/>
      <c r="Z71" s="1140"/>
      <c r="AA71" s="989"/>
      <c r="AB71" s="1031"/>
      <c r="AC71" s="1140"/>
      <c r="AD71" s="989"/>
      <c r="AE71" s="1031"/>
      <c r="AF71" s="1140"/>
      <c r="AG71" s="989"/>
      <c r="AH71" s="1031"/>
      <c r="AI71" s="1351"/>
      <c r="AJ71" s="388"/>
      <c r="AK71" s="2227" t="str">
        <f t="shared" si="34"/>
        <v/>
      </c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CA71" s="4258" t="str">
        <f t="shared" si="35"/>
        <v/>
      </c>
      <c r="CB71" s="2228"/>
      <c r="CC71" s="2228"/>
      <c r="CD71" s="2228"/>
      <c r="CE71" s="6"/>
      <c r="CF71" s="6"/>
      <c r="CG71" s="6"/>
      <c r="CH71" s="6"/>
      <c r="CI71" s="6"/>
      <c r="CJ71" s="6"/>
      <c r="CK71" s="6"/>
      <c r="CL71" s="55">
        <f t="shared" si="33"/>
        <v>0</v>
      </c>
    </row>
    <row r="72" spans="1:90" ht="17.100000000000001" customHeight="1" x14ac:dyDescent="0.3">
      <c r="A72" s="1" t="s">
        <v>4245</v>
      </c>
      <c r="B72" s="11"/>
      <c r="C72" s="5405"/>
      <c r="D72" s="5405"/>
      <c r="E72" s="5405"/>
      <c r="F72" s="5405"/>
      <c r="G72" s="5405"/>
      <c r="H72" s="5405"/>
      <c r="I72" s="5405"/>
      <c r="J72" s="5405"/>
      <c r="K72" s="5405"/>
      <c r="L72" s="5405"/>
      <c r="M72" s="5405"/>
      <c r="N72" s="5405"/>
      <c r="O72" s="5405"/>
      <c r="P72" s="5405"/>
      <c r="Q72" s="5405"/>
      <c r="R72" s="5405"/>
      <c r="S72" s="5405"/>
      <c r="T72" s="5405"/>
      <c r="U72" s="5405"/>
      <c r="V72" s="5405"/>
      <c r="W72" s="5405"/>
      <c r="X72" s="5405"/>
      <c r="Y72" s="5405"/>
      <c r="Z72" s="5405"/>
      <c r="AA72" s="5405"/>
      <c r="AB72" s="5405"/>
      <c r="AC72" s="5405"/>
      <c r="AD72" s="5405"/>
      <c r="AE72" s="5405"/>
      <c r="AF72" s="5405"/>
      <c r="AG72" s="5405"/>
      <c r="AH72" s="5405"/>
      <c r="AI72" s="5405"/>
      <c r="AJ72" s="5405"/>
      <c r="AK72" s="5405"/>
      <c r="AL72" s="5405"/>
      <c r="AM72" s="5405"/>
      <c r="AV72" s="3293"/>
      <c r="AW72" s="3293"/>
      <c r="AX72" s="3293"/>
      <c r="AY72" s="3293"/>
      <c r="BA72" s="3293"/>
      <c r="BB72" s="3293"/>
      <c r="BC72" s="3293"/>
      <c r="BD72" s="3293"/>
      <c r="BE72" s="3293"/>
      <c r="BF72" s="3293"/>
      <c r="BG72" s="3293"/>
      <c r="BH72" s="3293"/>
      <c r="BI72" s="3293"/>
      <c r="BJ72" s="3293"/>
      <c r="BK72" s="3293"/>
      <c r="BL72" s="3293"/>
      <c r="BM72" s="3293"/>
      <c r="BN72" s="3293"/>
      <c r="BO72" s="3293"/>
      <c r="BP72" s="3293"/>
      <c r="BQ72" s="3293"/>
      <c r="BR72" s="3293"/>
      <c r="BS72" s="3293"/>
      <c r="BT72" s="3293"/>
      <c r="BU72" s="3293"/>
      <c r="BV72" s="3293"/>
      <c r="BW72" s="3293"/>
      <c r="BX72" s="3293"/>
      <c r="BY72" s="3293"/>
      <c r="BZ72" s="3293"/>
      <c r="CA72" s="3293"/>
      <c r="CE72" s="3293"/>
      <c r="CF72" s="3293"/>
      <c r="CG72" s="3293"/>
      <c r="CH72" s="3293"/>
      <c r="CI72" s="3293"/>
      <c r="CJ72" s="3293"/>
      <c r="CK72" s="3293"/>
      <c r="CL72" s="3293"/>
    </row>
    <row r="73" spans="1:90" x14ac:dyDescent="0.3">
      <c r="A73" s="7699" t="s">
        <v>4246</v>
      </c>
      <c r="B73" s="7699" t="s">
        <v>1159</v>
      </c>
      <c r="C73" s="7699" t="s">
        <v>2520</v>
      </c>
      <c r="D73" s="7700" t="s">
        <v>2521</v>
      </c>
      <c r="E73" s="7702" t="s">
        <v>4224</v>
      </c>
      <c r="F73" s="7702"/>
      <c r="G73" s="7702"/>
      <c r="H73" s="7702"/>
      <c r="I73" s="7680"/>
      <c r="J73" s="5405"/>
      <c r="K73" s="5405"/>
      <c r="L73" s="5405"/>
      <c r="M73" s="5405"/>
      <c r="N73" s="5405"/>
      <c r="O73" s="5405"/>
      <c r="P73" s="5405"/>
      <c r="Q73" s="5405"/>
      <c r="R73" s="5405"/>
      <c r="S73" s="5405"/>
      <c r="T73" s="5405"/>
      <c r="U73" s="5405"/>
      <c r="V73" s="5405"/>
      <c r="W73" s="5405"/>
      <c r="X73" s="5405"/>
      <c r="Y73" s="5405"/>
      <c r="Z73" s="5405"/>
      <c r="AA73" s="5405"/>
      <c r="AB73" s="5405"/>
      <c r="AC73" s="5405"/>
      <c r="AD73" s="5405"/>
      <c r="AE73" s="5405"/>
      <c r="AF73" s="5405"/>
      <c r="AG73" s="5405"/>
      <c r="AH73" s="5405"/>
      <c r="AI73" s="5405"/>
      <c r="AJ73" s="5405"/>
      <c r="AK73" s="5405"/>
      <c r="AL73" s="5405"/>
      <c r="AM73" s="5405"/>
      <c r="AV73" s="3293"/>
      <c r="AW73" s="3293"/>
      <c r="AX73" s="3293"/>
      <c r="AY73" s="3293"/>
      <c r="BA73" s="3293"/>
      <c r="BB73" s="3293"/>
      <c r="BC73" s="3293"/>
      <c r="BD73" s="3293"/>
      <c r="BE73" s="3293"/>
      <c r="BF73" s="3293"/>
      <c r="BG73" s="3293"/>
      <c r="BH73" s="3293"/>
      <c r="BI73" s="3293"/>
      <c r="BJ73" s="3293"/>
      <c r="BK73" s="3293"/>
      <c r="BL73" s="3293"/>
      <c r="BM73" s="3293"/>
      <c r="BN73" s="3293"/>
      <c r="BO73" s="3293"/>
      <c r="BP73" s="3293"/>
      <c r="BQ73" s="3293"/>
      <c r="BR73" s="3293"/>
      <c r="BS73" s="3293"/>
      <c r="BT73" s="3293"/>
      <c r="BU73" s="3293"/>
      <c r="BV73" s="3293"/>
      <c r="BW73" s="3293"/>
      <c r="BX73" s="3293"/>
      <c r="BY73" s="3293"/>
      <c r="BZ73" s="3293"/>
      <c r="CA73" s="3293"/>
      <c r="CE73" s="3293"/>
      <c r="CF73" s="3293"/>
      <c r="CG73" s="3293"/>
      <c r="CH73" s="3293"/>
      <c r="CI73" s="3293"/>
      <c r="CJ73" s="3293"/>
      <c r="CK73" s="3293"/>
      <c r="CL73" s="3293"/>
    </row>
    <row r="74" spans="1:90" ht="63.75" customHeight="1" x14ac:dyDescent="0.3">
      <c r="A74" s="6664"/>
      <c r="B74" s="6664"/>
      <c r="C74" s="6664"/>
      <c r="D74" s="7701"/>
      <c r="E74" s="5496" t="s">
        <v>4211</v>
      </c>
      <c r="F74" s="5497" t="s">
        <v>4212</v>
      </c>
      <c r="G74" s="5497" t="s">
        <v>4216</v>
      </c>
      <c r="H74" s="5497" t="s">
        <v>4219</v>
      </c>
      <c r="I74" s="5498" t="s">
        <v>4226</v>
      </c>
      <c r="J74" s="3293"/>
      <c r="K74" s="164"/>
      <c r="L74" s="164"/>
      <c r="M74" s="3293"/>
      <c r="N74" s="164"/>
      <c r="O74" s="164"/>
      <c r="P74" s="3293"/>
      <c r="Q74" s="5499"/>
      <c r="R74" s="5499"/>
      <c r="S74" s="151"/>
      <c r="T74" s="151"/>
      <c r="U74" s="151"/>
      <c r="V74" s="151"/>
      <c r="W74" s="151"/>
      <c r="X74" s="151"/>
      <c r="Y74" s="151"/>
      <c r="Z74" s="151"/>
      <c r="AA74" s="151"/>
      <c r="AB74" s="151"/>
      <c r="AC74" s="151"/>
      <c r="AD74" s="151"/>
      <c r="AE74" s="151"/>
      <c r="AF74" s="151"/>
      <c r="AG74" s="151"/>
      <c r="AH74" s="151"/>
      <c r="AI74" s="151"/>
      <c r="AJ74" s="151"/>
      <c r="AK74" s="151"/>
      <c r="AL74" s="151"/>
      <c r="AM74" s="151"/>
      <c r="AV74" s="3293"/>
      <c r="AW74" s="3293"/>
      <c r="AX74" s="3293"/>
      <c r="AY74" s="3293"/>
      <c r="BA74" s="3293"/>
      <c r="BB74" s="3293"/>
      <c r="BC74" s="3293"/>
      <c r="BD74" s="3293"/>
      <c r="BE74" s="3293"/>
      <c r="BF74" s="3293"/>
      <c r="BG74" s="3293"/>
      <c r="BH74" s="3293"/>
      <c r="BI74" s="3293"/>
      <c r="BJ74" s="3293"/>
      <c r="BK74" s="3293"/>
      <c r="BL74" s="3293"/>
      <c r="BM74" s="3293"/>
      <c r="BN74" s="3293"/>
      <c r="BO74" s="3293"/>
      <c r="BP74" s="3293"/>
      <c r="BQ74" s="3293"/>
      <c r="BR74" s="3293"/>
      <c r="BS74" s="3293"/>
      <c r="BT74" s="3293"/>
      <c r="BU74" s="3293"/>
      <c r="BV74" s="3293"/>
      <c r="BW74" s="3293"/>
      <c r="BX74" s="3293"/>
      <c r="BY74" s="3293"/>
      <c r="BZ74" s="3293"/>
      <c r="CA74" s="3293"/>
      <c r="CE74" s="3293"/>
      <c r="CF74" s="3293"/>
      <c r="CG74" s="3293"/>
      <c r="CH74" s="3293"/>
      <c r="CI74" s="3293"/>
      <c r="CJ74" s="3293"/>
      <c r="CK74" s="3293"/>
      <c r="CL74" s="3293"/>
    </row>
    <row r="75" spans="1:90" ht="12.75" customHeight="1" x14ac:dyDescent="0.3">
      <c r="A75" s="7699" t="s">
        <v>1068</v>
      </c>
      <c r="B75" s="5486" t="s">
        <v>4228</v>
      </c>
      <c r="C75" s="5500"/>
      <c r="D75" s="5501"/>
      <c r="E75" s="5502"/>
      <c r="F75" s="960"/>
      <c r="G75" s="960"/>
      <c r="H75" s="960"/>
      <c r="I75" s="5481"/>
      <c r="J75" s="164"/>
      <c r="K75" s="164"/>
      <c r="L75" s="164"/>
      <c r="M75" s="164"/>
      <c r="N75" s="164"/>
      <c r="O75" s="164"/>
      <c r="P75" s="5499"/>
      <c r="Q75" s="5499"/>
      <c r="R75" s="5499"/>
      <c r="S75" s="151"/>
      <c r="T75" s="151"/>
      <c r="U75" s="151"/>
      <c r="V75" s="151"/>
      <c r="W75" s="151"/>
      <c r="X75" s="151"/>
      <c r="Y75" s="151"/>
      <c r="Z75" s="151"/>
      <c r="AA75" s="151"/>
      <c r="AB75" s="151"/>
      <c r="AC75" s="151"/>
      <c r="AD75" s="151"/>
      <c r="AE75" s="151"/>
      <c r="AF75" s="151"/>
      <c r="AG75" s="151"/>
      <c r="AH75" s="151"/>
      <c r="AI75" s="151"/>
      <c r="AJ75" s="151"/>
      <c r="AK75" s="151"/>
      <c r="AV75" s="3293"/>
      <c r="AW75" s="3293"/>
      <c r="AX75" s="3293"/>
      <c r="AY75" s="3293"/>
      <c r="BA75" s="3293"/>
      <c r="BB75" s="3293"/>
      <c r="BC75" s="3293"/>
      <c r="BD75" s="3293"/>
      <c r="BE75" s="3293"/>
      <c r="BF75" s="3293"/>
      <c r="BG75" s="3293"/>
      <c r="BH75" s="3293"/>
      <c r="BI75" s="3293"/>
      <c r="BJ75" s="3293"/>
      <c r="BK75" s="3293"/>
      <c r="BL75" s="3293"/>
      <c r="BM75" s="3293"/>
      <c r="BN75" s="3293"/>
      <c r="BO75" s="3293"/>
      <c r="BP75" s="3293"/>
      <c r="BQ75" s="3293"/>
      <c r="BR75" s="3293"/>
      <c r="BS75" s="3293"/>
      <c r="BT75" s="3293"/>
      <c r="BU75" s="3293"/>
      <c r="BV75" s="3293"/>
      <c r="BW75" s="3293"/>
      <c r="BX75" s="3293"/>
      <c r="BY75" s="3293"/>
      <c r="BZ75" s="3293"/>
      <c r="CA75" s="3293"/>
      <c r="CE75" s="3293"/>
      <c r="CF75" s="3293"/>
      <c r="CG75" s="3293"/>
      <c r="CH75" s="3293"/>
      <c r="CI75" s="3293"/>
      <c r="CJ75" s="3293"/>
      <c r="CK75" s="3293"/>
      <c r="CL75" s="3293"/>
    </row>
    <row r="76" spans="1:90" x14ac:dyDescent="0.3">
      <c r="A76" s="7699"/>
      <c r="B76" s="4198" t="s">
        <v>4230</v>
      </c>
      <c r="C76" s="4192"/>
      <c r="D76" s="4230"/>
      <c r="E76" s="1017"/>
      <c r="F76" s="1018"/>
      <c r="G76" s="1018"/>
      <c r="H76" s="1018"/>
      <c r="I76" s="34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  <c r="AA76" s="151"/>
      <c r="AB76" s="151"/>
      <c r="AC76" s="151"/>
      <c r="AD76" s="151"/>
      <c r="AE76" s="151"/>
      <c r="AF76" s="151"/>
      <c r="AG76" s="151"/>
      <c r="AH76" s="151"/>
      <c r="AI76" s="151"/>
      <c r="AJ76" s="151"/>
      <c r="AK76" s="151"/>
      <c r="AV76" s="3293"/>
      <c r="AW76" s="3293"/>
      <c r="AX76" s="3293"/>
      <c r="AY76" s="3293"/>
      <c r="BA76" s="3293"/>
      <c r="BB76" s="3293"/>
      <c r="BC76" s="3293"/>
      <c r="BD76" s="3293"/>
      <c r="BE76" s="3293"/>
      <c r="BF76" s="3293"/>
      <c r="BG76" s="3293"/>
      <c r="BH76" s="3293"/>
      <c r="BI76" s="3293"/>
      <c r="BJ76" s="3293"/>
      <c r="BK76" s="3293"/>
      <c r="BL76" s="3293"/>
      <c r="BM76" s="3293"/>
      <c r="BN76" s="3293"/>
      <c r="BO76" s="3293"/>
      <c r="BP76" s="3293"/>
      <c r="BQ76" s="3293"/>
      <c r="BR76" s="3293"/>
      <c r="BS76" s="3293"/>
      <c r="BT76" s="3293"/>
      <c r="BU76" s="3293"/>
      <c r="BV76" s="3293"/>
      <c r="BW76" s="3293"/>
      <c r="BX76" s="3293"/>
      <c r="BY76" s="3293"/>
      <c r="BZ76" s="3293"/>
      <c r="CA76" s="3293"/>
      <c r="CE76" s="3293"/>
      <c r="CF76" s="3293"/>
      <c r="CG76" s="3293"/>
      <c r="CH76" s="3293"/>
      <c r="CI76" s="3293"/>
      <c r="CJ76" s="3293"/>
      <c r="CK76" s="3293"/>
      <c r="CL76" s="3293"/>
    </row>
    <row r="77" spans="1:90" x14ac:dyDescent="0.3">
      <c r="A77" s="7699" t="s">
        <v>1067</v>
      </c>
      <c r="B77" s="5486" t="s">
        <v>4228</v>
      </c>
      <c r="C77" s="5500"/>
      <c r="D77" s="5501"/>
      <c r="E77" s="5502"/>
      <c r="F77" s="960"/>
      <c r="G77" s="960"/>
      <c r="H77" s="960"/>
      <c r="I77" s="548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1"/>
      <c r="W77" s="151"/>
      <c r="X77" s="151"/>
      <c r="Y77" s="151"/>
      <c r="Z77" s="151"/>
      <c r="AA77" s="151"/>
      <c r="AB77" s="151"/>
      <c r="AC77" s="151"/>
      <c r="AD77" s="151"/>
      <c r="AE77" s="151"/>
      <c r="AF77" s="151"/>
      <c r="AG77" s="151"/>
      <c r="AH77" s="151"/>
      <c r="AI77" s="151"/>
      <c r="AJ77" s="151"/>
      <c r="AK77" s="151"/>
      <c r="AV77" s="3293"/>
      <c r="AW77" s="3293"/>
      <c r="AX77" s="3293"/>
      <c r="AY77" s="3293"/>
      <c r="BA77" s="3293"/>
      <c r="BB77" s="3293"/>
      <c r="BC77" s="3293"/>
      <c r="BD77" s="3293"/>
      <c r="BE77" s="3293"/>
      <c r="BF77" s="3293"/>
      <c r="BG77" s="3293"/>
      <c r="BH77" s="3293"/>
      <c r="BI77" s="3293"/>
      <c r="BJ77" s="3293"/>
      <c r="BK77" s="3293"/>
      <c r="BL77" s="3293"/>
      <c r="BM77" s="3293"/>
      <c r="BN77" s="3293"/>
      <c r="BO77" s="3293"/>
      <c r="BP77" s="3293"/>
      <c r="BQ77" s="3293"/>
      <c r="BR77" s="3293"/>
      <c r="BS77" s="3293"/>
      <c r="BT77" s="3293"/>
      <c r="BU77" s="3293"/>
      <c r="BV77" s="3293"/>
      <c r="BW77" s="3293"/>
      <c r="BX77" s="3293"/>
      <c r="BY77" s="3293"/>
      <c r="BZ77" s="3293"/>
      <c r="CA77" s="3293"/>
      <c r="CE77" s="3293"/>
      <c r="CF77" s="3293"/>
      <c r="CG77" s="3293"/>
      <c r="CH77" s="3293"/>
      <c r="CI77" s="3293"/>
      <c r="CJ77" s="3293"/>
      <c r="CK77" s="3293"/>
      <c r="CL77" s="3293"/>
    </row>
    <row r="78" spans="1:90" x14ac:dyDescent="0.3">
      <c r="A78" s="7703"/>
      <c r="B78" s="1138" t="s">
        <v>4230</v>
      </c>
      <c r="C78" s="1295"/>
      <c r="D78" s="5503"/>
      <c r="E78" s="1030"/>
      <c r="F78" s="1031"/>
      <c r="G78" s="1031"/>
      <c r="H78" s="1031"/>
      <c r="I78" s="877"/>
      <c r="J78" s="151"/>
      <c r="K78" s="151"/>
      <c r="L78" s="151"/>
      <c r="M78" s="151"/>
      <c r="N78" s="151"/>
      <c r="O78" s="151"/>
      <c r="P78" s="151"/>
      <c r="Q78" s="151"/>
      <c r="R78" s="151"/>
      <c r="S78" s="151"/>
      <c r="T78" s="151"/>
      <c r="U78" s="151"/>
      <c r="V78" s="151"/>
      <c r="W78" s="151"/>
      <c r="X78" s="151"/>
      <c r="Y78" s="151"/>
      <c r="Z78" s="151"/>
      <c r="AA78" s="151"/>
      <c r="AB78" s="151"/>
      <c r="AC78" s="151"/>
      <c r="AD78" s="151"/>
      <c r="AE78" s="151"/>
      <c r="AF78" s="151"/>
      <c r="AG78" s="151"/>
      <c r="AH78" s="151"/>
      <c r="AI78" s="151"/>
      <c r="AJ78" s="151"/>
      <c r="AK78" s="151"/>
      <c r="AV78" s="3293"/>
      <c r="AW78" s="3293"/>
      <c r="AX78" s="3293"/>
      <c r="AY78" s="3293"/>
      <c r="BA78" s="3293"/>
      <c r="BB78" s="3293"/>
      <c r="BC78" s="3293"/>
      <c r="BD78" s="3293"/>
      <c r="BE78" s="3293"/>
      <c r="BF78" s="3293"/>
      <c r="BG78" s="3293"/>
      <c r="BH78" s="3293"/>
      <c r="BI78" s="3293"/>
      <c r="BJ78" s="3293"/>
      <c r="BK78" s="3293"/>
      <c r="BL78" s="3293"/>
      <c r="BM78" s="3293"/>
      <c r="BN78" s="3293"/>
      <c r="BO78" s="3293"/>
      <c r="BP78" s="3293"/>
      <c r="BQ78" s="3293"/>
      <c r="BR78" s="3293"/>
      <c r="BS78" s="3293"/>
      <c r="BT78" s="3293"/>
      <c r="BU78" s="3293"/>
      <c r="BV78" s="3293"/>
      <c r="BW78" s="3293"/>
      <c r="BX78" s="3293"/>
      <c r="BY78" s="3293"/>
      <c r="BZ78" s="3293"/>
      <c r="CA78" s="3293"/>
      <c r="CE78" s="3293"/>
      <c r="CF78" s="3293"/>
      <c r="CG78" s="3293"/>
      <c r="CH78" s="3293"/>
      <c r="CI78" s="3293"/>
      <c r="CJ78" s="3293"/>
      <c r="CK78" s="3293"/>
      <c r="CL78" s="3293"/>
    </row>
    <row r="79" spans="1:90" x14ac:dyDescent="0.3">
      <c r="A79" s="7704" t="s">
        <v>1041</v>
      </c>
      <c r="B79" s="3583" t="s">
        <v>1035</v>
      </c>
      <c r="C79" s="2070"/>
      <c r="D79" s="3427"/>
      <c r="E79" s="337"/>
      <c r="F79" s="1039"/>
      <c r="G79" s="1039"/>
      <c r="H79" s="1039"/>
      <c r="I79" s="142"/>
      <c r="J79" s="151"/>
      <c r="K79" s="151"/>
      <c r="L79" s="151"/>
      <c r="M79" s="151"/>
      <c r="N79" s="151"/>
      <c r="O79" s="151"/>
      <c r="P79" s="151"/>
      <c r="Q79" s="151"/>
      <c r="R79" s="151"/>
      <c r="S79" s="151"/>
      <c r="T79" s="151"/>
      <c r="U79" s="151"/>
      <c r="V79" s="151"/>
      <c r="W79" s="151"/>
      <c r="X79" s="151"/>
      <c r="Y79" s="151"/>
      <c r="Z79" s="151"/>
      <c r="AA79" s="151"/>
      <c r="AB79" s="151"/>
      <c r="AC79" s="151"/>
      <c r="AD79" s="151"/>
      <c r="AE79" s="151"/>
      <c r="AF79" s="151"/>
      <c r="AG79" s="151"/>
      <c r="AH79" s="151"/>
      <c r="AI79" s="151"/>
      <c r="AJ79" s="151"/>
      <c r="AK79" s="151"/>
      <c r="AV79" s="3293"/>
      <c r="AW79" s="3293"/>
      <c r="AX79" s="3293"/>
      <c r="AY79" s="3293"/>
      <c r="BA79" s="3293"/>
      <c r="BB79" s="3293"/>
      <c r="BC79" s="3293"/>
      <c r="BD79" s="3293"/>
      <c r="BE79" s="3293"/>
      <c r="BF79" s="3293"/>
      <c r="BG79" s="3293"/>
      <c r="BH79" s="3293"/>
      <c r="BI79" s="3293"/>
      <c r="BJ79" s="3293"/>
      <c r="BK79" s="3293"/>
      <c r="BL79" s="3293"/>
      <c r="BM79" s="3293"/>
      <c r="BN79" s="3293"/>
      <c r="BO79" s="3293"/>
      <c r="BP79" s="3293"/>
      <c r="BQ79" s="3293"/>
      <c r="BR79" s="3293"/>
      <c r="BS79" s="3293"/>
      <c r="BT79" s="3293"/>
      <c r="BU79" s="3293"/>
      <c r="BV79" s="3293"/>
      <c r="BW79" s="3293"/>
      <c r="BX79" s="3293"/>
      <c r="BY79" s="3293"/>
      <c r="BZ79" s="3293"/>
      <c r="CA79" s="3293"/>
      <c r="CE79" s="3293"/>
      <c r="CF79" s="3293"/>
      <c r="CG79" s="3293"/>
      <c r="CH79" s="3293"/>
      <c r="CI79" s="3293"/>
      <c r="CJ79" s="3293"/>
      <c r="CK79" s="3293"/>
      <c r="CL79" s="3293"/>
    </row>
    <row r="80" spans="1:90" x14ac:dyDescent="0.3">
      <c r="A80" s="7705"/>
      <c r="B80" s="5504" t="s">
        <v>4228</v>
      </c>
      <c r="C80" s="1292"/>
      <c r="D80" s="5505"/>
      <c r="E80" s="972"/>
      <c r="F80" s="973"/>
      <c r="G80" s="973"/>
      <c r="H80" s="973"/>
      <c r="I80" s="966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  <c r="AA80" s="151"/>
      <c r="AB80" s="151"/>
      <c r="AC80" s="151"/>
      <c r="AD80" s="151"/>
      <c r="AE80" s="151"/>
      <c r="AF80" s="151"/>
      <c r="AG80" s="151"/>
      <c r="AH80" s="151"/>
      <c r="AI80" s="151"/>
      <c r="AJ80" s="151"/>
      <c r="AK80" s="151"/>
      <c r="AV80" s="3293"/>
      <c r="AW80" s="3293"/>
      <c r="AX80" s="3293"/>
      <c r="AY80" s="3293"/>
      <c r="BA80" s="3293"/>
      <c r="BB80" s="3293"/>
      <c r="BC80" s="3293"/>
      <c r="BD80" s="3293"/>
      <c r="BE80" s="3293"/>
      <c r="BF80" s="3293"/>
      <c r="BG80" s="3293"/>
      <c r="BH80" s="3293"/>
      <c r="BI80" s="3293"/>
      <c r="BJ80" s="3293"/>
      <c r="BK80" s="3293"/>
      <c r="BL80" s="3293"/>
      <c r="BM80" s="3293"/>
      <c r="BN80" s="3293"/>
      <c r="BO80" s="3293"/>
      <c r="BP80" s="3293"/>
      <c r="BQ80" s="3293"/>
      <c r="BR80" s="3293"/>
      <c r="BS80" s="3293"/>
      <c r="BT80" s="3293"/>
      <c r="BU80" s="3293"/>
      <c r="BV80" s="3293"/>
      <c r="BW80" s="3293"/>
      <c r="BX80" s="3293"/>
      <c r="BY80" s="3293"/>
      <c r="BZ80" s="3293"/>
      <c r="CA80" s="3293"/>
      <c r="CE80" s="3293"/>
      <c r="CF80" s="3293"/>
      <c r="CG80" s="3293"/>
      <c r="CH80" s="3293"/>
      <c r="CI80" s="3293"/>
      <c r="CJ80" s="3293"/>
      <c r="CK80" s="3293"/>
      <c r="CL80" s="3293"/>
    </row>
    <row r="81" spans="1:90" x14ac:dyDescent="0.3">
      <c r="A81" s="7705"/>
      <c r="B81" s="5506" t="s">
        <v>4229</v>
      </c>
      <c r="C81" s="1295"/>
      <c r="D81" s="5503"/>
      <c r="E81" s="1030"/>
      <c r="F81" s="1031"/>
      <c r="G81" s="1031"/>
      <c r="H81" s="1031"/>
      <c r="I81" s="877"/>
      <c r="J81" s="151"/>
      <c r="K81" s="151"/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51"/>
      <c r="X81" s="151"/>
      <c r="Y81" s="151"/>
      <c r="Z81" s="151"/>
      <c r="AA81" s="151"/>
      <c r="AB81" s="151"/>
      <c r="AC81" s="151"/>
      <c r="AD81" s="151"/>
      <c r="AE81" s="151"/>
      <c r="AF81" s="151"/>
      <c r="AG81" s="151"/>
      <c r="AH81" s="151"/>
      <c r="AI81" s="151"/>
      <c r="AJ81" s="151"/>
      <c r="AK81" s="151"/>
      <c r="AV81" s="3293"/>
      <c r="AW81" s="3293"/>
      <c r="AX81" s="3293"/>
      <c r="AY81" s="3293"/>
      <c r="BA81" s="3293"/>
      <c r="BB81" s="3293"/>
      <c r="BC81" s="3293"/>
      <c r="BD81" s="3293"/>
      <c r="BE81" s="3293"/>
      <c r="BF81" s="3293"/>
      <c r="BG81" s="3293"/>
      <c r="BH81" s="3293"/>
      <c r="BI81" s="3293"/>
      <c r="BJ81" s="3293"/>
      <c r="BK81" s="3293"/>
      <c r="BL81" s="3293"/>
      <c r="BM81" s="3293"/>
      <c r="BN81" s="3293"/>
      <c r="BO81" s="3293"/>
      <c r="BP81" s="3293"/>
      <c r="BQ81" s="3293"/>
      <c r="BR81" s="3293"/>
      <c r="BS81" s="3293"/>
      <c r="BT81" s="3293"/>
      <c r="BU81" s="3293"/>
      <c r="BV81" s="3293"/>
      <c r="BW81" s="3293"/>
      <c r="BX81" s="3293"/>
      <c r="BY81" s="3293"/>
      <c r="BZ81" s="3293"/>
      <c r="CA81" s="3293"/>
      <c r="CE81" s="3293"/>
      <c r="CF81" s="3293"/>
      <c r="CG81" s="3293"/>
      <c r="CH81" s="3293"/>
      <c r="CI81" s="3293"/>
      <c r="CJ81" s="3293"/>
      <c r="CK81" s="3293"/>
      <c r="CL81" s="3293"/>
    </row>
    <row r="82" spans="1:90" ht="17.100000000000001" customHeight="1" x14ac:dyDescent="0.3">
      <c r="A82" s="15" t="s">
        <v>4247</v>
      </c>
      <c r="B82" s="15"/>
      <c r="C82" s="25"/>
      <c r="D82" s="25"/>
      <c r="E82" s="5405"/>
      <c r="F82" s="5405"/>
      <c r="G82" s="5405"/>
      <c r="H82" s="5405"/>
      <c r="I82" s="5405"/>
      <c r="J82" s="5405"/>
      <c r="K82" s="5405"/>
      <c r="L82" s="5405"/>
      <c r="M82" s="5405"/>
      <c r="N82" s="5405"/>
      <c r="O82" s="5405"/>
      <c r="P82" s="5405"/>
      <c r="Q82" s="5405"/>
      <c r="R82" s="5405"/>
      <c r="S82" s="5405"/>
      <c r="T82" s="5405"/>
      <c r="U82" s="5405"/>
      <c r="V82" s="5405"/>
      <c r="W82" s="151"/>
      <c r="X82" s="151"/>
      <c r="Y82" s="151"/>
      <c r="Z82" s="151"/>
      <c r="AA82" s="151"/>
      <c r="AB82" s="151"/>
      <c r="AC82" s="151"/>
      <c r="AD82" s="151"/>
      <c r="AE82" s="151"/>
      <c r="AF82" s="151"/>
      <c r="AG82" s="151"/>
      <c r="AH82" s="151"/>
      <c r="AI82" s="151"/>
      <c r="AJ82" s="151"/>
      <c r="AK82" s="5405"/>
      <c r="AV82" s="3293"/>
      <c r="AW82" s="3293"/>
      <c r="AX82" s="3293"/>
      <c r="AY82" s="3293"/>
      <c r="BA82" s="3293"/>
      <c r="BB82" s="3293"/>
      <c r="BC82" s="3293"/>
      <c r="BD82" s="3293"/>
      <c r="BE82" s="3293"/>
      <c r="BF82" s="3293"/>
      <c r="BG82" s="3293"/>
      <c r="BH82" s="3293"/>
      <c r="BI82" s="3293"/>
      <c r="BJ82" s="3293"/>
      <c r="BK82" s="3293"/>
      <c r="BL82" s="3293"/>
      <c r="BM82" s="3293"/>
      <c r="BN82" s="3293"/>
      <c r="BO82" s="3293"/>
      <c r="BP82" s="3293"/>
      <c r="BQ82" s="3293"/>
      <c r="BR82" s="3293"/>
      <c r="BS82" s="3293"/>
      <c r="BT82" s="3293"/>
      <c r="BU82" s="3293"/>
      <c r="BV82" s="3293"/>
      <c r="BW82" s="3293"/>
      <c r="BX82" s="3293"/>
      <c r="BY82" s="3293"/>
      <c r="BZ82" s="3293"/>
      <c r="CA82" s="3293"/>
      <c r="CE82" s="3293"/>
      <c r="CF82" s="3293"/>
      <c r="CG82" s="3293"/>
      <c r="CH82" s="3293"/>
      <c r="CI82" s="3293"/>
      <c r="CJ82" s="3293"/>
      <c r="CK82" s="3293"/>
      <c r="CL82" s="3293"/>
    </row>
    <row r="83" spans="1:90" ht="15" customHeight="1" x14ac:dyDescent="0.3">
      <c r="A83" s="7706" t="s">
        <v>4248</v>
      </c>
      <c r="B83" s="7699" t="s">
        <v>27</v>
      </c>
      <c r="C83" s="7707" t="s">
        <v>77</v>
      </c>
      <c r="D83" s="7707"/>
      <c r="E83" s="7707"/>
      <c r="F83" s="7052" t="s">
        <v>101</v>
      </c>
      <c r="G83" s="7684"/>
      <c r="H83" s="7684"/>
      <c r="I83" s="7684"/>
      <c r="J83" s="7684"/>
      <c r="K83" s="7684"/>
      <c r="L83" s="7684"/>
      <c r="M83" s="7684"/>
      <c r="N83" s="7684"/>
      <c r="O83" s="7684"/>
      <c r="P83" s="7684"/>
      <c r="Q83" s="7684"/>
      <c r="R83" s="7684"/>
      <c r="S83" s="7684"/>
      <c r="T83" s="7684"/>
      <c r="U83" s="7685"/>
      <c r="V83" s="6518" t="s">
        <v>36</v>
      </c>
      <c r="W83" s="151"/>
      <c r="X83" s="151"/>
      <c r="Y83" s="151"/>
      <c r="Z83" s="151"/>
      <c r="AA83" s="151"/>
      <c r="AB83" s="151"/>
      <c r="AC83" s="151"/>
      <c r="AD83" s="151"/>
      <c r="AE83" s="151"/>
      <c r="AF83" s="151"/>
      <c r="AG83" s="151"/>
      <c r="AH83" s="151"/>
      <c r="AI83" s="151"/>
      <c r="AJ83" s="151"/>
      <c r="AK83" s="5485"/>
      <c r="AV83" s="3293"/>
      <c r="AW83" s="3293"/>
      <c r="AX83" s="3293"/>
      <c r="AY83" s="3293"/>
      <c r="BA83" s="3293"/>
      <c r="BB83" s="3293"/>
      <c r="BC83" s="3293"/>
      <c r="BD83" s="3293"/>
      <c r="BE83" s="3293"/>
      <c r="BF83" s="3293"/>
      <c r="BG83" s="3293"/>
      <c r="BH83" s="3293"/>
      <c r="BI83" s="3293"/>
      <c r="BJ83" s="3293"/>
      <c r="BK83" s="3293"/>
      <c r="BL83" s="3293"/>
      <c r="BM83" s="3293"/>
      <c r="BN83" s="3293"/>
      <c r="BO83" s="3293"/>
      <c r="BP83" s="3293"/>
      <c r="BQ83" s="3293"/>
      <c r="BR83" s="3293"/>
      <c r="BS83" s="3293"/>
      <c r="BT83" s="3293"/>
      <c r="BU83" s="3293"/>
      <c r="BV83" s="3293"/>
      <c r="BW83" s="3293"/>
      <c r="BX83" s="3293"/>
      <c r="BY83" s="3293"/>
      <c r="BZ83" s="3293"/>
      <c r="CA83" s="3293"/>
      <c r="CE83" s="3293"/>
      <c r="CF83" s="3293"/>
      <c r="CG83" s="3293"/>
      <c r="CH83" s="3293"/>
      <c r="CI83" s="3293"/>
      <c r="CJ83" s="3293"/>
      <c r="CK83" s="3293"/>
      <c r="CL83" s="3293"/>
    </row>
    <row r="84" spans="1:90" ht="21" customHeight="1" x14ac:dyDescent="0.3">
      <c r="A84" s="7706"/>
      <c r="B84" s="6663"/>
      <c r="C84" s="7707"/>
      <c r="D84" s="7707"/>
      <c r="E84" s="7707"/>
      <c r="F84" s="7403" t="s">
        <v>3789</v>
      </c>
      <c r="G84" s="7403"/>
      <c r="H84" s="6545" t="s">
        <v>4225</v>
      </c>
      <c r="I84" s="6545"/>
      <c r="J84" s="6546" t="s">
        <v>1459</v>
      </c>
      <c r="K84" s="6546"/>
      <c r="L84" s="7403" t="s">
        <v>1460</v>
      </c>
      <c r="M84" s="7403"/>
      <c r="N84" s="7403" t="s">
        <v>1461</v>
      </c>
      <c r="O84" s="7403"/>
      <c r="P84" s="6545" t="s">
        <v>1462</v>
      </c>
      <c r="Q84" s="6545"/>
      <c r="R84" s="7417" t="s">
        <v>1463</v>
      </c>
      <c r="S84" s="7417"/>
      <c r="T84" s="6545" t="s">
        <v>938</v>
      </c>
      <c r="U84" s="7708"/>
      <c r="V84" s="5759"/>
      <c r="W84" s="151"/>
      <c r="X84" s="151"/>
      <c r="Y84" s="151"/>
      <c r="Z84" s="151"/>
      <c r="AA84" s="151"/>
      <c r="AB84" s="151"/>
      <c r="AC84" s="151"/>
      <c r="AD84" s="151"/>
      <c r="AV84" s="3293"/>
      <c r="AW84" s="3293"/>
      <c r="AX84" s="3293"/>
      <c r="AY84" s="3293"/>
      <c r="BA84" s="3293"/>
      <c r="BB84" s="3293"/>
      <c r="BC84" s="3293"/>
      <c r="BD84" s="3293"/>
      <c r="BE84" s="3293"/>
      <c r="BF84" s="3293"/>
      <c r="BG84" s="3293"/>
      <c r="BH84" s="3293"/>
      <c r="BI84" s="3293"/>
      <c r="BJ84" s="3293"/>
      <c r="BK84" s="3293"/>
      <c r="BL84" s="3293"/>
      <c r="BM84" s="3293"/>
      <c r="BN84" s="3293"/>
      <c r="BO84" s="3293"/>
      <c r="BP84" s="3293"/>
      <c r="BQ84" s="3293"/>
      <c r="BR84" s="3293"/>
      <c r="BS84" s="3293"/>
      <c r="BT84" s="3293"/>
      <c r="BU84" s="3293"/>
      <c r="BV84" s="3293"/>
      <c r="BW84" s="3293"/>
      <c r="BX84" s="3293"/>
      <c r="BY84" s="3293"/>
      <c r="BZ84" s="3293"/>
      <c r="CA84" s="3293"/>
      <c r="CE84" s="3293"/>
      <c r="CF84" s="3293"/>
      <c r="CG84" s="3293"/>
      <c r="CH84" s="3293"/>
      <c r="CI84" s="3293"/>
      <c r="CJ84" s="3293"/>
      <c r="CK84" s="3293"/>
      <c r="CL84" s="3293"/>
    </row>
    <row r="85" spans="1:90" x14ac:dyDescent="0.3">
      <c r="A85" s="7706"/>
      <c r="B85" s="6664"/>
      <c r="C85" s="5507" t="s">
        <v>79</v>
      </c>
      <c r="D85" s="5508" t="s">
        <v>58</v>
      </c>
      <c r="E85" s="5509" t="s">
        <v>59</v>
      </c>
      <c r="F85" s="5444" t="s">
        <v>58</v>
      </c>
      <c r="G85" s="5510" t="s">
        <v>59</v>
      </c>
      <c r="H85" s="5445" t="s">
        <v>58</v>
      </c>
      <c r="I85" s="5510" t="s">
        <v>59</v>
      </c>
      <c r="J85" s="5445" t="s">
        <v>58</v>
      </c>
      <c r="K85" s="5510" t="s">
        <v>59</v>
      </c>
      <c r="L85" s="5445" t="s">
        <v>58</v>
      </c>
      <c r="M85" s="5510" t="s">
        <v>59</v>
      </c>
      <c r="N85" s="5445" t="s">
        <v>58</v>
      </c>
      <c r="O85" s="5510" t="s">
        <v>59</v>
      </c>
      <c r="P85" s="5445" t="s">
        <v>58</v>
      </c>
      <c r="Q85" s="5510" t="s">
        <v>59</v>
      </c>
      <c r="R85" s="5445" t="s">
        <v>58</v>
      </c>
      <c r="S85" s="5510" t="s">
        <v>59</v>
      </c>
      <c r="T85" s="5445" t="s">
        <v>58</v>
      </c>
      <c r="U85" s="5511" t="s">
        <v>59</v>
      </c>
      <c r="V85" s="6687"/>
      <c r="W85" s="151"/>
      <c r="X85" s="151"/>
      <c r="Y85" s="151"/>
      <c r="Z85" s="151"/>
      <c r="AA85" s="151"/>
      <c r="AB85" s="151"/>
      <c r="AC85" s="151"/>
      <c r="AD85" s="151"/>
      <c r="AV85" s="3293"/>
      <c r="AW85" s="3293"/>
      <c r="AX85" s="3293"/>
      <c r="AY85" s="3293"/>
      <c r="BA85" s="3293"/>
      <c r="BB85" s="3293"/>
      <c r="BC85" s="3293"/>
      <c r="BD85" s="3293"/>
      <c r="BE85" s="3293"/>
      <c r="BF85" s="3293"/>
      <c r="BG85" s="3293"/>
      <c r="BH85" s="3293"/>
      <c r="BI85" s="3293"/>
      <c r="BJ85" s="3293"/>
      <c r="BK85" s="3293"/>
      <c r="BL85" s="3293"/>
      <c r="BM85" s="3293"/>
      <c r="BN85" s="3293"/>
      <c r="BO85" s="3293"/>
      <c r="BP85" s="3293"/>
      <c r="BQ85" s="3293"/>
      <c r="BR85" s="3293"/>
      <c r="BS85" s="3293"/>
      <c r="BT85" s="3293"/>
      <c r="BU85" s="3293"/>
      <c r="BV85" s="3293"/>
      <c r="BW85" s="3293"/>
      <c r="BX85" s="3293"/>
      <c r="BY85" s="3293"/>
      <c r="BZ85" s="3293"/>
      <c r="CA85" s="3293"/>
      <c r="CE85" s="151"/>
      <c r="CF85" s="151"/>
      <c r="CG85" s="151"/>
      <c r="CH85" s="151"/>
      <c r="CI85" s="151"/>
      <c r="CJ85" s="151"/>
      <c r="CK85" s="151"/>
      <c r="CL85" s="151"/>
    </row>
    <row r="86" spans="1:90" ht="15" customHeight="1" x14ac:dyDescent="0.3">
      <c r="A86" s="7699" t="s">
        <v>4249</v>
      </c>
      <c r="B86" s="4867" t="s">
        <v>4228</v>
      </c>
      <c r="C86" s="5512">
        <f t="shared" ref="C86:C94" si="36">SUM(D86:E86)</f>
        <v>0</v>
      </c>
      <c r="D86" s="5494">
        <f>SUM(F86,H86,J86,L86,N86,P86,R86,T86,)</f>
        <v>0</v>
      </c>
      <c r="E86" s="5414">
        <f t="shared" ref="E86:E94" si="37">SUM(G86,I86,K86,M86,O86,Q86,S86,U86)</f>
        <v>0</v>
      </c>
      <c r="F86" s="5513"/>
      <c r="G86" s="5514"/>
      <c r="H86" s="5513"/>
      <c r="I86" s="5514"/>
      <c r="J86" s="5513"/>
      <c r="K86" s="5514"/>
      <c r="L86" s="5513"/>
      <c r="M86" s="5514"/>
      <c r="N86" s="5513"/>
      <c r="O86" s="5514"/>
      <c r="P86" s="5513"/>
      <c r="Q86" s="5514"/>
      <c r="R86" s="5513"/>
      <c r="S86" s="5514"/>
      <c r="T86" s="5513"/>
      <c r="U86" s="5515"/>
      <c r="V86" s="5516"/>
      <c r="W86" s="2227" t="str">
        <f>$CA86</f>
        <v/>
      </c>
      <c r="X86" s="1970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Y86" s="151"/>
      <c r="BZ86" s="151"/>
      <c r="CA86" s="4258" t="str">
        <f>IF(AND($C86&lt;&gt;0,V86=""),"* No olvide ingresar la columna Pueblos Originarios, digite CERO si no tiene.  ",IF(V86&gt;$C86,"* El número de Pueblos Originarios no puede superar el Total.  ",""))</f>
        <v/>
      </c>
      <c r="CB86" s="2228"/>
      <c r="CC86" s="2228"/>
      <c r="CD86" s="2228"/>
      <c r="CE86" s="6"/>
      <c r="CF86" s="6"/>
      <c r="CG86" s="6"/>
      <c r="CH86" s="6"/>
      <c r="CI86" s="6"/>
      <c r="CJ86" s="6"/>
      <c r="CK86" s="6"/>
      <c r="CL86" s="55">
        <f>IF(AND($C86&lt;&gt;0,V86=""),1,IF(V86&gt;$C86,1,0))</f>
        <v>0</v>
      </c>
    </row>
    <row r="87" spans="1:90" ht="15" customHeight="1" x14ac:dyDescent="0.3">
      <c r="A87" s="7709"/>
      <c r="B87" s="3779" t="s">
        <v>1035</v>
      </c>
      <c r="C87" s="5517">
        <f t="shared" si="36"/>
        <v>0</v>
      </c>
      <c r="D87" s="48">
        <f t="shared" ref="D87:D94" si="38">SUM(F87,H87,J87,L87,N87,P87,R87,T87)</f>
        <v>0</v>
      </c>
      <c r="E87" s="213">
        <f t="shared" si="37"/>
        <v>0</v>
      </c>
      <c r="F87" s="1162"/>
      <c r="G87" s="1161"/>
      <c r="H87" s="1162"/>
      <c r="I87" s="1161"/>
      <c r="J87" s="1162"/>
      <c r="K87" s="1161"/>
      <c r="L87" s="1162"/>
      <c r="M87" s="1161"/>
      <c r="N87" s="1162"/>
      <c r="O87" s="1161"/>
      <c r="P87" s="1162"/>
      <c r="Q87" s="1161"/>
      <c r="R87" s="1162"/>
      <c r="S87" s="1161"/>
      <c r="T87" s="1162"/>
      <c r="U87" s="2444"/>
      <c r="V87" s="34"/>
      <c r="W87" s="2227" t="str">
        <f t="shared" ref="W87:W94" si="39">$CA87</f>
        <v/>
      </c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Y87" s="151"/>
      <c r="BZ87" s="151"/>
      <c r="CA87" s="4258" t="str">
        <f t="shared" ref="CA87:CA94" si="40">IF(AND($C87&lt;&gt;0,V87=""),"* No olvide ingresar la columna Pueblos Originarios, digite CERO si no tiene.  ",IF(V87&gt;$C87,"* El número de Pueblos Originarios no puede superar el Total.  ",""))</f>
        <v/>
      </c>
      <c r="CB87" s="2228"/>
      <c r="CC87" s="2228"/>
      <c r="CD87" s="2228"/>
      <c r="CE87" s="6"/>
      <c r="CF87" s="6"/>
      <c r="CG87" s="6"/>
      <c r="CH87" s="6"/>
      <c r="CI87" s="6"/>
      <c r="CJ87" s="6"/>
      <c r="CK87" s="6"/>
      <c r="CL87" s="55">
        <f t="shared" ref="CL87:CL94" si="41">IF(AND($C87&lt;&gt;0,V87=""),1,IF(V87&gt;$C87,1,0))</f>
        <v>0</v>
      </c>
    </row>
    <row r="88" spans="1:90" ht="15" customHeight="1" x14ac:dyDescent="0.3">
      <c r="A88" s="7703"/>
      <c r="B88" s="5518" t="s">
        <v>4229</v>
      </c>
      <c r="C88" s="5519">
        <f t="shared" si="36"/>
        <v>0</v>
      </c>
      <c r="D88" s="1211">
        <f t="shared" si="38"/>
        <v>0</v>
      </c>
      <c r="E88" s="4138">
        <f t="shared" si="37"/>
        <v>0</v>
      </c>
      <c r="F88" s="991"/>
      <c r="G88" s="990"/>
      <c r="H88" s="991"/>
      <c r="I88" s="990"/>
      <c r="J88" s="991"/>
      <c r="K88" s="990"/>
      <c r="L88" s="991"/>
      <c r="M88" s="990"/>
      <c r="N88" s="991"/>
      <c r="O88" s="990"/>
      <c r="P88" s="991"/>
      <c r="Q88" s="990"/>
      <c r="R88" s="991"/>
      <c r="S88" s="990"/>
      <c r="T88" s="991"/>
      <c r="U88" s="994"/>
      <c r="V88" s="877"/>
      <c r="W88" s="2227" t="str">
        <f t="shared" si="39"/>
        <v/>
      </c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Y88" s="151"/>
      <c r="BZ88" s="151"/>
      <c r="CA88" s="4258" t="str">
        <f t="shared" si="40"/>
        <v/>
      </c>
      <c r="CB88" s="2228"/>
      <c r="CC88" s="2228"/>
      <c r="CD88" s="2228"/>
      <c r="CE88" s="6"/>
      <c r="CF88" s="6"/>
      <c r="CG88" s="6"/>
      <c r="CH88" s="6"/>
      <c r="CI88" s="6"/>
      <c r="CJ88" s="6"/>
      <c r="CK88" s="6"/>
      <c r="CL88" s="55">
        <f t="shared" si="41"/>
        <v>0</v>
      </c>
    </row>
    <row r="89" spans="1:90" ht="15" customHeight="1" x14ac:dyDescent="0.3">
      <c r="A89" s="7699" t="s">
        <v>4250</v>
      </c>
      <c r="B89" s="4867" t="s">
        <v>4228</v>
      </c>
      <c r="C89" s="5512">
        <f t="shared" si="36"/>
        <v>0</v>
      </c>
      <c r="D89" s="5494">
        <f t="shared" si="38"/>
        <v>0</v>
      </c>
      <c r="E89" s="5414">
        <f t="shared" si="37"/>
        <v>0</v>
      </c>
      <c r="F89" s="5513"/>
      <c r="G89" s="5514"/>
      <c r="H89" s="5513"/>
      <c r="I89" s="5514"/>
      <c r="J89" s="5513"/>
      <c r="K89" s="5514"/>
      <c r="L89" s="5513"/>
      <c r="M89" s="5514"/>
      <c r="N89" s="5513"/>
      <c r="O89" s="5514"/>
      <c r="P89" s="5513"/>
      <c r="Q89" s="5514"/>
      <c r="R89" s="5513"/>
      <c r="S89" s="5514"/>
      <c r="T89" s="5513"/>
      <c r="U89" s="5515"/>
      <c r="V89" s="5516"/>
      <c r="W89" s="2227" t="str">
        <f t="shared" si="39"/>
        <v/>
      </c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Y89" s="151"/>
      <c r="BZ89" s="151"/>
      <c r="CA89" s="4258" t="str">
        <f t="shared" si="40"/>
        <v/>
      </c>
      <c r="CB89" s="2228"/>
      <c r="CC89" s="2228"/>
      <c r="CD89" s="2228"/>
      <c r="CE89" s="6"/>
      <c r="CF89" s="6"/>
      <c r="CG89" s="6"/>
      <c r="CH89" s="6"/>
      <c r="CI89" s="6"/>
      <c r="CJ89" s="6"/>
      <c r="CK89" s="6"/>
      <c r="CL89" s="55">
        <f t="shared" si="41"/>
        <v>0</v>
      </c>
    </row>
    <row r="90" spans="1:90" ht="15" customHeight="1" x14ac:dyDescent="0.3">
      <c r="A90" s="7709"/>
      <c r="B90" s="4992" t="s">
        <v>1035</v>
      </c>
      <c r="C90" s="5517">
        <f t="shared" si="36"/>
        <v>0</v>
      </c>
      <c r="D90" s="48">
        <f t="shared" si="38"/>
        <v>0</v>
      </c>
      <c r="E90" s="213">
        <f t="shared" si="37"/>
        <v>0</v>
      </c>
      <c r="F90" s="1162"/>
      <c r="G90" s="1161"/>
      <c r="H90" s="1162"/>
      <c r="I90" s="1161"/>
      <c r="J90" s="1162"/>
      <c r="K90" s="1161"/>
      <c r="L90" s="1162"/>
      <c r="M90" s="1161"/>
      <c r="N90" s="1162"/>
      <c r="O90" s="1161"/>
      <c r="P90" s="1162"/>
      <c r="Q90" s="1161"/>
      <c r="R90" s="1162"/>
      <c r="S90" s="1161"/>
      <c r="T90" s="1162"/>
      <c r="U90" s="2444"/>
      <c r="V90" s="34"/>
      <c r="W90" s="2227" t="str">
        <f t="shared" si="39"/>
        <v/>
      </c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Y90" s="151"/>
      <c r="BZ90" s="151"/>
      <c r="CA90" s="4258" t="str">
        <f t="shared" si="40"/>
        <v/>
      </c>
      <c r="CB90" s="2228"/>
      <c r="CC90" s="2228"/>
      <c r="CD90" s="2228"/>
      <c r="CE90" s="6"/>
      <c r="CF90" s="6"/>
      <c r="CG90" s="6"/>
      <c r="CH90" s="6"/>
      <c r="CI90" s="6"/>
      <c r="CJ90" s="6"/>
      <c r="CK90" s="6"/>
      <c r="CL90" s="55">
        <f t="shared" si="41"/>
        <v>0</v>
      </c>
    </row>
    <row r="91" spans="1:90" ht="15" customHeight="1" x14ac:dyDescent="0.3">
      <c r="A91" s="7703"/>
      <c r="B91" s="1164" t="s">
        <v>4229</v>
      </c>
      <c r="C91" s="5519">
        <f t="shared" si="36"/>
        <v>0</v>
      </c>
      <c r="D91" s="1211">
        <f t="shared" si="38"/>
        <v>0</v>
      </c>
      <c r="E91" s="4138">
        <f t="shared" si="37"/>
        <v>0</v>
      </c>
      <c r="F91" s="991"/>
      <c r="G91" s="990"/>
      <c r="H91" s="991"/>
      <c r="I91" s="990"/>
      <c r="J91" s="991"/>
      <c r="K91" s="990"/>
      <c r="L91" s="991"/>
      <c r="M91" s="990"/>
      <c r="N91" s="991"/>
      <c r="O91" s="990"/>
      <c r="P91" s="991"/>
      <c r="Q91" s="990"/>
      <c r="R91" s="991"/>
      <c r="S91" s="990"/>
      <c r="T91" s="991"/>
      <c r="U91" s="994"/>
      <c r="V91" s="877"/>
      <c r="W91" s="2227" t="str">
        <f t="shared" si="39"/>
        <v/>
      </c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Y91" s="151"/>
      <c r="BZ91" s="151"/>
      <c r="CA91" s="4258" t="str">
        <f t="shared" si="40"/>
        <v/>
      </c>
      <c r="CB91" s="2228"/>
      <c r="CC91" s="2228"/>
      <c r="CD91" s="2228"/>
      <c r="CE91" s="6"/>
      <c r="CF91" s="6"/>
      <c r="CG91" s="6"/>
      <c r="CH91" s="6"/>
      <c r="CI91" s="6"/>
      <c r="CJ91" s="6"/>
      <c r="CK91" s="6"/>
      <c r="CL91" s="55">
        <f t="shared" si="41"/>
        <v>0</v>
      </c>
    </row>
    <row r="92" spans="1:90" ht="15" customHeight="1" x14ac:dyDescent="0.3">
      <c r="A92" s="6663" t="s">
        <v>4251</v>
      </c>
      <c r="B92" s="5520" t="s">
        <v>4228</v>
      </c>
      <c r="C92" s="3609">
        <f t="shared" si="36"/>
        <v>0</v>
      </c>
      <c r="D92" s="48">
        <f t="shared" si="38"/>
        <v>0</v>
      </c>
      <c r="E92" s="213">
        <f t="shared" si="37"/>
        <v>0</v>
      </c>
      <c r="F92" s="214"/>
      <c r="G92" s="30"/>
      <c r="H92" s="214"/>
      <c r="I92" s="30"/>
      <c r="J92" s="214"/>
      <c r="K92" s="30"/>
      <c r="L92" s="214"/>
      <c r="M92" s="30"/>
      <c r="N92" s="214"/>
      <c r="O92" s="30"/>
      <c r="P92" s="214"/>
      <c r="Q92" s="30"/>
      <c r="R92" s="214"/>
      <c r="S92" s="30"/>
      <c r="T92" s="214"/>
      <c r="U92" s="5521"/>
      <c r="V92" s="29"/>
      <c r="W92" s="2227" t="str">
        <f t="shared" si="39"/>
        <v/>
      </c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Y92" s="151"/>
      <c r="BZ92" s="151"/>
      <c r="CA92" s="4258" t="str">
        <f t="shared" si="40"/>
        <v/>
      </c>
      <c r="CB92" s="2228"/>
      <c r="CC92" s="2228"/>
      <c r="CD92" s="2228"/>
      <c r="CE92" s="6"/>
      <c r="CF92" s="6"/>
      <c r="CG92" s="6"/>
      <c r="CH92" s="6"/>
      <c r="CI92" s="6"/>
      <c r="CJ92" s="6"/>
      <c r="CK92" s="6"/>
      <c r="CL92" s="55">
        <f t="shared" si="41"/>
        <v>0</v>
      </c>
    </row>
    <row r="93" spans="1:90" ht="15" customHeight="1" x14ac:dyDescent="0.3">
      <c r="A93" s="6663"/>
      <c r="B93" s="4992" t="s">
        <v>1035</v>
      </c>
      <c r="C93" s="5517">
        <f t="shared" si="36"/>
        <v>0</v>
      </c>
      <c r="D93" s="48">
        <f t="shared" si="38"/>
        <v>0</v>
      </c>
      <c r="E93" s="213">
        <f t="shared" si="37"/>
        <v>0</v>
      </c>
      <c r="F93" s="1162"/>
      <c r="G93" s="1161"/>
      <c r="H93" s="1162"/>
      <c r="I93" s="1161"/>
      <c r="J93" s="1162"/>
      <c r="K93" s="1161"/>
      <c r="L93" s="1162"/>
      <c r="M93" s="1161"/>
      <c r="N93" s="1162"/>
      <c r="O93" s="1161"/>
      <c r="P93" s="1162"/>
      <c r="Q93" s="1161"/>
      <c r="R93" s="1162"/>
      <c r="S93" s="1161"/>
      <c r="T93" s="1162"/>
      <c r="U93" s="2444"/>
      <c r="V93" s="34"/>
      <c r="W93" s="2227" t="str">
        <f t="shared" si="39"/>
        <v/>
      </c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Y93" s="151"/>
      <c r="BZ93" s="151"/>
      <c r="CA93" s="4258" t="str">
        <f t="shared" si="40"/>
        <v/>
      </c>
      <c r="CB93" s="2228"/>
      <c r="CC93" s="2228"/>
      <c r="CD93" s="2228"/>
      <c r="CE93" s="6"/>
      <c r="CF93" s="6"/>
      <c r="CG93" s="6"/>
      <c r="CH93" s="6"/>
      <c r="CI93" s="6"/>
      <c r="CJ93" s="6"/>
      <c r="CK93" s="6"/>
      <c r="CL93" s="55">
        <f t="shared" si="41"/>
        <v>0</v>
      </c>
    </row>
    <row r="94" spans="1:90" ht="15" customHeight="1" x14ac:dyDescent="0.3">
      <c r="A94" s="6664"/>
      <c r="B94" s="5518" t="s">
        <v>4229</v>
      </c>
      <c r="C94" s="5519">
        <f t="shared" si="36"/>
        <v>0</v>
      </c>
      <c r="D94" s="1211">
        <f t="shared" si="38"/>
        <v>0</v>
      </c>
      <c r="E94" s="4138">
        <f t="shared" si="37"/>
        <v>0</v>
      </c>
      <c r="F94" s="1162"/>
      <c r="G94" s="1161"/>
      <c r="H94" s="1162"/>
      <c r="I94" s="990"/>
      <c r="J94" s="991"/>
      <c r="K94" s="990"/>
      <c r="L94" s="991"/>
      <c r="M94" s="990"/>
      <c r="N94" s="991"/>
      <c r="O94" s="990"/>
      <c r="P94" s="991"/>
      <c r="Q94" s="990"/>
      <c r="R94" s="991"/>
      <c r="S94" s="990"/>
      <c r="T94" s="991"/>
      <c r="U94" s="994"/>
      <c r="V94" s="877"/>
      <c r="W94" s="2227" t="str">
        <f t="shared" si="39"/>
        <v/>
      </c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Y94" s="151"/>
      <c r="BZ94" s="151"/>
      <c r="CA94" s="4258" t="str">
        <f t="shared" si="40"/>
        <v/>
      </c>
      <c r="CB94" s="2228"/>
      <c r="CC94" s="2228"/>
      <c r="CD94" s="2228"/>
      <c r="CE94" s="6"/>
      <c r="CF94" s="6"/>
      <c r="CG94" s="6"/>
      <c r="CH94" s="6"/>
      <c r="CI94" s="6"/>
      <c r="CJ94" s="6"/>
      <c r="CK94" s="6"/>
      <c r="CL94" s="55">
        <f t="shared" si="41"/>
        <v>0</v>
      </c>
    </row>
    <row r="95" spans="1:90" ht="17.100000000000001" customHeight="1" x14ac:dyDescent="0.3">
      <c r="A95" s="7710" t="s">
        <v>4252</v>
      </c>
      <c r="B95" s="7711"/>
      <c r="C95" s="7711"/>
      <c r="D95" s="7711"/>
      <c r="E95" s="7711"/>
      <c r="F95" s="7711"/>
      <c r="G95" s="7711"/>
      <c r="H95" s="7711"/>
      <c r="I95" s="5522"/>
      <c r="J95" s="5522"/>
      <c r="K95" s="5522"/>
      <c r="L95" s="5522"/>
      <c r="M95" s="5522"/>
      <c r="N95" s="5522"/>
      <c r="O95" s="5522"/>
      <c r="P95" s="5522"/>
      <c r="Q95" s="5522"/>
      <c r="R95" s="5522"/>
      <c r="S95" s="187"/>
      <c r="T95" s="187"/>
      <c r="U95" s="187"/>
      <c r="V95" s="187"/>
      <c r="W95" s="5522"/>
      <c r="X95" s="5522"/>
      <c r="Y95" s="5522"/>
      <c r="Z95" s="5522"/>
      <c r="AA95" s="5522"/>
      <c r="AB95" s="5522"/>
      <c r="AC95" s="5522"/>
      <c r="AD95" s="5522"/>
      <c r="AE95" s="5522"/>
      <c r="AF95" s="5522"/>
      <c r="AG95" s="5522"/>
      <c r="AH95" s="5522"/>
      <c r="AI95" s="5522"/>
      <c r="AJ95" s="5522"/>
      <c r="AK95" s="5522"/>
      <c r="AL95" s="5522"/>
      <c r="AM95" s="5522"/>
      <c r="AO95" s="5522"/>
      <c r="AP95" s="5522"/>
      <c r="AQ95" s="5522"/>
      <c r="AR95" s="5522"/>
      <c r="AS95" s="5522"/>
      <c r="AT95" s="5522"/>
      <c r="AU95" s="5522"/>
      <c r="AV95" s="5522"/>
      <c r="AW95" s="5522"/>
      <c r="AX95" s="5522"/>
      <c r="AY95" s="5522"/>
      <c r="AZ95" s="5522"/>
      <c r="BA95" s="5522"/>
      <c r="BB95" s="5522"/>
      <c r="BC95" s="5522"/>
      <c r="BD95" s="5522"/>
      <c r="BE95" s="5522"/>
      <c r="BF95" s="5522"/>
      <c r="BG95" s="5522"/>
      <c r="BH95" s="5522"/>
      <c r="BI95" s="5522"/>
      <c r="BJ95" s="5522"/>
      <c r="BK95" s="5522"/>
      <c r="BL95" s="5522"/>
      <c r="BM95" s="5522"/>
      <c r="BN95" s="5522"/>
      <c r="BO95" s="5522"/>
      <c r="BP95" s="5522"/>
      <c r="BQ95" s="5522"/>
      <c r="BR95" s="5522"/>
      <c r="BS95" s="5522"/>
      <c r="BT95" s="5522"/>
      <c r="BU95" s="5522"/>
      <c r="BV95" s="5522"/>
      <c r="BW95" s="5522"/>
      <c r="BX95" s="5522"/>
      <c r="BY95" s="5522"/>
      <c r="BZ95" s="5522"/>
      <c r="CA95" s="5522"/>
      <c r="CB95" s="5522"/>
      <c r="CC95" s="5522"/>
      <c r="CD95" s="5522"/>
      <c r="CE95" s="5522"/>
      <c r="CF95" s="5522"/>
      <c r="CG95" s="5522"/>
      <c r="CH95" s="5522"/>
      <c r="CI95" s="5522"/>
      <c r="CJ95" s="5522"/>
      <c r="CK95" s="5522"/>
      <c r="CL95" s="5522"/>
    </row>
    <row r="96" spans="1:90" ht="25.5" customHeight="1" x14ac:dyDescent="0.3">
      <c r="A96" s="5523" t="s">
        <v>4248</v>
      </c>
      <c r="B96" s="1826" t="s">
        <v>1613</v>
      </c>
      <c r="C96" s="5524" t="s">
        <v>4229</v>
      </c>
      <c r="D96" s="5525" t="s">
        <v>4233</v>
      </c>
      <c r="E96" s="5497" t="s">
        <v>4228</v>
      </c>
      <c r="F96" s="5498" t="s">
        <v>1035</v>
      </c>
      <c r="G96" s="5499"/>
      <c r="H96" s="5522"/>
      <c r="I96" s="5522"/>
      <c r="J96" s="5522"/>
      <c r="K96" s="5522"/>
      <c r="L96" s="5522"/>
      <c r="M96" s="5522"/>
      <c r="N96" s="5522"/>
      <c r="O96" s="5522"/>
      <c r="P96" s="5522"/>
      <c r="Q96" s="5522"/>
      <c r="R96" s="5522"/>
      <c r="S96" s="5522"/>
      <c r="T96" s="5522"/>
      <c r="U96" s="5522"/>
      <c r="V96" s="5522"/>
      <c r="W96" s="5522"/>
      <c r="X96" s="5522"/>
      <c r="Y96" s="5522"/>
      <c r="Z96" s="5522"/>
      <c r="AA96" s="5522"/>
      <c r="AB96" s="5522"/>
      <c r="AC96" s="5522"/>
      <c r="AD96" s="5522"/>
      <c r="AE96" s="5522"/>
      <c r="AF96" s="5522"/>
      <c r="AG96" s="5522"/>
      <c r="AH96" s="5522"/>
      <c r="AI96" s="5522"/>
      <c r="AJ96" s="5522"/>
      <c r="AK96" s="5522"/>
      <c r="AL96" s="5522"/>
      <c r="AN96" s="5522"/>
      <c r="AO96" s="5522"/>
      <c r="AP96" s="5522"/>
      <c r="AQ96" s="5522"/>
      <c r="AR96" s="5522"/>
      <c r="AS96" s="5522"/>
      <c r="AT96" s="5522"/>
      <c r="AU96" s="5522"/>
      <c r="AV96" s="5522"/>
      <c r="AW96" s="5522"/>
      <c r="AX96" s="5522"/>
      <c r="AY96" s="5522"/>
      <c r="AZ96" s="5522"/>
      <c r="BA96" s="5522"/>
      <c r="BB96" s="5522"/>
      <c r="BC96" s="5522"/>
      <c r="BD96" s="5522"/>
      <c r="BE96" s="5522"/>
      <c r="BF96" s="5522"/>
      <c r="BG96" s="5522"/>
      <c r="BH96" s="5522"/>
      <c r="BI96" s="5522"/>
      <c r="BJ96" s="5522"/>
      <c r="BK96" s="5522"/>
      <c r="BL96" s="5522"/>
      <c r="BM96" s="5522"/>
      <c r="BN96" s="5522"/>
      <c r="BO96" s="5522"/>
      <c r="BP96" s="5522"/>
      <c r="BQ96" s="5522"/>
      <c r="BR96" s="5522"/>
      <c r="BS96" s="5522"/>
      <c r="BT96" s="5522"/>
      <c r="BU96" s="5522"/>
      <c r="BV96" s="5522"/>
      <c r="BW96" s="5522"/>
      <c r="BX96" s="5522"/>
      <c r="BY96" s="5522"/>
      <c r="BZ96" s="5522"/>
      <c r="CA96" s="5522"/>
      <c r="CB96" s="5522"/>
      <c r="CC96" s="5522"/>
      <c r="CD96" s="5522"/>
      <c r="CE96" s="5522"/>
      <c r="CF96" s="5522"/>
      <c r="CG96" s="5522"/>
      <c r="CH96" s="5522"/>
      <c r="CI96" s="5522"/>
      <c r="CJ96" s="5522"/>
      <c r="CK96" s="5522"/>
      <c r="CL96" s="5522"/>
    </row>
    <row r="97" spans="1:90" ht="15" customHeight="1" x14ac:dyDescent="0.3">
      <c r="A97" s="5526" t="s">
        <v>4253</v>
      </c>
      <c r="B97" s="4082">
        <f>SUM(C97:F97)</f>
        <v>0</v>
      </c>
      <c r="C97" s="5527"/>
      <c r="D97" s="5528"/>
      <c r="E97" s="5529"/>
      <c r="F97" s="5530"/>
      <c r="M97" s="5522"/>
      <c r="N97" s="5522"/>
      <c r="O97" s="5522"/>
      <c r="P97" s="5522"/>
      <c r="Q97" s="5522"/>
      <c r="R97" s="5522"/>
      <c r="S97" s="5522"/>
      <c r="T97" s="5522"/>
      <c r="U97" s="5522"/>
      <c r="V97" s="5522"/>
      <c r="W97" s="5522"/>
      <c r="X97" s="5522"/>
      <c r="Y97" s="5522"/>
      <c r="Z97" s="5522"/>
      <c r="AA97" s="5522"/>
      <c r="AB97" s="5522"/>
      <c r="AC97" s="5522"/>
      <c r="AD97" s="5522"/>
      <c r="AE97" s="5522"/>
      <c r="AF97" s="5522"/>
      <c r="AG97" s="5522"/>
      <c r="AH97" s="5522"/>
      <c r="AI97" s="5522"/>
      <c r="AJ97" s="5522"/>
      <c r="AK97" s="5522"/>
      <c r="AL97" s="5522"/>
      <c r="AN97" s="5522"/>
      <c r="AO97" s="5522"/>
      <c r="AP97" s="5522"/>
      <c r="AQ97" s="5522"/>
      <c r="AR97" s="5522"/>
      <c r="AS97" s="5522"/>
      <c r="AT97" s="5522"/>
      <c r="AU97" s="5522"/>
      <c r="AV97" s="5522"/>
      <c r="AW97" s="5522"/>
      <c r="AX97" s="5522"/>
      <c r="AY97" s="5522"/>
      <c r="AZ97" s="5522"/>
      <c r="BA97" s="5522"/>
      <c r="BB97" s="5522"/>
      <c r="BC97" s="5522"/>
      <c r="BD97" s="5522"/>
      <c r="BE97" s="5522"/>
      <c r="BF97" s="5522"/>
      <c r="BG97" s="5522"/>
      <c r="BH97" s="5522"/>
      <c r="BI97" s="5522"/>
      <c r="BJ97" s="5522"/>
      <c r="BK97" s="5522"/>
      <c r="BL97" s="5522"/>
      <c r="BM97" s="5522"/>
      <c r="BN97" s="5522"/>
      <c r="BO97" s="5522"/>
      <c r="BP97" s="5522"/>
      <c r="BQ97" s="5522"/>
      <c r="BR97" s="5522"/>
      <c r="BS97" s="5522"/>
      <c r="BT97" s="5522"/>
      <c r="BU97" s="5522"/>
      <c r="BV97" s="5522"/>
      <c r="BW97" s="5522"/>
      <c r="BX97" s="5522"/>
      <c r="BY97" s="5522"/>
      <c r="BZ97" s="5522"/>
      <c r="CA97" s="5522"/>
      <c r="CB97" s="5522"/>
      <c r="CC97" s="5522"/>
      <c r="CD97" s="5522"/>
      <c r="CE97" s="5522"/>
      <c r="CF97" s="5522"/>
      <c r="CG97" s="5522"/>
      <c r="CH97" s="5522"/>
      <c r="CI97" s="5522"/>
      <c r="CJ97" s="5522"/>
      <c r="CK97" s="5522"/>
      <c r="CL97" s="5522"/>
    </row>
    <row r="98" spans="1:90" ht="15" customHeight="1" x14ac:dyDescent="0.3">
      <c r="A98" s="5232" t="s">
        <v>4254</v>
      </c>
      <c r="B98" s="5531">
        <f>SUM(C98:F98)</f>
        <v>0</v>
      </c>
      <c r="C98" s="5527"/>
      <c r="D98" s="5528"/>
      <c r="E98" s="5528"/>
      <c r="F98" s="5532"/>
      <c r="M98" s="5522"/>
      <c r="N98" s="5522"/>
      <c r="O98" s="5522"/>
      <c r="P98" s="5522"/>
      <c r="Q98" s="5522"/>
      <c r="R98" s="5522"/>
      <c r="S98" s="5522"/>
      <c r="T98" s="5522"/>
      <c r="U98" s="5522"/>
      <c r="V98" s="5522"/>
      <c r="W98" s="5522"/>
      <c r="X98" s="5522"/>
      <c r="Y98" s="5522"/>
      <c r="Z98" s="5522"/>
      <c r="AA98" s="5522"/>
      <c r="AB98" s="5522"/>
      <c r="AC98" s="5522"/>
      <c r="AD98" s="5522"/>
      <c r="AE98" s="5522"/>
      <c r="AF98" s="5522"/>
      <c r="AG98" s="5522"/>
      <c r="AH98" s="5522"/>
      <c r="AI98" s="5522"/>
      <c r="AJ98" s="5522"/>
      <c r="AK98" s="5522"/>
      <c r="AL98" s="5522"/>
      <c r="AN98" s="5522"/>
      <c r="AO98" s="5522"/>
      <c r="AP98" s="5522"/>
      <c r="AQ98" s="5522"/>
      <c r="AR98" s="5522"/>
      <c r="AS98" s="5522"/>
      <c r="AT98" s="5522"/>
      <c r="AU98" s="5522"/>
      <c r="AV98" s="5522"/>
      <c r="AW98" s="5522"/>
      <c r="AX98" s="5522"/>
      <c r="AY98" s="5522"/>
      <c r="AZ98" s="5522"/>
      <c r="BA98" s="5522"/>
      <c r="BB98" s="5522"/>
      <c r="BC98" s="5522"/>
      <c r="BD98" s="5522"/>
      <c r="BE98" s="5522"/>
      <c r="BF98" s="5522"/>
      <c r="BG98" s="5522"/>
      <c r="BH98" s="5522"/>
      <c r="BI98" s="5522"/>
      <c r="BJ98" s="5522"/>
      <c r="BK98" s="5522"/>
      <c r="BL98" s="5522"/>
      <c r="BM98" s="5522"/>
      <c r="BN98" s="5522"/>
      <c r="BO98" s="5522"/>
      <c r="BP98" s="5522"/>
      <c r="BQ98" s="5522"/>
      <c r="BR98" s="5522"/>
      <c r="BS98" s="5522"/>
      <c r="BT98" s="5522"/>
      <c r="BU98" s="5522"/>
      <c r="BV98" s="5522"/>
      <c r="BW98" s="5522"/>
      <c r="BX98" s="5522"/>
      <c r="BY98" s="5522"/>
      <c r="BZ98" s="5522"/>
      <c r="CA98" s="5522"/>
      <c r="CB98" s="5522"/>
      <c r="CC98" s="5522"/>
      <c r="CD98" s="5522"/>
      <c r="CE98" s="5522"/>
      <c r="CF98" s="5522"/>
      <c r="CG98" s="5522"/>
      <c r="CH98" s="5522"/>
      <c r="CI98" s="5522"/>
      <c r="CJ98" s="5522"/>
      <c r="CK98" s="5522"/>
      <c r="CL98" s="5522"/>
    </row>
    <row r="99" spans="1:90" ht="15" customHeight="1" x14ac:dyDescent="0.3">
      <c r="A99" s="5533" t="s">
        <v>4255</v>
      </c>
      <c r="B99" s="5534">
        <f>SUM(C99:F99)</f>
        <v>0</v>
      </c>
      <c r="C99" s="5535"/>
      <c r="D99" s="5536"/>
      <c r="E99" s="5536"/>
      <c r="F99" s="5537"/>
      <c r="M99" s="5522"/>
      <c r="N99" s="5522"/>
      <c r="O99" s="5522"/>
      <c r="P99" s="5522"/>
      <c r="Q99" s="5522"/>
      <c r="R99" s="5522"/>
      <c r="S99" s="5522"/>
      <c r="T99" s="5522"/>
      <c r="U99" s="5522"/>
      <c r="V99" s="5522"/>
      <c r="W99" s="5522"/>
      <c r="X99" s="5522"/>
      <c r="Y99" s="5522"/>
      <c r="Z99" s="5522"/>
      <c r="AA99" s="5522"/>
      <c r="AB99" s="5522"/>
      <c r="AC99" s="5522"/>
      <c r="AD99" s="5522"/>
      <c r="AE99" s="5522"/>
      <c r="AF99" s="5522"/>
      <c r="AG99" s="5522"/>
      <c r="AH99" s="5522"/>
      <c r="AI99" s="5522"/>
      <c r="AJ99" s="5522"/>
      <c r="AK99" s="5522"/>
      <c r="AM99" s="5522"/>
      <c r="AN99" s="5522"/>
      <c r="AO99" s="5522"/>
      <c r="AP99" s="5522"/>
      <c r="AQ99" s="5522"/>
      <c r="AR99" s="5522"/>
      <c r="AS99" s="5522"/>
      <c r="AT99" s="5522"/>
      <c r="AU99" s="5522"/>
      <c r="AV99" s="5522"/>
      <c r="AW99" s="5522"/>
      <c r="AX99" s="5522"/>
      <c r="AY99" s="5522"/>
      <c r="AZ99" s="5522"/>
      <c r="BA99" s="5522"/>
      <c r="BB99" s="5522"/>
      <c r="BC99" s="5522"/>
      <c r="BD99" s="5522"/>
      <c r="BE99" s="5522"/>
      <c r="BF99" s="5522"/>
      <c r="BG99" s="5522"/>
      <c r="BH99" s="5522"/>
      <c r="BI99" s="5522"/>
      <c r="BJ99" s="5522"/>
      <c r="BK99" s="5522"/>
      <c r="BL99" s="5522"/>
      <c r="BM99" s="5522"/>
      <c r="BN99" s="5522"/>
      <c r="BO99" s="5522"/>
      <c r="BP99" s="5522"/>
      <c r="BQ99" s="5522"/>
      <c r="BR99" s="5522"/>
      <c r="BS99" s="5522"/>
      <c r="BT99" s="5522"/>
      <c r="BU99" s="5522"/>
      <c r="BV99" s="5522"/>
      <c r="BW99" s="5522"/>
      <c r="BX99" s="5522"/>
      <c r="BY99" s="5522"/>
      <c r="BZ99" s="5522"/>
      <c r="CA99" s="5522"/>
      <c r="CB99" s="5522"/>
      <c r="CC99" s="5522"/>
      <c r="CD99" s="5522"/>
      <c r="CE99" s="3293"/>
      <c r="CF99" s="3293"/>
      <c r="CG99" s="3293"/>
      <c r="CH99" s="3293"/>
      <c r="CI99" s="3293"/>
      <c r="CJ99" s="3293"/>
      <c r="CK99" s="3293"/>
      <c r="CL99" s="3293"/>
    </row>
    <row r="100" spans="1:90" ht="17.100000000000001" customHeight="1" x14ac:dyDescent="0.3">
      <c r="A100" s="7712" t="s">
        <v>4256</v>
      </c>
      <c r="B100" s="7713"/>
      <c r="C100" s="7713"/>
      <c r="D100" s="7712"/>
      <c r="E100" s="5405"/>
      <c r="F100" s="5405"/>
      <c r="G100" s="5405"/>
      <c r="H100" s="5405"/>
      <c r="I100" s="5405"/>
      <c r="J100" s="5405"/>
      <c r="K100" s="5405"/>
      <c r="L100" s="5405"/>
      <c r="M100" s="5405"/>
      <c r="N100" s="5405"/>
      <c r="O100" s="5405"/>
      <c r="P100" s="5405"/>
      <c r="Q100" s="5405"/>
      <c r="R100" s="5405"/>
      <c r="S100" s="5405"/>
      <c r="T100" s="5405"/>
      <c r="U100" s="5405"/>
      <c r="V100" s="5405"/>
      <c r="W100" s="5405"/>
      <c r="X100" s="5405"/>
      <c r="Y100" s="5405"/>
      <c r="Z100" s="5405"/>
      <c r="AA100" s="5405"/>
      <c r="AB100" s="5405"/>
      <c r="AC100" s="5405"/>
      <c r="AD100" s="5405"/>
      <c r="AE100" s="5405"/>
      <c r="AF100" s="5405"/>
      <c r="AG100" s="5405"/>
      <c r="AH100" s="5405"/>
      <c r="AI100" s="5405"/>
      <c r="AJ100" s="5405"/>
      <c r="AK100" s="5405"/>
      <c r="AL100" s="5405"/>
      <c r="AM100" s="5405"/>
      <c r="AV100" s="3293"/>
      <c r="AW100" s="3293"/>
      <c r="AX100" s="3293"/>
      <c r="AY100" s="3293"/>
      <c r="BA100" s="3293"/>
      <c r="BB100" s="3293"/>
      <c r="BC100" s="3293"/>
      <c r="BD100" s="3293"/>
      <c r="BE100" s="3293"/>
      <c r="BF100" s="3293"/>
      <c r="BG100" s="3293"/>
      <c r="BH100" s="3293"/>
      <c r="BI100" s="3293"/>
      <c r="BJ100" s="3293"/>
      <c r="BK100" s="3293"/>
      <c r="BL100" s="3293"/>
      <c r="BM100" s="3293"/>
      <c r="BN100" s="3293"/>
      <c r="BO100" s="3293"/>
      <c r="BP100" s="3293"/>
      <c r="BQ100" s="3293"/>
      <c r="BR100" s="3293"/>
      <c r="BS100" s="3293"/>
      <c r="BT100" s="3293"/>
      <c r="BU100" s="3293"/>
      <c r="BV100" s="3293"/>
      <c r="BW100" s="3293"/>
      <c r="BX100" s="3293"/>
      <c r="BY100" s="3293"/>
      <c r="BZ100" s="3293"/>
      <c r="CA100" s="3293"/>
      <c r="CE100" s="3293"/>
      <c r="CF100" s="3293"/>
      <c r="CG100" s="3293"/>
      <c r="CH100" s="3293"/>
      <c r="CI100" s="3293"/>
      <c r="CJ100" s="3293"/>
      <c r="CK100" s="3293"/>
      <c r="CL100" s="3293"/>
    </row>
    <row r="101" spans="1:90" ht="21" customHeight="1" x14ac:dyDescent="0.3">
      <c r="A101" s="7714" t="s">
        <v>1093</v>
      </c>
      <c r="B101" s="7715" t="s">
        <v>2520</v>
      </c>
      <c r="C101" s="7715" t="s">
        <v>2521</v>
      </c>
      <c r="D101" s="7052" t="s">
        <v>101</v>
      </c>
      <c r="E101" s="7684"/>
      <c r="F101" s="7684"/>
      <c r="G101" s="7684"/>
      <c r="H101" s="7684"/>
      <c r="I101" s="7684"/>
      <c r="J101" s="7684"/>
      <c r="K101" s="7684"/>
      <c r="L101" s="7684"/>
      <c r="M101" s="7684"/>
      <c r="N101" s="7684"/>
      <c r="O101" s="7684"/>
      <c r="P101" s="7684"/>
      <c r="Q101" s="7684"/>
      <c r="R101" s="7684"/>
      <c r="S101" s="7685"/>
      <c r="T101" s="7716" t="s">
        <v>4257</v>
      </c>
      <c r="U101" s="7717"/>
      <c r="V101" s="7717"/>
      <c r="W101" s="7717"/>
      <c r="X101" s="7718"/>
      <c r="Y101" s="6518" t="s">
        <v>36</v>
      </c>
      <c r="Z101" s="151"/>
      <c r="AA101" s="151"/>
      <c r="AB101" s="151"/>
      <c r="AC101" s="151"/>
      <c r="AD101" s="151"/>
      <c r="AV101" s="3293"/>
      <c r="AW101" s="3293"/>
      <c r="AX101" s="3293"/>
      <c r="AY101" s="3293"/>
      <c r="BA101" s="3293"/>
      <c r="BB101" s="3293"/>
      <c r="BC101" s="3293"/>
      <c r="BD101" s="3293"/>
      <c r="BE101" s="3293"/>
      <c r="BF101" s="3293"/>
      <c r="BG101" s="3293"/>
      <c r="BH101" s="3293"/>
      <c r="BI101" s="3293"/>
      <c r="BJ101" s="3293"/>
      <c r="BK101" s="3293"/>
      <c r="BL101" s="3293"/>
      <c r="BM101" s="3293"/>
      <c r="BN101" s="3293"/>
      <c r="BO101" s="3293"/>
      <c r="BP101" s="3293"/>
      <c r="BQ101" s="3293"/>
      <c r="BR101" s="3293"/>
      <c r="BS101" s="3293"/>
      <c r="BT101" s="3293"/>
      <c r="BU101" s="3293"/>
      <c r="BV101" s="3293"/>
      <c r="BW101" s="3293"/>
      <c r="BX101" s="3293"/>
      <c r="BY101" s="3293"/>
      <c r="BZ101" s="3293"/>
      <c r="CA101" s="3293"/>
      <c r="CE101" s="3293"/>
      <c r="CF101" s="3293"/>
      <c r="CG101" s="3293"/>
      <c r="CH101" s="3293"/>
      <c r="CI101" s="3293"/>
      <c r="CJ101" s="3293"/>
      <c r="CK101" s="3293"/>
      <c r="CL101" s="3293"/>
    </row>
    <row r="102" spans="1:90" ht="47.25" customHeight="1" thickBot="1" x14ac:dyDescent="0.35">
      <c r="A102" s="6756"/>
      <c r="B102" s="6663"/>
      <c r="C102" s="6663"/>
      <c r="D102" s="7552" t="s">
        <v>3789</v>
      </c>
      <c r="E102" s="7523"/>
      <c r="F102" s="7552" t="s">
        <v>4225</v>
      </c>
      <c r="G102" s="7553"/>
      <c r="H102" s="7523" t="s">
        <v>1459</v>
      </c>
      <c r="I102" s="7553"/>
      <c r="J102" s="7552" t="s">
        <v>1460</v>
      </c>
      <c r="K102" s="7553"/>
      <c r="L102" s="7552" t="s">
        <v>1461</v>
      </c>
      <c r="M102" s="7553"/>
      <c r="N102" s="7552" t="s">
        <v>1462</v>
      </c>
      <c r="O102" s="7553"/>
      <c r="P102" s="7552" t="s">
        <v>1463</v>
      </c>
      <c r="Q102" s="7553"/>
      <c r="R102" s="7551" t="s">
        <v>938</v>
      </c>
      <c r="S102" s="7723"/>
      <c r="T102" s="7724" t="s">
        <v>4211</v>
      </c>
      <c r="U102" s="7719" t="s">
        <v>4212</v>
      </c>
      <c r="V102" s="7719" t="s">
        <v>4216</v>
      </c>
      <c r="W102" s="7719" t="s">
        <v>4219</v>
      </c>
      <c r="X102" s="7721" t="s">
        <v>4226</v>
      </c>
      <c r="Y102" s="6518"/>
      <c r="Z102" s="151"/>
      <c r="AA102" s="151"/>
      <c r="AB102" s="151"/>
      <c r="AV102" s="3293"/>
      <c r="AW102" s="3293"/>
      <c r="AX102" s="3293"/>
      <c r="AY102" s="3293"/>
      <c r="BA102" s="3293"/>
      <c r="BB102" s="3293"/>
      <c r="BC102" s="3293"/>
      <c r="BD102" s="3293"/>
      <c r="BE102" s="3293"/>
      <c r="BF102" s="3293"/>
      <c r="BG102" s="3293"/>
      <c r="BH102" s="3293"/>
      <c r="BI102" s="3293"/>
      <c r="BJ102" s="3293"/>
      <c r="BK102" s="3293"/>
      <c r="BL102" s="3293"/>
      <c r="BM102" s="3293"/>
      <c r="BN102" s="3293"/>
      <c r="BO102" s="3293"/>
      <c r="BP102" s="3293"/>
      <c r="BQ102" s="3293"/>
      <c r="BR102" s="3293"/>
      <c r="BS102" s="3293"/>
      <c r="BT102" s="3293"/>
      <c r="BU102" s="3293"/>
      <c r="BV102" s="3293"/>
      <c r="BW102" s="3293"/>
      <c r="BX102" s="3293"/>
      <c r="BY102" s="3293"/>
      <c r="BZ102" s="3293"/>
      <c r="CA102" s="3293"/>
      <c r="CE102" s="3293"/>
      <c r="CF102" s="3293"/>
      <c r="CG102" s="3293"/>
      <c r="CH102" s="3293"/>
      <c r="CI102" s="3293"/>
      <c r="CJ102" s="3293"/>
      <c r="CK102" s="3293"/>
    </row>
    <row r="103" spans="1:90" ht="15" thickTop="1" x14ac:dyDescent="0.3">
      <c r="A103" s="6629"/>
      <c r="B103" s="6664"/>
      <c r="C103" s="6664"/>
      <c r="D103" s="5200" t="s">
        <v>58</v>
      </c>
      <c r="E103" s="1352" t="s">
        <v>59</v>
      </c>
      <c r="F103" s="5143" t="s">
        <v>58</v>
      </c>
      <c r="G103" s="1830" t="s">
        <v>59</v>
      </c>
      <c r="H103" s="5200" t="s">
        <v>58</v>
      </c>
      <c r="I103" s="1352" t="s">
        <v>59</v>
      </c>
      <c r="J103" s="5143" t="s">
        <v>58</v>
      </c>
      <c r="K103" s="1830" t="s">
        <v>59</v>
      </c>
      <c r="L103" s="5200" t="s">
        <v>58</v>
      </c>
      <c r="M103" s="1352" t="s">
        <v>59</v>
      </c>
      <c r="N103" s="5143" t="s">
        <v>58</v>
      </c>
      <c r="O103" s="1830" t="s">
        <v>59</v>
      </c>
      <c r="P103" s="5200" t="s">
        <v>58</v>
      </c>
      <c r="Q103" s="1352" t="s">
        <v>59</v>
      </c>
      <c r="R103" s="5143" t="s">
        <v>58</v>
      </c>
      <c r="S103" s="3131" t="s">
        <v>59</v>
      </c>
      <c r="T103" s="7725"/>
      <c r="U103" s="7720"/>
      <c r="V103" s="7720"/>
      <c r="W103" s="7720"/>
      <c r="X103" s="7722"/>
      <c r="Y103" s="6518"/>
      <c r="Z103" s="151"/>
      <c r="AA103" s="151"/>
      <c r="AB103" s="151"/>
      <c r="AV103" s="3293"/>
      <c r="AW103" s="3293"/>
      <c r="AX103" s="3293"/>
      <c r="AY103" s="3293"/>
      <c r="BA103" s="3293"/>
      <c r="BB103" s="3293"/>
      <c r="BC103" s="3293"/>
      <c r="BD103" s="3293"/>
      <c r="BE103" s="3293"/>
      <c r="BF103" s="3293"/>
      <c r="BG103" s="3293"/>
      <c r="BH103" s="3293"/>
      <c r="BI103" s="3293"/>
      <c r="BJ103" s="3293"/>
      <c r="BK103" s="3293"/>
      <c r="BL103" s="3293"/>
      <c r="BM103" s="3293"/>
      <c r="BN103" s="3293"/>
      <c r="BO103" s="3293"/>
      <c r="BP103" s="3293"/>
      <c r="BQ103" s="3293"/>
      <c r="BR103" s="3293"/>
      <c r="BS103" s="3293"/>
      <c r="BT103" s="3293"/>
      <c r="BU103" s="3293"/>
      <c r="BV103" s="3293"/>
      <c r="BW103" s="3293"/>
      <c r="BX103" s="3293"/>
      <c r="BY103" s="3293"/>
      <c r="BZ103" s="3293"/>
      <c r="CA103" s="3293"/>
      <c r="CE103" s="3293"/>
      <c r="CF103" s="3293"/>
      <c r="CG103" s="3293"/>
      <c r="CH103" s="3293"/>
      <c r="CI103" s="3293"/>
      <c r="CJ103" s="3293"/>
      <c r="CK103" s="3293"/>
      <c r="CL103" s="3293"/>
    </row>
    <row r="104" spans="1:90" x14ac:dyDescent="0.3">
      <c r="A104" s="5538" t="s">
        <v>4258</v>
      </c>
      <c r="B104" s="5539"/>
      <c r="C104" s="5500"/>
      <c r="D104" s="1895"/>
      <c r="E104" s="890"/>
      <c r="F104" s="1895"/>
      <c r="G104" s="890"/>
      <c r="H104" s="1895"/>
      <c r="I104" s="890"/>
      <c r="J104" s="1895"/>
      <c r="K104" s="890"/>
      <c r="L104" s="1895"/>
      <c r="M104" s="890"/>
      <c r="N104" s="1895"/>
      <c r="O104" s="890"/>
      <c r="P104" s="1895"/>
      <c r="Q104" s="890"/>
      <c r="R104" s="1895"/>
      <c r="S104" s="892"/>
      <c r="T104" s="5502"/>
      <c r="U104" s="960"/>
      <c r="V104" s="960"/>
      <c r="W104" s="960"/>
      <c r="X104" s="5540"/>
      <c r="Y104" s="5481"/>
      <c r="Z104" s="2227" t="str">
        <f>$CA104</f>
        <v/>
      </c>
      <c r="AA104" s="6"/>
      <c r="AB104" s="6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CA104" s="4258" t="str">
        <f>IF(AND($C104&lt;&gt;0,Y104=""),"* No olvide ingresar la columna Pueblos Originarios, digite CERO si no tiene.  ",IF(Y104&gt;$C104,"* El número de Pueblos Originarios no puede superar el N° de Participantes  ",""))</f>
        <v/>
      </c>
      <c r="CB104" s="151"/>
      <c r="CC104" s="151"/>
      <c r="CE104" s="3293"/>
      <c r="CF104" s="3293"/>
      <c r="CG104" s="3293"/>
      <c r="CH104" s="3293"/>
      <c r="CI104" s="3293"/>
      <c r="CJ104" s="3293"/>
      <c r="CK104" s="3293"/>
      <c r="CL104" s="55">
        <f>IF(AND($C104&lt;&gt;0,Y104=""),1,IF(Y104&gt;$C104,1,0))</f>
        <v>0</v>
      </c>
    </row>
    <row r="105" spans="1:90" ht="15" customHeight="1" x14ac:dyDescent="0.3">
      <c r="A105" s="5541" t="s">
        <v>4259</v>
      </c>
      <c r="B105" s="1029"/>
      <c r="C105" s="1295"/>
      <c r="D105" s="989"/>
      <c r="E105" s="990"/>
      <c r="F105" s="989"/>
      <c r="G105" s="990"/>
      <c r="H105" s="989"/>
      <c r="I105" s="990"/>
      <c r="J105" s="989"/>
      <c r="K105" s="990"/>
      <c r="L105" s="989"/>
      <c r="M105" s="990"/>
      <c r="N105" s="989"/>
      <c r="O105" s="990"/>
      <c r="P105" s="989"/>
      <c r="Q105" s="990"/>
      <c r="R105" s="989"/>
      <c r="S105" s="994"/>
      <c r="T105" s="1030"/>
      <c r="U105" s="1031"/>
      <c r="V105" s="1031"/>
      <c r="W105" s="1031"/>
      <c r="X105" s="1912"/>
      <c r="Y105" s="877"/>
      <c r="Z105" s="2227" t="str">
        <f>$CA105</f>
        <v/>
      </c>
      <c r="AA105" s="6"/>
      <c r="AB105" s="6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CA105" s="4258" t="str">
        <f>IF(AND($C105&lt;&gt;0,Y105=""),"* No olvide ingresar la columna Pueblos Originarios, digite CERO si no tiene.  ",IF(Y105&gt;$C105,"* El número de Pueblos Originarios no puede superar el N° de Participantes  ",""))</f>
        <v/>
      </c>
      <c r="CB105" s="151"/>
      <c r="CC105" s="151"/>
      <c r="CE105" s="3293"/>
      <c r="CF105" s="3293"/>
      <c r="CG105" s="3293"/>
      <c r="CH105" s="3293"/>
      <c r="CI105" s="3293"/>
      <c r="CJ105" s="3293"/>
      <c r="CK105" s="3293"/>
      <c r="CL105" s="55">
        <f>IF(AND($C105&lt;&gt;0,Y105=""),1,IF(Y105&gt;$C105,1,0))</f>
        <v>0</v>
      </c>
    </row>
    <row r="106" spans="1:90" ht="17.100000000000001" customHeight="1" x14ac:dyDescent="0.3">
      <c r="A106" s="7726" t="s">
        <v>4260</v>
      </c>
      <c r="B106" s="7726"/>
      <c r="C106" s="7726"/>
      <c r="D106" s="7726"/>
      <c r="E106" s="5542"/>
      <c r="F106" s="5542"/>
      <c r="G106" s="5542"/>
      <c r="H106" s="5542"/>
      <c r="I106" s="5542"/>
      <c r="J106" s="5542"/>
      <c r="K106" s="5542"/>
      <c r="L106" s="5542"/>
      <c r="M106" s="5542"/>
      <c r="N106" s="5542"/>
      <c r="O106" s="5542"/>
      <c r="P106" s="5542"/>
      <c r="Q106" s="5542"/>
      <c r="R106" s="5542"/>
      <c r="S106" s="5542"/>
      <c r="T106" s="5542"/>
      <c r="U106" s="5542"/>
      <c r="V106" s="5542"/>
      <c r="W106" s="5542"/>
      <c r="X106" s="5542"/>
      <c r="Y106" s="5542"/>
      <c r="Z106" s="5542"/>
      <c r="AA106" s="5542"/>
      <c r="AB106" s="5542"/>
      <c r="AC106" s="5542"/>
      <c r="AD106" s="5542"/>
      <c r="AE106" s="5542"/>
      <c r="AF106" s="5542"/>
      <c r="AG106" s="5542"/>
      <c r="AH106" s="5542"/>
      <c r="AI106" s="5542"/>
      <c r="AJ106" s="5542"/>
      <c r="AK106" s="5542"/>
      <c r="AL106" s="5542"/>
      <c r="AM106" s="5542"/>
      <c r="AV106" s="3293"/>
      <c r="AW106" s="3293"/>
      <c r="AX106" s="3293"/>
      <c r="AY106" s="3293"/>
      <c r="BA106" s="3293"/>
      <c r="BB106" s="3293"/>
      <c r="BC106" s="3293"/>
      <c r="BD106" s="3293"/>
      <c r="BE106" s="3293"/>
      <c r="BF106" s="3293"/>
      <c r="BG106" s="3293"/>
      <c r="BH106" s="3293"/>
      <c r="BI106" s="3293"/>
      <c r="BJ106" s="3293"/>
      <c r="BK106" s="3293"/>
      <c r="BL106" s="3293"/>
      <c r="BM106" s="3293"/>
      <c r="BN106" s="3293"/>
      <c r="BO106" s="3293"/>
      <c r="BP106" s="3293"/>
      <c r="BQ106" s="3293"/>
      <c r="BR106" s="3293"/>
      <c r="BS106" s="3293"/>
      <c r="BT106" s="3293"/>
      <c r="BU106" s="3293"/>
      <c r="BV106" s="3293"/>
      <c r="BW106" s="3293"/>
      <c r="BX106" s="3293"/>
      <c r="BY106" s="3293"/>
      <c r="BZ106" s="3293"/>
      <c r="CA106" s="3293"/>
      <c r="CE106" s="5522"/>
      <c r="CF106" s="5522"/>
      <c r="CG106" s="5522"/>
      <c r="CH106" s="5522"/>
      <c r="CI106" s="5522"/>
      <c r="CJ106" s="5522"/>
      <c r="CK106" s="5522"/>
      <c r="CL106" s="5522"/>
    </row>
    <row r="107" spans="1:90" ht="30.6" x14ac:dyDescent="0.3">
      <c r="A107" s="5602" t="s">
        <v>1093</v>
      </c>
      <c r="B107" s="5543" t="s">
        <v>1094</v>
      </c>
      <c r="C107" s="5239" t="s">
        <v>4261</v>
      </c>
      <c r="D107" s="1816" t="s">
        <v>4262</v>
      </c>
      <c r="E107" s="5522"/>
      <c r="F107" s="5522"/>
      <c r="G107" s="5522"/>
      <c r="H107" s="5522"/>
      <c r="I107" s="5522"/>
      <c r="J107" s="5522"/>
      <c r="K107" s="5522"/>
      <c r="L107" s="5522"/>
      <c r="M107" s="5522"/>
      <c r="N107" s="5522"/>
      <c r="O107" s="5522"/>
      <c r="P107" s="5522"/>
      <c r="Q107" s="5522"/>
      <c r="R107" s="5522"/>
      <c r="S107" s="5522"/>
      <c r="T107" s="5522"/>
      <c r="U107" s="5522"/>
      <c r="V107" s="5522"/>
      <c r="W107" s="5522"/>
      <c r="X107" s="5522"/>
      <c r="Y107" s="5522"/>
      <c r="Z107" s="5522"/>
      <c r="AA107" s="5522"/>
      <c r="AB107" s="5522"/>
      <c r="AC107" s="5522"/>
      <c r="AD107" s="5522"/>
      <c r="AE107" s="5522"/>
      <c r="AF107" s="5522"/>
      <c r="AG107" s="5522"/>
      <c r="AH107" s="5522"/>
      <c r="AI107" s="5522"/>
      <c r="AJ107" s="5522"/>
      <c r="AK107" s="5522"/>
      <c r="AL107" s="5522"/>
      <c r="AM107" s="5522"/>
      <c r="AO107" s="151"/>
      <c r="AP107" s="151"/>
      <c r="AQ107" s="151"/>
      <c r="AR107" s="151"/>
      <c r="AS107" s="151"/>
      <c r="AT107" s="151"/>
      <c r="AU107" s="5522"/>
      <c r="AV107" s="5522"/>
      <c r="AW107" s="5522"/>
      <c r="AX107" s="5522"/>
      <c r="AY107" s="5522"/>
      <c r="AZ107" s="5522"/>
      <c r="BA107" s="5522"/>
      <c r="BB107" s="151"/>
      <c r="BC107" s="5522"/>
      <c r="BD107" s="5522"/>
      <c r="BE107" s="5522"/>
      <c r="BF107" s="5522"/>
      <c r="BG107" s="5522"/>
      <c r="BH107" s="5522"/>
      <c r="BI107" s="5522"/>
      <c r="BJ107" s="5522"/>
      <c r="BK107" s="5522"/>
      <c r="BL107" s="5522"/>
      <c r="BM107" s="5522"/>
      <c r="BN107" s="5522"/>
      <c r="BO107" s="5522"/>
      <c r="BP107" s="5522"/>
      <c r="BQ107" s="5522"/>
      <c r="BR107" s="5522"/>
      <c r="BS107" s="5522"/>
      <c r="BT107" s="5522"/>
      <c r="BU107" s="5522"/>
      <c r="BV107" s="5522"/>
      <c r="BW107" s="5522"/>
      <c r="BX107" s="5522"/>
      <c r="BY107" s="5522"/>
      <c r="BZ107" s="5522"/>
      <c r="CA107" s="5522"/>
      <c r="CB107" s="5522"/>
      <c r="CC107" s="5522"/>
      <c r="CD107" s="5522"/>
      <c r="CE107" s="5522"/>
      <c r="CF107" s="5522"/>
      <c r="CG107" s="5522"/>
      <c r="CH107" s="5522"/>
      <c r="CI107" s="5522"/>
      <c r="CJ107" s="5522"/>
      <c r="CK107" s="5522"/>
      <c r="CL107" s="5522"/>
    </row>
    <row r="108" spans="1:90" ht="15" customHeight="1" x14ac:dyDescent="0.3">
      <c r="A108" s="5544" t="s">
        <v>1097</v>
      </c>
      <c r="B108" s="5545"/>
      <c r="C108" s="5546"/>
      <c r="D108" s="5417"/>
      <c r="H108" s="5522"/>
      <c r="I108" s="5522"/>
      <c r="J108" s="5522"/>
      <c r="K108" s="5522"/>
      <c r="L108" s="5522"/>
      <c r="M108" s="5522"/>
      <c r="N108" s="5522"/>
      <c r="O108" s="5522"/>
      <c r="P108" s="5522"/>
      <c r="Q108" s="5522"/>
      <c r="R108" s="5522"/>
      <c r="S108" s="5522"/>
      <c r="T108" s="5522"/>
      <c r="U108" s="5522"/>
      <c r="V108" s="5522"/>
      <c r="W108" s="5522"/>
      <c r="X108" s="5522"/>
      <c r="Y108" s="5522"/>
      <c r="Z108" s="5522"/>
      <c r="AA108" s="5522"/>
      <c r="AB108" s="5522"/>
      <c r="AC108" s="5522"/>
      <c r="AD108" s="5522"/>
      <c r="AE108" s="5522"/>
      <c r="AF108" s="5522"/>
      <c r="AG108" s="5522"/>
      <c r="AH108" s="5522"/>
      <c r="AI108" s="5522"/>
      <c r="AJ108" s="5522"/>
      <c r="AK108" s="5522"/>
      <c r="AL108" s="5522"/>
      <c r="AM108" s="5522"/>
      <c r="AO108" s="151"/>
      <c r="AP108" s="151"/>
      <c r="AQ108" s="151"/>
      <c r="AR108" s="151"/>
      <c r="AS108" s="151"/>
      <c r="AT108" s="151"/>
      <c r="AU108" s="5522"/>
      <c r="AV108" s="5522"/>
      <c r="AW108" s="5522"/>
      <c r="AX108" s="5522"/>
      <c r="AY108" s="5522"/>
      <c r="AZ108" s="5522"/>
      <c r="BA108" s="5522"/>
      <c r="BB108" s="151"/>
      <c r="BC108" s="5522"/>
      <c r="BD108" s="5522"/>
      <c r="BE108" s="5522"/>
      <c r="BF108" s="5522"/>
      <c r="BG108" s="5522"/>
      <c r="BH108" s="5522"/>
      <c r="BI108" s="5522"/>
      <c r="BJ108" s="5522"/>
      <c r="BK108" s="5522"/>
      <c r="BL108" s="5522"/>
      <c r="BM108" s="5522"/>
      <c r="BN108" s="5522"/>
      <c r="BO108" s="5522"/>
      <c r="BP108" s="5522"/>
      <c r="BQ108" s="5522"/>
      <c r="BR108" s="5522"/>
      <c r="BS108" s="5522"/>
      <c r="BT108" s="5522"/>
      <c r="BU108" s="5522"/>
      <c r="BV108" s="5522"/>
      <c r="BW108" s="5522"/>
      <c r="BX108" s="5522"/>
      <c r="BY108" s="5522"/>
      <c r="BZ108" s="5522"/>
      <c r="CA108" s="5522"/>
      <c r="CB108" s="5522"/>
      <c r="CC108" s="5522"/>
      <c r="CD108" s="5522"/>
      <c r="CE108" s="5522"/>
      <c r="CF108" s="5522"/>
      <c r="CG108" s="5522"/>
      <c r="CH108" s="5522"/>
      <c r="CI108" s="5522"/>
      <c r="CJ108" s="5522"/>
      <c r="CK108" s="5522"/>
      <c r="CL108" s="5522"/>
    </row>
    <row r="109" spans="1:90" ht="23.1" customHeight="1" x14ac:dyDescent="0.3">
      <c r="A109" s="5090" t="s">
        <v>1098</v>
      </c>
      <c r="B109" s="5547"/>
      <c r="C109" s="2704"/>
      <c r="D109" s="5548"/>
      <c r="H109" s="5522"/>
      <c r="I109" s="5522"/>
      <c r="J109" s="5522"/>
      <c r="K109" s="5522"/>
      <c r="L109" s="5522"/>
      <c r="M109" s="5522"/>
      <c r="N109" s="5522"/>
      <c r="O109" s="5522"/>
      <c r="P109" s="5522"/>
      <c r="Q109" s="5522"/>
      <c r="R109" s="5522"/>
      <c r="S109" s="5522"/>
      <c r="T109" s="5522"/>
      <c r="U109" s="5522"/>
      <c r="V109" s="5522"/>
      <c r="W109" s="5522"/>
      <c r="X109" s="5522"/>
      <c r="Y109" s="5522"/>
      <c r="Z109" s="5522"/>
      <c r="AA109" s="5522"/>
      <c r="AB109" s="5522"/>
      <c r="AC109" s="5522"/>
      <c r="AD109" s="5522"/>
      <c r="AE109" s="5522"/>
      <c r="AF109" s="5522"/>
      <c r="AG109" s="5522"/>
      <c r="AH109" s="5522"/>
      <c r="AI109" s="5522"/>
      <c r="AJ109" s="5522"/>
      <c r="AK109" s="5522"/>
      <c r="AL109" s="5522"/>
      <c r="AM109" s="5522"/>
      <c r="AO109" s="151"/>
      <c r="AP109" s="151"/>
      <c r="AQ109" s="151"/>
      <c r="AR109" s="151"/>
      <c r="AS109" s="151"/>
      <c r="AT109" s="151"/>
      <c r="AU109" s="5522"/>
      <c r="AV109" s="5522"/>
      <c r="AW109" s="5522"/>
      <c r="AX109" s="5522"/>
      <c r="AY109" s="5522"/>
      <c r="AZ109" s="5522"/>
      <c r="BA109" s="5522"/>
      <c r="BB109" s="151"/>
      <c r="BC109" s="5522"/>
      <c r="BD109" s="5522"/>
      <c r="BE109" s="5522"/>
      <c r="BF109" s="5522"/>
      <c r="BG109" s="5522"/>
      <c r="BH109" s="5522"/>
      <c r="BI109" s="5522"/>
      <c r="BJ109" s="5522"/>
      <c r="BK109" s="5522"/>
      <c r="BL109" s="5522"/>
      <c r="BM109" s="5522"/>
      <c r="BN109" s="5522"/>
      <c r="BO109" s="5522"/>
      <c r="BP109" s="5522"/>
      <c r="BQ109" s="5522"/>
      <c r="BR109" s="5522"/>
      <c r="BS109" s="5522"/>
      <c r="BT109" s="5522"/>
      <c r="BU109" s="5522"/>
      <c r="BV109" s="5522"/>
      <c r="BW109" s="5522"/>
      <c r="BX109" s="5522"/>
      <c r="BY109" s="5522"/>
      <c r="BZ109" s="5522"/>
      <c r="CA109" s="5522"/>
      <c r="CB109" s="5522"/>
      <c r="CC109" s="5522"/>
      <c r="CD109" s="5522"/>
      <c r="CE109" s="5522"/>
      <c r="CF109" s="5522"/>
      <c r="CG109" s="5522"/>
      <c r="CH109" s="5522"/>
      <c r="CI109" s="5522"/>
      <c r="CJ109" s="5522"/>
      <c r="CK109" s="5522"/>
      <c r="CL109" s="5522"/>
    </row>
    <row r="110" spans="1:90" ht="23.1" customHeight="1" x14ac:dyDescent="0.3">
      <c r="A110" s="5090" t="s">
        <v>1099</v>
      </c>
      <c r="B110" s="5547"/>
      <c r="C110" s="2704"/>
      <c r="D110" s="2702"/>
      <c r="H110" s="5522"/>
      <c r="I110" s="5522"/>
      <c r="J110" s="5522"/>
      <c r="K110" s="5522"/>
      <c r="L110" s="5522"/>
      <c r="M110" s="5522"/>
      <c r="N110" s="5522"/>
      <c r="O110" s="5522"/>
      <c r="P110" s="5522"/>
      <c r="Q110" s="5522"/>
      <c r="R110" s="5522"/>
      <c r="S110" s="5522"/>
      <c r="T110" s="5522"/>
      <c r="U110" s="5522"/>
      <c r="V110" s="5522"/>
      <c r="W110" s="5522"/>
      <c r="X110" s="5522"/>
      <c r="Y110" s="5522"/>
      <c r="Z110" s="5522"/>
      <c r="AA110" s="5522"/>
      <c r="AB110" s="5522"/>
      <c r="AC110" s="5522"/>
      <c r="AD110" s="5522"/>
      <c r="AE110" s="5522"/>
      <c r="AF110" s="5522"/>
      <c r="AG110" s="5522"/>
      <c r="AH110" s="5522"/>
      <c r="AI110" s="5522"/>
      <c r="AJ110" s="5522"/>
      <c r="AK110" s="5522"/>
      <c r="AL110" s="5522"/>
      <c r="AM110" s="5522"/>
      <c r="AO110" s="151"/>
      <c r="AP110" s="151"/>
      <c r="AQ110" s="151"/>
      <c r="AR110" s="151"/>
      <c r="AS110" s="151"/>
      <c r="AT110" s="151"/>
      <c r="AU110" s="5522"/>
      <c r="AV110" s="5522"/>
      <c r="AW110" s="5522"/>
      <c r="AX110" s="5522"/>
      <c r="AY110" s="5522"/>
      <c r="AZ110" s="5522"/>
      <c r="BA110" s="5522"/>
      <c r="BB110" s="151"/>
      <c r="BC110" s="5522"/>
      <c r="BD110" s="5522"/>
      <c r="BE110" s="5522"/>
      <c r="BF110" s="5522"/>
      <c r="BG110" s="5522"/>
      <c r="BH110" s="5522"/>
      <c r="BI110" s="5522"/>
      <c r="BJ110" s="5522"/>
      <c r="BK110" s="5522"/>
      <c r="BL110" s="5522"/>
      <c r="BM110" s="5522"/>
      <c r="BN110" s="5522"/>
      <c r="BO110" s="5522"/>
      <c r="BP110" s="5522"/>
      <c r="BQ110" s="5522"/>
      <c r="BR110" s="5522"/>
      <c r="BS110" s="5522"/>
      <c r="BT110" s="5522"/>
      <c r="BU110" s="5522"/>
      <c r="BV110" s="5522"/>
      <c r="BW110" s="5522"/>
      <c r="BX110" s="5522"/>
      <c r="BY110" s="5522"/>
      <c r="BZ110" s="5522"/>
      <c r="CA110" s="5522"/>
      <c r="CB110" s="5522"/>
      <c r="CC110" s="5522"/>
      <c r="CD110" s="5522"/>
      <c r="CE110" s="3293"/>
      <c r="CF110" s="3293"/>
      <c r="CG110" s="3293"/>
      <c r="CH110" s="3293"/>
      <c r="CI110" s="3293"/>
      <c r="CJ110" s="3293"/>
      <c r="CK110" s="3293"/>
      <c r="CL110" s="3293"/>
    </row>
    <row r="111" spans="1:90" ht="23.1" customHeight="1" x14ac:dyDescent="0.3">
      <c r="A111" s="5549" t="s">
        <v>4263</v>
      </c>
      <c r="B111" s="5547"/>
      <c r="C111" s="2704"/>
      <c r="D111" s="2702"/>
      <c r="H111" s="5522"/>
      <c r="I111" s="5522"/>
      <c r="J111" s="5522"/>
      <c r="K111" s="5522"/>
      <c r="L111" s="5522"/>
      <c r="M111" s="5522"/>
      <c r="N111" s="5522"/>
      <c r="O111" s="5522"/>
      <c r="P111" s="5522"/>
      <c r="Q111" s="5522"/>
      <c r="R111" s="5522"/>
      <c r="S111" s="5522"/>
      <c r="T111" s="5522"/>
      <c r="U111" s="5522"/>
      <c r="V111" s="5522"/>
      <c r="W111" s="5522"/>
      <c r="X111" s="5522"/>
      <c r="Y111" s="5522"/>
      <c r="Z111" s="5522"/>
      <c r="AA111" s="5522"/>
      <c r="AB111" s="5522"/>
      <c r="AC111" s="5522"/>
      <c r="AD111" s="5522"/>
      <c r="AE111" s="5522"/>
      <c r="AF111" s="5522"/>
      <c r="AG111" s="5522"/>
      <c r="AH111" s="5522"/>
      <c r="AI111" s="5522"/>
      <c r="AJ111" s="5522"/>
      <c r="AK111" s="5522"/>
      <c r="AL111" s="5522"/>
      <c r="AM111" s="5522"/>
      <c r="AV111" s="3293"/>
      <c r="AW111" s="3293"/>
      <c r="AX111" s="3293"/>
      <c r="AY111" s="3293"/>
      <c r="BA111" s="3293"/>
      <c r="BB111" s="3293"/>
      <c r="BC111" s="3293"/>
      <c r="BD111" s="3293"/>
      <c r="BE111" s="3293"/>
      <c r="BF111" s="3293"/>
      <c r="BG111" s="3293"/>
      <c r="BH111" s="3293"/>
      <c r="BI111" s="3293"/>
      <c r="BJ111" s="3293"/>
      <c r="BK111" s="3293"/>
      <c r="BL111" s="3293"/>
      <c r="BM111" s="3293"/>
      <c r="BN111" s="3293"/>
      <c r="BO111" s="3293"/>
      <c r="BP111" s="3293"/>
      <c r="BQ111" s="3293"/>
      <c r="BR111" s="3293"/>
      <c r="BS111" s="3293"/>
      <c r="BT111" s="3293"/>
      <c r="BU111" s="3293"/>
      <c r="BV111" s="3293"/>
      <c r="BW111" s="3293"/>
      <c r="BX111" s="3293"/>
      <c r="BY111" s="3293"/>
      <c r="BZ111" s="3293"/>
      <c r="CA111" s="3293"/>
      <c r="CE111" s="5522"/>
      <c r="CF111" s="5522"/>
      <c r="CG111" s="5522"/>
      <c r="CH111" s="5522"/>
      <c r="CI111" s="5522"/>
      <c r="CJ111" s="5522"/>
      <c r="CK111" s="5522"/>
      <c r="CL111" s="5522"/>
    </row>
    <row r="112" spans="1:90" ht="23.1" customHeight="1" x14ac:dyDescent="0.3">
      <c r="A112" s="5550" t="s">
        <v>4264</v>
      </c>
      <c r="B112" s="5551"/>
      <c r="C112" s="5552"/>
      <c r="D112" s="5553"/>
      <c r="H112" s="5522"/>
      <c r="I112" s="5522"/>
      <c r="J112" s="5522"/>
      <c r="K112" s="5522"/>
      <c r="L112" s="5522"/>
      <c r="M112" s="5522"/>
      <c r="N112" s="5522"/>
      <c r="O112" s="5522"/>
      <c r="P112" s="5522"/>
      <c r="Q112" s="5522"/>
      <c r="R112" s="5522"/>
      <c r="S112" s="5522"/>
      <c r="T112" s="5522"/>
      <c r="U112" s="5522"/>
      <c r="V112" s="5522"/>
      <c r="W112" s="5522"/>
      <c r="X112" s="5522"/>
      <c r="Y112" s="5522"/>
      <c r="Z112" s="5522"/>
      <c r="AA112" s="5522"/>
      <c r="AB112" s="5522"/>
      <c r="AC112" s="5522"/>
      <c r="AD112" s="5522"/>
      <c r="AE112" s="5522"/>
      <c r="AF112" s="5522"/>
      <c r="AG112" s="5522"/>
      <c r="AH112" s="5522"/>
      <c r="AI112" s="5522"/>
      <c r="AJ112" s="5522"/>
      <c r="AK112" s="5522"/>
      <c r="AL112" s="5522"/>
      <c r="AM112" s="5522"/>
      <c r="AO112" s="5522"/>
      <c r="AP112" s="5522"/>
      <c r="AQ112" s="5522"/>
      <c r="AR112" s="5522"/>
      <c r="AS112" s="5522"/>
      <c r="AT112" s="5522"/>
      <c r="AU112" s="5522"/>
      <c r="AV112" s="5522"/>
      <c r="AW112" s="5522"/>
      <c r="AX112" s="5522"/>
      <c r="AY112" s="5522"/>
      <c r="AZ112" s="5522"/>
      <c r="BA112" s="5522"/>
      <c r="BB112" s="5522"/>
      <c r="BC112" s="5522"/>
      <c r="BD112" s="5522"/>
      <c r="BE112" s="5522"/>
      <c r="BF112" s="5522"/>
      <c r="BG112" s="5522"/>
      <c r="BH112" s="5522"/>
      <c r="BI112" s="5522"/>
      <c r="BJ112" s="5522"/>
      <c r="BK112" s="5522"/>
      <c r="BL112" s="5522"/>
      <c r="BM112" s="5522"/>
      <c r="BN112" s="5522"/>
      <c r="BO112" s="5522"/>
      <c r="BP112" s="5522"/>
      <c r="BQ112" s="5522"/>
      <c r="BR112" s="5522"/>
      <c r="BS112" s="5522"/>
      <c r="BT112" s="5522"/>
      <c r="BU112" s="5522"/>
      <c r="BV112" s="5522"/>
      <c r="BW112" s="5522"/>
      <c r="BX112" s="5522"/>
      <c r="BY112" s="5522"/>
      <c r="BZ112" s="5522"/>
      <c r="CA112" s="5522"/>
      <c r="CB112" s="5522"/>
      <c r="CC112" s="5522"/>
      <c r="CD112" s="5522"/>
      <c r="CE112" s="5405"/>
      <c r="CF112" s="5405"/>
      <c r="CG112" s="5405"/>
      <c r="CH112" s="5405"/>
      <c r="CI112" s="5405"/>
      <c r="CJ112" s="5405"/>
      <c r="CK112" s="5405"/>
      <c r="CL112" s="3293"/>
    </row>
    <row r="113" spans="1:41" ht="17.100000000000001" customHeight="1" x14ac:dyDescent="0.3">
      <c r="A113" s="2508" t="s">
        <v>4265</v>
      </c>
      <c r="B113" s="5405"/>
      <c r="C113" s="5405"/>
      <c r="D113" s="5405"/>
      <c r="E113" s="5405"/>
      <c r="F113" s="5405"/>
      <c r="G113" s="5405"/>
      <c r="H113" s="5405"/>
      <c r="I113" s="5405"/>
      <c r="J113" s="5405"/>
      <c r="K113" s="5405"/>
      <c r="L113" s="5405"/>
      <c r="M113" s="5405"/>
      <c r="N113" s="5405"/>
      <c r="O113" s="5405"/>
      <c r="P113" s="5405"/>
      <c r="Q113" s="5405"/>
      <c r="R113" s="5405"/>
      <c r="S113" s="5405"/>
      <c r="T113" s="5405"/>
      <c r="U113" s="5405"/>
      <c r="V113" s="5405"/>
      <c r="W113" s="5405"/>
      <c r="X113" s="5405"/>
      <c r="Y113" s="5405"/>
      <c r="Z113" s="5405"/>
      <c r="AA113" s="5405"/>
      <c r="AB113" s="5405"/>
      <c r="AC113" s="5405"/>
      <c r="AD113" s="5405"/>
      <c r="AE113" s="5405"/>
      <c r="AF113" s="5405"/>
      <c r="AG113" s="5405"/>
      <c r="AH113" s="5405"/>
      <c r="AI113" s="5405"/>
      <c r="AJ113" s="5405"/>
      <c r="AK113" s="5405"/>
      <c r="AL113" s="5405"/>
      <c r="AM113" s="5405"/>
      <c r="AO113" s="5405"/>
    </row>
    <row r="114" spans="1:41" ht="15" customHeight="1" x14ac:dyDescent="0.3">
      <c r="A114" s="7619" t="s">
        <v>29</v>
      </c>
      <c r="B114" s="7727" t="s">
        <v>4266</v>
      </c>
      <c r="C114" s="7702" t="s">
        <v>4267</v>
      </c>
      <c r="D114" s="7702"/>
      <c r="E114" s="7702"/>
      <c r="F114" s="7702"/>
      <c r="G114" s="7680"/>
      <c r="H114" s="3293"/>
      <c r="I114" s="151"/>
      <c r="J114" s="151"/>
      <c r="K114" s="151"/>
      <c r="L114" s="151"/>
      <c r="M114" s="151"/>
      <c r="N114" s="151"/>
      <c r="O114" s="151"/>
      <c r="P114" s="151"/>
      <c r="Q114" s="151"/>
      <c r="R114" s="151"/>
      <c r="S114" s="151"/>
      <c r="T114" s="151"/>
      <c r="U114" s="151"/>
      <c r="V114" s="151"/>
      <c r="W114" s="151"/>
      <c r="X114" s="151"/>
      <c r="Y114" s="151"/>
      <c r="Z114" s="151"/>
      <c r="AA114" s="151"/>
      <c r="AB114" s="151"/>
      <c r="AC114" s="151"/>
      <c r="AD114" s="151"/>
      <c r="AE114" s="151"/>
      <c r="AF114" s="151"/>
      <c r="AG114" s="151"/>
      <c r="AH114" s="151"/>
      <c r="AI114" s="151"/>
      <c r="AJ114" s="151"/>
      <c r="AK114" s="151"/>
      <c r="AL114" s="151"/>
      <c r="AN114" s="151"/>
      <c r="AO114" s="151"/>
    </row>
    <row r="115" spans="1:41" x14ac:dyDescent="0.3">
      <c r="A115" s="7646"/>
      <c r="B115" s="7519"/>
      <c r="C115" s="7728" t="s">
        <v>4268</v>
      </c>
      <c r="D115" s="7729" t="s">
        <v>4269</v>
      </c>
      <c r="E115" s="7729" t="s">
        <v>4216</v>
      </c>
      <c r="F115" s="7729" t="s">
        <v>4219</v>
      </c>
      <c r="G115" s="7706" t="s">
        <v>4226</v>
      </c>
      <c r="H115" s="3293"/>
      <c r="I115" s="151"/>
      <c r="J115" s="151"/>
      <c r="K115" s="151"/>
      <c r="L115" s="151"/>
      <c r="M115" s="151"/>
      <c r="N115" s="151"/>
      <c r="O115" s="151"/>
      <c r="P115" s="151"/>
      <c r="Q115" s="151"/>
      <c r="R115" s="151"/>
      <c r="S115" s="151"/>
      <c r="T115" s="151"/>
      <c r="U115" s="151"/>
      <c r="V115" s="151"/>
      <c r="W115" s="151"/>
      <c r="X115" s="151"/>
      <c r="Y115" s="151"/>
      <c r="Z115" s="151"/>
      <c r="AA115" s="151"/>
      <c r="AB115" s="151"/>
      <c r="AC115" s="151"/>
      <c r="AD115" s="151"/>
      <c r="AE115" s="151"/>
      <c r="AF115" s="151"/>
      <c r="AG115" s="151"/>
      <c r="AH115" s="151"/>
      <c r="AI115" s="151"/>
      <c r="AJ115" s="151"/>
      <c r="AK115" s="151"/>
      <c r="AL115" s="151"/>
      <c r="AN115" s="151"/>
      <c r="AO115" s="151"/>
    </row>
    <row r="116" spans="1:41" ht="53.25" customHeight="1" x14ac:dyDescent="0.3">
      <c r="A116" s="6885"/>
      <c r="B116" s="7520"/>
      <c r="C116" s="6776"/>
      <c r="D116" s="5815"/>
      <c r="E116" s="5815"/>
      <c r="F116" s="5815"/>
      <c r="G116" s="6696"/>
      <c r="H116" s="3293"/>
      <c r="I116" s="151"/>
      <c r="J116" s="151"/>
      <c r="K116" s="151"/>
      <c r="L116" s="151"/>
      <c r="M116" s="151"/>
      <c r="N116" s="151"/>
      <c r="O116" s="151"/>
      <c r="P116" s="151"/>
      <c r="Q116" s="151"/>
      <c r="R116" s="151"/>
      <c r="S116" s="151"/>
      <c r="T116" s="151"/>
      <c r="U116" s="151"/>
      <c r="V116" s="151"/>
      <c r="W116" s="151"/>
      <c r="X116" s="151"/>
      <c r="Y116" s="151"/>
      <c r="Z116" s="151"/>
      <c r="AA116" s="151"/>
      <c r="AB116" s="151"/>
      <c r="AC116" s="151"/>
      <c r="AD116" s="151"/>
      <c r="AE116" s="151"/>
      <c r="AF116" s="151"/>
      <c r="AG116" s="151"/>
      <c r="AH116" s="151"/>
      <c r="AI116" s="151"/>
      <c r="AJ116" s="151"/>
      <c r="AK116" s="151"/>
      <c r="AL116" s="151"/>
      <c r="AN116" s="151"/>
      <c r="AO116" s="151"/>
    </row>
    <row r="117" spans="1:41" ht="15" customHeight="1" x14ac:dyDescent="0.3">
      <c r="A117" s="5334" t="s">
        <v>3789</v>
      </c>
      <c r="B117" s="5554"/>
      <c r="C117" s="5555"/>
      <c r="D117" s="5556"/>
      <c r="E117" s="5556"/>
      <c r="F117" s="5556"/>
      <c r="G117" s="5417"/>
      <c r="H117" s="3293"/>
      <c r="P117" s="151"/>
      <c r="Q117" s="151"/>
      <c r="R117" s="151"/>
      <c r="S117" s="151"/>
      <c r="T117" s="151"/>
      <c r="U117" s="151"/>
      <c r="V117" s="151"/>
      <c r="W117" s="151"/>
      <c r="X117" s="151"/>
      <c r="Y117" s="151"/>
      <c r="Z117" s="151"/>
      <c r="AA117" s="151"/>
      <c r="AB117" s="151"/>
      <c r="AC117" s="151"/>
      <c r="AD117" s="151"/>
      <c r="AE117" s="151"/>
      <c r="AF117" s="151"/>
      <c r="AG117" s="151"/>
      <c r="AH117" s="151"/>
      <c r="AI117" s="151"/>
      <c r="AJ117" s="151"/>
      <c r="AK117" s="151"/>
      <c r="AL117" s="151"/>
      <c r="AN117" s="151"/>
      <c r="AO117" s="151"/>
    </row>
    <row r="118" spans="1:41" ht="15" customHeight="1" x14ac:dyDescent="0.3">
      <c r="A118" s="5557" t="s">
        <v>4225</v>
      </c>
      <c r="B118" s="5558"/>
      <c r="C118" s="5559"/>
      <c r="D118" s="5560"/>
      <c r="E118" s="2965"/>
      <c r="F118" s="5560"/>
      <c r="G118" s="2702"/>
      <c r="H118" s="3293"/>
      <c r="P118" s="151"/>
      <c r="Q118" s="151"/>
      <c r="R118" s="151"/>
      <c r="S118" s="151"/>
      <c r="T118" s="151"/>
      <c r="U118" s="151"/>
      <c r="V118" s="151"/>
      <c r="W118" s="151"/>
      <c r="X118" s="151"/>
      <c r="Y118" s="151"/>
      <c r="Z118" s="151"/>
      <c r="AA118" s="151"/>
      <c r="AB118" s="151"/>
      <c r="AC118" s="151"/>
      <c r="AD118" s="151"/>
      <c r="AE118" s="151"/>
      <c r="AF118" s="151"/>
      <c r="AG118" s="151"/>
      <c r="AH118" s="151"/>
      <c r="AI118" s="151"/>
      <c r="AJ118" s="151"/>
      <c r="AK118" s="151"/>
      <c r="AL118" s="151"/>
      <c r="AN118" s="151"/>
      <c r="AO118" s="151"/>
    </row>
    <row r="119" spans="1:41" ht="15" customHeight="1" x14ac:dyDescent="0.3">
      <c r="A119" s="5561" t="s">
        <v>1459</v>
      </c>
      <c r="B119" s="5558"/>
      <c r="C119" s="5559"/>
      <c r="D119" s="2965"/>
      <c r="E119" s="2965"/>
      <c r="F119" s="2965"/>
      <c r="G119" s="2702"/>
      <c r="H119" s="3293"/>
      <c r="P119" s="151"/>
      <c r="Q119" s="151"/>
      <c r="R119" s="151"/>
      <c r="S119" s="151"/>
      <c r="T119" s="151"/>
      <c r="U119" s="151"/>
      <c r="V119" s="151"/>
      <c r="W119" s="151"/>
      <c r="X119" s="151"/>
      <c r="Y119" s="151"/>
      <c r="Z119" s="151"/>
      <c r="AA119" s="151"/>
      <c r="AB119" s="151"/>
      <c r="AC119" s="151"/>
      <c r="AD119" s="151"/>
      <c r="AE119" s="151"/>
      <c r="AF119" s="151"/>
      <c r="AG119" s="151"/>
      <c r="AH119" s="151"/>
      <c r="AI119" s="151"/>
      <c r="AJ119" s="151"/>
      <c r="AK119" s="151"/>
      <c r="AL119" s="151"/>
      <c r="AN119" s="151"/>
      <c r="AO119" s="151"/>
    </row>
    <row r="120" spans="1:41" ht="15" customHeight="1" x14ac:dyDescent="0.3">
      <c r="A120" s="5557" t="s">
        <v>1460</v>
      </c>
      <c r="B120" s="5558"/>
      <c r="C120" s="5559"/>
      <c r="D120" s="2965"/>
      <c r="E120" s="2965"/>
      <c r="F120" s="2965"/>
      <c r="G120" s="2702"/>
      <c r="H120" s="3293"/>
      <c r="P120" s="151"/>
      <c r="Q120" s="151"/>
      <c r="R120" s="151"/>
      <c r="S120" s="151"/>
      <c r="T120" s="151"/>
      <c r="U120" s="151"/>
      <c r="V120" s="151"/>
      <c r="W120" s="151"/>
      <c r="X120" s="151"/>
      <c r="Y120" s="151"/>
      <c r="Z120" s="151"/>
      <c r="AA120" s="151"/>
      <c r="AB120" s="151"/>
      <c r="AC120" s="151"/>
      <c r="AD120" s="151"/>
      <c r="AE120" s="151"/>
      <c r="AF120" s="151"/>
      <c r="AG120" s="151"/>
      <c r="AH120" s="151"/>
      <c r="AI120" s="151"/>
      <c r="AJ120" s="151"/>
      <c r="AK120" s="151"/>
      <c r="AL120" s="151"/>
      <c r="AN120" s="151"/>
      <c r="AO120" s="151"/>
    </row>
    <row r="121" spans="1:41" ht="15" customHeight="1" x14ac:dyDescent="0.3">
      <c r="A121" s="5557" t="s">
        <v>1461</v>
      </c>
      <c r="B121" s="5558"/>
      <c r="C121" s="5559"/>
      <c r="D121" s="2965"/>
      <c r="E121" s="2965"/>
      <c r="F121" s="2965"/>
      <c r="G121" s="2702"/>
      <c r="H121" s="3293"/>
      <c r="P121" s="151"/>
      <c r="Q121" s="151"/>
      <c r="R121" s="151"/>
      <c r="S121" s="151"/>
      <c r="T121" s="151"/>
      <c r="U121" s="151"/>
      <c r="V121" s="151"/>
      <c r="W121" s="151"/>
      <c r="X121" s="151"/>
      <c r="Y121" s="151"/>
      <c r="Z121" s="151"/>
      <c r="AA121" s="151"/>
      <c r="AB121" s="151"/>
      <c r="AC121" s="151"/>
      <c r="AD121" s="151"/>
      <c r="AE121" s="151"/>
      <c r="AF121" s="151"/>
      <c r="AG121" s="151"/>
      <c r="AH121" s="151"/>
      <c r="AI121" s="151"/>
      <c r="AJ121" s="151"/>
      <c r="AK121" s="151"/>
      <c r="AL121" s="151"/>
      <c r="AN121" s="151"/>
      <c r="AO121" s="151"/>
    </row>
    <row r="122" spans="1:41" ht="15" customHeight="1" x14ac:dyDescent="0.3">
      <c r="A122" s="5557" t="s">
        <v>1462</v>
      </c>
      <c r="B122" s="5558"/>
      <c r="C122" s="5562"/>
      <c r="D122" s="5560"/>
      <c r="E122" s="5560"/>
      <c r="F122" s="5560"/>
      <c r="G122" s="5548"/>
      <c r="H122" s="3293"/>
      <c r="P122" s="151"/>
      <c r="Q122" s="151"/>
      <c r="R122" s="151"/>
      <c r="S122" s="151"/>
      <c r="T122" s="151"/>
      <c r="U122" s="151"/>
      <c r="V122" s="151"/>
      <c r="W122" s="151"/>
      <c r="X122" s="151"/>
      <c r="Y122" s="151"/>
      <c r="Z122" s="151"/>
      <c r="AA122" s="151"/>
      <c r="AB122" s="151"/>
      <c r="AC122" s="151"/>
      <c r="AD122" s="151"/>
      <c r="AE122" s="151"/>
      <c r="AF122" s="151"/>
      <c r="AG122" s="151"/>
      <c r="AH122" s="151"/>
      <c r="AI122" s="151"/>
      <c r="AJ122" s="151"/>
      <c r="AK122" s="151"/>
      <c r="AL122" s="151"/>
      <c r="AN122" s="151"/>
      <c r="AO122" s="151"/>
    </row>
    <row r="123" spans="1:41" ht="15" customHeight="1" x14ac:dyDescent="0.3">
      <c r="A123" s="5557" t="s">
        <v>1463</v>
      </c>
      <c r="B123" s="5558"/>
      <c r="C123" s="5559"/>
      <c r="D123" s="2965"/>
      <c r="E123" s="2965"/>
      <c r="F123" s="2965"/>
      <c r="G123" s="2702"/>
      <c r="H123" s="3293"/>
      <c r="P123" s="3293"/>
      <c r="Q123" s="3293"/>
      <c r="R123" s="3293"/>
      <c r="S123" s="3293"/>
      <c r="T123" s="3293"/>
      <c r="U123" s="3293"/>
      <c r="V123" s="3293"/>
      <c r="W123" s="3293"/>
      <c r="X123" s="3293"/>
      <c r="Y123" s="3293"/>
    </row>
    <row r="124" spans="1:41" ht="15" customHeight="1" x14ac:dyDescent="0.3">
      <c r="A124" s="5563" t="s">
        <v>938</v>
      </c>
      <c r="B124" s="5564"/>
      <c r="C124" s="5565"/>
      <c r="D124" s="5566"/>
      <c r="E124" s="2966"/>
      <c r="F124" s="5566"/>
      <c r="G124" s="5553"/>
      <c r="H124" s="3293"/>
      <c r="P124" s="3293"/>
      <c r="Q124" s="3293"/>
      <c r="R124" s="3293"/>
      <c r="S124" s="3293"/>
      <c r="T124" s="3293"/>
      <c r="U124" s="3293"/>
      <c r="V124" s="3293"/>
      <c r="W124" s="3293"/>
      <c r="X124" s="3293"/>
      <c r="Y124" s="3293"/>
    </row>
    <row r="125" spans="1:41" ht="15" customHeight="1" x14ac:dyDescent="0.3">
      <c r="A125" s="5437" t="s">
        <v>77</v>
      </c>
      <c r="B125" s="5567">
        <f>SUM(B117:B124)</f>
        <v>0</v>
      </c>
      <c r="C125" s="1854">
        <f t="shared" ref="C125:G125" si="42">SUM(C117:C124)</f>
        <v>0</v>
      </c>
      <c r="D125" s="1855">
        <f t="shared" si="42"/>
        <v>0</v>
      </c>
      <c r="E125" s="1855">
        <f t="shared" si="42"/>
        <v>0</v>
      </c>
      <c r="F125" s="1855">
        <f>SUM(F117:F124)</f>
        <v>0</v>
      </c>
      <c r="G125" s="5427">
        <f t="shared" si="42"/>
        <v>0</v>
      </c>
      <c r="H125" s="3293"/>
      <c r="I125" s="3293"/>
      <c r="J125" s="3293"/>
      <c r="K125" s="3293"/>
      <c r="L125" s="3293"/>
      <c r="M125" s="3293"/>
      <c r="N125" s="3293"/>
      <c r="O125" s="3293"/>
      <c r="P125" s="3293"/>
      <c r="Q125" s="3293"/>
      <c r="R125" s="3293"/>
      <c r="S125" s="3293"/>
      <c r="T125" s="3293"/>
      <c r="U125" s="3293"/>
      <c r="V125" s="3293"/>
      <c r="W125" s="3293"/>
      <c r="X125" s="3293"/>
      <c r="Y125" s="3293"/>
    </row>
    <row r="150" spans="1:2" hidden="1" x14ac:dyDescent="0.3">
      <c r="A150" s="2647">
        <f>SUM(C13:C15,B21:B23,C29:C33,C35:C39,C41:C45,C47:C49,B55:B57,C64:C71,C75:I81,C86:C94,B97:B99,B104:X105,B108:D112,B117:G124)</f>
        <v>0</v>
      </c>
      <c r="B150" s="2647">
        <f>SUM(CL13:CL105)</f>
        <v>0</v>
      </c>
    </row>
  </sheetData>
  <sheetProtection algorithmName="SHA-512" hashValue="YRmT4SUQaIbPycLPZJuP4f4nYq06h4Od5ZfIjzjFNNNZf2sUBqSYHT08rSD582TGuQS5On9gMS0HSykn5vqVTA==" saltValue="Q2cgO5ulSEM0zD46WBeMxA==" spinCount="100000" sheet="1" objects="1" scenarios="1"/>
  <protectedRanges>
    <protectedRange sqref="AN13:AN15 AJ29:AJ33 AJ47:AJ49 AJ64:AJ71 AJ41:AJ45 AJ35:AJ39 AI55:AI57" name="Rango1_2_3_1"/>
  </protectedRanges>
  <mergeCells count="158">
    <mergeCell ref="A106:D106"/>
    <mergeCell ref="A114:A116"/>
    <mergeCell ref="B114:B116"/>
    <mergeCell ref="C114:G114"/>
    <mergeCell ref="C115:C116"/>
    <mergeCell ref="D115:D116"/>
    <mergeCell ref="E115:E116"/>
    <mergeCell ref="F115:F116"/>
    <mergeCell ref="G115:G116"/>
    <mergeCell ref="Y101:Y103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T103"/>
    <mergeCell ref="A100:D100"/>
    <mergeCell ref="A101:A103"/>
    <mergeCell ref="B101:B103"/>
    <mergeCell ref="C101:C103"/>
    <mergeCell ref="D101:S101"/>
    <mergeCell ref="T101:X101"/>
    <mergeCell ref="U102:U103"/>
    <mergeCell ref="V102:V103"/>
    <mergeCell ref="W102:W103"/>
    <mergeCell ref="X102:X103"/>
    <mergeCell ref="V83:V85"/>
    <mergeCell ref="A86:A88"/>
    <mergeCell ref="A89:A91"/>
    <mergeCell ref="A92:A94"/>
    <mergeCell ref="A95:H95"/>
    <mergeCell ref="H84:I84"/>
    <mergeCell ref="J84:K84"/>
    <mergeCell ref="L84:M84"/>
    <mergeCell ref="N84:O84"/>
    <mergeCell ref="P84:Q84"/>
    <mergeCell ref="A75:A76"/>
    <mergeCell ref="A77:A78"/>
    <mergeCell ref="A79:A81"/>
    <mergeCell ref="A83:A85"/>
    <mergeCell ref="B83:B85"/>
    <mergeCell ref="C83:E84"/>
    <mergeCell ref="F84:G84"/>
    <mergeCell ref="T84:U84"/>
    <mergeCell ref="R84:S84"/>
    <mergeCell ref="F83:U83"/>
    <mergeCell ref="A64:A65"/>
    <mergeCell ref="A66:A68"/>
    <mergeCell ref="A69:A71"/>
    <mergeCell ref="A73:A74"/>
    <mergeCell ref="B73:B74"/>
    <mergeCell ref="C73:C74"/>
    <mergeCell ref="AA61:AC62"/>
    <mergeCell ref="AD61:AF62"/>
    <mergeCell ref="AG61:AI62"/>
    <mergeCell ref="D73:D74"/>
    <mergeCell ref="E73:I73"/>
    <mergeCell ref="AJ61:AJ63"/>
    <mergeCell ref="F62:G62"/>
    <mergeCell ref="H62:I62"/>
    <mergeCell ref="J62:K62"/>
    <mergeCell ref="L62:M62"/>
    <mergeCell ref="N62:O62"/>
    <mergeCell ref="P62:Q62"/>
    <mergeCell ref="A61:A63"/>
    <mergeCell ref="B61:B63"/>
    <mergeCell ref="C61:E62"/>
    <mergeCell ref="F61:U61"/>
    <mergeCell ref="V61:W62"/>
    <mergeCell ref="X61:Z62"/>
    <mergeCell ref="R62:S62"/>
    <mergeCell ref="T62:U62"/>
    <mergeCell ref="AJ52:AJ54"/>
    <mergeCell ref="E53:F53"/>
    <mergeCell ref="G53:H53"/>
    <mergeCell ref="I53:J53"/>
    <mergeCell ref="K53:L53"/>
    <mergeCell ref="M53:N53"/>
    <mergeCell ref="O53:P53"/>
    <mergeCell ref="Q53:R53"/>
    <mergeCell ref="S53:T53"/>
    <mergeCell ref="E52:T52"/>
    <mergeCell ref="U52:V53"/>
    <mergeCell ref="W52:Y53"/>
    <mergeCell ref="Z52:AB53"/>
    <mergeCell ref="AC52:AE53"/>
    <mergeCell ref="AF52:AH53"/>
    <mergeCell ref="A40:B40"/>
    <mergeCell ref="A41:A45"/>
    <mergeCell ref="A46:B46"/>
    <mergeCell ref="A47:A49"/>
    <mergeCell ref="A50:B50"/>
    <mergeCell ref="A52:A54"/>
    <mergeCell ref="B52:D53"/>
    <mergeCell ref="AA27:AC27"/>
    <mergeCell ref="AD27:AF27"/>
    <mergeCell ref="A29:A33"/>
    <mergeCell ref="A34:B34"/>
    <mergeCell ref="A35:A39"/>
    <mergeCell ref="N27:O27"/>
    <mergeCell ref="P27:Q27"/>
    <mergeCell ref="R27:S27"/>
    <mergeCell ref="T27:U27"/>
    <mergeCell ref="V27:W27"/>
    <mergeCell ref="X27:Z27"/>
    <mergeCell ref="A26:A28"/>
    <mergeCell ref="B26:B28"/>
    <mergeCell ref="C26:E27"/>
    <mergeCell ref="F26:U26"/>
    <mergeCell ref="V26:AI26"/>
    <mergeCell ref="AI52:AI54"/>
    <mergeCell ref="AJ26:AJ28"/>
    <mergeCell ref="F27:G27"/>
    <mergeCell ref="H27:I27"/>
    <mergeCell ref="J27:K27"/>
    <mergeCell ref="L27:M27"/>
    <mergeCell ref="F19:F20"/>
    <mergeCell ref="G19:G20"/>
    <mergeCell ref="H19:H20"/>
    <mergeCell ref="I19:I20"/>
    <mergeCell ref="J19:J20"/>
    <mergeCell ref="K19:K20"/>
    <mergeCell ref="AG27:AI27"/>
    <mergeCell ref="A13:A15"/>
    <mergeCell ref="A16:B16"/>
    <mergeCell ref="A18:A20"/>
    <mergeCell ref="B18:B20"/>
    <mergeCell ref="C18:F18"/>
    <mergeCell ref="G18:K18"/>
    <mergeCell ref="C19:C20"/>
    <mergeCell ref="D19:D20"/>
    <mergeCell ref="E19:E20"/>
    <mergeCell ref="A6:W6"/>
    <mergeCell ref="A10:A12"/>
    <mergeCell ref="B10:B12"/>
    <mergeCell ref="C10:E11"/>
    <mergeCell ref="F10:AM10"/>
    <mergeCell ref="AN10:AN12"/>
    <mergeCell ref="F11:G11"/>
    <mergeCell ref="H11:I11"/>
    <mergeCell ref="J11:K11"/>
    <mergeCell ref="L11:M11"/>
    <mergeCell ref="AL11:AM11"/>
    <mergeCell ref="Z11:AA11"/>
    <mergeCell ref="AB11:AC11"/>
    <mergeCell ref="AD11:AE11"/>
    <mergeCell ref="AF11:AG11"/>
    <mergeCell ref="AH11:AI11"/>
    <mergeCell ref="AJ11:AK11"/>
    <mergeCell ref="N11:O11"/>
    <mergeCell ref="P11:Q11"/>
    <mergeCell ref="R11:S11"/>
    <mergeCell ref="T11:U11"/>
    <mergeCell ref="V11:W11"/>
    <mergeCell ref="X11:Y11"/>
  </mergeCells>
  <dataValidations count="4">
    <dataValidation type="whole" operator="greaterThanOrEqual" allowBlank="1" showInputMessage="1" showErrorMessage="1" sqref="AI58 B117:G124 F86:V94 C75:I81 C97:F99 F64:AJ71 E55:T57 F58:T58 B108:D112 C21:K23 B104:Y105 F29:U50 AJ29:AJ50 F13:AN15" xr:uid="{ABC02173-3FF4-4C14-876B-AB91B0EA2135}">
      <formula1>0</formula1>
    </dataValidation>
    <dataValidation type="whole" allowBlank="1" showInputMessage="1" showErrorMessage="1" sqref="C13:E16 C115 H19:K20 E19:G19 C29:C32 AJ61:AJ63 AJ26 AN10:AN12 AI52:AJ54 B55:B58 F16:AN16 C35:C39 V83 C41:C49 D29:E50 Y101:Y103" xr:uid="{196295E1-26EA-44E2-A35E-648DE337952C}">
      <formula1>0</formula1>
      <formula2>1E+30</formula2>
    </dataValidation>
    <dataValidation type="whole" allowBlank="1" showInputMessage="1" showErrorMessage="1" sqref="V29:AI50" xr:uid="{7C217EB3-D44F-44AF-A479-A0A22381936C}">
      <formula1>0</formula1>
      <formula2>9.99999999999999E+41</formula2>
    </dataValidation>
    <dataValidation type="whole" allowBlank="1" showInputMessage="1" showErrorMessage="1" sqref="U55:AH58 AI55:AI57" xr:uid="{F6930117-7222-4F6E-8F20-08AD6B85544E}">
      <formula1>0</formula1>
      <formula2>9.99999999999999E+43</formula2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C1:EP32"/>
  <sheetViews>
    <sheetView showGridLines="0" workbookViewId="0">
      <selection activeCell="Q11" sqref="Q11"/>
    </sheetView>
  </sheetViews>
  <sheetFormatPr baseColWidth="10" defaultColWidth="11.44140625" defaultRowHeight="12.6" x14ac:dyDescent="0.2"/>
  <cols>
    <col min="1" max="2" width="1.88671875" style="113" customWidth="1"/>
    <col min="3" max="3" width="34" style="113" customWidth="1"/>
    <col min="4" max="4" width="19.44140625" style="113" customWidth="1"/>
    <col min="5" max="5" width="38.6640625" style="113" customWidth="1"/>
    <col min="6" max="6" width="27.44140625" style="113" customWidth="1"/>
    <col min="7" max="15" width="11.44140625" style="113"/>
    <col min="16" max="146" width="11.44140625" style="112"/>
    <col min="147" max="16384" width="11.44140625" style="113"/>
  </cols>
  <sheetData>
    <row r="1" spans="3:5" ht="33" customHeight="1" x14ac:dyDescent="0.2">
      <c r="C1" s="7730" t="s">
        <v>4270</v>
      </c>
      <c r="D1" s="7731"/>
      <c r="E1" s="7732"/>
    </row>
    <row r="2" spans="3:5" ht="42.75" customHeight="1" x14ac:dyDescent="0.2">
      <c r="C2" s="1750" t="str">
        <f>CONCATENATE("ESTABLECIMIENTO: ",NOMBRE!B3," - ",NOMBRE!C3,NOMBRE!D3,NOMBRE!E3,NOMBRE!F3,NOMBRE!G3,NOMBRE!H3,NOMBRE!I3," 
  "," / MES:  ",NOMBRE!B6,"  / AÑO:  ",NOMBRE!B7)</f>
        <v>ESTABLECIMIENTO:  - Falta Cód. Est. 
   / MES:    / AÑO:  2025</v>
      </c>
      <c r="D2" s="112"/>
      <c r="E2" s="1751"/>
    </row>
    <row r="3" spans="3:5" ht="34.5" customHeight="1" x14ac:dyDescent="0.2">
      <c r="C3" s="1731" t="s">
        <v>4271</v>
      </c>
      <c r="D3" s="1731" t="s">
        <v>4272</v>
      </c>
      <c r="E3" s="1732" t="s">
        <v>4273</v>
      </c>
    </row>
    <row r="4" spans="3:5" ht="22.5" customHeight="1" x14ac:dyDescent="0.3">
      <c r="C4" s="1733" t="s">
        <v>4274</v>
      </c>
      <c r="D4" s="1734">
        <f>NOMBRE!A32</f>
        <v>3</v>
      </c>
      <c r="E4" s="1751"/>
    </row>
    <row r="5" spans="3:5" ht="22.5" customHeight="1" x14ac:dyDescent="0.3">
      <c r="C5" s="1733" t="s">
        <v>4275</v>
      </c>
      <c r="D5" s="1735">
        <f>'A01'!B258</f>
        <v>0</v>
      </c>
      <c r="E5" s="1736" t="str">
        <f>IF('A01'!A258=0,"SIN DATOS","")</f>
        <v>SIN DATOS</v>
      </c>
    </row>
    <row r="6" spans="3:5" ht="22.5" customHeight="1" x14ac:dyDescent="0.3">
      <c r="C6" s="1733" t="s">
        <v>4276</v>
      </c>
      <c r="D6" s="1735">
        <f>'A02'!B51</f>
        <v>0</v>
      </c>
      <c r="E6" s="1736" t="str">
        <f>IF('A02'!A51=0,"SIN DATOS","")</f>
        <v>SIN DATOS</v>
      </c>
    </row>
    <row r="7" spans="3:5" ht="22.5" customHeight="1" x14ac:dyDescent="0.3">
      <c r="C7" s="1733" t="s">
        <v>4277</v>
      </c>
      <c r="D7" s="1737">
        <f>'A03'!B278</f>
        <v>0</v>
      </c>
      <c r="E7" s="1736" t="str">
        <f>IF('A03'!A278=0,"SIN DATOS","")</f>
        <v>SIN DATOS</v>
      </c>
    </row>
    <row r="8" spans="3:5" ht="22.5" customHeight="1" x14ac:dyDescent="0.3">
      <c r="C8" s="1733" t="s">
        <v>4278</v>
      </c>
      <c r="D8" s="1735">
        <f>'A04'!A240</f>
        <v>0</v>
      </c>
      <c r="E8" s="1736" t="str">
        <f>IF('A04'!A239=0,"SIN DATOS","")</f>
        <v>SIN DATOS</v>
      </c>
    </row>
    <row r="9" spans="3:5" ht="22.5" customHeight="1" x14ac:dyDescent="0.3">
      <c r="C9" s="1733" t="s">
        <v>4279</v>
      </c>
      <c r="D9" s="1735">
        <f>'A05'!B437</f>
        <v>0</v>
      </c>
      <c r="E9" s="1736" t="str">
        <f>IF('A05'!A437=0,"SIN DATOS","")</f>
        <v>SIN DATOS</v>
      </c>
    </row>
    <row r="10" spans="3:5" ht="22.5" customHeight="1" x14ac:dyDescent="0.3">
      <c r="C10" s="1733" t="s">
        <v>4280</v>
      </c>
      <c r="D10" s="1735">
        <f>'A06'!B205</f>
        <v>0</v>
      </c>
      <c r="E10" s="1736" t="str">
        <f>IF('A06'!A205=0,"SIN DATOS","")</f>
        <v>SIN DATOS</v>
      </c>
    </row>
    <row r="11" spans="3:5" ht="22.5" customHeight="1" x14ac:dyDescent="0.3">
      <c r="C11" s="1733" t="s">
        <v>4281</v>
      </c>
      <c r="D11" s="1735">
        <f>'A07'!B239</f>
        <v>0</v>
      </c>
      <c r="E11" s="1736" t="str">
        <f>IF('A07'!A239=0,"SIN DATOS","")</f>
        <v>SIN DATOS</v>
      </c>
    </row>
    <row r="12" spans="3:5" ht="22.5" customHeight="1" x14ac:dyDescent="0.3">
      <c r="C12" s="1733" t="s">
        <v>4282</v>
      </c>
      <c r="D12" s="1735">
        <f>'A08'!B248</f>
        <v>0</v>
      </c>
      <c r="E12" s="1736" t="str">
        <f>IF('A08'!A248=0,"SIN DATOS","")</f>
        <v>SIN DATOS</v>
      </c>
    </row>
    <row r="13" spans="3:5" ht="22.5" customHeight="1" x14ac:dyDescent="0.3">
      <c r="C13" s="1733" t="s">
        <v>4283</v>
      </c>
      <c r="D13" s="1735">
        <f>'A09'!B384</f>
        <v>0</v>
      </c>
      <c r="E13" s="1736" t="str">
        <f>IF('A09'!A384=0,"SIN DATOS","")</f>
        <v>SIN DATOS</v>
      </c>
    </row>
    <row r="14" spans="3:5" ht="22.5" customHeight="1" x14ac:dyDescent="0.3">
      <c r="C14" s="1733" t="s">
        <v>4284</v>
      </c>
      <c r="D14" s="1735">
        <f>'A11'!B311</f>
        <v>0</v>
      </c>
      <c r="E14" s="1736" t="str">
        <f>IF('A11'!A311=0,"SIN DATOS","")</f>
        <v>SIN DATOS</v>
      </c>
    </row>
    <row r="15" spans="3:5" ht="22.5" customHeight="1" x14ac:dyDescent="0.3">
      <c r="C15" s="1733" t="s">
        <v>4285</v>
      </c>
      <c r="D15" s="1735">
        <f>A11a!B150</f>
        <v>0</v>
      </c>
      <c r="E15" s="1736" t="str">
        <f>IF(A11a!A150=0,"SIN DATOS","")</f>
        <v>SIN DATOS</v>
      </c>
    </row>
    <row r="16" spans="3:5" ht="22.5" customHeight="1" x14ac:dyDescent="0.3">
      <c r="C16" s="1733" t="s">
        <v>4286</v>
      </c>
      <c r="D16" s="1735">
        <f>A19a!B202</f>
        <v>0</v>
      </c>
      <c r="E16" s="1736" t="str">
        <f>IF(A19a!A202=0,"SIN DATOS","")</f>
        <v>SIN DATOS</v>
      </c>
    </row>
    <row r="17" spans="3:5" ht="22.5" customHeight="1" x14ac:dyDescent="0.3">
      <c r="C17" s="1733" t="s">
        <v>4287</v>
      </c>
      <c r="D17" s="1735">
        <f>A19b!B200</f>
        <v>0</v>
      </c>
      <c r="E17" s="1736" t="str">
        <f>IF(A19b!A200=0,"SIN DATOS","")</f>
        <v>SIN DATOS</v>
      </c>
    </row>
    <row r="18" spans="3:5" ht="22.5" customHeight="1" x14ac:dyDescent="0.3">
      <c r="C18" s="1733" t="s">
        <v>4288</v>
      </c>
      <c r="D18" s="1738">
        <f>'A21'!B204</f>
        <v>0</v>
      </c>
      <c r="E18" s="1736" t="str">
        <f>IF('A21'!A204=0,"SIN DATOS","")</f>
        <v>SIN DATOS</v>
      </c>
    </row>
    <row r="19" spans="3:5" ht="22.5" customHeight="1" x14ac:dyDescent="0.3">
      <c r="C19" s="1733" t="s">
        <v>4289</v>
      </c>
      <c r="D19" s="1739">
        <f>'A23'!B215</f>
        <v>0</v>
      </c>
      <c r="E19" s="1736" t="str">
        <f>IF('A23'!A215=0,"SIN DATOS","")</f>
        <v>SIN DATOS</v>
      </c>
    </row>
    <row r="20" spans="3:5" ht="22.5" customHeight="1" x14ac:dyDescent="0.3">
      <c r="C20" s="1733" t="s">
        <v>4290</v>
      </c>
      <c r="D20" s="1738">
        <f>'A24'!B179</f>
        <v>0</v>
      </c>
      <c r="E20" s="1736" t="str">
        <f>IF('A24'!A179=0,"SIN DATOS","")</f>
        <v>SIN DATOS</v>
      </c>
    </row>
    <row r="21" spans="3:5" ht="22.5" customHeight="1" x14ac:dyDescent="0.3">
      <c r="C21" s="1733" t="s">
        <v>4291</v>
      </c>
      <c r="D21" s="1738">
        <f>'A25'!B320</f>
        <v>0</v>
      </c>
      <c r="E21" s="1736" t="str">
        <f>IF('A25'!A320=0,"SIN DATOS","")</f>
        <v>SIN DATOS</v>
      </c>
    </row>
    <row r="22" spans="3:5" ht="22.5" customHeight="1" x14ac:dyDescent="0.3">
      <c r="C22" s="1733" t="s">
        <v>4292</v>
      </c>
      <c r="D22" s="1738">
        <f>'A26'!B150</f>
        <v>0</v>
      </c>
      <c r="E22" s="1736" t="str">
        <f>IF('A26'!A150=0,"SIN DATOS","")</f>
        <v>SIN DATOS</v>
      </c>
    </row>
    <row r="23" spans="3:5" ht="22.5" customHeight="1" x14ac:dyDescent="0.3">
      <c r="C23" s="1733" t="s">
        <v>4293</v>
      </c>
      <c r="D23" s="1738">
        <f>'A27'!B249</f>
        <v>0</v>
      </c>
      <c r="E23" s="1736" t="str">
        <f>IF('A27'!A249=0,"SIN DATOS","")</f>
        <v>SIN DATOS</v>
      </c>
    </row>
    <row r="24" spans="3:5" ht="22.5" customHeight="1" x14ac:dyDescent="0.3">
      <c r="C24" s="1733" t="s">
        <v>4294</v>
      </c>
      <c r="D24" s="1738">
        <f>'A28'!B351</f>
        <v>0</v>
      </c>
      <c r="E24" s="1736" t="str">
        <f>IF('A28'!A351=0,"SIN DATOS","")</f>
        <v>SIN DATOS</v>
      </c>
    </row>
    <row r="25" spans="3:5" ht="22.5" customHeight="1" x14ac:dyDescent="0.3">
      <c r="C25" s="1733" t="s">
        <v>4295</v>
      </c>
      <c r="D25" s="1738">
        <f>'A29'!B202</f>
        <v>0</v>
      </c>
      <c r="E25" s="1736" t="str">
        <f>IF('A29'!A202=0,"SIN DATOS","")</f>
        <v>SIN DATOS</v>
      </c>
    </row>
    <row r="26" spans="3:5" ht="22.5" customHeight="1" x14ac:dyDescent="0.3">
      <c r="C26" s="1733" t="s">
        <v>4296</v>
      </c>
      <c r="D26" s="1738">
        <f>'A30'!B174</f>
        <v>0</v>
      </c>
      <c r="E26" s="1736" t="str">
        <f>IF('A30'!A174=0,"SIN DATOS","")</f>
        <v>SIN DATOS</v>
      </c>
    </row>
    <row r="27" spans="3:5" ht="22.5" customHeight="1" x14ac:dyDescent="0.3">
      <c r="C27" s="1733" t="s">
        <v>4297</v>
      </c>
      <c r="D27" s="1738">
        <f>A30AR!B138</f>
        <v>0</v>
      </c>
      <c r="E27" s="1736" t="str">
        <f>IF(A30AR!A138=0,"SIN DATOS","")</f>
        <v>SIN DATOS</v>
      </c>
    </row>
    <row r="28" spans="3:5" ht="22.5" customHeight="1" x14ac:dyDescent="0.3">
      <c r="C28" s="1733" t="s">
        <v>4298</v>
      </c>
      <c r="D28" s="1738">
        <f>'A31'!B130</f>
        <v>0</v>
      </c>
      <c r="E28" s="1736" t="str">
        <f>IF('A31'!A130=0,"SIN DATOS","")</f>
        <v>SIN DATOS</v>
      </c>
    </row>
    <row r="29" spans="3:5" ht="22.5" customHeight="1" x14ac:dyDescent="0.3">
      <c r="C29" s="1733" t="s">
        <v>4299</v>
      </c>
      <c r="D29" s="1738">
        <f>'A32'!B236</f>
        <v>0</v>
      </c>
      <c r="E29" s="1736" t="str">
        <f>IF('A32'!A236=0,"SIN DATOS","")</f>
        <v>SIN DATOS</v>
      </c>
    </row>
    <row r="30" spans="3:5" ht="22.5" customHeight="1" x14ac:dyDescent="0.3">
      <c r="C30" s="1733" t="s">
        <v>4300</v>
      </c>
      <c r="D30" s="1738">
        <f>'A33'!B101</f>
        <v>0</v>
      </c>
      <c r="E30" s="1736" t="str">
        <f>IF('A33'!A101=0,"SIN DATOS","")</f>
        <v>SIN DATOS</v>
      </c>
    </row>
    <row r="31" spans="3:5" ht="22.5" customHeight="1" x14ac:dyDescent="0.3">
      <c r="C31" s="1733" t="s">
        <v>4321</v>
      </c>
      <c r="D31" s="1738">
        <f>'A34'!B150</f>
        <v>0</v>
      </c>
      <c r="E31" s="1736" t="str">
        <f>IF('A34'!A150=0,"SIN DATOS","")</f>
        <v>SIN DATOS</v>
      </c>
    </row>
    <row r="32" spans="3:5" ht="27.75" customHeight="1" x14ac:dyDescent="0.2">
      <c r="C32" s="1748" t="s">
        <v>77</v>
      </c>
      <c r="D32" s="1749">
        <f>SUM(D4:D31)</f>
        <v>3</v>
      </c>
      <c r="E32" s="1752"/>
    </row>
  </sheetData>
  <sheetProtection algorithmName="SHA-512" hashValue="26Iud1muketmSXT42XuM/Clr3ThCOuk9pB8uL1aD/AOw6gWfu1Br2rrnkBiYxkzyemk9Us7jUGzcufAWGOynAw==" saltValue="Ql86UorZMv87qZdzga8whg==" spinCount="100000" sheet="1" objects="1" scenarios="1"/>
  <mergeCells count="1">
    <mergeCell ref="C1:E1"/>
  </mergeCells>
  <phoneticPr fontId="37" type="noConversion"/>
  <dataValidations disablePrompts="1" count="1">
    <dataValidation type="list" allowBlank="1" showInputMessage="1" showErrorMessage="1" sqref="WVA983052:WVA983070 IO5:IO31 SK5:SK31 ACG5:ACG31 AMC5:AMC31 AVY5:AVY31 BFU5:BFU31 BPQ5:BPQ31 BZM5:BZM31 CJI5:CJI31 CTE5:CTE31 DDA5:DDA31 DMW5:DMW31 DWS5:DWS31 EGO5:EGO31 EQK5:EQK31 FAG5:FAG31 FKC5:FKC31 FTY5:FTY31 GDU5:GDU31 GNQ5:GNQ31 GXM5:GXM31 HHI5:HHI31 HRE5:HRE31 IBA5:IBA31 IKW5:IKW31 IUS5:IUS31 JEO5:JEO31 JOK5:JOK31 JYG5:JYG31 KIC5:KIC31 KRY5:KRY31 LBU5:LBU31 LLQ5:LLQ31 LVM5:LVM31 MFI5:MFI31 MPE5:MPE31 MZA5:MZA31 NIW5:NIW31 NSS5:NSS31 OCO5:OCO31 OMK5:OMK31 OWG5:OWG31 PGC5:PGC31 PPY5:PPY31 PZU5:PZU31 QJQ5:QJQ31 QTM5:QTM31 RDI5:RDI31 RNE5:RNE31 RXA5:RXA31 SGW5:SGW31 SQS5:SQS31 TAO5:TAO31 TKK5:TKK31 TUG5:TUG31 UEC5:UEC31 UNY5:UNY31 UXU5:UXU31 VHQ5:VHQ31 VRM5:VRM31 WBI5:WBI31 WLE5:WLE31 WVA5:WVA31 IO65548:IO65566 SK65548:SK65566 ACG65548:ACG65566 AMC65548:AMC65566 AVY65548:AVY65566 BFU65548:BFU65566 BPQ65548:BPQ65566 BZM65548:BZM65566 CJI65548:CJI65566 CTE65548:CTE65566 DDA65548:DDA65566 DMW65548:DMW65566 DWS65548:DWS65566 EGO65548:EGO65566 EQK65548:EQK65566 FAG65548:FAG65566 FKC65548:FKC65566 FTY65548:FTY65566 GDU65548:GDU65566 GNQ65548:GNQ65566 GXM65548:GXM65566 HHI65548:HHI65566 HRE65548:HRE65566 IBA65548:IBA65566 IKW65548:IKW65566 IUS65548:IUS65566 JEO65548:JEO65566 JOK65548:JOK65566 JYG65548:JYG65566 KIC65548:KIC65566 KRY65548:KRY65566 LBU65548:LBU65566 LLQ65548:LLQ65566 LVM65548:LVM65566 MFI65548:MFI65566 MPE65548:MPE65566 MZA65548:MZA65566 NIW65548:NIW65566 NSS65548:NSS65566 OCO65548:OCO65566 OMK65548:OMK65566 OWG65548:OWG65566 PGC65548:PGC65566 PPY65548:PPY65566 PZU65548:PZU65566 QJQ65548:QJQ65566 QTM65548:QTM65566 RDI65548:RDI65566 RNE65548:RNE65566 RXA65548:RXA65566 SGW65548:SGW65566 SQS65548:SQS65566 TAO65548:TAO65566 TKK65548:TKK65566 TUG65548:TUG65566 UEC65548:UEC65566 UNY65548:UNY65566 UXU65548:UXU65566 VHQ65548:VHQ65566 VRM65548:VRM65566 WBI65548:WBI65566 WLE65548:WLE65566 WVA65548:WVA65566 IO131084:IO131102 SK131084:SK131102 ACG131084:ACG131102 AMC131084:AMC131102 AVY131084:AVY131102 BFU131084:BFU131102 BPQ131084:BPQ131102 BZM131084:BZM131102 CJI131084:CJI131102 CTE131084:CTE131102 DDA131084:DDA131102 DMW131084:DMW131102 DWS131084:DWS131102 EGO131084:EGO131102 EQK131084:EQK131102 FAG131084:FAG131102 FKC131084:FKC131102 FTY131084:FTY131102 GDU131084:GDU131102 GNQ131084:GNQ131102 GXM131084:GXM131102 HHI131084:HHI131102 HRE131084:HRE131102 IBA131084:IBA131102 IKW131084:IKW131102 IUS131084:IUS131102 JEO131084:JEO131102 JOK131084:JOK131102 JYG131084:JYG131102 KIC131084:KIC131102 KRY131084:KRY131102 LBU131084:LBU131102 LLQ131084:LLQ131102 LVM131084:LVM131102 MFI131084:MFI131102 MPE131084:MPE131102 MZA131084:MZA131102 NIW131084:NIW131102 NSS131084:NSS131102 OCO131084:OCO131102 OMK131084:OMK131102 OWG131084:OWG131102 PGC131084:PGC131102 PPY131084:PPY131102 PZU131084:PZU131102 QJQ131084:QJQ131102 QTM131084:QTM131102 RDI131084:RDI131102 RNE131084:RNE131102 RXA131084:RXA131102 SGW131084:SGW131102 SQS131084:SQS131102 TAO131084:TAO131102 TKK131084:TKK131102 TUG131084:TUG131102 UEC131084:UEC131102 UNY131084:UNY131102 UXU131084:UXU131102 VHQ131084:VHQ131102 VRM131084:VRM131102 WBI131084:WBI131102 WLE131084:WLE131102 WVA131084:WVA131102 IO196620:IO196638 SK196620:SK196638 ACG196620:ACG196638 AMC196620:AMC196638 AVY196620:AVY196638 BFU196620:BFU196638 BPQ196620:BPQ196638 BZM196620:BZM196638 CJI196620:CJI196638 CTE196620:CTE196638 DDA196620:DDA196638 DMW196620:DMW196638 DWS196620:DWS196638 EGO196620:EGO196638 EQK196620:EQK196638 FAG196620:FAG196638 FKC196620:FKC196638 FTY196620:FTY196638 GDU196620:GDU196638 GNQ196620:GNQ196638 GXM196620:GXM196638 HHI196620:HHI196638 HRE196620:HRE196638 IBA196620:IBA196638 IKW196620:IKW196638 IUS196620:IUS196638 JEO196620:JEO196638 JOK196620:JOK196638 JYG196620:JYG196638 KIC196620:KIC196638 KRY196620:KRY196638 LBU196620:LBU196638 LLQ196620:LLQ196638 LVM196620:LVM196638 MFI196620:MFI196638 MPE196620:MPE196638 MZA196620:MZA196638 NIW196620:NIW196638 NSS196620:NSS196638 OCO196620:OCO196638 OMK196620:OMK196638 OWG196620:OWG196638 PGC196620:PGC196638 PPY196620:PPY196638 PZU196620:PZU196638 QJQ196620:QJQ196638 QTM196620:QTM196638 RDI196620:RDI196638 RNE196620:RNE196638 RXA196620:RXA196638 SGW196620:SGW196638 SQS196620:SQS196638 TAO196620:TAO196638 TKK196620:TKK196638 TUG196620:TUG196638 UEC196620:UEC196638 UNY196620:UNY196638 UXU196620:UXU196638 VHQ196620:VHQ196638 VRM196620:VRM196638 WBI196620:WBI196638 WLE196620:WLE196638 WVA196620:WVA196638 IO262156:IO262174 SK262156:SK262174 ACG262156:ACG262174 AMC262156:AMC262174 AVY262156:AVY262174 BFU262156:BFU262174 BPQ262156:BPQ262174 BZM262156:BZM262174 CJI262156:CJI262174 CTE262156:CTE262174 DDA262156:DDA262174 DMW262156:DMW262174 DWS262156:DWS262174 EGO262156:EGO262174 EQK262156:EQK262174 FAG262156:FAG262174 FKC262156:FKC262174 FTY262156:FTY262174 GDU262156:GDU262174 GNQ262156:GNQ262174 GXM262156:GXM262174 HHI262156:HHI262174 HRE262156:HRE262174 IBA262156:IBA262174 IKW262156:IKW262174 IUS262156:IUS262174 JEO262156:JEO262174 JOK262156:JOK262174 JYG262156:JYG262174 KIC262156:KIC262174 KRY262156:KRY262174 LBU262156:LBU262174 LLQ262156:LLQ262174 LVM262156:LVM262174 MFI262156:MFI262174 MPE262156:MPE262174 MZA262156:MZA262174 NIW262156:NIW262174 NSS262156:NSS262174 OCO262156:OCO262174 OMK262156:OMK262174 OWG262156:OWG262174 PGC262156:PGC262174 PPY262156:PPY262174 PZU262156:PZU262174 QJQ262156:QJQ262174 QTM262156:QTM262174 RDI262156:RDI262174 RNE262156:RNE262174 RXA262156:RXA262174 SGW262156:SGW262174 SQS262156:SQS262174 TAO262156:TAO262174 TKK262156:TKK262174 TUG262156:TUG262174 UEC262156:UEC262174 UNY262156:UNY262174 UXU262156:UXU262174 VHQ262156:VHQ262174 VRM262156:VRM262174 WBI262156:WBI262174 WLE262156:WLE262174 WVA262156:WVA262174 IO327692:IO327710 SK327692:SK327710 ACG327692:ACG327710 AMC327692:AMC327710 AVY327692:AVY327710 BFU327692:BFU327710 BPQ327692:BPQ327710 BZM327692:BZM327710 CJI327692:CJI327710 CTE327692:CTE327710 DDA327692:DDA327710 DMW327692:DMW327710 DWS327692:DWS327710 EGO327692:EGO327710 EQK327692:EQK327710 FAG327692:FAG327710 FKC327692:FKC327710 FTY327692:FTY327710 GDU327692:GDU327710 GNQ327692:GNQ327710 GXM327692:GXM327710 HHI327692:HHI327710 HRE327692:HRE327710 IBA327692:IBA327710 IKW327692:IKW327710 IUS327692:IUS327710 JEO327692:JEO327710 JOK327692:JOK327710 JYG327692:JYG327710 KIC327692:KIC327710 KRY327692:KRY327710 LBU327692:LBU327710 LLQ327692:LLQ327710 LVM327692:LVM327710 MFI327692:MFI327710 MPE327692:MPE327710 MZA327692:MZA327710 NIW327692:NIW327710 NSS327692:NSS327710 OCO327692:OCO327710 OMK327692:OMK327710 OWG327692:OWG327710 PGC327692:PGC327710 PPY327692:PPY327710 PZU327692:PZU327710 QJQ327692:QJQ327710 QTM327692:QTM327710 RDI327692:RDI327710 RNE327692:RNE327710 RXA327692:RXA327710 SGW327692:SGW327710 SQS327692:SQS327710 TAO327692:TAO327710 TKK327692:TKK327710 TUG327692:TUG327710 UEC327692:UEC327710 UNY327692:UNY327710 UXU327692:UXU327710 VHQ327692:VHQ327710 VRM327692:VRM327710 WBI327692:WBI327710 WLE327692:WLE327710 WVA327692:WVA327710 IO393228:IO393246 SK393228:SK393246 ACG393228:ACG393246 AMC393228:AMC393246 AVY393228:AVY393246 BFU393228:BFU393246 BPQ393228:BPQ393246 BZM393228:BZM393246 CJI393228:CJI393246 CTE393228:CTE393246 DDA393228:DDA393246 DMW393228:DMW393246 DWS393228:DWS393246 EGO393228:EGO393246 EQK393228:EQK393246 FAG393228:FAG393246 FKC393228:FKC393246 FTY393228:FTY393246 GDU393228:GDU393246 GNQ393228:GNQ393246 GXM393228:GXM393246 HHI393228:HHI393246 HRE393228:HRE393246 IBA393228:IBA393246 IKW393228:IKW393246 IUS393228:IUS393246 JEO393228:JEO393246 JOK393228:JOK393246 JYG393228:JYG393246 KIC393228:KIC393246 KRY393228:KRY393246 LBU393228:LBU393246 LLQ393228:LLQ393246 LVM393228:LVM393246 MFI393228:MFI393246 MPE393228:MPE393246 MZA393228:MZA393246 NIW393228:NIW393246 NSS393228:NSS393246 OCO393228:OCO393246 OMK393228:OMK393246 OWG393228:OWG393246 PGC393228:PGC393246 PPY393228:PPY393246 PZU393228:PZU393246 QJQ393228:QJQ393246 QTM393228:QTM393246 RDI393228:RDI393246 RNE393228:RNE393246 RXA393228:RXA393246 SGW393228:SGW393246 SQS393228:SQS393246 TAO393228:TAO393246 TKK393228:TKK393246 TUG393228:TUG393246 UEC393228:UEC393246 UNY393228:UNY393246 UXU393228:UXU393246 VHQ393228:VHQ393246 VRM393228:VRM393246 WBI393228:WBI393246 WLE393228:WLE393246 WVA393228:WVA393246 IO458764:IO458782 SK458764:SK458782 ACG458764:ACG458782 AMC458764:AMC458782 AVY458764:AVY458782 BFU458764:BFU458782 BPQ458764:BPQ458782 BZM458764:BZM458782 CJI458764:CJI458782 CTE458764:CTE458782 DDA458764:DDA458782 DMW458764:DMW458782 DWS458764:DWS458782 EGO458764:EGO458782 EQK458764:EQK458782 FAG458764:FAG458782 FKC458764:FKC458782 FTY458764:FTY458782 GDU458764:GDU458782 GNQ458764:GNQ458782 GXM458764:GXM458782 HHI458764:HHI458782 HRE458764:HRE458782 IBA458764:IBA458782 IKW458764:IKW458782 IUS458764:IUS458782 JEO458764:JEO458782 JOK458764:JOK458782 JYG458764:JYG458782 KIC458764:KIC458782 KRY458764:KRY458782 LBU458764:LBU458782 LLQ458764:LLQ458782 LVM458764:LVM458782 MFI458764:MFI458782 MPE458764:MPE458782 MZA458764:MZA458782 NIW458764:NIW458782 NSS458764:NSS458782 OCO458764:OCO458782 OMK458764:OMK458782 OWG458764:OWG458782 PGC458764:PGC458782 PPY458764:PPY458782 PZU458764:PZU458782 QJQ458764:QJQ458782 QTM458764:QTM458782 RDI458764:RDI458782 RNE458764:RNE458782 RXA458764:RXA458782 SGW458764:SGW458782 SQS458764:SQS458782 TAO458764:TAO458782 TKK458764:TKK458782 TUG458764:TUG458782 UEC458764:UEC458782 UNY458764:UNY458782 UXU458764:UXU458782 VHQ458764:VHQ458782 VRM458764:VRM458782 WBI458764:WBI458782 WLE458764:WLE458782 WVA458764:WVA458782 IO524300:IO524318 SK524300:SK524318 ACG524300:ACG524318 AMC524300:AMC524318 AVY524300:AVY524318 BFU524300:BFU524318 BPQ524300:BPQ524318 BZM524300:BZM524318 CJI524300:CJI524318 CTE524300:CTE524318 DDA524300:DDA524318 DMW524300:DMW524318 DWS524300:DWS524318 EGO524300:EGO524318 EQK524300:EQK524318 FAG524300:FAG524318 FKC524300:FKC524318 FTY524300:FTY524318 GDU524300:GDU524318 GNQ524300:GNQ524318 GXM524300:GXM524318 HHI524300:HHI524318 HRE524300:HRE524318 IBA524300:IBA524318 IKW524300:IKW524318 IUS524300:IUS524318 JEO524300:JEO524318 JOK524300:JOK524318 JYG524300:JYG524318 KIC524300:KIC524318 KRY524300:KRY524318 LBU524300:LBU524318 LLQ524300:LLQ524318 LVM524300:LVM524318 MFI524300:MFI524318 MPE524300:MPE524318 MZA524300:MZA524318 NIW524300:NIW524318 NSS524300:NSS524318 OCO524300:OCO524318 OMK524300:OMK524318 OWG524300:OWG524318 PGC524300:PGC524318 PPY524300:PPY524318 PZU524300:PZU524318 QJQ524300:QJQ524318 QTM524300:QTM524318 RDI524300:RDI524318 RNE524300:RNE524318 RXA524300:RXA524318 SGW524300:SGW524318 SQS524300:SQS524318 TAO524300:TAO524318 TKK524300:TKK524318 TUG524300:TUG524318 UEC524300:UEC524318 UNY524300:UNY524318 UXU524300:UXU524318 VHQ524300:VHQ524318 VRM524300:VRM524318 WBI524300:WBI524318 WLE524300:WLE524318 WVA524300:WVA524318 IO589836:IO589854 SK589836:SK589854 ACG589836:ACG589854 AMC589836:AMC589854 AVY589836:AVY589854 BFU589836:BFU589854 BPQ589836:BPQ589854 BZM589836:BZM589854 CJI589836:CJI589854 CTE589836:CTE589854 DDA589836:DDA589854 DMW589836:DMW589854 DWS589836:DWS589854 EGO589836:EGO589854 EQK589836:EQK589854 FAG589836:FAG589854 FKC589836:FKC589854 FTY589836:FTY589854 GDU589836:GDU589854 GNQ589836:GNQ589854 GXM589836:GXM589854 HHI589836:HHI589854 HRE589836:HRE589854 IBA589836:IBA589854 IKW589836:IKW589854 IUS589836:IUS589854 JEO589836:JEO589854 JOK589836:JOK589854 JYG589836:JYG589854 KIC589836:KIC589854 KRY589836:KRY589854 LBU589836:LBU589854 LLQ589836:LLQ589854 LVM589836:LVM589854 MFI589836:MFI589854 MPE589836:MPE589854 MZA589836:MZA589854 NIW589836:NIW589854 NSS589836:NSS589854 OCO589836:OCO589854 OMK589836:OMK589854 OWG589836:OWG589854 PGC589836:PGC589854 PPY589836:PPY589854 PZU589836:PZU589854 QJQ589836:QJQ589854 QTM589836:QTM589854 RDI589836:RDI589854 RNE589836:RNE589854 RXA589836:RXA589854 SGW589836:SGW589854 SQS589836:SQS589854 TAO589836:TAO589854 TKK589836:TKK589854 TUG589836:TUG589854 UEC589836:UEC589854 UNY589836:UNY589854 UXU589836:UXU589854 VHQ589836:VHQ589854 VRM589836:VRM589854 WBI589836:WBI589854 WLE589836:WLE589854 WVA589836:WVA589854 IO655372:IO655390 SK655372:SK655390 ACG655372:ACG655390 AMC655372:AMC655390 AVY655372:AVY655390 BFU655372:BFU655390 BPQ655372:BPQ655390 BZM655372:BZM655390 CJI655372:CJI655390 CTE655372:CTE655390 DDA655372:DDA655390 DMW655372:DMW655390 DWS655372:DWS655390 EGO655372:EGO655390 EQK655372:EQK655390 FAG655372:FAG655390 FKC655372:FKC655390 FTY655372:FTY655390 GDU655372:GDU655390 GNQ655372:GNQ655390 GXM655372:GXM655390 HHI655372:HHI655390 HRE655372:HRE655390 IBA655372:IBA655390 IKW655372:IKW655390 IUS655372:IUS655390 JEO655372:JEO655390 JOK655372:JOK655390 JYG655372:JYG655390 KIC655372:KIC655390 KRY655372:KRY655390 LBU655372:LBU655390 LLQ655372:LLQ655390 LVM655372:LVM655390 MFI655372:MFI655390 MPE655372:MPE655390 MZA655372:MZA655390 NIW655372:NIW655390 NSS655372:NSS655390 OCO655372:OCO655390 OMK655372:OMK655390 OWG655372:OWG655390 PGC655372:PGC655390 PPY655372:PPY655390 PZU655372:PZU655390 QJQ655372:QJQ655390 QTM655372:QTM655390 RDI655372:RDI655390 RNE655372:RNE655390 RXA655372:RXA655390 SGW655372:SGW655390 SQS655372:SQS655390 TAO655372:TAO655390 TKK655372:TKK655390 TUG655372:TUG655390 UEC655372:UEC655390 UNY655372:UNY655390 UXU655372:UXU655390 VHQ655372:VHQ655390 VRM655372:VRM655390 WBI655372:WBI655390 WLE655372:WLE655390 WVA655372:WVA655390 IO720908:IO720926 SK720908:SK720926 ACG720908:ACG720926 AMC720908:AMC720926 AVY720908:AVY720926 BFU720908:BFU720926 BPQ720908:BPQ720926 BZM720908:BZM720926 CJI720908:CJI720926 CTE720908:CTE720926 DDA720908:DDA720926 DMW720908:DMW720926 DWS720908:DWS720926 EGO720908:EGO720926 EQK720908:EQK720926 FAG720908:FAG720926 FKC720908:FKC720926 FTY720908:FTY720926 GDU720908:GDU720926 GNQ720908:GNQ720926 GXM720908:GXM720926 HHI720908:HHI720926 HRE720908:HRE720926 IBA720908:IBA720926 IKW720908:IKW720926 IUS720908:IUS720926 JEO720908:JEO720926 JOK720908:JOK720926 JYG720908:JYG720926 KIC720908:KIC720926 KRY720908:KRY720926 LBU720908:LBU720926 LLQ720908:LLQ720926 LVM720908:LVM720926 MFI720908:MFI720926 MPE720908:MPE720926 MZA720908:MZA720926 NIW720908:NIW720926 NSS720908:NSS720926 OCO720908:OCO720926 OMK720908:OMK720926 OWG720908:OWG720926 PGC720908:PGC720926 PPY720908:PPY720926 PZU720908:PZU720926 QJQ720908:QJQ720926 QTM720908:QTM720926 RDI720908:RDI720926 RNE720908:RNE720926 RXA720908:RXA720926 SGW720908:SGW720926 SQS720908:SQS720926 TAO720908:TAO720926 TKK720908:TKK720926 TUG720908:TUG720926 UEC720908:UEC720926 UNY720908:UNY720926 UXU720908:UXU720926 VHQ720908:VHQ720926 VRM720908:VRM720926 WBI720908:WBI720926 WLE720908:WLE720926 WVA720908:WVA720926 IO786444:IO786462 SK786444:SK786462 ACG786444:ACG786462 AMC786444:AMC786462 AVY786444:AVY786462 BFU786444:BFU786462 BPQ786444:BPQ786462 BZM786444:BZM786462 CJI786444:CJI786462 CTE786444:CTE786462 DDA786444:DDA786462 DMW786444:DMW786462 DWS786444:DWS786462 EGO786444:EGO786462 EQK786444:EQK786462 FAG786444:FAG786462 FKC786444:FKC786462 FTY786444:FTY786462 GDU786444:GDU786462 GNQ786444:GNQ786462 GXM786444:GXM786462 HHI786444:HHI786462 HRE786444:HRE786462 IBA786444:IBA786462 IKW786444:IKW786462 IUS786444:IUS786462 JEO786444:JEO786462 JOK786444:JOK786462 JYG786444:JYG786462 KIC786444:KIC786462 KRY786444:KRY786462 LBU786444:LBU786462 LLQ786444:LLQ786462 LVM786444:LVM786462 MFI786444:MFI786462 MPE786444:MPE786462 MZA786444:MZA786462 NIW786444:NIW786462 NSS786444:NSS786462 OCO786444:OCO786462 OMK786444:OMK786462 OWG786444:OWG786462 PGC786444:PGC786462 PPY786444:PPY786462 PZU786444:PZU786462 QJQ786444:QJQ786462 QTM786444:QTM786462 RDI786444:RDI786462 RNE786444:RNE786462 RXA786444:RXA786462 SGW786444:SGW786462 SQS786444:SQS786462 TAO786444:TAO786462 TKK786444:TKK786462 TUG786444:TUG786462 UEC786444:UEC786462 UNY786444:UNY786462 UXU786444:UXU786462 VHQ786444:VHQ786462 VRM786444:VRM786462 WBI786444:WBI786462 WLE786444:WLE786462 WVA786444:WVA786462 IO851980:IO851998 SK851980:SK851998 ACG851980:ACG851998 AMC851980:AMC851998 AVY851980:AVY851998 BFU851980:BFU851998 BPQ851980:BPQ851998 BZM851980:BZM851998 CJI851980:CJI851998 CTE851980:CTE851998 DDA851980:DDA851998 DMW851980:DMW851998 DWS851980:DWS851998 EGO851980:EGO851998 EQK851980:EQK851998 FAG851980:FAG851998 FKC851980:FKC851998 FTY851980:FTY851998 GDU851980:GDU851998 GNQ851980:GNQ851998 GXM851980:GXM851998 HHI851980:HHI851998 HRE851980:HRE851998 IBA851980:IBA851998 IKW851980:IKW851998 IUS851980:IUS851998 JEO851980:JEO851998 JOK851980:JOK851998 JYG851980:JYG851998 KIC851980:KIC851998 KRY851980:KRY851998 LBU851980:LBU851998 LLQ851980:LLQ851998 LVM851980:LVM851998 MFI851980:MFI851998 MPE851980:MPE851998 MZA851980:MZA851998 NIW851980:NIW851998 NSS851980:NSS851998 OCO851980:OCO851998 OMK851980:OMK851998 OWG851980:OWG851998 PGC851980:PGC851998 PPY851980:PPY851998 PZU851980:PZU851998 QJQ851980:QJQ851998 QTM851980:QTM851998 RDI851980:RDI851998 RNE851980:RNE851998 RXA851980:RXA851998 SGW851980:SGW851998 SQS851980:SQS851998 TAO851980:TAO851998 TKK851980:TKK851998 TUG851980:TUG851998 UEC851980:UEC851998 UNY851980:UNY851998 UXU851980:UXU851998 VHQ851980:VHQ851998 VRM851980:VRM851998 WBI851980:WBI851998 WLE851980:WLE851998 WVA851980:WVA851998 IO917516:IO917534 SK917516:SK917534 ACG917516:ACG917534 AMC917516:AMC917534 AVY917516:AVY917534 BFU917516:BFU917534 BPQ917516:BPQ917534 BZM917516:BZM917534 CJI917516:CJI917534 CTE917516:CTE917534 DDA917516:DDA917534 DMW917516:DMW917534 DWS917516:DWS917534 EGO917516:EGO917534 EQK917516:EQK917534 FAG917516:FAG917534 FKC917516:FKC917534 FTY917516:FTY917534 GDU917516:GDU917534 GNQ917516:GNQ917534 GXM917516:GXM917534 HHI917516:HHI917534 HRE917516:HRE917534 IBA917516:IBA917534 IKW917516:IKW917534 IUS917516:IUS917534 JEO917516:JEO917534 JOK917516:JOK917534 JYG917516:JYG917534 KIC917516:KIC917534 KRY917516:KRY917534 LBU917516:LBU917534 LLQ917516:LLQ917534 LVM917516:LVM917534 MFI917516:MFI917534 MPE917516:MPE917534 MZA917516:MZA917534 NIW917516:NIW917534 NSS917516:NSS917534 OCO917516:OCO917534 OMK917516:OMK917534 OWG917516:OWG917534 PGC917516:PGC917534 PPY917516:PPY917534 PZU917516:PZU917534 QJQ917516:QJQ917534 QTM917516:QTM917534 RDI917516:RDI917534 RNE917516:RNE917534 RXA917516:RXA917534 SGW917516:SGW917534 SQS917516:SQS917534 TAO917516:TAO917534 TKK917516:TKK917534 TUG917516:TUG917534 UEC917516:UEC917534 UNY917516:UNY917534 UXU917516:UXU917534 VHQ917516:VHQ917534 VRM917516:VRM917534 WBI917516:WBI917534 WLE917516:WLE917534 WVA917516:WVA917534 IO983052:IO983070 SK983052:SK983070 ACG983052:ACG983070 AMC983052:AMC983070 AVY983052:AVY983070 BFU983052:BFU983070 BPQ983052:BPQ983070 BZM983052:BZM983070 CJI983052:CJI983070 CTE983052:CTE983070 DDA983052:DDA983070 DMW983052:DMW983070 DWS983052:DWS983070 EGO983052:EGO983070 EQK983052:EQK983070 FAG983052:FAG983070 FKC983052:FKC983070 FTY983052:FTY983070 GDU983052:GDU983070 GNQ983052:GNQ983070 GXM983052:GXM983070 HHI983052:HHI983070 HRE983052:HRE983070 IBA983052:IBA983070 IKW983052:IKW983070 IUS983052:IUS983070 JEO983052:JEO983070 JOK983052:JOK983070 JYG983052:JYG983070 KIC983052:KIC983070 KRY983052:KRY983070 LBU983052:LBU983070 LLQ983052:LLQ983070 LVM983052:LVM983070 MFI983052:MFI983070 MPE983052:MPE983070 MZA983052:MZA983070 NIW983052:NIW983070 NSS983052:NSS983070 OCO983052:OCO983070 OMK983052:OMK983070 OWG983052:OWG983070 PGC983052:PGC983070 PPY983052:PPY983070 PZU983052:PZU983070 QJQ983052:QJQ983070 QTM983052:QTM983070 RDI983052:RDI983070 RNE983052:RNE983070 RXA983052:RXA983070 SGW983052:SGW983070 SQS983052:SQS983070 TAO983052:TAO983070 TKK983052:TKK983070 TUG983052:TUG983070 UEC983052:UEC983070 UNY983052:UNY983070 UXU983052:UXU983070 VHQ983052:VHQ983070 VRM983052:VRM983070 WBI983052:WBI983070 WLE983052:WLE983070" xr:uid="{00000000-0002-0000-1B00-00000000000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F10"/>
  <sheetViews>
    <sheetView showGridLines="0" workbookViewId="0">
      <selection sqref="A1:F1"/>
    </sheetView>
  </sheetViews>
  <sheetFormatPr baseColWidth="10" defaultColWidth="11.44140625" defaultRowHeight="14.4" x14ac:dyDescent="0.3"/>
  <cols>
    <col min="1" max="1" width="15.6640625" customWidth="1"/>
    <col min="2" max="2" width="43.5546875" customWidth="1"/>
    <col min="3" max="3" width="3.44140625" customWidth="1"/>
    <col min="4" max="4" width="3.6640625" customWidth="1"/>
    <col min="5" max="5" width="25.5546875" customWidth="1"/>
    <col min="6" max="6" width="15.6640625" customWidth="1"/>
  </cols>
  <sheetData>
    <row r="1" spans="1:6" ht="48.75" customHeight="1" x14ac:dyDescent="0.3">
      <c r="A1" s="7733" t="s">
        <v>4301</v>
      </c>
      <c r="B1" s="7734"/>
      <c r="C1" s="7734"/>
      <c r="D1" s="7734"/>
      <c r="E1" s="7734"/>
      <c r="F1" s="7735"/>
    </row>
    <row r="3" spans="1:6" x14ac:dyDescent="0.3">
      <c r="A3" s="145" t="str">
        <f>CONCATENATE("ESTABLECIMIENTO: ",NOMBRE!B3," - ",NOMBRE!C3,NOMBRE!D3,NOMBRE!E3,NOMBRE!F3,NOMBRE!G3,NOMBRE!H3,NOMBRE!I3," 
  "," / MES:  ",NOMBRE!B6,"  / AÑO:  ",NOMBRE!B7)</f>
        <v>ESTABLECIMIENTO:  - Falta Cód. Est. 
   / MES:    / AÑO:  2025</v>
      </c>
    </row>
    <row r="5" spans="1:6" ht="58.5" customHeight="1" x14ac:dyDescent="0.3">
      <c r="B5" s="1740" t="s">
        <v>4302</v>
      </c>
      <c r="E5" s="1740"/>
    </row>
    <row r="7" spans="1:6" x14ac:dyDescent="0.3">
      <c r="B7" s="7736" t="str">
        <f>IF(Control!D32&gt;0,"ANTES DE EJECUTAR LA MACRO REVISE LA HOJA CONTROL, EXISTEN ERRORES","")</f>
        <v>ANTES DE EJECUTAR LA MACRO REVISE LA HOJA CONTROL, EXISTEN ERRORES</v>
      </c>
      <c r="C7" s="7737"/>
      <c r="D7" s="7737"/>
      <c r="E7" s="7738"/>
    </row>
    <row r="8" spans="1:6" x14ac:dyDescent="0.3">
      <c r="B8" s="7739"/>
      <c r="C8" s="7740"/>
      <c r="D8" s="7740"/>
      <c r="E8" s="7741"/>
    </row>
    <row r="10" spans="1:6" x14ac:dyDescent="0.3">
      <c r="B10" s="147" t="s">
        <v>4303</v>
      </c>
    </row>
  </sheetData>
  <sheetProtection algorithmName="SHA-512" hashValue="alu+6rN+iQU+whJkuDSshiH+L185iEuLZF4uHUUUBXVLD7CwfyxptLeED4WjsVrTcetT8qusUr2In4f/PeUVmg==" saltValue="j5rCRdwFAao3He4BBv4FOg==" spinCount="100000" sheet="1" objects="1" scenarios="1"/>
  <mergeCells count="2">
    <mergeCell ref="A1:F1"/>
    <mergeCell ref="B7:E8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697" r:id="rId4" name="Button 1">
              <controlPr defaultSize="0" print="0" autoFill="0" autoPict="0" macro="[0]!RespaldaArchivo">
                <anchor moveWithCells="1" sizeWithCells="1">
                  <from>
                    <xdr:col>4</xdr:col>
                    <xdr:colOff>137160</xdr:colOff>
                    <xdr:row>4</xdr:row>
                    <xdr:rowOff>121920</xdr:rowOff>
                  </from>
                  <to>
                    <xdr:col>4</xdr:col>
                    <xdr:colOff>1584960</xdr:colOff>
                    <xdr:row>4</xdr:row>
                    <xdr:rowOff>632460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NOMBRE</vt:lpstr>
      <vt:lpstr>A01</vt:lpstr>
      <vt:lpstr>A02</vt:lpstr>
      <vt:lpstr>A03</vt:lpstr>
      <vt:lpstr>A04</vt:lpstr>
      <vt:lpstr>A05</vt:lpstr>
      <vt:lpstr>A06</vt:lpstr>
      <vt:lpstr>A07</vt:lpstr>
      <vt:lpstr>A08</vt:lpstr>
      <vt:lpstr>A09</vt:lpstr>
      <vt:lpstr>A11</vt:lpstr>
      <vt:lpstr>A11a</vt:lpstr>
      <vt:lpstr>A19a</vt:lpstr>
      <vt:lpstr>A19b</vt:lpstr>
      <vt:lpstr>A21</vt:lpstr>
      <vt:lpstr>A23</vt:lpstr>
      <vt:lpstr>A24</vt:lpstr>
      <vt:lpstr>A25</vt:lpstr>
      <vt:lpstr>A26</vt:lpstr>
      <vt:lpstr>A27</vt:lpstr>
      <vt:lpstr>A28</vt:lpstr>
      <vt:lpstr>A29</vt:lpstr>
      <vt:lpstr>A30</vt:lpstr>
      <vt:lpstr>A30AR</vt:lpstr>
      <vt:lpstr>A31</vt:lpstr>
      <vt:lpstr>A32</vt:lpstr>
      <vt:lpstr>A33</vt:lpstr>
      <vt:lpstr>A34</vt:lpstr>
      <vt:lpstr>Control</vt:lpstr>
      <vt:lpstr>MACROS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REM</dc:creator>
  <cp:keywords/>
  <dc:description/>
  <cp:lastModifiedBy>Carmen Gloria Sepulveda</cp:lastModifiedBy>
  <cp:revision/>
  <cp:lastPrinted>2025-01-14T17:19:16Z</cp:lastPrinted>
  <dcterms:created xsi:type="dcterms:W3CDTF">2023-04-14T14:34:58Z</dcterms:created>
  <dcterms:modified xsi:type="dcterms:W3CDTF">2025-04-24T13:33:52Z</dcterms:modified>
  <cp:category/>
  <cp:contentStatus/>
</cp:coreProperties>
</file>